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sgapucminasbr-my.sharepoint.com/personal/291599_sga_pucminas_br/Documents/PUC/Disciplinas/TCC-ES/2021-1/Marco/"/>
    </mc:Choice>
  </mc:AlternateContent>
  <xr:revisionPtr revIDLastSave="1100" documentId="11_67930BFAA75A49618C320E251C92B2021C5823C0" xr6:coauthVersionLast="46" xr6:coauthVersionMax="46" xr10:uidLastSave="{FDC43BD7-31C9-4C59-98E8-1D1D286E8279}"/>
  <bookViews>
    <workbookView xWindow="13275" yWindow="4365" windowWidth="23940" windowHeight="13425" tabRatio="320" xr2:uid="{00000000-000D-0000-FFFF-FFFF00000000}"/>
  </bookViews>
  <sheets>
    <sheet name="bulk" sheetId="1" r:id="rId1"/>
    <sheet name="hist lloc" sheetId="5" r:id="rId2"/>
    <sheet name="hist stars" sheetId="6" r:id="rId3"/>
    <sheet name="licenses" sheetId="11" r:id="rId4"/>
    <sheet name="Planilha12" sheetId="13" r:id="rId5"/>
    <sheet name="correlacao" sheetId="16" r:id="rId6"/>
    <sheet name="Planilha16" sheetId="17" r:id="rId7"/>
    <sheet name="numericos" sheetId="15" r:id="rId8"/>
    <sheet name="licenses_plot" sheetId="12" r:id="rId9"/>
    <sheet name="Planilha13" sheetId="14" r:id="rId10"/>
  </sheet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2" i="1" l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N2" i="1" a="1"/>
  <c r="AN571" i="1" s="1"/>
  <c r="AO1167" i="1"/>
  <c r="Z2" i="1" a="1"/>
  <c r="Z2" i="1" s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2" i="1"/>
  <c r="AN1165" i="1" l="1"/>
  <c r="AN1159" i="1"/>
  <c r="AN1153" i="1"/>
  <c r="AN1147" i="1"/>
  <c r="AN1141" i="1"/>
  <c r="AN1135" i="1"/>
  <c r="AN1129" i="1"/>
  <c r="AN1123" i="1"/>
  <c r="AN1117" i="1"/>
  <c r="AN1111" i="1"/>
  <c r="AN1105" i="1"/>
  <c r="AN1099" i="1"/>
  <c r="AN1093" i="1"/>
  <c r="AN1087" i="1"/>
  <c r="AN1081" i="1"/>
  <c r="AN1075" i="1"/>
  <c r="AN1069" i="1"/>
  <c r="AN1063" i="1"/>
  <c r="AN1057" i="1"/>
  <c r="AN1051" i="1"/>
  <c r="AN1045" i="1"/>
  <c r="AN1039" i="1"/>
  <c r="AN1033" i="1"/>
  <c r="AN1027" i="1"/>
  <c r="AN1021" i="1"/>
  <c r="AN1015" i="1"/>
  <c r="AN1009" i="1"/>
  <c r="AN1003" i="1"/>
  <c r="AN997" i="1"/>
  <c r="AN991" i="1"/>
  <c r="AN985" i="1"/>
  <c r="AN979" i="1"/>
  <c r="AN973" i="1"/>
  <c r="AN967" i="1"/>
  <c r="AN961" i="1"/>
  <c r="AN955" i="1"/>
  <c r="AN949" i="1"/>
  <c r="AN943" i="1"/>
  <c r="AN937" i="1"/>
  <c r="AN931" i="1"/>
  <c r="AN925" i="1"/>
  <c r="AN919" i="1"/>
  <c r="AN913" i="1"/>
  <c r="AN907" i="1"/>
  <c r="AN901" i="1"/>
  <c r="AN895" i="1"/>
  <c r="AN889" i="1"/>
  <c r="AN883" i="1"/>
  <c r="AN877" i="1"/>
  <c r="AN871" i="1"/>
  <c r="AN865" i="1"/>
  <c r="AN859" i="1"/>
  <c r="AN853" i="1"/>
  <c r="AN847" i="1"/>
  <c r="AN841" i="1"/>
  <c r="AN835" i="1"/>
  <c r="AN829" i="1"/>
  <c r="AN823" i="1"/>
  <c r="AN817" i="1"/>
  <c r="AN811" i="1"/>
  <c r="AN805" i="1"/>
  <c r="AN799" i="1"/>
  <c r="AN793" i="1"/>
  <c r="AN787" i="1"/>
  <c r="AN781" i="1"/>
  <c r="AN775" i="1"/>
  <c r="AN721" i="1"/>
  <c r="AN649" i="1"/>
  <c r="AN577" i="1"/>
  <c r="AN741" i="1"/>
  <c r="AN547" i="1"/>
  <c r="AN679" i="1"/>
  <c r="AN607" i="1"/>
  <c r="AN535" i="1"/>
  <c r="AN691" i="1"/>
  <c r="AN1164" i="1"/>
  <c r="AN1158" i="1"/>
  <c r="AN1152" i="1"/>
  <c r="AN1146" i="1"/>
  <c r="AN1140" i="1"/>
  <c r="AN1134" i="1"/>
  <c r="AN1128" i="1"/>
  <c r="AN1122" i="1"/>
  <c r="AN1116" i="1"/>
  <c r="AN1110" i="1"/>
  <c r="AN1104" i="1"/>
  <c r="AN1098" i="1"/>
  <c r="AN1092" i="1"/>
  <c r="AN1086" i="1"/>
  <c r="AN1080" i="1"/>
  <c r="AN1074" i="1"/>
  <c r="AN1068" i="1"/>
  <c r="AN1062" i="1"/>
  <c r="AN1056" i="1"/>
  <c r="AN1050" i="1"/>
  <c r="AN1044" i="1"/>
  <c r="AN1038" i="1"/>
  <c r="AN1032" i="1"/>
  <c r="AN1026" i="1"/>
  <c r="AN1020" i="1"/>
  <c r="AN1014" i="1"/>
  <c r="AN1008" i="1"/>
  <c r="AN1002" i="1"/>
  <c r="AN996" i="1"/>
  <c r="AN990" i="1"/>
  <c r="AN984" i="1"/>
  <c r="AN978" i="1"/>
  <c r="AN972" i="1"/>
  <c r="AN966" i="1"/>
  <c r="AN960" i="1"/>
  <c r="AN954" i="1"/>
  <c r="AN948" i="1"/>
  <c r="AN942" i="1"/>
  <c r="AN936" i="1"/>
  <c r="AN930" i="1"/>
  <c r="AN924" i="1"/>
  <c r="AN918" i="1"/>
  <c r="AN912" i="1"/>
  <c r="AN906" i="1"/>
  <c r="AN900" i="1"/>
  <c r="AN894" i="1"/>
  <c r="AN888" i="1"/>
  <c r="AN882" i="1"/>
  <c r="AN876" i="1"/>
  <c r="AN870" i="1"/>
  <c r="AN864" i="1"/>
  <c r="AN858" i="1"/>
  <c r="AN852" i="1"/>
  <c r="AN846" i="1"/>
  <c r="AN840" i="1"/>
  <c r="AN834" i="1"/>
  <c r="AN828" i="1"/>
  <c r="AN822" i="1"/>
  <c r="AN816" i="1"/>
  <c r="AN810" i="1"/>
  <c r="AN804" i="1"/>
  <c r="AN798" i="1"/>
  <c r="AN792" i="1"/>
  <c r="AN786" i="1"/>
  <c r="AN780" i="1"/>
  <c r="AN757" i="1"/>
  <c r="AN739" i="1"/>
  <c r="AN709" i="1"/>
  <c r="AN637" i="1"/>
  <c r="AN565" i="1"/>
  <c r="AN759" i="1"/>
  <c r="AN619" i="1"/>
  <c r="AN765" i="1"/>
  <c r="AN747" i="1"/>
  <c r="AN667" i="1"/>
  <c r="AN595" i="1"/>
  <c r="AN523" i="1"/>
  <c r="AN1163" i="1"/>
  <c r="AN1157" i="1"/>
  <c r="AN1151" i="1"/>
  <c r="AN1145" i="1"/>
  <c r="AN1139" i="1"/>
  <c r="AN1133" i="1"/>
  <c r="AN1127" i="1"/>
  <c r="AN1121" i="1"/>
  <c r="AN1115" i="1"/>
  <c r="AN1109" i="1"/>
  <c r="AN1103" i="1"/>
  <c r="AN1097" i="1"/>
  <c r="AN1091" i="1"/>
  <c r="AN1085" i="1"/>
  <c r="AN1079" i="1"/>
  <c r="AN1073" i="1"/>
  <c r="AN1067" i="1"/>
  <c r="AN1061" i="1"/>
  <c r="AN1055" i="1"/>
  <c r="AN1049" i="1"/>
  <c r="AN1043" i="1"/>
  <c r="AN1037" i="1"/>
  <c r="AN1031" i="1"/>
  <c r="AN1025" i="1"/>
  <c r="AN1019" i="1"/>
  <c r="AN1013" i="1"/>
  <c r="AN1007" i="1"/>
  <c r="AN1001" i="1"/>
  <c r="AN995" i="1"/>
  <c r="AN989" i="1"/>
  <c r="AN983" i="1"/>
  <c r="AN977" i="1"/>
  <c r="AN971" i="1"/>
  <c r="AN965" i="1"/>
  <c r="AN959" i="1"/>
  <c r="AN953" i="1"/>
  <c r="AN947" i="1"/>
  <c r="AN941" i="1"/>
  <c r="AN935" i="1"/>
  <c r="AN929" i="1"/>
  <c r="AN923" i="1"/>
  <c r="AN917" i="1"/>
  <c r="AN911" i="1"/>
  <c r="AN905" i="1"/>
  <c r="AN899" i="1"/>
  <c r="AN893" i="1"/>
  <c r="AN887" i="1"/>
  <c r="AN881" i="1"/>
  <c r="AN875" i="1"/>
  <c r="AN869" i="1"/>
  <c r="AN863" i="1"/>
  <c r="AN857" i="1"/>
  <c r="AN851" i="1"/>
  <c r="AN845" i="1"/>
  <c r="AN839" i="1"/>
  <c r="AN833" i="1"/>
  <c r="AN827" i="1"/>
  <c r="AN821" i="1"/>
  <c r="AN815" i="1"/>
  <c r="AN809" i="1"/>
  <c r="AN803" i="1"/>
  <c r="AN797" i="1"/>
  <c r="AN791" i="1"/>
  <c r="AN785" i="1"/>
  <c r="AN779" i="1"/>
  <c r="AN772" i="1"/>
  <c r="AN697" i="1"/>
  <c r="AN625" i="1"/>
  <c r="AN553" i="1"/>
  <c r="AN727" i="1"/>
  <c r="AN655" i="1"/>
  <c r="AN583" i="1"/>
  <c r="AN1162" i="1"/>
  <c r="AN1156" i="1"/>
  <c r="AN1150" i="1"/>
  <c r="AN1144" i="1"/>
  <c r="AN1138" i="1"/>
  <c r="AN1132" i="1"/>
  <c r="AN1126" i="1"/>
  <c r="AN1120" i="1"/>
  <c r="AN1114" i="1"/>
  <c r="AN1108" i="1"/>
  <c r="AN1102" i="1"/>
  <c r="AN1096" i="1"/>
  <c r="AN1090" i="1"/>
  <c r="AN1084" i="1"/>
  <c r="AN1078" i="1"/>
  <c r="AN1072" i="1"/>
  <c r="AN1066" i="1"/>
  <c r="AN1060" i="1"/>
  <c r="AN1054" i="1"/>
  <c r="AN1048" i="1"/>
  <c r="AN1042" i="1"/>
  <c r="AN1036" i="1"/>
  <c r="AN1030" i="1"/>
  <c r="AN1024" i="1"/>
  <c r="AN1018" i="1"/>
  <c r="AN1012" i="1"/>
  <c r="AN1006" i="1"/>
  <c r="AN1000" i="1"/>
  <c r="AN994" i="1"/>
  <c r="AN988" i="1"/>
  <c r="AN982" i="1"/>
  <c r="AN976" i="1"/>
  <c r="AN970" i="1"/>
  <c r="AN964" i="1"/>
  <c r="AN958" i="1"/>
  <c r="AN952" i="1"/>
  <c r="AN946" i="1"/>
  <c r="AN940" i="1"/>
  <c r="AN934" i="1"/>
  <c r="AN928" i="1"/>
  <c r="AN922" i="1"/>
  <c r="AN916" i="1"/>
  <c r="AN910" i="1"/>
  <c r="AN904" i="1"/>
  <c r="AN898" i="1"/>
  <c r="AN892" i="1"/>
  <c r="AN886" i="1"/>
  <c r="AN880" i="1"/>
  <c r="AN874" i="1"/>
  <c r="AN868" i="1"/>
  <c r="AN862" i="1"/>
  <c r="AN856" i="1"/>
  <c r="AN850" i="1"/>
  <c r="AN844" i="1"/>
  <c r="AN838" i="1"/>
  <c r="AN832" i="1"/>
  <c r="AN826" i="1"/>
  <c r="AN820" i="1"/>
  <c r="AN814" i="1"/>
  <c r="AN808" i="1"/>
  <c r="AN802" i="1"/>
  <c r="AN796" i="1"/>
  <c r="AN790" i="1"/>
  <c r="AN784" i="1"/>
  <c r="AN778" i="1"/>
  <c r="AN771" i="1"/>
  <c r="AN763" i="1"/>
  <c r="AN745" i="1"/>
  <c r="AN685" i="1"/>
  <c r="AN613" i="1"/>
  <c r="AN541" i="1"/>
  <c r="AN1167" i="1"/>
  <c r="AN753" i="1"/>
  <c r="AN735" i="1"/>
  <c r="AN715" i="1"/>
  <c r="AN643" i="1"/>
  <c r="AN2" i="1"/>
  <c r="AN8" i="1"/>
  <c r="AN14" i="1"/>
  <c r="AN20" i="1"/>
  <c r="AN26" i="1"/>
  <c r="AN32" i="1"/>
  <c r="AN38" i="1"/>
  <c r="AN44" i="1"/>
  <c r="AN50" i="1"/>
  <c r="AN56" i="1"/>
  <c r="AN62" i="1"/>
  <c r="AN68" i="1"/>
  <c r="AN74" i="1"/>
  <c r="AN80" i="1"/>
  <c r="AN86" i="1"/>
  <c r="AN92" i="1"/>
  <c r="AN98" i="1"/>
  <c r="AN104" i="1"/>
  <c r="AN110" i="1"/>
  <c r="AN116" i="1"/>
  <c r="AN122" i="1"/>
  <c r="AN128" i="1"/>
  <c r="AN134" i="1"/>
  <c r="AN140" i="1"/>
  <c r="AN146" i="1"/>
  <c r="AN152" i="1"/>
  <c r="AN158" i="1"/>
  <c r="AN164" i="1"/>
  <c r="AN170" i="1"/>
  <c r="AN176" i="1"/>
  <c r="AN182" i="1"/>
  <c r="AN188" i="1"/>
  <c r="AN194" i="1"/>
  <c r="AN200" i="1"/>
  <c r="AN206" i="1"/>
  <c r="AN212" i="1"/>
  <c r="AN218" i="1"/>
  <c r="AN224" i="1"/>
  <c r="AN230" i="1"/>
  <c r="AN236" i="1"/>
  <c r="AN242" i="1"/>
  <c r="AN248" i="1"/>
  <c r="AN254" i="1"/>
  <c r="AN260" i="1"/>
  <c r="AN266" i="1"/>
  <c r="AN272" i="1"/>
  <c r="AN278" i="1"/>
  <c r="AN284" i="1"/>
  <c r="AN290" i="1"/>
  <c r="AN296" i="1"/>
  <c r="AN302" i="1"/>
  <c r="AN308" i="1"/>
  <c r="AN314" i="1"/>
  <c r="AN320" i="1"/>
  <c r="AN326" i="1"/>
  <c r="AN332" i="1"/>
  <c r="AN338" i="1"/>
  <c r="AN344" i="1"/>
  <c r="AN350" i="1"/>
  <c r="AN356" i="1"/>
  <c r="AN362" i="1"/>
  <c r="AN368" i="1"/>
  <c r="AN374" i="1"/>
  <c r="AN380" i="1"/>
  <c r="AN386" i="1"/>
  <c r="AN392" i="1"/>
  <c r="AN398" i="1"/>
  <c r="AN404" i="1"/>
  <c r="AN410" i="1"/>
  <c r="AN416" i="1"/>
  <c r="AN422" i="1"/>
  <c r="AN428" i="1"/>
  <c r="AN434" i="1"/>
  <c r="AN440" i="1"/>
  <c r="AN446" i="1"/>
  <c r="AN452" i="1"/>
  <c r="AN458" i="1"/>
  <c r="AN464" i="1"/>
  <c r="AN470" i="1"/>
  <c r="AN476" i="1"/>
  <c r="AN482" i="1"/>
  <c r="AN488" i="1"/>
  <c r="AN494" i="1"/>
  <c r="AN500" i="1"/>
  <c r="AN506" i="1"/>
  <c r="AN3" i="1"/>
  <c r="AN4" i="1"/>
  <c r="AN5" i="1"/>
  <c r="AN11" i="1"/>
  <c r="AN17" i="1"/>
  <c r="AN23" i="1"/>
  <c r="AN29" i="1"/>
  <c r="AN35" i="1"/>
  <c r="AN41" i="1"/>
  <c r="AN47" i="1"/>
  <c r="AN53" i="1"/>
  <c r="AN59" i="1"/>
  <c r="AN65" i="1"/>
  <c r="AN71" i="1"/>
  <c r="AN77" i="1"/>
  <c r="AN83" i="1"/>
  <c r="AN89" i="1"/>
  <c r="AN95" i="1"/>
  <c r="AN101" i="1"/>
  <c r="AN107" i="1"/>
  <c r="AN113" i="1"/>
  <c r="AN119" i="1"/>
  <c r="AN125" i="1"/>
  <c r="AN131" i="1"/>
  <c r="AN137" i="1"/>
  <c r="AN143" i="1"/>
  <c r="AN149" i="1"/>
  <c r="AN155" i="1"/>
  <c r="AN161" i="1"/>
  <c r="AN167" i="1"/>
  <c r="AN173" i="1"/>
  <c r="AN179" i="1"/>
  <c r="AN185" i="1"/>
  <c r="AN191" i="1"/>
  <c r="AN197" i="1"/>
  <c r="AN203" i="1"/>
  <c r="AN209" i="1"/>
  <c r="AN215" i="1"/>
  <c r="AN221" i="1"/>
  <c r="AN227" i="1"/>
  <c r="AN233" i="1"/>
  <c r="AN239" i="1"/>
  <c r="AN245" i="1"/>
  <c r="AN251" i="1"/>
  <c r="AN257" i="1"/>
  <c r="AN263" i="1"/>
  <c r="AN269" i="1"/>
  <c r="AN275" i="1"/>
  <c r="AN281" i="1"/>
  <c r="AN287" i="1"/>
  <c r="AN293" i="1"/>
  <c r="AN299" i="1"/>
  <c r="AN305" i="1"/>
  <c r="AN311" i="1"/>
  <c r="AN317" i="1"/>
  <c r="AN323" i="1"/>
  <c r="AN329" i="1"/>
  <c r="AN335" i="1"/>
  <c r="AN341" i="1"/>
  <c r="AN347" i="1"/>
  <c r="AN353" i="1"/>
  <c r="AN359" i="1"/>
  <c r="AN365" i="1"/>
  <c r="AN371" i="1"/>
  <c r="AN377" i="1"/>
  <c r="AN383" i="1"/>
  <c r="AN389" i="1"/>
  <c r="AN395" i="1"/>
  <c r="AN401" i="1"/>
  <c r="AN407" i="1"/>
  <c r="AN413" i="1"/>
  <c r="AN419" i="1"/>
  <c r="AN425" i="1"/>
  <c r="AN431" i="1"/>
  <c r="AN437" i="1"/>
  <c r="AN443" i="1"/>
  <c r="AN449" i="1"/>
  <c r="AN455" i="1"/>
  <c r="AN461" i="1"/>
  <c r="AN467" i="1"/>
  <c r="AN473" i="1"/>
  <c r="AN479" i="1"/>
  <c r="AN485" i="1"/>
  <c r="AN491" i="1"/>
  <c r="AN497" i="1"/>
  <c r="AN503" i="1"/>
  <c r="AN509" i="1"/>
  <c r="AN6" i="1"/>
  <c r="AN7" i="1"/>
  <c r="AN13" i="1"/>
  <c r="AN19" i="1"/>
  <c r="AN25" i="1"/>
  <c r="AN31" i="1"/>
  <c r="AN37" i="1"/>
  <c r="AN43" i="1"/>
  <c r="AN49" i="1"/>
  <c r="AN55" i="1"/>
  <c r="AN61" i="1"/>
  <c r="AN67" i="1"/>
  <c r="AN73" i="1"/>
  <c r="AN79" i="1"/>
  <c r="AN85" i="1"/>
  <c r="AN91" i="1"/>
  <c r="AN97" i="1"/>
  <c r="AN103" i="1"/>
  <c r="AN109" i="1"/>
  <c r="AN115" i="1"/>
  <c r="AN121" i="1"/>
  <c r="AN127" i="1"/>
  <c r="AN133" i="1"/>
  <c r="AN139" i="1"/>
  <c r="AN145" i="1"/>
  <c r="AN151" i="1"/>
  <c r="AN157" i="1"/>
  <c r="AN163" i="1"/>
  <c r="AN169" i="1"/>
  <c r="AN175" i="1"/>
  <c r="AN181" i="1"/>
  <c r="AN187" i="1"/>
  <c r="AN193" i="1"/>
  <c r="AN199" i="1"/>
  <c r="AN205" i="1"/>
  <c r="AN211" i="1"/>
  <c r="AN217" i="1"/>
  <c r="AN223" i="1"/>
  <c r="AN229" i="1"/>
  <c r="AN235" i="1"/>
  <c r="AN241" i="1"/>
  <c r="AN247" i="1"/>
  <c r="AN253" i="1"/>
  <c r="AN259" i="1"/>
  <c r="AN265" i="1"/>
  <c r="AN271" i="1"/>
  <c r="AN277" i="1"/>
  <c r="AN283" i="1"/>
  <c r="AN289" i="1"/>
  <c r="AN295" i="1"/>
  <c r="AN301" i="1"/>
  <c r="AN307" i="1"/>
  <c r="AN313" i="1"/>
  <c r="AN319" i="1"/>
  <c r="AN325" i="1"/>
  <c r="AN331" i="1"/>
  <c r="AN337" i="1"/>
  <c r="AN343" i="1"/>
  <c r="AN349" i="1"/>
  <c r="AN355" i="1"/>
  <c r="AN361" i="1"/>
  <c r="AN367" i="1"/>
  <c r="AN373" i="1"/>
  <c r="AN379" i="1"/>
  <c r="AN385" i="1"/>
  <c r="AN391" i="1"/>
  <c r="AN397" i="1"/>
  <c r="AN403" i="1"/>
  <c r="AN409" i="1"/>
  <c r="AN415" i="1"/>
  <c r="AN421" i="1"/>
  <c r="AN427" i="1"/>
  <c r="AN433" i="1"/>
  <c r="AN439" i="1"/>
  <c r="AN445" i="1"/>
  <c r="AN451" i="1"/>
  <c r="AN457" i="1"/>
  <c r="AN463" i="1"/>
  <c r="AN469" i="1"/>
  <c r="AN475" i="1"/>
  <c r="AN481" i="1"/>
  <c r="AN487" i="1"/>
  <c r="AN493" i="1"/>
  <c r="AN499" i="1"/>
  <c r="AN505" i="1"/>
  <c r="AN511" i="1"/>
  <c r="AN12" i="1"/>
  <c r="AN28" i="1"/>
  <c r="AN36" i="1"/>
  <c r="AN52" i="1"/>
  <c r="AN60" i="1"/>
  <c r="AN76" i="1"/>
  <c r="AN84" i="1"/>
  <c r="AN100" i="1"/>
  <c r="AN108" i="1"/>
  <c r="AN124" i="1"/>
  <c r="AN132" i="1"/>
  <c r="AN148" i="1"/>
  <c r="AN156" i="1"/>
  <c r="AN172" i="1"/>
  <c r="AN180" i="1"/>
  <c r="AN196" i="1"/>
  <c r="AN204" i="1"/>
  <c r="AN220" i="1"/>
  <c r="AN228" i="1"/>
  <c r="AN244" i="1"/>
  <c r="AN252" i="1"/>
  <c r="AN268" i="1"/>
  <c r="AN276" i="1"/>
  <c r="AN292" i="1"/>
  <c r="AN300" i="1"/>
  <c r="AN316" i="1"/>
  <c r="AN324" i="1"/>
  <c r="AN340" i="1"/>
  <c r="AN348" i="1"/>
  <c r="AN364" i="1"/>
  <c r="AN372" i="1"/>
  <c r="AN388" i="1"/>
  <c r="AN396" i="1"/>
  <c r="AN412" i="1"/>
  <c r="AN420" i="1"/>
  <c r="AN436" i="1"/>
  <c r="AN444" i="1"/>
  <c r="AN460" i="1"/>
  <c r="AN468" i="1"/>
  <c r="AN484" i="1"/>
  <c r="AN492" i="1"/>
  <c r="AN508" i="1"/>
  <c r="AN515" i="1"/>
  <c r="AN521" i="1"/>
  <c r="AN527" i="1"/>
  <c r="AN533" i="1"/>
  <c r="AN539" i="1"/>
  <c r="AN545" i="1"/>
  <c r="AN551" i="1"/>
  <c r="AN557" i="1"/>
  <c r="AN563" i="1"/>
  <c r="AN569" i="1"/>
  <c r="AN575" i="1"/>
  <c r="AN581" i="1"/>
  <c r="AN587" i="1"/>
  <c r="AN593" i="1"/>
  <c r="AN599" i="1"/>
  <c r="AN605" i="1"/>
  <c r="AN611" i="1"/>
  <c r="AN617" i="1"/>
  <c r="AN623" i="1"/>
  <c r="AN629" i="1"/>
  <c r="AN635" i="1"/>
  <c r="AN641" i="1"/>
  <c r="AN647" i="1"/>
  <c r="AN653" i="1"/>
  <c r="AN659" i="1"/>
  <c r="AN665" i="1"/>
  <c r="AN671" i="1"/>
  <c r="AN677" i="1"/>
  <c r="AN683" i="1"/>
  <c r="AN689" i="1"/>
  <c r="AN695" i="1"/>
  <c r="AN701" i="1"/>
  <c r="AN707" i="1"/>
  <c r="AN713" i="1"/>
  <c r="AN719" i="1"/>
  <c r="AN725" i="1"/>
  <c r="AN731" i="1"/>
  <c r="AN737" i="1"/>
  <c r="AN743" i="1"/>
  <c r="AN749" i="1"/>
  <c r="AN755" i="1"/>
  <c r="AN761" i="1"/>
  <c r="AN767" i="1"/>
  <c r="AN773" i="1"/>
  <c r="AN21" i="1"/>
  <c r="AN45" i="1"/>
  <c r="AN69" i="1"/>
  <c r="AN93" i="1"/>
  <c r="AN117" i="1"/>
  <c r="AN141" i="1"/>
  <c r="AN165" i="1"/>
  <c r="AN189" i="1"/>
  <c r="AN213" i="1"/>
  <c r="AN237" i="1"/>
  <c r="AN261" i="1"/>
  <c r="AN285" i="1"/>
  <c r="AN309" i="1"/>
  <c r="AN333" i="1"/>
  <c r="AN357" i="1"/>
  <c r="AN381" i="1"/>
  <c r="AN405" i="1"/>
  <c r="AN429" i="1"/>
  <c r="AN453" i="1"/>
  <c r="AN477" i="1"/>
  <c r="AN501" i="1"/>
  <c r="AN516" i="1"/>
  <c r="AN522" i="1"/>
  <c r="AN528" i="1"/>
  <c r="AN534" i="1"/>
  <c r="AN540" i="1"/>
  <c r="AN546" i="1"/>
  <c r="AN552" i="1"/>
  <c r="AN558" i="1"/>
  <c r="AN564" i="1"/>
  <c r="AN570" i="1"/>
  <c r="AN576" i="1"/>
  <c r="AN582" i="1"/>
  <c r="AN588" i="1"/>
  <c r="AN594" i="1"/>
  <c r="AN600" i="1"/>
  <c r="AN606" i="1"/>
  <c r="AN612" i="1"/>
  <c r="AN618" i="1"/>
  <c r="AN624" i="1"/>
  <c r="AN630" i="1"/>
  <c r="AN636" i="1"/>
  <c r="AN642" i="1"/>
  <c r="AN648" i="1"/>
  <c r="AN654" i="1"/>
  <c r="AN660" i="1"/>
  <c r="AN666" i="1"/>
  <c r="AN672" i="1"/>
  <c r="AN678" i="1"/>
  <c r="AN684" i="1"/>
  <c r="AN690" i="1"/>
  <c r="AN696" i="1"/>
  <c r="AN702" i="1"/>
  <c r="AN708" i="1"/>
  <c r="AN714" i="1"/>
  <c r="AN720" i="1"/>
  <c r="AN726" i="1"/>
  <c r="AN732" i="1"/>
  <c r="AN738" i="1"/>
  <c r="AN744" i="1"/>
  <c r="AN750" i="1"/>
  <c r="AN756" i="1"/>
  <c r="AN762" i="1"/>
  <c r="AN768" i="1"/>
  <c r="AN774" i="1"/>
  <c r="AN22" i="1"/>
  <c r="AN30" i="1"/>
  <c r="AN46" i="1"/>
  <c r="AN54" i="1"/>
  <c r="AN70" i="1"/>
  <c r="AN78" i="1"/>
  <c r="AN94" i="1"/>
  <c r="AN102" i="1"/>
  <c r="AN118" i="1"/>
  <c r="AN126" i="1"/>
  <c r="AN142" i="1"/>
  <c r="AN150" i="1"/>
  <c r="AN166" i="1"/>
  <c r="AN174" i="1"/>
  <c r="AN190" i="1"/>
  <c r="AN198" i="1"/>
  <c r="AN214" i="1"/>
  <c r="AN222" i="1"/>
  <c r="AN238" i="1"/>
  <c r="AN246" i="1"/>
  <c r="AN262" i="1"/>
  <c r="AN270" i="1"/>
  <c r="AN286" i="1"/>
  <c r="AN294" i="1"/>
  <c r="AN310" i="1"/>
  <c r="AN318" i="1"/>
  <c r="AN334" i="1"/>
  <c r="AN342" i="1"/>
  <c r="AN358" i="1"/>
  <c r="AN366" i="1"/>
  <c r="AN382" i="1"/>
  <c r="AN390" i="1"/>
  <c r="AN406" i="1"/>
  <c r="AN414" i="1"/>
  <c r="AN430" i="1"/>
  <c r="AN438" i="1"/>
  <c r="AN454" i="1"/>
  <c r="AN462" i="1"/>
  <c r="AN478" i="1"/>
  <c r="AN486" i="1"/>
  <c r="AN502" i="1"/>
  <c r="AN510" i="1"/>
  <c r="AN15" i="1"/>
  <c r="AN39" i="1"/>
  <c r="AN63" i="1"/>
  <c r="AN87" i="1"/>
  <c r="AN111" i="1"/>
  <c r="AN135" i="1"/>
  <c r="AN159" i="1"/>
  <c r="AN183" i="1"/>
  <c r="AN207" i="1"/>
  <c r="AN231" i="1"/>
  <c r="AN255" i="1"/>
  <c r="AN279" i="1"/>
  <c r="AN303" i="1"/>
  <c r="AN327" i="1"/>
  <c r="AN351" i="1"/>
  <c r="AN375" i="1"/>
  <c r="AN399" i="1"/>
  <c r="AN423" i="1"/>
  <c r="AN447" i="1"/>
  <c r="AN471" i="1"/>
  <c r="AN16" i="1"/>
  <c r="AN24" i="1"/>
  <c r="AN40" i="1"/>
  <c r="AN48" i="1"/>
  <c r="AN64" i="1"/>
  <c r="AN72" i="1"/>
  <c r="AN88" i="1"/>
  <c r="AN96" i="1"/>
  <c r="AN112" i="1"/>
  <c r="AN120" i="1"/>
  <c r="AN136" i="1"/>
  <c r="AN144" i="1"/>
  <c r="AN160" i="1"/>
  <c r="AN168" i="1"/>
  <c r="AN184" i="1"/>
  <c r="AN192" i="1"/>
  <c r="AN208" i="1"/>
  <c r="AN216" i="1"/>
  <c r="AN232" i="1"/>
  <c r="AN240" i="1"/>
  <c r="AN256" i="1"/>
  <c r="AN264" i="1"/>
  <c r="AN280" i="1"/>
  <c r="AN288" i="1"/>
  <c r="AN304" i="1"/>
  <c r="AN312" i="1"/>
  <c r="AN328" i="1"/>
  <c r="AN336" i="1"/>
  <c r="AN352" i="1"/>
  <c r="AN360" i="1"/>
  <c r="AN376" i="1"/>
  <c r="AN384" i="1"/>
  <c r="AN400" i="1"/>
  <c r="AN408" i="1"/>
  <c r="AN424" i="1"/>
  <c r="AN432" i="1"/>
  <c r="AN448" i="1"/>
  <c r="AN456" i="1"/>
  <c r="AN472" i="1"/>
  <c r="AN480" i="1"/>
  <c r="AN496" i="1"/>
  <c r="AN504" i="1"/>
  <c r="AN512" i="1"/>
  <c r="AN518" i="1"/>
  <c r="AN524" i="1"/>
  <c r="AN530" i="1"/>
  <c r="AN536" i="1"/>
  <c r="AN542" i="1"/>
  <c r="AN548" i="1"/>
  <c r="AN554" i="1"/>
  <c r="AN560" i="1"/>
  <c r="AN566" i="1"/>
  <c r="AN572" i="1"/>
  <c r="AN578" i="1"/>
  <c r="AN584" i="1"/>
  <c r="AN590" i="1"/>
  <c r="AN596" i="1"/>
  <c r="AN602" i="1"/>
  <c r="AN608" i="1"/>
  <c r="AN614" i="1"/>
  <c r="AN620" i="1"/>
  <c r="AN626" i="1"/>
  <c r="AN632" i="1"/>
  <c r="AN638" i="1"/>
  <c r="AN644" i="1"/>
  <c r="AN650" i="1"/>
  <c r="AN656" i="1"/>
  <c r="AN662" i="1"/>
  <c r="AN668" i="1"/>
  <c r="AN674" i="1"/>
  <c r="AN680" i="1"/>
  <c r="AN686" i="1"/>
  <c r="AN692" i="1"/>
  <c r="AN698" i="1"/>
  <c r="AN704" i="1"/>
  <c r="AN710" i="1"/>
  <c r="AN716" i="1"/>
  <c r="AN722" i="1"/>
  <c r="AN728" i="1"/>
  <c r="AN734" i="1"/>
  <c r="AN740" i="1"/>
  <c r="AN746" i="1"/>
  <c r="AN752" i="1"/>
  <c r="AN758" i="1"/>
  <c r="AN764" i="1"/>
  <c r="AN9" i="1"/>
  <c r="AN33" i="1"/>
  <c r="AN57" i="1"/>
  <c r="AN81" i="1"/>
  <c r="AN105" i="1"/>
  <c r="AN129" i="1"/>
  <c r="AN153" i="1"/>
  <c r="AN177" i="1"/>
  <c r="AN201" i="1"/>
  <c r="AN225" i="1"/>
  <c r="AN249" i="1"/>
  <c r="AN273" i="1"/>
  <c r="AN297" i="1"/>
  <c r="AN321" i="1"/>
  <c r="AN345" i="1"/>
  <c r="AN369" i="1"/>
  <c r="AN393" i="1"/>
  <c r="AN417" i="1"/>
  <c r="AN441" i="1"/>
  <c r="AN465" i="1"/>
  <c r="AN489" i="1"/>
  <c r="AN513" i="1"/>
  <c r="AN519" i="1"/>
  <c r="AN525" i="1"/>
  <c r="AN531" i="1"/>
  <c r="AN537" i="1"/>
  <c r="AN543" i="1"/>
  <c r="AN549" i="1"/>
  <c r="AN555" i="1"/>
  <c r="AN561" i="1"/>
  <c r="AN567" i="1"/>
  <c r="AN573" i="1"/>
  <c r="AN579" i="1"/>
  <c r="AN585" i="1"/>
  <c r="AN591" i="1"/>
  <c r="AN597" i="1"/>
  <c r="AN603" i="1"/>
  <c r="AN609" i="1"/>
  <c r="AN615" i="1"/>
  <c r="AN621" i="1"/>
  <c r="AN627" i="1"/>
  <c r="AN633" i="1"/>
  <c r="AN639" i="1"/>
  <c r="AN645" i="1"/>
  <c r="AN651" i="1"/>
  <c r="AN657" i="1"/>
  <c r="AN663" i="1"/>
  <c r="AN669" i="1"/>
  <c r="AN675" i="1"/>
  <c r="AN681" i="1"/>
  <c r="AN687" i="1"/>
  <c r="AN693" i="1"/>
  <c r="AN699" i="1"/>
  <c r="AN705" i="1"/>
  <c r="AN711" i="1"/>
  <c r="AN717" i="1"/>
  <c r="AN723" i="1"/>
  <c r="AN729" i="1"/>
  <c r="AN10" i="1"/>
  <c r="AN18" i="1"/>
  <c r="AN34" i="1"/>
  <c r="AN42" i="1"/>
  <c r="AN58" i="1"/>
  <c r="AN66" i="1"/>
  <c r="AN82" i="1"/>
  <c r="AN90" i="1"/>
  <c r="AN106" i="1"/>
  <c r="AN114" i="1"/>
  <c r="AN130" i="1"/>
  <c r="AN138" i="1"/>
  <c r="AN154" i="1"/>
  <c r="AN162" i="1"/>
  <c r="AN178" i="1"/>
  <c r="AN186" i="1"/>
  <c r="AN202" i="1"/>
  <c r="AN210" i="1"/>
  <c r="AN226" i="1"/>
  <c r="AN234" i="1"/>
  <c r="AN250" i="1"/>
  <c r="AN258" i="1"/>
  <c r="AN274" i="1"/>
  <c r="AN282" i="1"/>
  <c r="AN298" i="1"/>
  <c r="AN306" i="1"/>
  <c r="AN322" i="1"/>
  <c r="AN330" i="1"/>
  <c r="AN346" i="1"/>
  <c r="AN354" i="1"/>
  <c r="AN370" i="1"/>
  <c r="AN378" i="1"/>
  <c r="AN394" i="1"/>
  <c r="AN402" i="1"/>
  <c r="AN418" i="1"/>
  <c r="AN426" i="1"/>
  <c r="AN442" i="1"/>
  <c r="AN450" i="1"/>
  <c r="AN466" i="1"/>
  <c r="AN474" i="1"/>
  <c r="AN490" i="1"/>
  <c r="AN498" i="1"/>
  <c r="AN27" i="1"/>
  <c r="AN51" i="1"/>
  <c r="AN75" i="1"/>
  <c r="AN99" i="1"/>
  <c r="AN123" i="1"/>
  <c r="AN147" i="1"/>
  <c r="AN171" i="1"/>
  <c r="AN195" i="1"/>
  <c r="AN219" i="1"/>
  <c r="AN243" i="1"/>
  <c r="AN267" i="1"/>
  <c r="AN291" i="1"/>
  <c r="AN315" i="1"/>
  <c r="AN339" i="1"/>
  <c r="AN363" i="1"/>
  <c r="AN387" i="1"/>
  <c r="AN411" i="1"/>
  <c r="AN435" i="1"/>
  <c r="AN459" i="1"/>
  <c r="AN483" i="1"/>
  <c r="AN507" i="1"/>
  <c r="AN514" i="1"/>
  <c r="AN520" i="1"/>
  <c r="AN526" i="1"/>
  <c r="AN532" i="1"/>
  <c r="AN538" i="1"/>
  <c r="AN544" i="1"/>
  <c r="AN550" i="1"/>
  <c r="AN556" i="1"/>
  <c r="AN562" i="1"/>
  <c r="AN568" i="1"/>
  <c r="AN574" i="1"/>
  <c r="AN580" i="1"/>
  <c r="AN586" i="1"/>
  <c r="AN592" i="1"/>
  <c r="AN598" i="1"/>
  <c r="AN604" i="1"/>
  <c r="AN610" i="1"/>
  <c r="AN616" i="1"/>
  <c r="AN622" i="1"/>
  <c r="AN628" i="1"/>
  <c r="AN634" i="1"/>
  <c r="AN640" i="1"/>
  <c r="AN646" i="1"/>
  <c r="AN652" i="1"/>
  <c r="AN658" i="1"/>
  <c r="AN664" i="1"/>
  <c r="AN670" i="1"/>
  <c r="AN676" i="1"/>
  <c r="AN682" i="1"/>
  <c r="AN688" i="1"/>
  <c r="AN694" i="1"/>
  <c r="AN700" i="1"/>
  <c r="AN706" i="1"/>
  <c r="AN712" i="1"/>
  <c r="AN718" i="1"/>
  <c r="AN724" i="1"/>
  <c r="AN730" i="1"/>
  <c r="AN736" i="1"/>
  <c r="AN742" i="1"/>
  <c r="AN748" i="1"/>
  <c r="AN754" i="1"/>
  <c r="AN760" i="1"/>
  <c r="AN766" i="1"/>
  <c r="AN1161" i="1"/>
  <c r="AN1155" i="1"/>
  <c r="AN1149" i="1"/>
  <c r="AN1143" i="1"/>
  <c r="AN1137" i="1"/>
  <c r="AN1131" i="1"/>
  <c r="AN1125" i="1"/>
  <c r="AN1119" i="1"/>
  <c r="AN1113" i="1"/>
  <c r="AN1107" i="1"/>
  <c r="AN1101" i="1"/>
  <c r="AN1095" i="1"/>
  <c r="AN1089" i="1"/>
  <c r="AN1083" i="1"/>
  <c r="AN1077" i="1"/>
  <c r="AN1071" i="1"/>
  <c r="AN1065" i="1"/>
  <c r="AN1059" i="1"/>
  <c r="AN1053" i="1"/>
  <c r="AN1047" i="1"/>
  <c r="AN1041" i="1"/>
  <c r="AN1035" i="1"/>
  <c r="AN1029" i="1"/>
  <c r="AN1023" i="1"/>
  <c r="AN1017" i="1"/>
  <c r="AN1011" i="1"/>
  <c r="AN1005" i="1"/>
  <c r="AN999" i="1"/>
  <c r="AN993" i="1"/>
  <c r="AN987" i="1"/>
  <c r="AN981" i="1"/>
  <c r="AN975" i="1"/>
  <c r="AN969" i="1"/>
  <c r="AN963" i="1"/>
  <c r="AN957" i="1"/>
  <c r="AN951" i="1"/>
  <c r="AN945" i="1"/>
  <c r="AN939" i="1"/>
  <c r="AN933" i="1"/>
  <c r="AN927" i="1"/>
  <c r="AN921" i="1"/>
  <c r="AN915" i="1"/>
  <c r="AN909" i="1"/>
  <c r="AN903" i="1"/>
  <c r="AN897" i="1"/>
  <c r="AN891" i="1"/>
  <c r="AN885" i="1"/>
  <c r="AN879" i="1"/>
  <c r="AN873" i="1"/>
  <c r="AN867" i="1"/>
  <c r="AN861" i="1"/>
  <c r="AN855" i="1"/>
  <c r="AN849" i="1"/>
  <c r="AN843" i="1"/>
  <c r="AN837" i="1"/>
  <c r="AN831" i="1"/>
  <c r="AN825" i="1"/>
  <c r="AN819" i="1"/>
  <c r="AN813" i="1"/>
  <c r="AN807" i="1"/>
  <c r="AN801" i="1"/>
  <c r="AN795" i="1"/>
  <c r="AN789" i="1"/>
  <c r="AN783" i="1"/>
  <c r="AN777" i="1"/>
  <c r="AN770" i="1"/>
  <c r="AN673" i="1"/>
  <c r="AN601" i="1"/>
  <c r="AN529" i="1"/>
  <c r="AN703" i="1"/>
  <c r="AN631" i="1"/>
  <c r="AN559" i="1"/>
  <c r="AN495" i="1"/>
  <c r="AN1166" i="1"/>
  <c r="AN1160" i="1"/>
  <c r="AN1154" i="1"/>
  <c r="AN1148" i="1"/>
  <c r="AN1142" i="1"/>
  <c r="AN1136" i="1"/>
  <c r="AN1130" i="1"/>
  <c r="AN1124" i="1"/>
  <c r="AN1118" i="1"/>
  <c r="AN1112" i="1"/>
  <c r="AN1106" i="1"/>
  <c r="AN1100" i="1"/>
  <c r="AN1094" i="1"/>
  <c r="AN1088" i="1"/>
  <c r="AN1082" i="1"/>
  <c r="AN1076" i="1"/>
  <c r="AN1070" i="1"/>
  <c r="AN1064" i="1"/>
  <c r="AN1058" i="1"/>
  <c r="AN1052" i="1"/>
  <c r="AN1046" i="1"/>
  <c r="AN1040" i="1"/>
  <c r="AN1034" i="1"/>
  <c r="AN1028" i="1"/>
  <c r="AN1022" i="1"/>
  <c r="AN1016" i="1"/>
  <c r="AN1010" i="1"/>
  <c r="AN1004" i="1"/>
  <c r="AN998" i="1"/>
  <c r="AN992" i="1"/>
  <c r="AN986" i="1"/>
  <c r="AN980" i="1"/>
  <c r="AN974" i="1"/>
  <c r="AN968" i="1"/>
  <c r="AN962" i="1"/>
  <c r="AN956" i="1"/>
  <c r="AN950" i="1"/>
  <c r="AN944" i="1"/>
  <c r="AN938" i="1"/>
  <c r="AN932" i="1"/>
  <c r="AN926" i="1"/>
  <c r="AN920" i="1"/>
  <c r="AN914" i="1"/>
  <c r="AN908" i="1"/>
  <c r="AN902" i="1"/>
  <c r="AN896" i="1"/>
  <c r="AN890" i="1"/>
  <c r="AN884" i="1"/>
  <c r="AN878" i="1"/>
  <c r="AN872" i="1"/>
  <c r="AN866" i="1"/>
  <c r="AN860" i="1"/>
  <c r="AN854" i="1"/>
  <c r="AN848" i="1"/>
  <c r="AN842" i="1"/>
  <c r="AN836" i="1"/>
  <c r="AN830" i="1"/>
  <c r="AN824" i="1"/>
  <c r="AN818" i="1"/>
  <c r="AN812" i="1"/>
  <c r="AN806" i="1"/>
  <c r="AN800" i="1"/>
  <c r="AN794" i="1"/>
  <c r="AN788" i="1"/>
  <c r="AN782" i="1"/>
  <c r="AN776" i="1"/>
  <c r="AN769" i="1"/>
  <c r="AN751" i="1"/>
  <c r="AN733" i="1"/>
  <c r="AN661" i="1"/>
  <c r="AN589" i="1"/>
  <c r="AN517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2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AK2" i="1" a="1"/>
  <c r="AK1163" i="1" s="1"/>
  <c r="AH2" i="1" a="1"/>
  <c r="AE2" i="1" a="1"/>
  <c r="AE895" i="1" s="1"/>
  <c r="AB2" i="1" a="1"/>
  <c r="AB745" i="1" s="1"/>
  <c r="Y2" i="1" a="1"/>
  <c r="Y1161" i="1" s="1"/>
  <c r="W2" i="1" a="1"/>
  <c r="C2" i="1"/>
  <c r="B2" i="1"/>
  <c r="AH1156" i="1" l="1"/>
  <c r="AH1142" i="1"/>
  <c r="AH1041" i="1"/>
  <c r="AH941" i="1"/>
  <c r="AH855" i="1"/>
  <c r="AH770" i="1"/>
  <c r="AH685" i="1"/>
  <c r="AH599" i="1"/>
  <c r="AH514" i="1"/>
  <c r="AH429" i="1"/>
  <c r="AH343" i="1"/>
  <c r="AH258" i="1"/>
  <c r="AH185" i="1"/>
  <c r="AH121" i="1"/>
  <c r="AH57" i="1"/>
  <c r="AH1017" i="1"/>
  <c r="AH836" i="1"/>
  <c r="AH750" i="1"/>
  <c r="AH580" i="1"/>
  <c r="AH409" i="1"/>
  <c r="AH324" i="1"/>
  <c r="AH170" i="1"/>
  <c r="AH106" i="1"/>
  <c r="AH1118" i="1"/>
  <c r="AH921" i="1"/>
  <c r="AH665" i="1"/>
  <c r="AH494" i="1"/>
  <c r="AH238" i="1"/>
  <c r="AH42" i="1"/>
  <c r="AH154" i="1"/>
  <c r="AH366" i="1"/>
  <c r="AH601" i="1"/>
  <c r="AH708" i="1"/>
  <c r="AH942" i="1"/>
  <c r="AK14" i="1"/>
  <c r="AK78" i="1"/>
  <c r="AK235" i="1"/>
  <c r="AK371" i="1"/>
  <c r="AK529" i="1"/>
  <c r="AB51" i="1"/>
  <c r="AB186" i="1"/>
  <c r="AB514" i="1"/>
  <c r="AB1129" i="1"/>
  <c r="AE59" i="1"/>
  <c r="AE139" i="1"/>
  <c r="AE391" i="1"/>
  <c r="AE606" i="1"/>
  <c r="AE822" i="1"/>
  <c r="AH9" i="1"/>
  <c r="AH89" i="1"/>
  <c r="AH169" i="1"/>
  <c r="AH279" i="1"/>
  <c r="AH386" i="1"/>
  <c r="AH493" i="1"/>
  <c r="AH621" i="1"/>
  <c r="AH727" i="1"/>
  <c r="AH834" i="1"/>
  <c r="AH964" i="1"/>
  <c r="AH1092" i="1"/>
  <c r="AK18" i="1"/>
  <c r="AK82" i="1"/>
  <c r="AK155" i="1"/>
  <c r="AK236" i="1"/>
  <c r="AK377" i="1"/>
  <c r="AK546" i="1"/>
  <c r="AK946" i="1"/>
  <c r="AE563" i="1"/>
  <c r="AB26" i="1"/>
  <c r="AB179" i="1"/>
  <c r="AB386" i="1"/>
  <c r="AB1026" i="1"/>
  <c r="AE51" i="1"/>
  <c r="AE131" i="1"/>
  <c r="AE371" i="1"/>
  <c r="AE583" i="1"/>
  <c r="AE798" i="1"/>
  <c r="AH74" i="1"/>
  <c r="AH260" i="1"/>
  <c r="AH473" i="1"/>
  <c r="AH814" i="1"/>
  <c r="AH1068" i="1"/>
  <c r="AK138" i="1"/>
  <c r="AK866" i="1"/>
  <c r="AB58" i="1"/>
  <c r="AB218" i="1"/>
  <c r="AB617" i="1"/>
  <c r="AB1154" i="1"/>
  <c r="AE67" i="1"/>
  <c r="AE199" i="1"/>
  <c r="AE414" i="1"/>
  <c r="AE627" i="1"/>
  <c r="AH10" i="1"/>
  <c r="AH90" i="1"/>
  <c r="AH186" i="1"/>
  <c r="AH281" i="1"/>
  <c r="AH388" i="1"/>
  <c r="AH516" i="1"/>
  <c r="AH622" i="1"/>
  <c r="AH729" i="1"/>
  <c r="AH857" i="1"/>
  <c r="AH965" i="1"/>
  <c r="AH1093" i="1"/>
  <c r="AK34" i="1"/>
  <c r="AK93" i="1"/>
  <c r="AK156" i="1"/>
  <c r="AK268" i="1"/>
  <c r="AK386" i="1"/>
  <c r="AK609" i="1"/>
  <c r="AK1041" i="1"/>
  <c r="AE1129" i="1"/>
  <c r="AE871" i="1"/>
  <c r="AE691" i="1"/>
  <c r="AE519" i="1"/>
  <c r="AE350" i="1"/>
  <c r="AE179" i="1"/>
  <c r="AE91" i="1"/>
  <c r="AE27" i="1"/>
  <c r="AE1089" i="1"/>
  <c r="AE844" i="1"/>
  <c r="AE499" i="1"/>
  <c r="AE327" i="1"/>
  <c r="AE83" i="1"/>
  <c r="AE19" i="1"/>
  <c r="AE670" i="1"/>
  <c r="AE158" i="1"/>
  <c r="AE75" i="1"/>
  <c r="AE222" i="1"/>
  <c r="AE435" i="1"/>
  <c r="AE647" i="1"/>
  <c r="AE918" i="1"/>
  <c r="AH25" i="1"/>
  <c r="AH105" i="1"/>
  <c r="AH201" i="1"/>
  <c r="AH301" i="1"/>
  <c r="AH407" i="1"/>
  <c r="AH535" i="1"/>
  <c r="AH642" i="1"/>
  <c r="AH749" i="1"/>
  <c r="AH877" i="1"/>
  <c r="AH989" i="1"/>
  <c r="AH1117" i="1"/>
  <c r="AK45" i="1"/>
  <c r="AK94" i="1"/>
  <c r="AK163" i="1"/>
  <c r="AK276" i="1"/>
  <c r="AK417" i="1"/>
  <c r="AK610" i="1"/>
  <c r="AK1162" i="1"/>
  <c r="AB122" i="1"/>
  <c r="AB275" i="1"/>
  <c r="AB770" i="1"/>
  <c r="AE11" i="1"/>
  <c r="AE107" i="1"/>
  <c r="AE263" i="1"/>
  <c r="AE478" i="1"/>
  <c r="AE734" i="1"/>
  <c r="AE976" i="1"/>
  <c r="AH41" i="1"/>
  <c r="AH137" i="1"/>
  <c r="AH217" i="1"/>
  <c r="AH322" i="1"/>
  <c r="AH450" i="1"/>
  <c r="AH557" i="1"/>
  <c r="AH663" i="1"/>
  <c r="AH791" i="1"/>
  <c r="AH898" i="1"/>
  <c r="AH1014" i="1"/>
  <c r="AB19" i="1"/>
  <c r="AB154" i="1"/>
  <c r="AB361" i="1"/>
  <c r="AB898" i="1"/>
  <c r="AE43" i="1"/>
  <c r="AE123" i="1"/>
  <c r="AE307" i="1"/>
  <c r="AE775" i="1"/>
  <c r="AE1048" i="1"/>
  <c r="AH73" i="1"/>
  <c r="AH153" i="1"/>
  <c r="AH237" i="1"/>
  <c r="AH365" i="1"/>
  <c r="AH471" i="1"/>
  <c r="AH578" i="1"/>
  <c r="AH706" i="1"/>
  <c r="AH813" i="1"/>
  <c r="AH919" i="1"/>
  <c r="AH1066" i="1"/>
  <c r="AK13" i="1"/>
  <c r="AK62" i="1"/>
  <c r="AK131" i="1"/>
  <c r="AK213" i="1"/>
  <c r="AK331" i="1"/>
  <c r="AK518" i="1"/>
  <c r="AK865" i="1"/>
  <c r="AB90" i="1"/>
  <c r="AB243" i="1"/>
  <c r="AB642" i="1"/>
  <c r="AB115" i="1"/>
  <c r="AB250" i="1"/>
  <c r="AE3" i="1"/>
  <c r="AE99" i="1"/>
  <c r="AE243" i="1"/>
  <c r="AE455" i="1"/>
  <c r="AE711" i="1"/>
  <c r="AE948" i="1"/>
  <c r="AH26" i="1"/>
  <c r="AH122" i="1"/>
  <c r="AH202" i="1"/>
  <c r="AH302" i="1"/>
  <c r="AH430" i="1"/>
  <c r="AH537" i="1"/>
  <c r="AH644" i="1"/>
  <c r="AH772" i="1"/>
  <c r="AH878" i="1"/>
  <c r="AH990" i="1"/>
  <c r="AH1145" i="1"/>
  <c r="AK46" i="1"/>
  <c r="AK98" i="1"/>
  <c r="AK188" i="1"/>
  <c r="AK299" i="1"/>
  <c r="AK418" i="1"/>
  <c r="AK691" i="1"/>
  <c r="AK1027" i="1"/>
  <c r="AK690" i="1"/>
  <c r="AK465" i="1"/>
  <c r="AK345" i="1"/>
  <c r="AK267" i="1"/>
  <c r="AK181" i="1"/>
  <c r="AK115" i="1"/>
  <c r="AK77" i="1"/>
  <c r="AK30" i="1"/>
  <c r="AK947" i="1"/>
  <c r="AK463" i="1"/>
  <c r="AK244" i="1"/>
  <c r="AK110" i="1"/>
  <c r="AK29" i="1"/>
  <c r="AK627" i="1"/>
  <c r="AK332" i="1"/>
  <c r="AK180" i="1"/>
  <c r="AK66" i="1"/>
  <c r="AK50" i="1"/>
  <c r="AK109" i="1"/>
  <c r="AK205" i="1"/>
  <c r="AK300" i="1"/>
  <c r="AK427" i="1"/>
  <c r="AK771" i="1"/>
  <c r="AB1161" i="1"/>
  <c r="AB1001" i="1"/>
  <c r="AB489" i="1"/>
  <c r="AB211" i="1"/>
  <c r="AB83" i="1"/>
  <c r="AB147" i="1"/>
  <c r="AB282" i="1"/>
  <c r="AB873" i="1"/>
  <c r="AE35" i="1"/>
  <c r="AE115" i="1"/>
  <c r="AE286" i="1"/>
  <c r="AE542" i="1"/>
  <c r="AE755" i="1"/>
  <c r="AE1003" i="1"/>
  <c r="AH58" i="1"/>
  <c r="AH138" i="1"/>
  <c r="AH218" i="1"/>
  <c r="AH345" i="1"/>
  <c r="AH452" i="1"/>
  <c r="AH558" i="1"/>
  <c r="AH686" i="1"/>
  <c r="AH793" i="1"/>
  <c r="AH900" i="1"/>
  <c r="AH1042" i="1"/>
  <c r="AK3" i="1"/>
  <c r="AK61" i="1"/>
  <c r="AK130" i="1"/>
  <c r="AK209" i="1"/>
  <c r="AK308" i="1"/>
  <c r="AK483" i="1"/>
  <c r="AK785" i="1"/>
  <c r="W1160" i="1"/>
  <c r="W1152" i="1"/>
  <c r="W1144" i="1"/>
  <c r="W1136" i="1"/>
  <c r="W1128" i="1"/>
  <c r="W1120" i="1"/>
  <c r="W1112" i="1"/>
  <c r="W1104" i="1"/>
  <c r="W1096" i="1"/>
  <c r="W1088" i="1"/>
  <c r="W1080" i="1"/>
  <c r="W1072" i="1"/>
  <c r="W1064" i="1"/>
  <c r="W1056" i="1"/>
  <c r="W1048" i="1"/>
  <c r="W1040" i="1"/>
  <c r="W1032" i="1"/>
  <c r="W1024" i="1"/>
  <c r="W1016" i="1"/>
  <c r="W1008" i="1"/>
  <c r="W1000" i="1"/>
  <c r="W992" i="1"/>
  <c r="W984" i="1"/>
  <c r="W976" i="1"/>
  <c r="W968" i="1"/>
  <c r="W960" i="1"/>
  <c r="W952" i="1"/>
  <c r="W944" i="1"/>
  <c r="W936" i="1"/>
  <c r="W928" i="1"/>
  <c r="W920" i="1"/>
  <c r="W912" i="1"/>
  <c r="W904" i="1"/>
  <c r="W896" i="1"/>
  <c r="W888" i="1"/>
  <c r="W880" i="1"/>
  <c r="W872" i="1"/>
  <c r="W864" i="1"/>
  <c r="W856" i="1"/>
  <c r="W848" i="1"/>
  <c r="W840" i="1"/>
  <c r="W832" i="1"/>
  <c r="W824" i="1"/>
  <c r="W816" i="1"/>
  <c r="W808" i="1"/>
  <c r="W800" i="1"/>
  <c r="W792" i="1"/>
  <c r="W784" i="1"/>
  <c r="W776" i="1"/>
  <c r="W768" i="1"/>
  <c r="W760" i="1"/>
  <c r="W752" i="1"/>
  <c r="W744" i="1"/>
  <c r="W736" i="1"/>
  <c r="W728" i="1"/>
  <c r="W720" i="1"/>
  <c r="W712" i="1"/>
  <c r="W704" i="1"/>
  <c r="W696" i="1"/>
  <c r="W688" i="1"/>
  <c r="W680" i="1"/>
  <c r="W672" i="1"/>
  <c r="W664" i="1"/>
  <c r="W656" i="1"/>
  <c r="W648" i="1"/>
  <c r="W640" i="1"/>
  <c r="W632" i="1"/>
  <c r="W624" i="1"/>
  <c r="W616" i="1"/>
  <c r="W608" i="1"/>
  <c r="W600" i="1"/>
  <c r="W592" i="1"/>
  <c r="W584" i="1"/>
  <c r="W576" i="1"/>
  <c r="W568" i="1"/>
  <c r="W560" i="1"/>
  <c r="W552" i="1"/>
  <c r="W544" i="1"/>
  <c r="W536" i="1"/>
  <c r="W528" i="1"/>
  <c r="W520" i="1"/>
  <c r="W512" i="1"/>
  <c r="W504" i="1"/>
  <c r="W496" i="1"/>
  <c r="W488" i="1"/>
  <c r="W480" i="1"/>
  <c r="W472" i="1"/>
  <c r="W464" i="1"/>
  <c r="W456" i="1"/>
  <c r="W448" i="1"/>
  <c r="W440" i="1"/>
  <c r="W432" i="1"/>
  <c r="W424" i="1"/>
  <c r="W1167" i="1"/>
  <c r="W1159" i="1"/>
  <c r="W1151" i="1"/>
  <c r="W1143" i="1"/>
  <c r="W1135" i="1"/>
  <c r="W1127" i="1"/>
  <c r="W1119" i="1"/>
  <c r="W1111" i="1"/>
  <c r="W1103" i="1"/>
  <c r="W1095" i="1"/>
  <c r="W1087" i="1"/>
  <c r="W1079" i="1"/>
  <c r="W1071" i="1"/>
  <c r="W1063" i="1"/>
  <c r="W1055" i="1"/>
  <c r="W1047" i="1"/>
  <c r="W1039" i="1"/>
  <c r="W1031" i="1"/>
  <c r="W1023" i="1"/>
  <c r="W1015" i="1"/>
  <c r="W1007" i="1"/>
  <c r="W999" i="1"/>
  <c r="W991" i="1"/>
  <c r="W983" i="1"/>
  <c r="W975" i="1"/>
  <c r="W967" i="1"/>
  <c r="W959" i="1"/>
  <c r="W951" i="1"/>
  <c r="W943" i="1"/>
  <c r="W935" i="1"/>
  <c r="W927" i="1"/>
  <c r="W919" i="1"/>
  <c r="W911" i="1"/>
  <c r="W903" i="1"/>
  <c r="W895" i="1"/>
  <c r="W887" i="1"/>
  <c r="W879" i="1"/>
  <c r="W871" i="1"/>
  <c r="W863" i="1"/>
  <c r="W855" i="1"/>
  <c r="W847" i="1"/>
  <c r="W839" i="1"/>
  <c r="W831" i="1"/>
  <c r="W823" i="1"/>
  <c r="W815" i="1"/>
  <c r="W807" i="1"/>
  <c r="W799" i="1"/>
  <c r="W791" i="1"/>
  <c r="W783" i="1"/>
  <c r="W775" i="1"/>
  <c r="W767" i="1"/>
  <c r="W759" i="1"/>
  <c r="W751" i="1"/>
  <c r="W743" i="1"/>
  <c r="W735" i="1"/>
  <c r="W727" i="1"/>
  <c r="W719" i="1"/>
  <c r="W711" i="1"/>
  <c r="W703" i="1"/>
  <c r="W695" i="1"/>
  <c r="W687" i="1"/>
  <c r="W679" i="1"/>
  <c r="W671" i="1"/>
  <c r="W663" i="1"/>
  <c r="W655" i="1"/>
  <c r="W647" i="1"/>
  <c r="W639" i="1"/>
  <c r="W631" i="1"/>
  <c r="W623" i="1"/>
  <c r="W615" i="1"/>
  <c r="W607" i="1"/>
  <c r="W599" i="1"/>
  <c r="W591" i="1"/>
  <c r="W583" i="1"/>
  <c r="W575" i="1"/>
  <c r="W567" i="1"/>
  <c r="W559" i="1"/>
  <c r="W551" i="1"/>
  <c r="W543" i="1"/>
  <c r="W535" i="1"/>
  <c r="W527" i="1"/>
  <c r="W519" i="1"/>
  <c r="W511" i="1"/>
  <c r="W503" i="1"/>
  <c r="W495" i="1"/>
  <c r="W487" i="1"/>
  <c r="W479" i="1"/>
  <c r="W471" i="1"/>
  <c r="W1166" i="1"/>
  <c r="W1158" i="1"/>
  <c r="W1150" i="1"/>
  <c r="W1142" i="1"/>
  <c r="W1134" i="1"/>
  <c r="W1126" i="1"/>
  <c r="W1118" i="1"/>
  <c r="W1110" i="1"/>
  <c r="W1102" i="1"/>
  <c r="W1094" i="1"/>
  <c r="W1086" i="1"/>
  <c r="W1078" i="1"/>
  <c r="W1070" i="1"/>
  <c r="W1062" i="1"/>
  <c r="W1054" i="1"/>
  <c r="W1046" i="1"/>
  <c r="W1038" i="1"/>
  <c r="W1030" i="1"/>
  <c r="W1022" i="1"/>
  <c r="W1014" i="1"/>
  <c r="W1006" i="1"/>
  <c r="W998" i="1"/>
  <c r="W990" i="1"/>
  <c r="W982" i="1"/>
  <c r="W974" i="1"/>
  <c r="W966" i="1"/>
  <c r="W958" i="1"/>
  <c r="W950" i="1"/>
  <c r="W942" i="1"/>
  <c r="W934" i="1"/>
  <c r="W926" i="1"/>
  <c r="W918" i="1"/>
  <c r="W910" i="1"/>
  <c r="W902" i="1"/>
  <c r="W894" i="1"/>
  <c r="W886" i="1"/>
  <c r="W878" i="1"/>
  <c r="W870" i="1"/>
  <c r="W862" i="1"/>
  <c r="W854" i="1"/>
  <c r="W846" i="1"/>
  <c r="W838" i="1"/>
  <c r="W830" i="1"/>
  <c r="W822" i="1"/>
  <c r="W814" i="1"/>
  <c r="W806" i="1"/>
  <c r="W798" i="1"/>
  <c r="W790" i="1"/>
  <c r="W782" i="1"/>
  <c r="W774" i="1"/>
  <c r="W766" i="1"/>
  <c r="W758" i="1"/>
  <c r="W750" i="1"/>
  <c r="W742" i="1"/>
  <c r="W734" i="1"/>
  <c r="W726" i="1"/>
  <c r="W718" i="1"/>
  <c r="W710" i="1"/>
  <c r="W702" i="1"/>
  <c r="W694" i="1"/>
  <c r="W686" i="1"/>
  <c r="W678" i="1"/>
  <c r="W670" i="1"/>
  <c r="W662" i="1"/>
  <c r="W654" i="1"/>
  <c r="W646" i="1"/>
  <c r="W638" i="1"/>
  <c r="W630" i="1"/>
  <c r="W622" i="1"/>
  <c r="W614" i="1"/>
  <c r="W606" i="1"/>
  <c r="W598" i="1"/>
  <c r="W590" i="1"/>
  <c r="W582" i="1"/>
  <c r="W574" i="1"/>
  <c r="W566" i="1"/>
  <c r="W558" i="1"/>
  <c r="W550" i="1"/>
  <c r="W542" i="1"/>
  <c r="W534" i="1"/>
  <c r="W526" i="1"/>
  <c r="W518" i="1"/>
  <c r="W510" i="1"/>
  <c r="W502" i="1"/>
  <c r="W494" i="1"/>
  <c r="W486" i="1"/>
  <c r="W478" i="1"/>
  <c r="W470" i="1"/>
  <c r="W462" i="1"/>
  <c r="W1165" i="1"/>
  <c r="W1157" i="1"/>
  <c r="W1149" i="1"/>
  <c r="W1141" i="1"/>
  <c r="W1133" i="1"/>
  <c r="W1125" i="1"/>
  <c r="W1117" i="1"/>
  <c r="W1109" i="1"/>
  <c r="W1101" i="1"/>
  <c r="W1093" i="1"/>
  <c r="W1085" i="1"/>
  <c r="W1077" i="1"/>
  <c r="W1069" i="1"/>
  <c r="W1061" i="1"/>
  <c r="W1053" i="1"/>
  <c r="W1045" i="1"/>
  <c r="W1037" i="1"/>
  <c r="W1029" i="1"/>
  <c r="W1021" i="1"/>
  <c r="W1013" i="1"/>
  <c r="W1005" i="1"/>
  <c r="W997" i="1"/>
  <c r="W989" i="1"/>
  <c r="W981" i="1"/>
  <c r="W973" i="1"/>
  <c r="W965" i="1"/>
  <c r="W957" i="1"/>
  <c r="W949" i="1"/>
  <c r="W941" i="1"/>
  <c r="W933" i="1"/>
  <c r="W925" i="1"/>
  <c r="W917" i="1"/>
  <c r="W909" i="1"/>
  <c r="W901" i="1"/>
  <c r="W893" i="1"/>
  <c r="W885" i="1"/>
  <c r="W877" i="1"/>
  <c r="W869" i="1"/>
  <c r="W861" i="1"/>
  <c r="W853" i="1"/>
  <c r="W845" i="1"/>
  <c r="W837" i="1"/>
  <c r="W829" i="1"/>
  <c r="W821" i="1"/>
  <c r="W813" i="1"/>
  <c r="W805" i="1"/>
  <c r="W797" i="1"/>
  <c r="W789" i="1"/>
  <c r="W781" i="1"/>
  <c r="W773" i="1"/>
  <c r="W765" i="1"/>
  <c r="W757" i="1"/>
  <c r="W749" i="1"/>
  <c r="W741" i="1"/>
  <c r="W733" i="1"/>
  <c r="W725" i="1"/>
  <c r="W717" i="1"/>
  <c r="W709" i="1"/>
  <c r="W701" i="1"/>
  <c r="W693" i="1"/>
  <c r="W685" i="1"/>
  <c r="W677" i="1"/>
  <c r="W669" i="1"/>
  <c r="W661" i="1"/>
  <c r="W653" i="1"/>
  <c r="W645" i="1"/>
  <c r="W637" i="1"/>
  <c r="W629" i="1"/>
  <c r="W621" i="1"/>
  <c r="W613" i="1"/>
  <c r="W605" i="1"/>
  <c r="W597" i="1"/>
  <c r="W589" i="1"/>
  <c r="W581" i="1"/>
  <c r="W573" i="1"/>
  <c r="W565" i="1"/>
  <c r="W557" i="1"/>
  <c r="W549" i="1"/>
  <c r="W541" i="1"/>
  <c r="W533" i="1"/>
  <c r="W525" i="1"/>
  <c r="W517" i="1"/>
  <c r="W509" i="1"/>
  <c r="W501" i="1"/>
  <c r="W493" i="1"/>
  <c r="W485" i="1"/>
  <c r="W477" i="1"/>
  <c r="W469" i="1"/>
  <c r="W461" i="1"/>
  <c r="W453" i="1"/>
  <c r="W445" i="1"/>
  <c r="W437" i="1"/>
  <c r="W429" i="1"/>
  <c r="W421" i="1"/>
  <c r="W1163" i="1"/>
  <c r="W1155" i="1"/>
  <c r="W1147" i="1"/>
  <c r="W1139" i="1"/>
  <c r="W1131" i="1"/>
  <c r="W1123" i="1"/>
  <c r="W1115" i="1"/>
  <c r="W1107" i="1"/>
  <c r="W1099" i="1"/>
  <c r="W1091" i="1"/>
  <c r="W1083" i="1"/>
  <c r="W1075" i="1"/>
  <c r="W1067" i="1"/>
  <c r="W1059" i="1"/>
  <c r="W1051" i="1"/>
  <c r="W1043" i="1"/>
  <c r="W1035" i="1"/>
  <c r="W1027" i="1"/>
  <c r="W1019" i="1"/>
  <c r="W1011" i="1"/>
  <c r="W1003" i="1"/>
  <c r="W995" i="1"/>
  <c r="W987" i="1"/>
  <c r="W979" i="1"/>
  <c r="W971" i="1"/>
  <c r="W963" i="1"/>
  <c r="W955" i="1"/>
  <c r="W947" i="1"/>
  <c r="W939" i="1"/>
  <c r="W931" i="1"/>
  <c r="W923" i="1"/>
  <c r="W915" i="1"/>
  <c r="W907" i="1"/>
  <c r="W899" i="1"/>
  <c r="W891" i="1"/>
  <c r="W883" i="1"/>
  <c r="W875" i="1"/>
  <c r="W867" i="1"/>
  <c r="W859" i="1"/>
  <c r="W851" i="1"/>
  <c r="W843" i="1"/>
  <c r="W835" i="1"/>
  <c r="W827" i="1"/>
  <c r="W819" i="1"/>
  <c r="W811" i="1"/>
  <c r="W803" i="1"/>
  <c r="W795" i="1"/>
  <c r="W787" i="1"/>
  <c r="W779" i="1"/>
  <c r="W771" i="1"/>
  <c r="W763" i="1"/>
  <c r="W755" i="1"/>
  <c r="W747" i="1"/>
  <c r="W739" i="1"/>
  <c r="W731" i="1"/>
  <c r="W723" i="1"/>
  <c r="W715" i="1"/>
  <c r="W707" i="1"/>
  <c r="W699" i="1"/>
  <c r="W691" i="1"/>
  <c r="W683" i="1"/>
  <c r="W675" i="1"/>
  <c r="W667" i="1"/>
  <c r="W659" i="1"/>
  <c r="W651" i="1"/>
  <c r="W643" i="1"/>
  <c r="W635" i="1"/>
  <c r="W627" i="1"/>
  <c r="W619" i="1"/>
  <c r="W611" i="1"/>
  <c r="W603" i="1"/>
  <c r="W595" i="1"/>
  <c r="W10" i="1"/>
  <c r="W18" i="1"/>
  <c r="W26" i="1"/>
  <c r="W34" i="1"/>
  <c r="W42" i="1"/>
  <c r="W50" i="1"/>
  <c r="W58" i="1"/>
  <c r="W66" i="1"/>
  <c r="W74" i="1"/>
  <c r="W82" i="1"/>
  <c r="W90" i="1"/>
  <c r="W98" i="1"/>
  <c r="W106" i="1"/>
  <c r="W114" i="1"/>
  <c r="W122" i="1"/>
  <c r="W130" i="1"/>
  <c r="W138" i="1"/>
  <c r="W146" i="1"/>
  <c r="W154" i="1"/>
  <c r="W162" i="1"/>
  <c r="W170" i="1"/>
  <c r="W178" i="1"/>
  <c r="W186" i="1"/>
  <c r="W194" i="1"/>
  <c r="W202" i="1"/>
  <c r="W210" i="1"/>
  <c r="W218" i="1"/>
  <c r="W226" i="1"/>
  <c r="W234" i="1"/>
  <c r="W242" i="1"/>
  <c r="W250" i="1"/>
  <c r="W258" i="1"/>
  <c r="W266" i="1"/>
  <c r="W274" i="1"/>
  <c r="W282" i="1"/>
  <c r="W290" i="1"/>
  <c r="W298" i="1"/>
  <c r="W306" i="1"/>
  <c r="W314" i="1"/>
  <c r="W322" i="1"/>
  <c r="W330" i="1"/>
  <c r="W338" i="1"/>
  <c r="W346" i="1"/>
  <c r="W354" i="1"/>
  <c r="W362" i="1"/>
  <c r="W370" i="1"/>
  <c r="W378" i="1"/>
  <c r="W386" i="1"/>
  <c r="W394" i="1"/>
  <c r="W402" i="1"/>
  <c r="W410" i="1"/>
  <c r="W418" i="1"/>
  <c r="W428" i="1"/>
  <c r="W439" i="1"/>
  <c r="W450" i="1"/>
  <c r="W460" i="1"/>
  <c r="W475" i="1"/>
  <c r="W491" i="1"/>
  <c r="W507" i="1"/>
  <c r="W523" i="1"/>
  <c r="W539" i="1"/>
  <c r="W555" i="1"/>
  <c r="W571" i="1"/>
  <c r="W587" i="1"/>
  <c r="W609" i="1"/>
  <c r="W628" i="1"/>
  <c r="W650" i="1"/>
  <c r="W673" i="1"/>
  <c r="W692" i="1"/>
  <c r="W714" i="1"/>
  <c r="W737" i="1"/>
  <c r="W756" i="1"/>
  <c r="W778" i="1"/>
  <c r="W801" i="1"/>
  <c r="W820" i="1"/>
  <c r="W842" i="1"/>
  <c r="W865" i="1"/>
  <c r="W884" i="1"/>
  <c r="W906" i="1"/>
  <c r="W929" i="1"/>
  <c r="W948" i="1"/>
  <c r="W970" i="1"/>
  <c r="W993" i="1"/>
  <c r="W1012" i="1"/>
  <c r="W1034" i="1"/>
  <c r="W1057" i="1"/>
  <c r="W1076" i="1"/>
  <c r="W1098" i="1"/>
  <c r="W1121" i="1"/>
  <c r="W1140" i="1"/>
  <c r="W1162" i="1"/>
  <c r="Y18" i="1"/>
  <c r="Y37" i="1"/>
  <c r="Y59" i="1"/>
  <c r="Y82" i="1"/>
  <c r="Y101" i="1"/>
  <c r="Y123" i="1"/>
  <c r="Y146" i="1"/>
  <c r="Y165" i="1"/>
  <c r="Y187" i="1"/>
  <c r="Y210" i="1"/>
  <c r="Y229" i="1"/>
  <c r="Y251" i="1"/>
  <c r="Y274" i="1"/>
  <c r="Y293" i="1"/>
  <c r="Y316" i="1"/>
  <c r="Y386" i="1"/>
  <c r="Y465" i="1"/>
  <c r="Y553" i="1"/>
  <c r="Y642" i="1"/>
  <c r="Y721" i="1"/>
  <c r="Y809" i="1"/>
  <c r="Y898" i="1"/>
  <c r="Y977" i="1"/>
  <c r="Y1065" i="1"/>
  <c r="Y1154" i="1"/>
  <c r="W3" i="1"/>
  <c r="W43" i="1"/>
  <c r="W83" i="1"/>
  <c r="W107" i="1"/>
  <c r="W131" i="1"/>
  <c r="W155" i="1"/>
  <c r="W179" i="1"/>
  <c r="W211" i="1"/>
  <c r="W251" i="1"/>
  <c r="W267" i="1"/>
  <c r="W291" i="1"/>
  <c r="W331" i="1"/>
  <c r="W347" i="1"/>
  <c r="W363" i="1"/>
  <c r="W379" i="1"/>
  <c r="W395" i="1"/>
  <c r="W430" i="1"/>
  <c r="W451" i="1"/>
  <c r="W476" i="1"/>
  <c r="W524" i="1"/>
  <c r="W572" i="1"/>
  <c r="W610" i="1"/>
  <c r="W652" i="1"/>
  <c r="W697" i="1"/>
  <c r="W738" i="1"/>
  <c r="W802" i="1"/>
  <c r="W889" i="1"/>
  <c r="W930" i="1"/>
  <c r="W994" i="1"/>
  <c r="W1036" i="1"/>
  <c r="W1081" i="1"/>
  <c r="W1145" i="1"/>
  <c r="Y19" i="1"/>
  <c r="Y61" i="1"/>
  <c r="Y106" i="1"/>
  <c r="Y189" i="1"/>
  <c r="Y234" i="1"/>
  <c r="Y298" i="1"/>
  <c r="Y393" i="1"/>
  <c r="Y649" i="1"/>
  <c r="Y905" i="1"/>
  <c r="Y1160" i="1"/>
  <c r="Y1152" i="1"/>
  <c r="Y1144" i="1"/>
  <c r="Y1136" i="1"/>
  <c r="Y1128" i="1"/>
  <c r="Y1120" i="1"/>
  <c r="Y1112" i="1"/>
  <c r="Y1104" i="1"/>
  <c r="Y1096" i="1"/>
  <c r="Y1088" i="1"/>
  <c r="Y1080" i="1"/>
  <c r="Y1072" i="1"/>
  <c r="Y1064" i="1"/>
  <c r="Y1056" i="1"/>
  <c r="Y1048" i="1"/>
  <c r="Y1040" i="1"/>
  <c r="Y1032" i="1"/>
  <c r="Y1024" i="1"/>
  <c r="Y1016" i="1"/>
  <c r="Y1008" i="1"/>
  <c r="Y1000" i="1"/>
  <c r="Y992" i="1"/>
  <c r="Y984" i="1"/>
  <c r="Y976" i="1"/>
  <c r="Y968" i="1"/>
  <c r="Y960" i="1"/>
  <c r="Y952" i="1"/>
  <c r="Y944" i="1"/>
  <c r="Y936" i="1"/>
  <c r="Y928" i="1"/>
  <c r="Y920" i="1"/>
  <c r="Y912" i="1"/>
  <c r="Y904" i="1"/>
  <c r="Y896" i="1"/>
  <c r="Y888" i="1"/>
  <c r="Y880" i="1"/>
  <c r="Y872" i="1"/>
  <c r="Y864" i="1"/>
  <c r="Y856" i="1"/>
  <c r="Y848" i="1"/>
  <c r="Y840" i="1"/>
  <c r="Y832" i="1"/>
  <c r="Y824" i="1"/>
  <c r="Y816" i="1"/>
  <c r="Y808" i="1"/>
  <c r="Y800" i="1"/>
  <c r="Y792" i="1"/>
  <c r="Y784" i="1"/>
  <c r="Y776" i="1"/>
  <c r="Y768" i="1"/>
  <c r="Y760" i="1"/>
  <c r="Y752" i="1"/>
  <c r="Y744" i="1"/>
  <c r="Y736" i="1"/>
  <c r="Y728" i="1"/>
  <c r="Y720" i="1"/>
  <c r="Y712" i="1"/>
  <c r="Y704" i="1"/>
  <c r="Y696" i="1"/>
  <c r="Y688" i="1"/>
  <c r="Y680" i="1"/>
  <c r="Y672" i="1"/>
  <c r="Y664" i="1"/>
  <c r="Y656" i="1"/>
  <c r="Y648" i="1"/>
  <c r="Y640" i="1"/>
  <c r="Y632" i="1"/>
  <c r="Y624" i="1"/>
  <c r="Y616" i="1"/>
  <c r="Y608" i="1"/>
  <c r="Y600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1167" i="1"/>
  <c r="Y1159" i="1"/>
  <c r="Y1151" i="1"/>
  <c r="Y1143" i="1"/>
  <c r="Y1135" i="1"/>
  <c r="Y1127" i="1"/>
  <c r="Y1119" i="1"/>
  <c r="Y1111" i="1"/>
  <c r="Y1103" i="1"/>
  <c r="Y1095" i="1"/>
  <c r="Y1087" i="1"/>
  <c r="Y1079" i="1"/>
  <c r="Y1071" i="1"/>
  <c r="Y1063" i="1"/>
  <c r="Y1055" i="1"/>
  <c r="Y1047" i="1"/>
  <c r="Y1039" i="1"/>
  <c r="Y1031" i="1"/>
  <c r="Y1023" i="1"/>
  <c r="Y1015" i="1"/>
  <c r="Y1007" i="1"/>
  <c r="Y999" i="1"/>
  <c r="Y991" i="1"/>
  <c r="Y983" i="1"/>
  <c r="Y975" i="1"/>
  <c r="Y967" i="1"/>
  <c r="Y959" i="1"/>
  <c r="Y951" i="1"/>
  <c r="Y943" i="1"/>
  <c r="Y935" i="1"/>
  <c r="Y927" i="1"/>
  <c r="Y919" i="1"/>
  <c r="Y911" i="1"/>
  <c r="Y903" i="1"/>
  <c r="Y895" i="1"/>
  <c r="Y887" i="1"/>
  <c r="Y879" i="1"/>
  <c r="Y871" i="1"/>
  <c r="Y863" i="1"/>
  <c r="Y855" i="1"/>
  <c r="Y847" i="1"/>
  <c r="Y839" i="1"/>
  <c r="Y831" i="1"/>
  <c r="Y823" i="1"/>
  <c r="Y815" i="1"/>
  <c r="Y807" i="1"/>
  <c r="Y799" i="1"/>
  <c r="Y791" i="1"/>
  <c r="Y783" i="1"/>
  <c r="Y775" i="1"/>
  <c r="Y767" i="1"/>
  <c r="Y759" i="1"/>
  <c r="Y751" i="1"/>
  <c r="Y743" i="1"/>
  <c r="Y735" i="1"/>
  <c r="Y727" i="1"/>
  <c r="Y719" i="1"/>
  <c r="Y711" i="1"/>
  <c r="Y703" i="1"/>
  <c r="Y695" i="1"/>
  <c r="Y687" i="1"/>
  <c r="Y679" i="1"/>
  <c r="Y671" i="1"/>
  <c r="Y663" i="1"/>
  <c r="Y655" i="1"/>
  <c r="Y647" i="1"/>
  <c r="Y639" i="1"/>
  <c r="Y631" i="1"/>
  <c r="Y623" i="1"/>
  <c r="Y615" i="1"/>
  <c r="Y607" i="1"/>
  <c r="Y599" i="1"/>
  <c r="Y591" i="1"/>
  <c r="Y583" i="1"/>
  <c r="Y575" i="1"/>
  <c r="Y567" i="1"/>
  <c r="Y559" i="1"/>
  <c r="Y551" i="1"/>
  <c r="Y543" i="1"/>
  <c r="Y535" i="1"/>
  <c r="Y527" i="1"/>
  <c r="Y519" i="1"/>
  <c r="Y511" i="1"/>
  <c r="Y503" i="1"/>
  <c r="Y495" i="1"/>
  <c r="Y487" i="1"/>
  <c r="Y479" i="1"/>
  <c r="Y471" i="1"/>
  <c r="Y463" i="1"/>
  <c r="Y455" i="1"/>
  <c r="Y447" i="1"/>
  <c r="Y439" i="1"/>
  <c r="Y431" i="1"/>
  <c r="Y423" i="1"/>
  <c r="Y415" i="1"/>
  <c r="Y407" i="1"/>
  <c r="Y399" i="1"/>
  <c r="Y391" i="1"/>
  <c r="Y383" i="1"/>
  <c r="Y375" i="1"/>
  <c r="Y367" i="1"/>
  <c r="Y359" i="1"/>
  <c r="Y351" i="1"/>
  <c r="Y343" i="1"/>
  <c r="Y335" i="1"/>
  <c r="Y327" i="1"/>
  <c r="Y319" i="1"/>
  <c r="Y1166" i="1"/>
  <c r="Y1158" i="1"/>
  <c r="Y1150" i="1"/>
  <c r="Y1142" i="1"/>
  <c r="Y1134" i="1"/>
  <c r="Y1126" i="1"/>
  <c r="Y1118" i="1"/>
  <c r="Y1110" i="1"/>
  <c r="Y1102" i="1"/>
  <c r="Y1094" i="1"/>
  <c r="Y1086" i="1"/>
  <c r="Y1078" i="1"/>
  <c r="Y1070" i="1"/>
  <c r="Y1062" i="1"/>
  <c r="Y1054" i="1"/>
  <c r="Y1046" i="1"/>
  <c r="Y1038" i="1"/>
  <c r="Y1030" i="1"/>
  <c r="Y1022" i="1"/>
  <c r="Y1014" i="1"/>
  <c r="Y1006" i="1"/>
  <c r="Y998" i="1"/>
  <c r="Y990" i="1"/>
  <c r="Y982" i="1"/>
  <c r="Y974" i="1"/>
  <c r="Y966" i="1"/>
  <c r="Y958" i="1"/>
  <c r="Y950" i="1"/>
  <c r="Y942" i="1"/>
  <c r="Y934" i="1"/>
  <c r="Y926" i="1"/>
  <c r="Y918" i="1"/>
  <c r="Y910" i="1"/>
  <c r="Y902" i="1"/>
  <c r="Y894" i="1"/>
  <c r="Y886" i="1"/>
  <c r="Y878" i="1"/>
  <c r="Y870" i="1"/>
  <c r="Y862" i="1"/>
  <c r="Y854" i="1"/>
  <c r="Y846" i="1"/>
  <c r="Y838" i="1"/>
  <c r="Y830" i="1"/>
  <c r="Y822" i="1"/>
  <c r="Y814" i="1"/>
  <c r="Y806" i="1"/>
  <c r="Y798" i="1"/>
  <c r="Y790" i="1"/>
  <c r="Y782" i="1"/>
  <c r="Y774" i="1"/>
  <c r="Y766" i="1"/>
  <c r="Y758" i="1"/>
  <c r="Y750" i="1"/>
  <c r="Y742" i="1"/>
  <c r="Y734" i="1"/>
  <c r="Y726" i="1"/>
  <c r="Y718" i="1"/>
  <c r="Y710" i="1"/>
  <c r="Y702" i="1"/>
  <c r="Y694" i="1"/>
  <c r="Y686" i="1"/>
  <c r="Y678" i="1"/>
  <c r="Y670" i="1"/>
  <c r="Y662" i="1"/>
  <c r="Y654" i="1"/>
  <c r="Y646" i="1"/>
  <c r="Y638" i="1"/>
  <c r="Y630" i="1"/>
  <c r="Y622" i="1"/>
  <c r="Y614" i="1"/>
  <c r="Y606" i="1"/>
  <c r="Y598" i="1"/>
  <c r="Y590" i="1"/>
  <c r="Y582" i="1"/>
  <c r="Y574" i="1"/>
  <c r="Y566" i="1"/>
  <c r="Y558" i="1"/>
  <c r="Y550" i="1"/>
  <c r="Y542" i="1"/>
  <c r="Y534" i="1"/>
  <c r="Y526" i="1"/>
  <c r="Y518" i="1"/>
  <c r="Y510" i="1"/>
  <c r="Y502" i="1"/>
  <c r="Y494" i="1"/>
  <c r="Y486" i="1"/>
  <c r="Y478" i="1"/>
  <c r="Y470" i="1"/>
  <c r="Y462" i="1"/>
  <c r="Y454" i="1"/>
  <c r="Y446" i="1"/>
  <c r="Y438" i="1"/>
  <c r="Y430" i="1"/>
  <c r="Y422" i="1"/>
  <c r="Y414" i="1"/>
  <c r="Y406" i="1"/>
  <c r="Y398" i="1"/>
  <c r="Y390" i="1"/>
  <c r="Y382" i="1"/>
  <c r="Y374" i="1"/>
  <c r="Y366" i="1"/>
  <c r="Y358" i="1"/>
  <c r="Y350" i="1"/>
  <c r="Y342" i="1"/>
  <c r="Y334" i="1"/>
  <c r="Y326" i="1"/>
  <c r="Y318" i="1"/>
  <c r="Y1165" i="1"/>
  <c r="Y1157" i="1"/>
  <c r="Y1149" i="1"/>
  <c r="Y1141" i="1"/>
  <c r="Y1133" i="1"/>
  <c r="Y1125" i="1"/>
  <c r="Y1117" i="1"/>
  <c r="Y1109" i="1"/>
  <c r="Y1101" i="1"/>
  <c r="Y1093" i="1"/>
  <c r="Y1085" i="1"/>
  <c r="Y1077" i="1"/>
  <c r="Y1069" i="1"/>
  <c r="Y1061" i="1"/>
  <c r="Y1053" i="1"/>
  <c r="Y1045" i="1"/>
  <c r="Y1037" i="1"/>
  <c r="Y1029" i="1"/>
  <c r="Y1021" i="1"/>
  <c r="Y1013" i="1"/>
  <c r="Y1005" i="1"/>
  <c r="Y997" i="1"/>
  <c r="Y989" i="1"/>
  <c r="Y981" i="1"/>
  <c r="Y973" i="1"/>
  <c r="Y965" i="1"/>
  <c r="Y957" i="1"/>
  <c r="Y949" i="1"/>
  <c r="Y941" i="1"/>
  <c r="Y933" i="1"/>
  <c r="Y925" i="1"/>
  <c r="Y917" i="1"/>
  <c r="Y909" i="1"/>
  <c r="Y901" i="1"/>
  <c r="Y893" i="1"/>
  <c r="Y885" i="1"/>
  <c r="Y877" i="1"/>
  <c r="Y869" i="1"/>
  <c r="Y861" i="1"/>
  <c r="Y853" i="1"/>
  <c r="Y845" i="1"/>
  <c r="Y837" i="1"/>
  <c r="Y829" i="1"/>
  <c r="Y821" i="1"/>
  <c r="Y813" i="1"/>
  <c r="Y805" i="1"/>
  <c r="Y797" i="1"/>
  <c r="Y789" i="1"/>
  <c r="Y781" i="1"/>
  <c r="Y773" i="1"/>
  <c r="Y765" i="1"/>
  <c r="Y757" i="1"/>
  <c r="Y749" i="1"/>
  <c r="Y741" i="1"/>
  <c r="Y733" i="1"/>
  <c r="Y725" i="1"/>
  <c r="Y717" i="1"/>
  <c r="Y709" i="1"/>
  <c r="Y701" i="1"/>
  <c r="Y693" i="1"/>
  <c r="Y685" i="1"/>
  <c r="Y677" i="1"/>
  <c r="Y669" i="1"/>
  <c r="Y661" i="1"/>
  <c r="Y653" i="1"/>
  <c r="Y645" i="1"/>
  <c r="Y637" i="1"/>
  <c r="Y629" i="1"/>
  <c r="Y621" i="1"/>
  <c r="Y613" i="1"/>
  <c r="Y605" i="1"/>
  <c r="Y597" i="1"/>
  <c r="Y589" i="1"/>
  <c r="Y581" i="1"/>
  <c r="Y573" i="1"/>
  <c r="Y565" i="1"/>
  <c r="Y557" i="1"/>
  <c r="Y549" i="1"/>
  <c r="Y541" i="1"/>
  <c r="Y533" i="1"/>
  <c r="Y525" i="1"/>
  <c r="Y517" i="1"/>
  <c r="Y509" i="1"/>
  <c r="Y501" i="1"/>
  <c r="Y493" i="1"/>
  <c r="Y485" i="1"/>
  <c r="Y477" i="1"/>
  <c r="Y469" i="1"/>
  <c r="Y461" i="1"/>
  <c r="Y453" i="1"/>
  <c r="Y445" i="1"/>
  <c r="Y437" i="1"/>
  <c r="Y429" i="1"/>
  <c r="Y421" i="1"/>
  <c r="Y413" i="1"/>
  <c r="Y405" i="1"/>
  <c r="Y397" i="1"/>
  <c r="Y389" i="1"/>
  <c r="Y381" i="1"/>
  <c r="Y373" i="1"/>
  <c r="Y365" i="1"/>
  <c r="Y357" i="1"/>
  <c r="Y349" i="1"/>
  <c r="Y341" i="1"/>
  <c r="Y1164" i="1"/>
  <c r="Y1156" i="1"/>
  <c r="Y1148" i="1"/>
  <c r="Y1140" i="1"/>
  <c r="Y1132" i="1"/>
  <c r="Y1124" i="1"/>
  <c r="Y1116" i="1"/>
  <c r="Y1108" i="1"/>
  <c r="Y1100" i="1"/>
  <c r="Y1092" i="1"/>
  <c r="Y1084" i="1"/>
  <c r="Y1076" i="1"/>
  <c r="Y1068" i="1"/>
  <c r="Y1060" i="1"/>
  <c r="Y1052" i="1"/>
  <c r="Y1044" i="1"/>
  <c r="Y1036" i="1"/>
  <c r="Y1028" i="1"/>
  <c r="Y1020" i="1"/>
  <c r="Y1012" i="1"/>
  <c r="Y1004" i="1"/>
  <c r="Y996" i="1"/>
  <c r="Y988" i="1"/>
  <c r="Y980" i="1"/>
  <c r="Y972" i="1"/>
  <c r="Y964" i="1"/>
  <c r="Y956" i="1"/>
  <c r="Y948" i="1"/>
  <c r="Y940" i="1"/>
  <c r="Y932" i="1"/>
  <c r="Y924" i="1"/>
  <c r="Y916" i="1"/>
  <c r="Y908" i="1"/>
  <c r="Y900" i="1"/>
  <c r="Y892" i="1"/>
  <c r="Y884" i="1"/>
  <c r="Y876" i="1"/>
  <c r="Y868" i="1"/>
  <c r="Y860" i="1"/>
  <c r="Y852" i="1"/>
  <c r="Y844" i="1"/>
  <c r="Y836" i="1"/>
  <c r="Y828" i="1"/>
  <c r="Y820" i="1"/>
  <c r="Y812" i="1"/>
  <c r="Y804" i="1"/>
  <c r="Y796" i="1"/>
  <c r="Y788" i="1"/>
  <c r="Y780" i="1"/>
  <c r="Y772" i="1"/>
  <c r="Y764" i="1"/>
  <c r="Y756" i="1"/>
  <c r="Y748" i="1"/>
  <c r="Y740" i="1"/>
  <c r="Y732" i="1"/>
  <c r="Y724" i="1"/>
  <c r="Y716" i="1"/>
  <c r="Y708" i="1"/>
  <c r="Y700" i="1"/>
  <c r="Y692" i="1"/>
  <c r="Y684" i="1"/>
  <c r="Y676" i="1"/>
  <c r="Y668" i="1"/>
  <c r="Y660" i="1"/>
  <c r="Y652" i="1"/>
  <c r="Y644" i="1"/>
  <c r="Y636" i="1"/>
  <c r="Y628" i="1"/>
  <c r="Y620" i="1"/>
  <c r="Y612" i="1"/>
  <c r="Y604" i="1"/>
  <c r="Y596" i="1"/>
  <c r="Y588" i="1"/>
  <c r="Y580" i="1"/>
  <c r="Y572" i="1"/>
  <c r="Y564" i="1"/>
  <c r="Y556" i="1"/>
  <c r="Y548" i="1"/>
  <c r="Y540" i="1"/>
  <c r="Y532" i="1"/>
  <c r="Y524" i="1"/>
  <c r="Y516" i="1"/>
  <c r="Y508" i="1"/>
  <c r="Y500" i="1"/>
  <c r="Y492" i="1"/>
  <c r="Y484" i="1"/>
  <c r="Y476" i="1"/>
  <c r="Y468" i="1"/>
  <c r="Y460" i="1"/>
  <c r="Y452" i="1"/>
  <c r="Y444" i="1"/>
  <c r="Y436" i="1"/>
  <c r="Y428" i="1"/>
  <c r="Y420" i="1"/>
  <c r="Y412" i="1"/>
  <c r="Y404" i="1"/>
  <c r="Y396" i="1"/>
  <c r="Y388" i="1"/>
  <c r="Y380" i="1"/>
  <c r="Y372" i="1"/>
  <c r="Y364" i="1"/>
  <c r="Y356" i="1"/>
  <c r="Y348" i="1"/>
  <c r="Y340" i="1"/>
  <c r="Y1163" i="1"/>
  <c r="Y1155" i="1"/>
  <c r="Y1147" i="1"/>
  <c r="Y1139" i="1"/>
  <c r="Y1131" i="1"/>
  <c r="Y1123" i="1"/>
  <c r="Y1115" i="1"/>
  <c r="Y1107" i="1"/>
  <c r="Y1099" i="1"/>
  <c r="Y1091" i="1"/>
  <c r="Y1083" i="1"/>
  <c r="Y1075" i="1"/>
  <c r="Y1067" i="1"/>
  <c r="Y1059" i="1"/>
  <c r="Y1051" i="1"/>
  <c r="Y1043" i="1"/>
  <c r="Y1035" i="1"/>
  <c r="Y1027" i="1"/>
  <c r="Y1019" i="1"/>
  <c r="Y1011" i="1"/>
  <c r="Y1003" i="1"/>
  <c r="Y995" i="1"/>
  <c r="Y987" i="1"/>
  <c r="Y979" i="1"/>
  <c r="Y971" i="1"/>
  <c r="Y963" i="1"/>
  <c r="Y955" i="1"/>
  <c r="Y947" i="1"/>
  <c r="Y939" i="1"/>
  <c r="Y931" i="1"/>
  <c r="Y923" i="1"/>
  <c r="Y915" i="1"/>
  <c r="Y907" i="1"/>
  <c r="Y899" i="1"/>
  <c r="Y891" i="1"/>
  <c r="Y883" i="1"/>
  <c r="Y875" i="1"/>
  <c r="Y867" i="1"/>
  <c r="Y859" i="1"/>
  <c r="Y851" i="1"/>
  <c r="Y843" i="1"/>
  <c r="Y835" i="1"/>
  <c r="Y827" i="1"/>
  <c r="Y819" i="1"/>
  <c r="Y811" i="1"/>
  <c r="Y803" i="1"/>
  <c r="Y795" i="1"/>
  <c r="Y787" i="1"/>
  <c r="Y779" i="1"/>
  <c r="Y771" i="1"/>
  <c r="Y763" i="1"/>
  <c r="Y755" i="1"/>
  <c r="Y747" i="1"/>
  <c r="Y739" i="1"/>
  <c r="Y731" i="1"/>
  <c r="Y723" i="1"/>
  <c r="Y715" i="1"/>
  <c r="Y707" i="1"/>
  <c r="Y699" i="1"/>
  <c r="Y691" i="1"/>
  <c r="Y683" i="1"/>
  <c r="Y675" i="1"/>
  <c r="Y667" i="1"/>
  <c r="Y659" i="1"/>
  <c r="Y651" i="1"/>
  <c r="Y643" i="1"/>
  <c r="Y635" i="1"/>
  <c r="Y627" i="1"/>
  <c r="Y619" i="1"/>
  <c r="Y611" i="1"/>
  <c r="Y603" i="1"/>
  <c r="Y595" i="1"/>
  <c r="Y587" i="1"/>
  <c r="Y579" i="1"/>
  <c r="Y571" i="1"/>
  <c r="Y563" i="1"/>
  <c r="Y555" i="1"/>
  <c r="Y547" i="1"/>
  <c r="Y539" i="1"/>
  <c r="Y531" i="1"/>
  <c r="Y523" i="1"/>
  <c r="Y515" i="1"/>
  <c r="Y507" i="1"/>
  <c r="Y499" i="1"/>
  <c r="Y491" i="1"/>
  <c r="Y483" i="1"/>
  <c r="Y475" i="1"/>
  <c r="Y467" i="1"/>
  <c r="Y459" i="1"/>
  <c r="Y451" i="1"/>
  <c r="Y443" i="1"/>
  <c r="Y435" i="1"/>
  <c r="Y427" i="1"/>
  <c r="Y419" i="1"/>
  <c r="Y411" i="1"/>
  <c r="Y403" i="1"/>
  <c r="Y395" i="1"/>
  <c r="Y387" i="1"/>
  <c r="Y379" i="1"/>
  <c r="Y371" i="1"/>
  <c r="Y363" i="1"/>
  <c r="Y355" i="1"/>
  <c r="Y347" i="1"/>
  <c r="Y339" i="1"/>
  <c r="Y331" i="1"/>
  <c r="Y323" i="1"/>
  <c r="Y1153" i="1"/>
  <c r="Y1121" i="1"/>
  <c r="Y1089" i="1"/>
  <c r="Y1057" i="1"/>
  <c r="Y1025" i="1"/>
  <c r="Y993" i="1"/>
  <c r="Y961" i="1"/>
  <c r="Y929" i="1"/>
  <c r="Y897" i="1"/>
  <c r="Y865" i="1"/>
  <c r="Y833" i="1"/>
  <c r="Y801" i="1"/>
  <c r="Y769" i="1"/>
  <c r="Y737" i="1"/>
  <c r="Y705" i="1"/>
  <c r="Y673" i="1"/>
  <c r="Y641" i="1"/>
  <c r="Y609" i="1"/>
  <c r="Y577" i="1"/>
  <c r="Y545" i="1"/>
  <c r="Y513" i="1"/>
  <c r="Y481" i="1"/>
  <c r="Y449" i="1"/>
  <c r="Y417" i="1"/>
  <c r="Y385" i="1"/>
  <c r="Y353" i="1"/>
  <c r="Y329" i="1"/>
  <c r="Y314" i="1"/>
  <c r="Y305" i="1"/>
  <c r="Y297" i="1"/>
  <c r="Y289" i="1"/>
  <c r="Y281" i="1"/>
  <c r="Y273" i="1"/>
  <c r="Y265" i="1"/>
  <c r="Y257" i="1"/>
  <c r="Y249" i="1"/>
  <c r="Y241" i="1"/>
  <c r="Y233" i="1"/>
  <c r="Y225" i="1"/>
  <c r="Y217" i="1"/>
  <c r="Y209" i="1"/>
  <c r="Y201" i="1"/>
  <c r="Y193" i="1"/>
  <c r="Y185" i="1"/>
  <c r="Y177" i="1"/>
  <c r="Y169" i="1"/>
  <c r="Y161" i="1"/>
  <c r="Y153" i="1"/>
  <c r="Y145" i="1"/>
  <c r="Y137" i="1"/>
  <c r="Y129" i="1"/>
  <c r="Y121" i="1"/>
  <c r="Y113" i="1"/>
  <c r="Y105" i="1"/>
  <c r="Y97" i="1"/>
  <c r="Y89" i="1"/>
  <c r="Y81" i="1"/>
  <c r="Y73" i="1"/>
  <c r="Y65" i="1"/>
  <c r="Y57" i="1"/>
  <c r="Y49" i="1"/>
  <c r="Y41" i="1"/>
  <c r="Y33" i="1"/>
  <c r="Y25" i="1"/>
  <c r="Y17" i="1"/>
  <c r="Y9" i="1"/>
  <c r="Y2" i="1"/>
  <c r="Y1146" i="1"/>
  <c r="Y1114" i="1"/>
  <c r="Y1082" i="1"/>
  <c r="Y1050" i="1"/>
  <c r="Y1018" i="1"/>
  <c r="Y986" i="1"/>
  <c r="Y954" i="1"/>
  <c r="Y922" i="1"/>
  <c r="Y890" i="1"/>
  <c r="Y858" i="1"/>
  <c r="Y826" i="1"/>
  <c r="Y794" i="1"/>
  <c r="Y762" i="1"/>
  <c r="Y730" i="1"/>
  <c r="Y698" i="1"/>
  <c r="Y666" i="1"/>
  <c r="Y634" i="1"/>
  <c r="Y602" i="1"/>
  <c r="Y570" i="1"/>
  <c r="Y538" i="1"/>
  <c r="Y506" i="1"/>
  <c r="Y474" i="1"/>
  <c r="Y442" i="1"/>
  <c r="Y410" i="1"/>
  <c r="Y378" i="1"/>
  <c r="Y346" i="1"/>
  <c r="Y325" i="1"/>
  <c r="Y313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Y1145" i="1"/>
  <c r="Y1113" i="1"/>
  <c r="Y1081" i="1"/>
  <c r="Y1049" i="1"/>
  <c r="Y1017" i="1"/>
  <c r="Y985" i="1"/>
  <c r="Y953" i="1"/>
  <c r="Y921" i="1"/>
  <c r="Y889" i="1"/>
  <c r="Y857" i="1"/>
  <c r="Y825" i="1"/>
  <c r="Y793" i="1"/>
  <c r="Y761" i="1"/>
  <c r="Y729" i="1"/>
  <c r="Y697" i="1"/>
  <c r="Y665" i="1"/>
  <c r="Y633" i="1"/>
  <c r="Y601" i="1"/>
  <c r="Y569" i="1"/>
  <c r="Y537" i="1"/>
  <c r="Y505" i="1"/>
  <c r="Y473" i="1"/>
  <c r="Y441" i="1"/>
  <c r="Y409" i="1"/>
  <c r="Y377" i="1"/>
  <c r="Y345" i="1"/>
  <c r="Y324" i="1"/>
  <c r="Y311" i="1"/>
  <c r="Y303" i="1"/>
  <c r="Y295" i="1"/>
  <c r="Y287" i="1"/>
  <c r="Y279" i="1"/>
  <c r="Y271" i="1"/>
  <c r="Y263" i="1"/>
  <c r="Y255" i="1"/>
  <c r="Y247" i="1"/>
  <c r="Y239" i="1"/>
  <c r="Y231" i="1"/>
  <c r="Y223" i="1"/>
  <c r="Y215" i="1"/>
  <c r="Y207" i="1"/>
  <c r="Y199" i="1"/>
  <c r="Y191" i="1"/>
  <c r="Y183" i="1"/>
  <c r="Y175" i="1"/>
  <c r="Y167" i="1"/>
  <c r="Y159" i="1"/>
  <c r="Y151" i="1"/>
  <c r="Y143" i="1"/>
  <c r="Y135" i="1"/>
  <c r="Y127" i="1"/>
  <c r="Y119" i="1"/>
  <c r="Y111" i="1"/>
  <c r="Y103" i="1"/>
  <c r="Y95" i="1"/>
  <c r="Y87" i="1"/>
  <c r="Y79" i="1"/>
  <c r="Y71" i="1"/>
  <c r="Y63" i="1"/>
  <c r="Y55" i="1"/>
  <c r="Y47" i="1"/>
  <c r="Y39" i="1"/>
  <c r="Y31" i="1"/>
  <c r="Y23" i="1"/>
  <c r="Y15" i="1"/>
  <c r="Y7" i="1"/>
  <c r="Y1138" i="1"/>
  <c r="Y1106" i="1"/>
  <c r="Y1074" i="1"/>
  <c r="Y1042" i="1"/>
  <c r="Y1010" i="1"/>
  <c r="Y978" i="1"/>
  <c r="Y946" i="1"/>
  <c r="Y914" i="1"/>
  <c r="Y882" i="1"/>
  <c r="Y850" i="1"/>
  <c r="Y818" i="1"/>
  <c r="Y786" i="1"/>
  <c r="Y754" i="1"/>
  <c r="Y722" i="1"/>
  <c r="Y690" i="1"/>
  <c r="Y658" i="1"/>
  <c r="Y626" i="1"/>
  <c r="Y594" i="1"/>
  <c r="Y562" i="1"/>
  <c r="Y530" i="1"/>
  <c r="Y498" i="1"/>
  <c r="Y466" i="1"/>
  <c r="Y434" i="1"/>
  <c r="Y402" i="1"/>
  <c r="Y370" i="1"/>
  <c r="Y338" i="1"/>
  <c r="Y322" i="1"/>
  <c r="Y310" i="1"/>
  <c r="Y302" i="1"/>
  <c r="Y294" i="1"/>
  <c r="Y286" i="1"/>
  <c r="Y278" i="1"/>
  <c r="Y270" i="1"/>
  <c r="Y262" i="1"/>
  <c r="Y254" i="1"/>
  <c r="Y246" i="1"/>
  <c r="Y238" i="1"/>
  <c r="Y230" i="1"/>
  <c r="Y222" i="1"/>
  <c r="Y214" i="1"/>
  <c r="Y206" i="1"/>
  <c r="Y198" i="1"/>
  <c r="Y190" i="1"/>
  <c r="Y182" i="1"/>
  <c r="Y174" i="1"/>
  <c r="Y166" i="1"/>
  <c r="Y158" i="1"/>
  <c r="Y150" i="1"/>
  <c r="Y142" i="1"/>
  <c r="Y134" i="1"/>
  <c r="Y126" i="1"/>
  <c r="Y118" i="1"/>
  <c r="Y110" i="1"/>
  <c r="Y102" i="1"/>
  <c r="Y94" i="1"/>
  <c r="Y86" i="1"/>
  <c r="Y78" i="1"/>
  <c r="Y70" i="1"/>
  <c r="Y62" i="1"/>
  <c r="Y54" i="1"/>
  <c r="Y46" i="1"/>
  <c r="Y38" i="1"/>
  <c r="Y30" i="1"/>
  <c r="Y22" i="1"/>
  <c r="Y14" i="1"/>
  <c r="Y6" i="1"/>
  <c r="Y1162" i="1"/>
  <c r="Y1130" i="1"/>
  <c r="Y1098" i="1"/>
  <c r="Y1066" i="1"/>
  <c r="Y1034" i="1"/>
  <c r="Y1002" i="1"/>
  <c r="Y970" i="1"/>
  <c r="Y938" i="1"/>
  <c r="Y906" i="1"/>
  <c r="Y874" i="1"/>
  <c r="Y842" i="1"/>
  <c r="Y810" i="1"/>
  <c r="Y778" i="1"/>
  <c r="Y746" i="1"/>
  <c r="Y714" i="1"/>
  <c r="Y682" i="1"/>
  <c r="Y650" i="1"/>
  <c r="Y618" i="1"/>
  <c r="Y586" i="1"/>
  <c r="Y554" i="1"/>
  <c r="Y522" i="1"/>
  <c r="Y490" i="1"/>
  <c r="Y458" i="1"/>
  <c r="Y426" i="1"/>
  <c r="Y394" i="1"/>
  <c r="Y362" i="1"/>
  <c r="Y333" i="1"/>
  <c r="Y317" i="1"/>
  <c r="Y308" i="1"/>
  <c r="Y300" i="1"/>
  <c r="Y292" i="1"/>
  <c r="Y284" i="1"/>
  <c r="Y276" i="1"/>
  <c r="Y268" i="1"/>
  <c r="Y260" i="1"/>
  <c r="Y252" i="1"/>
  <c r="Y244" i="1"/>
  <c r="Y236" i="1"/>
  <c r="Y228" i="1"/>
  <c r="Y220" i="1"/>
  <c r="Y212" i="1"/>
  <c r="Y204" i="1"/>
  <c r="Y196" i="1"/>
  <c r="Y188" i="1"/>
  <c r="Y180" i="1"/>
  <c r="Y172" i="1"/>
  <c r="Y164" i="1"/>
  <c r="Y156" i="1"/>
  <c r="Y148" i="1"/>
  <c r="Y140" i="1"/>
  <c r="Y132" i="1"/>
  <c r="Y124" i="1"/>
  <c r="Y116" i="1"/>
  <c r="Y108" i="1"/>
  <c r="Y100" i="1"/>
  <c r="Y92" i="1"/>
  <c r="Y84" i="1"/>
  <c r="Y76" i="1"/>
  <c r="Y68" i="1"/>
  <c r="Y60" i="1"/>
  <c r="Y52" i="1"/>
  <c r="Y44" i="1"/>
  <c r="Y36" i="1"/>
  <c r="Y28" i="1"/>
  <c r="Y20" i="1"/>
  <c r="Y12" i="1"/>
  <c r="Y4" i="1"/>
  <c r="Y21" i="1"/>
  <c r="Y43" i="1"/>
  <c r="Y66" i="1"/>
  <c r="Y85" i="1"/>
  <c r="Y107" i="1"/>
  <c r="Y130" i="1"/>
  <c r="Y149" i="1"/>
  <c r="Y171" i="1"/>
  <c r="Y194" i="1"/>
  <c r="Y213" i="1"/>
  <c r="Y235" i="1"/>
  <c r="Y258" i="1"/>
  <c r="Y277" i="1"/>
  <c r="Y299" i="1"/>
  <c r="Y330" i="1"/>
  <c r="Y401" i="1"/>
  <c r="Y489" i="1"/>
  <c r="Y578" i="1"/>
  <c r="Y657" i="1"/>
  <c r="Y745" i="1"/>
  <c r="Y834" i="1"/>
  <c r="Y913" i="1"/>
  <c r="Y1001" i="1"/>
  <c r="Y1090" i="1"/>
  <c r="W11" i="1"/>
  <c r="W51" i="1"/>
  <c r="W99" i="1"/>
  <c r="W147" i="1"/>
  <c r="W227" i="1"/>
  <c r="W323" i="1"/>
  <c r="W508" i="1"/>
  <c r="W953" i="1"/>
  <c r="Y482" i="1"/>
  <c r="W20" i="1"/>
  <c r="W44" i="1"/>
  <c r="W68" i="1"/>
  <c r="W92" i="1"/>
  <c r="W116" i="1"/>
  <c r="W148" i="1"/>
  <c r="W180" i="1"/>
  <c r="W212" i="1"/>
  <c r="W244" i="1"/>
  <c r="W260" i="1"/>
  <c r="W284" i="1"/>
  <c r="W300" i="1"/>
  <c r="W324" i="1"/>
  <c r="W356" i="1"/>
  <c r="W380" i="1"/>
  <c r="W396" i="1"/>
  <c r="W431" i="1"/>
  <c r="W452" i="1"/>
  <c r="W481" i="1"/>
  <c r="W513" i="1"/>
  <c r="W545" i="1"/>
  <c r="W577" i="1"/>
  <c r="W593" i="1"/>
  <c r="W634" i="1"/>
  <c r="W657" i="1"/>
  <c r="W676" i="1"/>
  <c r="W721" i="1"/>
  <c r="W762" i="1"/>
  <c r="W785" i="1"/>
  <c r="W804" i="1"/>
  <c r="W826" i="1"/>
  <c r="W849" i="1"/>
  <c r="W868" i="1"/>
  <c r="W890" i="1"/>
  <c r="W913" i="1"/>
  <c r="W932" i="1"/>
  <c r="W954" i="1"/>
  <c r="W977" i="1"/>
  <c r="W996" i="1"/>
  <c r="W1018" i="1"/>
  <c r="W1041" i="1"/>
  <c r="W1060" i="1"/>
  <c r="W1082" i="1"/>
  <c r="W1146" i="1"/>
  <c r="W5" i="1"/>
  <c r="W13" i="1"/>
  <c r="W21" i="1"/>
  <c r="W29" i="1"/>
  <c r="W37" i="1"/>
  <c r="W45" i="1"/>
  <c r="W53" i="1"/>
  <c r="W61" i="1"/>
  <c r="W69" i="1"/>
  <c r="W77" i="1"/>
  <c r="W85" i="1"/>
  <c r="W93" i="1"/>
  <c r="W101" i="1"/>
  <c r="W109" i="1"/>
  <c r="W117" i="1"/>
  <c r="W125" i="1"/>
  <c r="W133" i="1"/>
  <c r="W141" i="1"/>
  <c r="W149" i="1"/>
  <c r="W157" i="1"/>
  <c r="W165" i="1"/>
  <c r="W173" i="1"/>
  <c r="W181" i="1"/>
  <c r="W189" i="1"/>
  <c r="W197" i="1"/>
  <c r="W205" i="1"/>
  <c r="W213" i="1"/>
  <c r="W221" i="1"/>
  <c r="W229" i="1"/>
  <c r="W237" i="1"/>
  <c r="W245" i="1"/>
  <c r="W253" i="1"/>
  <c r="W261" i="1"/>
  <c r="W269" i="1"/>
  <c r="W277" i="1"/>
  <c r="W285" i="1"/>
  <c r="W293" i="1"/>
  <c r="W301" i="1"/>
  <c r="W309" i="1"/>
  <c r="W317" i="1"/>
  <c r="W325" i="1"/>
  <c r="W333" i="1"/>
  <c r="W341" i="1"/>
  <c r="W349" i="1"/>
  <c r="W357" i="1"/>
  <c r="W365" i="1"/>
  <c r="W373" i="1"/>
  <c r="W381" i="1"/>
  <c r="W389" i="1"/>
  <c r="W397" i="1"/>
  <c r="W405" i="1"/>
  <c r="W413" i="1"/>
  <c r="W422" i="1"/>
  <c r="W433" i="1"/>
  <c r="W443" i="1"/>
  <c r="W454" i="1"/>
  <c r="W466" i="1"/>
  <c r="W482" i="1"/>
  <c r="W498" i="1"/>
  <c r="W514" i="1"/>
  <c r="W530" i="1"/>
  <c r="W546" i="1"/>
  <c r="W562" i="1"/>
  <c r="W578" i="1"/>
  <c r="W594" i="1"/>
  <c r="W617" i="1"/>
  <c r="W636" i="1"/>
  <c r="W658" i="1"/>
  <c r="W681" i="1"/>
  <c r="W700" i="1"/>
  <c r="W722" i="1"/>
  <c r="W745" i="1"/>
  <c r="W764" i="1"/>
  <c r="W786" i="1"/>
  <c r="W809" i="1"/>
  <c r="W828" i="1"/>
  <c r="W850" i="1"/>
  <c r="W873" i="1"/>
  <c r="W892" i="1"/>
  <c r="W914" i="1"/>
  <c r="W937" i="1"/>
  <c r="W956" i="1"/>
  <c r="W978" i="1"/>
  <c r="W1001" i="1"/>
  <c r="W1020" i="1"/>
  <c r="W1042" i="1"/>
  <c r="W1065" i="1"/>
  <c r="W1084" i="1"/>
  <c r="W1106" i="1"/>
  <c r="W1129" i="1"/>
  <c r="W1148" i="1"/>
  <c r="Y3" i="1"/>
  <c r="Y26" i="1"/>
  <c r="Y45" i="1"/>
  <c r="Y67" i="1"/>
  <c r="Y90" i="1"/>
  <c r="Y109" i="1"/>
  <c r="Y131" i="1"/>
  <c r="Y154" i="1"/>
  <c r="Y173" i="1"/>
  <c r="Y195" i="1"/>
  <c r="Y218" i="1"/>
  <c r="Y237" i="1"/>
  <c r="Y259" i="1"/>
  <c r="Y282" i="1"/>
  <c r="Y301" i="1"/>
  <c r="Y332" i="1"/>
  <c r="Y418" i="1"/>
  <c r="Y497" i="1"/>
  <c r="Y585" i="1"/>
  <c r="Y674" i="1"/>
  <c r="Y753" i="1"/>
  <c r="Y841" i="1"/>
  <c r="Y930" i="1"/>
  <c r="Y1009" i="1"/>
  <c r="Y1097" i="1"/>
  <c r="W67" i="1"/>
  <c r="W235" i="1"/>
  <c r="W411" i="1"/>
  <c r="W844" i="1"/>
  <c r="Y275" i="1"/>
  <c r="W12" i="1"/>
  <c r="W36" i="1"/>
  <c r="W60" i="1"/>
  <c r="W84" i="1"/>
  <c r="W108" i="1"/>
  <c r="W132" i="1"/>
  <c r="W156" i="1"/>
  <c r="W172" i="1"/>
  <c r="W196" i="1"/>
  <c r="W220" i="1"/>
  <c r="W236" i="1"/>
  <c r="W252" i="1"/>
  <c r="W276" i="1"/>
  <c r="W292" i="1"/>
  <c r="W316" i="1"/>
  <c r="W332" i="1"/>
  <c r="W340" i="1"/>
  <c r="W348" i="1"/>
  <c r="W364" i="1"/>
  <c r="W372" i="1"/>
  <c r="W388" i="1"/>
  <c r="W404" i="1"/>
  <c r="W420" i="1"/>
  <c r="W442" i="1"/>
  <c r="W465" i="1"/>
  <c r="W497" i="1"/>
  <c r="W529" i="1"/>
  <c r="W561" i="1"/>
  <c r="W612" i="1"/>
  <c r="W740" i="1"/>
  <c r="W1124" i="1"/>
  <c r="W6" i="1"/>
  <c r="W14" i="1"/>
  <c r="W22" i="1"/>
  <c r="W30" i="1"/>
  <c r="W38" i="1"/>
  <c r="W46" i="1"/>
  <c r="W54" i="1"/>
  <c r="W62" i="1"/>
  <c r="W70" i="1"/>
  <c r="W78" i="1"/>
  <c r="W86" i="1"/>
  <c r="W94" i="1"/>
  <c r="W102" i="1"/>
  <c r="W110" i="1"/>
  <c r="W118" i="1"/>
  <c r="W126" i="1"/>
  <c r="W134" i="1"/>
  <c r="W142" i="1"/>
  <c r="W150" i="1"/>
  <c r="W158" i="1"/>
  <c r="W166" i="1"/>
  <c r="W174" i="1"/>
  <c r="W182" i="1"/>
  <c r="W190" i="1"/>
  <c r="W198" i="1"/>
  <c r="W206" i="1"/>
  <c r="W214" i="1"/>
  <c r="W222" i="1"/>
  <c r="W230" i="1"/>
  <c r="W238" i="1"/>
  <c r="W246" i="1"/>
  <c r="W254" i="1"/>
  <c r="W262" i="1"/>
  <c r="W270" i="1"/>
  <c r="W278" i="1"/>
  <c r="W286" i="1"/>
  <c r="W294" i="1"/>
  <c r="W302" i="1"/>
  <c r="W310" i="1"/>
  <c r="W318" i="1"/>
  <c r="W326" i="1"/>
  <c r="W334" i="1"/>
  <c r="W342" i="1"/>
  <c r="W350" i="1"/>
  <c r="W358" i="1"/>
  <c r="W366" i="1"/>
  <c r="W374" i="1"/>
  <c r="W382" i="1"/>
  <c r="W390" i="1"/>
  <c r="W398" i="1"/>
  <c r="W406" i="1"/>
  <c r="W414" i="1"/>
  <c r="W423" i="1"/>
  <c r="W434" i="1"/>
  <c r="W444" i="1"/>
  <c r="W455" i="1"/>
  <c r="W467" i="1"/>
  <c r="W483" i="1"/>
  <c r="W499" i="1"/>
  <c r="W515" i="1"/>
  <c r="W531" i="1"/>
  <c r="W547" i="1"/>
  <c r="W563" i="1"/>
  <c r="W579" i="1"/>
  <c r="W596" i="1"/>
  <c r="W618" i="1"/>
  <c r="W641" i="1"/>
  <c r="W660" i="1"/>
  <c r="W682" i="1"/>
  <c r="W705" i="1"/>
  <c r="W724" i="1"/>
  <c r="W746" i="1"/>
  <c r="W769" i="1"/>
  <c r="W788" i="1"/>
  <c r="W810" i="1"/>
  <c r="W833" i="1"/>
  <c r="W852" i="1"/>
  <c r="W874" i="1"/>
  <c r="W897" i="1"/>
  <c r="W916" i="1"/>
  <c r="W938" i="1"/>
  <c r="W961" i="1"/>
  <c r="W980" i="1"/>
  <c r="W1002" i="1"/>
  <c r="W1025" i="1"/>
  <c r="W1044" i="1"/>
  <c r="W1066" i="1"/>
  <c r="W1089" i="1"/>
  <c r="W1108" i="1"/>
  <c r="W1130" i="1"/>
  <c r="W1153" i="1"/>
  <c r="Y5" i="1"/>
  <c r="Y27" i="1"/>
  <c r="Y50" i="1"/>
  <c r="Y69" i="1"/>
  <c r="Y91" i="1"/>
  <c r="Y114" i="1"/>
  <c r="Y133" i="1"/>
  <c r="Y155" i="1"/>
  <c r="Y178" i="1"/>
  <c r="Y197" i="1"/>
  <c r="Y219" i="1"/>
  <c r="Y242" i="1"/>
  <c r="Y261" i="1"/>
  <c r="Y283" i="1"/>
  <c r="Y306" i="1"/>
  <c r="Y337" i="1"/>
  <c r="Y425" i="1"/>
  <c r="Y514" i="1"/>
  <c r="Y593" i="1"/>
  <c r="Y681" i="1"/>
  <c r="Y770" i="1"/>
  <c r="Y849" i="1"/>
  <c r="Y937" i="1"/>
  <c r="Y1026" i="1"/>
  <c r="Y1105" i="1"/>
  <c r="W35" i="1"/>
  <c r="W171" i="1"/>
  <c r="W307" i="1"/>
  <c r="W556" i="1"/>
  <c r="W1122" i="1"/>
  <c r="Y817" i="1"/>
  <c r="W4" i="1"/>
  <c r="W28" i="1"/>
  <c r="W52" i="1"/>
  <c r="W76" i="1"/>
  <c r="W100" i="1"/>
  <c r="W124" i="1"/>
  <c r="W140" i="1"/>
  <c r="W164" i="1"/>
  <c r="W188" i="1"/>
  <c r="W204" i="1"/>
  <c r="W228" i="1"/>
  <c r="W268" i="1"/>
  <c r="W308" i="1"/>
  <c r="W412" i="1"/>
  <c r="W1105" i="1"/>
  <c r="W7" i="1"/>
  <c r="W15" i="1"/>
  <c r="W23" i="1"/>
  <c r="W31" i="1"/>
  <c r="W39" i="1"/>
  <c r="W47" i="1"/>
  <c r="W55" i="1"/>
  <c r="W63" i="1"/>
  <c r="W71" i="1"/>
  <c r="W79" i="1"/>
  <c r="W87" i="1"/>
  <c r="W95" i="1"/>
  <c r="W103" i="1"/>
  <c r="W111" i="1"/>
  <c r="W119" i="1"/>
  <c r="W127" i="1"/>
  <c r="W135" i="1"/>
  <c r="W143" i="1"/>
  <c r="W151" i="1"/>
  <c r="W159" i="1"/>
  <c r="W167" i="1"/>
  <c r="W175" i="1"/>
  <c r="W183" i="1"/>
  <c r="W191" i="1"/>
  <c r="W199" i="1"/>
  <c r="W207" i="1"/>
  <c r="W215" i="1"/>
  <c r="W223" i="1"/>
  <c r="W231" i="1"/>
  <c r="W239" i="1"/>
  <c r="W247" i="1"/>
  <c r="W255" i="1"/>
  <c r="W263" i="1"/>
  <c r="W271" i="1"/>
  <c r="W279" i="1"/>
  <c r="W287" i="1"/>
  <c r="W295" i="1"/>
  <c r="W303" i="1"/>
  <c r="W311" i="1"/>
  <c r="W319" i="1"/>
  <c r="W327" i="1"/>
  <c r="W335" i="1"/>
  <c r="W343" i="1"/>
  <c r="W351" i="1"/>
  <c r="W359" i="1"/>
  <c r="W367" i="1"/>
  <c r="W375" i="1"/>
  <c r="W383" i="1"/>
  <c r="W391" i="1"/>
  <c r="W399" i="1"/>
  <c r="W407" i="1"/>
  <c r="W415" i="1"/>
  <c r="W425" i="1"/>
  <c r="W435" i="1"/>
  <c r="W446" i="1"/>
  <c r="W457" i="1"/>
  <c r="W468" i="1"/>
  <c r="W484" i="1"/>
  <c r="W500" i="1"/>
  <c r="W516" i="1"/>
  <c r="W532" i="1"/>
  <c r="W548" i="1"/>
  <c r="W564" i="1"/>
  <c r="W580" i="1"/>
  <c r="W601" i="1"/>
  <c r="W620" i="1"/>
  <c r="W642" i="1"/>
  <c r="W665" i="1"/>
  <c r="W684" i="1"/>
  <c r="W706" i="1"/>
  <c r="W729" i="1"/>
  <c r="W748" i="1"/>
  <c r="W770" i="1"/>
  <c r="W793" i="1"/>
  <c r="W812" i="1"/>
  <c r="W834" i="1"/>
  <c r="W857" i="1"/>
  <c r="W876" i="1"/>
  <c r="W898" i="1"/>
  <c r="W921" i="1"/>
  <c r="W940" i="1"/>
  <c r="W962" i="1"/>
  <c r="W985" i="1"/>
  <c r="W1004" i="1"/>
  <c r="W1026" i="1"/>
  <c r="W1049" i="1"/>
  <c r="W1068" i="1"/>
  <c r="W1090" i="1"/>
  <c r="W1113" i="1"/>
  <c r="W1132" i="1"/>
  <c r="W1154" i="1"/>
  <c r="Y10" i="1"/>
  <c r="Y29" i="1"/>
  <c r="Y51" i="1"/>
  <c r="Y74" i="1"/>
  <c r="Y93" i="1"/>
  <c r="Y115" i="1"/>
  <c r="Y138" i="1"/>
  <c r="Y157" i="1"/>
  <c r="Y179" i="1"/>
  <c r="Y202" i="1"/>
  <c r="Y221" i="1"/>
  <c r="Y243" i="1"/>
  <c r="Y266" i="1"/>
  <c r="Y285" i="1"/>
  <c r="Y307" i="1"/>
  <c r="Y354" i="1"/>
  <c r="Y433" i="1"/>
  <c r="Y521" i="1"/>
  <c r="Y610" i="1"/>
  <c r="Y689" i="1"/>
  <c r="Y777" i="1"/>
  <c r="Y866" i="1"/>
  <c r="Y945" i="1"/>
  <c r="Y1033" i="1"/>
  <c r="Y1122" i="1"/>
  <c r="W19" i="1"/>
  <c r="W59" i="1"/>
  <c r="W91" i="1"/>
  <c r="W115" i="1"/>
  <c r="W139" i="1"/>
  <c r="W163" i="1"/>
  <c r="W187" i="1"/>
  <c r="W203" i="1"/>
  <c r="W219" i="1"/>
  <c r="W243" i="1"/>
  <c r="W259" i="1"/>
  <c r="W275" i="1"/>
  <c r="W299" i="1"/>
  <c r="W315" i="1"/>
  <c r="W339" i="1"/>
  <c r="W355" i="1"/>
  <c r="W371" i="1"/>
  <c r="W387" i="1"/>
  <c r="W403" i="1"/>
  <c r="W441" i="1"/>
  <c r="W463" i="1"/>
  <c r="W492" i="1"/>
  <c r="W540" i="1"/>
  <c r="W588" i="1"/>
  <c r="W633" i="1"/>
  <c r="W674" i="1"/>
  <c r="W716" i="1"/>
  <c r="W780" i="1"/>
  <c r="W825" i="1"/>
  <c r="W866" i="1"/>
  <c r="W908" i="1"/>
  <c r="W972" i="1"/>
  <c r="W1017" i="1"/>
  <c r="W1058" i="1"/>
  <c r="W1100" i="1"/>
  <c r="W1164" i="1"/>
  <c r="Y42" i="1"/>
  <c r="Y83" i="1"/>
  <c r="Y125" i="1"/>
  <c r="Y170" i="1"/>
  <c r="Y211" i="1"/>
  <c r="Y253" i="1"/>
  <c r="Y321" i="1"/>
  <c r="Y561" i="1"/>
  <c r="Y738" i="1"/>
  <c r="Y994" i="1"/>
  <c r="Y1073" i="1"/>
  <c r="W8" i="1"/>
  <c r="W16" i="1"/>
  <c r="W24" i="1"/>
  <c r="W32" i="1"/>
  <c r="W40" i="1"/>
  <c r="W48" i="1"/>
  <c r="W56" i="1"/>
  <c r="W64" i="1"/>
  <c r="W72" i="1"/>
  <c r="W80" i="1"/>
  <c r="W88" i="1"/>
  <c r="W96" i="1"/>
  <c r="W104" i="1"/>
  <c r="W112" i="1"/>
  <c r="W120" i="1"/>
  <c r="W128" i="1"/>
  <c r="W136" i="1"/>
  <c r="W144" i="1"/>
  <c r="W152" i="1"/>
  <c r="W160" i="1"/>
  <c r="W168" i="1"/>
  <c r="W176" i="1"/>
  <c r="W184" i="1"/>
  <c r="W192" i="1"/>
  <c r="W200" i="1"/>
  <c r="W208" i="1"/>
  <c r="W216" i="1"/>
  <c r="W224" i="1"/>
  <c r="W232" i="1"/>
  <c r="W240" i="1"/>
  <c r="W248" i="1"/>
  <c r="W256" i="1"/>
  <c r="W264" i="1"/>
  <c r="W272" i="1"/>
  <c r="W280" i="1"/>
  <c r="W288" i="1"/>
  <c r="W296" i="1"/>
  <c r="W304" i="1"/>
  <c r="W312" i="1"/>
  <c r="W320" i="1"/>
  <c r="W328" i="1"/>
  <c r="W336" i="1"/>
  <c r="W344" i="1"/>
  <c r="W352" i="1"/>
  <c r="W360" i="1"/>
  <c r="W368" i="1"/>
  <c r="W376" i="1"/>
  <c r="W384" i="1"/>
  <c r="W392" i="1"/>
  <c r="W400" i="1"/>
  <c r="W408" i="1"/>
  <c r="W416" i="1"/>
  <c r="W426" i="1"/>
  <c r="W436" i="1"/>
  <c r="W447" i="1"/>
  <c r="W458" i="1"/>
  <c r="W473" i="1"/>
  <c r="W489" i="1"/>
  <c r="W505" i="1"/>
  <c r="W521" i="1"/>
  <c r="W537" i="1"/>
  <c r="W553" i="1"/>
  <c r="W569" i="1"/>
  <c r="W585" i="1"/>
  <c r="W602" i="1"/>
  <c r="W625" i="1"/>
  <c r="W644" i="1"/>
  <c r="W666" i="1"/>
  <c r="W689" i="1"/>
  <c r="W708" i="1"/>
  <c r="W730" i="1"/>
  <c r="W753" i="1"/>
  <c r="W772" i="1"/>
  <c r="W794" i="1"/>
  <c r="W817" i="1"/>
  <c r="W836" i="1"/>
  <c r="W858" i="1"/>
  <c r="W881" i="1"/>
  <c r="W900" i="1"/>
  <c r="W922" i="1"/>
  <c r="W945" i="1"/>
  <c r="W964" i="1"/>
  <c r="W986" i="1"/>
  <c r="W1009" i="1"/>
  <c r="W1028" i="1"/>
  <c r="W1050" i="1"/>
  <c r="W1073" i="1"/>
  <c r="W1092" i="1"/>
  <c r="W1114" i="1"/>
  <c r="W1137" i="1"/>
  <c r="W1156" i="1"/>
  <c r="Y11" i="1"/>
  <c r="Y34" i="1"/>
  <c r="Y53" i="1"/>
  <c r="Y75" i="1"/>
  <c r="Y98" i="1"/>
  <c r="Y117" i="1"/>
  <c r="Y139" i="1"/>
  <c r="Y162" i="1"/>
  <c r="Y181" i="1"/>
  <c r="Y203" i="1"/>
  <c r="Y226" i="1"/>
  <c r="Y245" i="1"/>
  <c r="Y267" i="1"/>
  <c r="Y290" i="1"/>
  <c r="Y309" i="1"/>
  <c r="Y361" i="1"/>
  <c r="Y450" i="1"/>
  <c r="Y529" i="1"/>
  <c r="Y617" i="1"/>
  <c r="Y706" i="1"/>
  <c r="Y785" i="1"/>
  <c r="Y873" i="1"/>
  <c r="Y962" i="1"/>
  <c r="Y1041" i="1"/>
  <c r="Y1129" i="1"/>
  <c r="W27" i="1"/>
  <c r="W75" i="1"/>
  <c r="W123" i="1"/>
  <c r="W195" i="1"/>
  <c r="W283" i="1"/>
  <c r="W419" i="1"/>
  <c r="W761" i="1"/>
  <c r="Y147" i="1"/>
  <c r="W698" i="1"/>
  <c r="W2" i="1"/>
  <c r="W9" i="1"/>
  <c r="W17" i="1"/>
  <c r="W25" i="1"/>
  <c r="W33" i="1"/>
  <c r="W41" i="1"/>
  <c r="W49" i="1"/>
  <c r="W57" i="1"/>
  <c r="W65" i="1"/>
  <c r="W73" i="1"/>
  <c r="W81" i="1"/>
  <c r="W89" i="1"/>
  <c r="W97" i="1"/>
  <c r="W105" i="1"/>
  <c r="W113" i="1"/>
  <c r="W121" i="1"/>
  <c r="W129" i="1"/>
  <c r="W137" i="1"/>
  <c r="W145" i="1"/>
  <c r="W153" i="1"/>
  <c r="W161" i="1"/>
  <c r="W169" i="1"/>
  <c r="W177" i="1"/>
  <c r="W185" i="1"/>
  <c r="W193" i="1"/>
  <c r="W201" i="1"/>
  <c r="W209" i="1"/>
  <c r="W217" i="1"/>
  <c r="W225" i="1"/>
  <c r="W233" i="1"/>
  <c r="W241" i="1"/>
  <c r="W249" i="1"/>
  <c r="W257" i="1"/>
  <c r="W265" i="1"/>
  <c r="W273" i="1"/>
  <c r="W281" i="1"/>
  <c r="W289" i="1"/>
  <c r="W297" i="1"/>
  <c r="W305" i="1"/>
  <c r="W313" i="1"/>
  <c r="W321" i="1"/>
  <c r="W329" i="1"/>
  <c r="W337" i="1"/>
  <c r="W345" i="1"/>
  <c r="W353" i="1"/>
  <c r="W361" i="1"/>
  <c r="W369" i="1"/>
  <c r="W377" i="1"/>
  <c r="W385" i="1"/>
  <c r="W393" i="1"/>
  <c r="W401" i="1"/>
  <c r="W409" i="1"/>
  <c r="W417" i="1"/>
  <c r="W427" i="1"/>
  <c r="W438" i="1"/>
  <c r="W449" i="1"/>
  <c r="W459" i="1"/>
  <c r="W474" i="1"/>
  <c r="W490" i="1"/>
  <c r="W506" i="1"/>
  <c r="W522" i="1"/>
  <c r="W538" i="1"/>
  <c r="W554" i="1"/>
  <c r="W570" i="1"/>
  <c r="W586" i="1"/>
  <c r="W604" i="1"/>
  <c r="W626" i="1"/>
  <c r="W649" i="1"/>
  <c r="W668" i="1"/>
  <c r="W690" i="1"/>
  <c r="W713" i="1"/>
  <c r="W732" i="1"/>
  <c r="W754" i="1"/>
  <c r="W777" i="1"/>
  <c r="W796" i="1"/>
  <c r="W818" i="1"/>
  <c r="W841" i="1"/>
  <c r="W860" i="1"/>
  <c r="W882" i="1"/>
  <c r="W905" i="1"/>
  <c r="W924" i="1"/>
  <c r="W946" i="1"/>
  <c r="W969" i="1"/>
  <c r="W988" i="1"/>
  <c r="W1010" i="1"/>
  <c r="W1033" i="1"/>
  <c r="W1052" i="1"/>
  <c r="W1074" i="1"/>
  <c r="W1097" i="1"/>
  <c r="W1116" i="1"/>
  <c r="W1138" i="1"/>
  <c r="W1161" i="1"/>
  <c r="Y13" i="1"/>
  <c r="Y35" i="1"/>
  <c r="Y58" i="1"/>
  <c r="Y77" i="1"/>
  <c r="Y99" i="1"/>
  <c r="Y122" i="1"/>
  <c r="Y141" i="1"/>
  <c r="Y163" i="1"/>
  <c r="Y186" i="1"/>
  <c r="Y205" i="1"/>
  <c r="Y227" i="1"/>
  <c r="Y250" i="1"/>
  <c r="Y269" i="1"/>
  <c r="Y291" i="1"/>
  <c r="Y315" i="1"/>
  <c r="Y369" i="1"/>
  <c r="Y457" i="1"/>
  <c r="Y546" i="1"/>
  <c r="Y625" i="1"/>
  <c r="Y713" i="1"/>
  <c r="Y802" i="1"/>
  <c r="Y881" i="1"/>
  <c r="Y969" i="1"/>
  <c r="Y1058" i="1"/>
  <c r="Y1137" i="1"/>
  <c r="AB27" i="1"/>
  <c r="AB59" i="1"/>
  <c r="AB91" i="1"/>
  <c r="AB123" i="1"/>
  <c r="AB155" i="1"/>
  <c r="AB187" i="1"/>
  <c r="AB219" i="1"/>
  <c r="AB251" i="1"/>
  <c r="AB283" i="1"/>
  <c r="AB393" i="1"/>
  <c r="AB521" i="1"/>
  <c r="AB649" i="1"/>
  <c r="AB777" i="1"/>
  <c r="AB905" i="1"/>
  <c r="AB1033" i="1"/>
  <c r="AB1160" i="1"/>
  <c r="AB1152" i="1"/>
  <c r="AB1144" i="1"/>
  <c r="AB1136" i="1"/>
  <c r="AB1128" i="1"/>
  <c r="AB1120" i="1"/>
  <c r="AB1112" i="1"/>
  <c r="AB1104" i="1"/>
  <c r="AB1096" i="1"/>
  <c r="AB1088" i="1"/>
  <c r="AB1080" i="1"/>
  <c r="AB1072" i="1"/>
  <c r="AB1064" i="1"/>
  <c r="AB1056" i="1"/>
  <c r="AB1048" i="1"/>
  <c r="AB1040" i="1"/>
  <c r="AB1032" i="1"/>
  <c r="AB1024" i="1"/>
  <c r="AB1016" i="1"/>
  <c r="AB1008" i="1"/>
  <c r="AB1000" i="1"/>
  <c r="AB992" i="1"/>
  <c r="AB984" i="1"/>
  <c r="AB976" i="1"/>
  <c r="AB968" i="1"/>
  <c r="AB960" i="1"/>
  <c r="AB952" i="1"/>
  <c r="AB944" i="1"/>
  <c r="AB936" i="1"/>
  <c r="AB928" i="1"/>
  <c r="AB920" i="1"/>
  <c r="AB912" i="1"/>
  <c r="AB904" i="1"/>
  <c r="AB896" i="1"/>
  <c r="AB888" i="1"/>
  <c r="AB880" i="1"/>
  <c r="AB872" i="1"/>
  <c r="AB864" i="1"/>
  <c r="AB856" i="1"/>
  <c r="AB848" i="1"/>
  <c r="AB840" i="1"/>
  <c r="AB832" i="1"/>
  <c r="AB824" i="1"/>
  <c r="AB816" i="1"/>
  <c r="AB808" i="1"/>
  <c r="AB800" i="1"/>
  <c r="AB792" i="1"/>
  <c r="AB784" i="1"/>
  <c r="AB776" i="1"/>
  <c r="AB768" i="1"/>
  <c r="AB760" i="1"/>
  <c r="AB752" i="1"/>
  <c r="AB744" i="1"/>
  <c r="AB736" i="1"/>
  <c r="AB728" i="1"/>
  <c r="AB720" i="1"/>
  <c r="AB712" i="1"/>
  <c r="AB704" i="1"/>
  <c r="AB696" i="1"/>
  <c r="AB688" i="1"/>
  <c r="AB680" i="1"/>
  <c r="AB672" i="1"/>
  <c r="AB664" i="1"/>
  <c r="AB656" i="1"/>
  <c r="AB648" i="1"/>
  <c r="AB640" i="1"/>
  <c r="AB632" i="1"/>
  <c r="AB624" i="1"/>
  <c r="AB616" i="1"/>
  <c r="AB608" i="1"/>
  <c r="AB600" i="1"/>
  <c r="AB592" i="1"/>
  <c r="AB584" i="1"/>
  <c r="AB576" i="1"/>
  <c r="AB568" i="1"/>
  <c r="AB560" i="1"/>
  <c r="AB552" i="1"/>
  <c r="AB544" i="1"/>
  <c r="AB536" i="1"/>
  <c r="AB528" i="1"/>
  <c r="AB520" i="1"/>
  <c r="AB512" i="1"/>
  <c r="AB504" i="1"/>
  <c r="AB496" i="1"/>
  <c r="AB488" i="1"/>
  <c r="AB480" i="1"/>
  <c r="AB472" i="1"/>
  <c r="AB464" i="1"/>
  <c r="AB456" i="1"/>
  <c r="AB448" i="1"/>
  <c r="AB440" i="1"/>
  <c r="AB432" i="1"/>
  <c r="AB424" i="1"/>
  <c r="AB416" i="1"/>
  <c r="AB408" i="1"/>
  <c r="AB400" i="1"/>
  <c r="AB392" i="1"/>
  <c r="AB384" i="1"/>
  <c r="AB376" i="1"/>
  <c r="AB368" i="1"/>
  <c r="AB360" i="1"/>
  <c r="AB352" i="1"/>
  <c r="AB344" i="1"/>
  <c r="AB336" i="1"/>
  <c r="AB328" i="1"/>
  <c r="AB320" i="1"/>
  <c r="AB312" i="1"/>
  <c r="AB304" i="1"/>
  <c r="AB296" i="1"/>
  <c r="AB1167" i="1"/>
  <c r="AB1159" i="1"/>
  <c r="AB1151" i="1"/>
  <c r="AB1143" i="1"/>
  <c r="AB1135" i="1"/>
  <c r="AB1127" i="1"/>
  <c r="AB1119" i="1"/>
  <c r="AB1111" i="1"/>
  <c r="AB1103" i="1"/>
  <c r="AB1095" i="1"/>
  <c r="AB1087" i="1"/>
  <c r="AB1079" i="1"/>
  <c r="AB1071" i="1"/>
  <c r="AB1063" i="1"/>
  <c r="AB1055" i="1"/>
  <c r="AB1047" i="1"/>
  <c r="AB1039" i="1"/>
  <c r="AB1031" i="1"/>
  <c r="AB1023" i="1"/>
  <c r="AB1015" i="1"/>
  <c r="AB1007" i="1"/>
  <c r="AB999" i="1"/>
  <c r="AB991" i="1"/>
  <c r="AB983" i="1"/>
  <c r="AB975" i="1"/>
  <c r="AB967" i="1"/>
  <c r="AB959" i="1"/>
  <c r="AB951" i="1"/>
  <c r="AB943" i="1"/>
  <c r="AB935" i="1"/>
  <c r="AB927" i="1"/>
  <c r="AB919" i="1"/>
  <c r="AB911" i="1"/>
  <c r="AB903" i="1"/>
  <c r="AB895" i="1"/>
  <c r="AB887" i="1"/>
  <c r="AB879" i="1"/>
  <c r="AB871" i="1"/>
  <c r="AB863" i="1"/>
  <c r="AB855" i="1"/>
  <c r="AB847" i="1"/>
  <c r="AB839" i="1"/>
  <c r="AB831" i="1"/>
  <c r="AB823" i="1"/>
  <c r="AB815" i="1"/>
  <c r="AB807" i="1"/>
  <c r="AB799" i="1"/>
  <c r="AB791" i="1"/>
  <c r="AB783" i="1"/>
  <c r="AB775" i="1"/>
  <c r="AB767" i="1"/>
  <c r="AB759" i="1"/>
  <c r="AB751" i="1"/>
  <c r="AB743" i="1"/>
  <c r="AB735" i="1"/>
  <c r="AB727" i="1"/>
  <c r="AB719" i="1"/>
  <c r="AB711" i="1"/>
  <c r="AB703" i="1"/>
  <c r="AB695" i="1"/>
  <c r="AB687" i="1"/>
  <c r="AB679" i="1"/>
  <c r="AB671" i="1"/>
  <c r="AB663" i="1"/>
  <c r="AB655" i="1"/>
  <c r="AB647" i="1"/>
  <c r="AB639" i="1"/>
  <c r="AB631" i="1"/>
  <c r="AB623" i="1"/>
  <c r="AB615" i="1"/>
  <c r="AB607" i="1"/>
  <c r="AB599" i="1"/>
  <c r="AB591" i="1"/>
  <c r="AB583" i="1"/>
  <c r="AB575" i="1"/>
  <c r="AB567" i="1"/>
  <c r="AB559" i="1"/>
  <c r="AB551" i="1"/>
  <c r="AB543" i="1"/>
  <c r="AB535" i="1"/>
  <c r="AB527" i="1"/>
  <c r="AB519" i="1"/>
  <c r="AB511" i="1"/>
  <c r="AB503" i="1"/>
  <c r="AB495" i="1"/>
  <c r="AB487" i="1"/>
  <c r="AB479" i="1"/>
  <c r="AB471" i="1"/>
  <c r="AB463" i="1"/>
  <c r="AB455" i="1"/>
  <c r="AB447" i="1"/>
  <c r="AB439" i="1"/>
  <c r="AB431" i="1"/>
  <c r="AB423" i="1"/>
  <c r="AB415" i="1"/>
  <c r="AB407" i="1"/>
  <c r="AB399" i="1"/>
  <c r="AB391" i="1"/>
  <c r="AB383" i="1"/>
  <c r="AB375" i="1"/>
  <c r="AB367" i="1"/>
  <c r="AB359" i="1"/>
  <c r="AB351" i="1"/>
  <c r="AB343" i="1"/>
  <c r="AB335" i="1"/>
  <c r="AB327" i="1"/>
  <c r="AB319" i="1"/>
  <c r="AB311" i="1"/>
  <c r="AB303" i="1"/>
  <c r="AB295" i="1"/>
  <c r="AB1166" i="1"/>
  <c r="AB1158" i="1"/>
  <c r="AB1150" i="1"/>
  <c r="AB1142" i="1"/>
  <c r="AB1134" i="1"/>
  <c r="AB1126" i="1"/>
  <c r="AB1118" i="1"/>
  <c r="AB1110" i="1"/>
  <c r="AB1102" i="1"/>
  <c r="AB1094" i="1"/>
  <c r="AB1086" i="1"/>
  <c r="AB1078" i="1"/>
  <c r="AB1070" i="1"/>
  <c r="AB1062" i="1"/>
  <c r="AB1054" i="1"/>
  <c r="AB1046" i="1"/>
  <c r="AB1038" i="1"/>
  <c r="AB1030" i="1"/>
  <c r="AB1022" i="1"/>
  <c r="AB1014" i="1"/>
  <c r="AB1006" i="1"/>
  <c r="AB998" i="1"/>
  <c r="AB990" i="1"/>
  <c r="AB982" i="1"/>
  <c r="AB974" i="1"/>
  <c r="AB966" i="1"/>
  <c r="AB958" i="1"/>
  <c r="AB950" i="1"/>
  <c r="AB942" i="1"/>
  <c r="AB934" i="1"/>
  <c r="AB926" i="1"/>
  <c r="AB918" i="1"/>
  <c r="AB910" i="1"/>
  <c r="AB902" i="1"/>
  <c r="AB894" i="1"/>
  <c r="AB886" i="1"/>
  <c r="AB878" i="1"/>
  <c r="AB870" i="1"/>
  <c r="AB862" i="1"/>
  <c r="AB854" i="1"/>
  <c r="AB846" i="1"/>
  <c r="AB838" i="1"/>
  <c r="AB830" i="1"/>
  <c r="AB822" i="1"/>
  <c r="AB814" i="1"/>
  <c r="AB806" i="1"/>
  <c r="AB798" i="1"/>
  <c r="AB790" i="1"/>
  <c r="AB782" i="1"/>
  <c r="AB774" i="1"/>
  <c r="AB766" i="1"/>
  <c r="AB758" i="1"/>
  <c r="AB750" i="1"/>
  <c r="AB742" i="1"/>
  <c r="AB734" i="1"/>
  <c r="AB726" i="1"/>
  <c r="AB718" i="1"/>
  <c r="AB710" i="1"/>
  <c r="AB702" i="1"/>
  <c r="AB694" i="1"/>
  <c r="AB686" i="1"/>
  <c r="AB678" i="1"/>
  <c r="AB670" i="1"/>
  <c r="AB662" i="1"/>
  <c r="AB654" i="1"/>
  <c r="AB646" i="1"/>
  <c r="AB638" i="1"/>
  <c r="AB630" i="1"/>
  <c r="AB622" i="1"/>
  <c r="AB614" i="1"/>
  <c r="AB606" i="1"/>
  <c r="AB598" i="1"/>
  <c r="AB590" i="1"/>
  <c r="AB582" i="1"/>
  <c r="AB574" i="1"/>
  <c r="AB566" i="1"/>
  <c r="AB558" i="1"/>
  <c r="AB550" i="1"/>
  <c r="AB542" i="1"/>
  <c r="AB534" i="1"/>
  <c r="AB526" i="1"/>
  <c r="AB518" i="1"/>
  <c r="AB510" i="1"/>
  <c r="AB502" i="1"/>
  <c r="AB494" i="1"/>
  <c r="AB486" i="1"/>
  <c r="AB478" i="1"/>
  <c r="AB470" i="1"/>
  <c r="AB462" i="1"/>
  <c r="AB454" i="1"/>
  <c r="AB446" i="1"/>
  <c r="AB438" i="1"/>
  <c r="AB430" i="1"/>
  <c r="AB422" i="1"/>
  <c r="AB414" i="1"/>
  <c r="AB406" i="1"/>
  <c r="AB398" i="1"/>
  <c r="AB390" i="1"/>
  <c r="AB382" i="1"/>
  <c r="AB374" i="1"/>
  <c r="AB366" i="1"/>
  <c r="AB358" i="1"/>
  <c r="AB350" i="1"/>
  <c r="AB342" i="1"/>
  <c r="AB334" i="1"/>
  <c r="AB326" i="1"/>
  <c r="AB318" i="1"/>
  <c r="AB310" i="1"/>
  <c r="AB302" i="1"/>
  <c r="AB294" i="1"/>
  <c r="AB1165" i="1"/>
  <c r="AB1157" i="1"/>
  <c r="AB1149" i="1"/>
  <c r="AB1141" i="1"/>
  <c r="AB1133" i="1"/>
  <c r="AB1125" i="1"/>
  <c r="AB1117" i="1"/>
  <c r="AB1109" i="1"/>
  <c r="AB1101" i="1"/>
  <c r="AB1093" i="1"/>
  <c r="AB1085" i="1"/>
  <c r="AB1077" i="1"/>
  <c r="AB1069" i="1"/>
  <c r="AB1061" i="1"/>
  <c r="AB1053" i="1"/>
  <c r="AB1045" i="1"/>
  <c r="AB1037" i="1"/>
  <c r="AB1029" i="1"/>
  <c r="AB1021" i="1"/>
  <c r="AB1013" i="1"/>
  <c r="AB1005" i="1"/>
  <c r="AB997" i="1"/>
  <c r="AB989" i="1"/>
  <c r="AB981" i="1"/>
  <c r="AB973" i="1"/>
  <c r="AB965" i="1"/>
  <c r="AB957" i="1"/>
  <c r="AB949" i="1"/>
  <c r="AB941" i="1"/>
  <c r="AB933" i="1"/>
  <c r="AB925" i="1"/>
  <c r="AB917" i="1"/>
  <c r="AB909" i="1"/>
  <c r="AB901" i="1"/>
  <c r="AB893" i="1"/>
  <c r="AB885" i="1"/>
  <c r="AB877" i="1"/>
  <c r="AB869" i="1"/>
  <c r="AB861" i="1"/>
  <c r="AB853" i="1"/>
  <c r="AB845" i="1"/>
  <c r="AB837" i="1"/>
  <c r="AB829" i="1"/>
  <c r="AB821" i="1"/>
  <c r="AB813" i="1"/>
  <c r="AB805" i="1"/>
  <c r="AB797" i="1"/>
  <c r="AB789" i="1"/>
  <c r="AB781" i="1"/>
  <c r="AB773" i="1"/>
  <c r="AB765" i="1"/>
  <c r="AB757" i="1"/>
  <c r="AB749" i="1"/>
  <c r="AB741" i="1"/>
  <c r="AB733" i="1"/>
  <c r="AB725" i="1"/>
  <c r="AB717" i="1"/>
  <c r="AB709" i="1"/>
  <c r="AB701" i="1"/>
  <c r="AB693" i="1"/>
  <c r="AB685" i="1"/>
  <c r="AB677" i="1"/>
  <c r="AB669" i="1"/>
  <c r="AB661" i="1"/>
  <c r="AB653" i="1"/>
  <c r="AB645" i="1"/>
  <c r="AB637" i="1"/>
  <c r="AB629" i="1"/>
  <c r="AB621" i="1"/>
  <c r="AB613" i="1"/>
  <c r="AB605" i="1"/>
  <c r="AB597" i="1"/>
  <c r="AB589" i="1"/>
  <c r="AB581" i="1"/>
  <c r="AB573" i="1"/>
  <c r="AB565" i="1"/>
  <c r="AB557" i="1"/>
  <c r="AB549" i="1"/>
  <c r="AB541" i="1"/>
  <c r="AB533" i="1"/>
  <c r="AB525" i="1"/>
  <c r="AB517" i="1"/>
  <c r="AB509" i="1"/>
  <c r="AB501" i="1"/>
  <c r="AB493" i="1"/>
  <c r="AB485" i="1"/>
  <c r="AB477" i="1"/>
  <c r="AB469" i="1"/>
  <c r="AB461" i="1"/>
  <c r="AB453" i="1"/>
  <c r="AB445" i="1"/>
  <c r="AB437" i="1"/>
  <c r="AB429" i="1"/>
  <c r="AB421" i="1"/>
  <c r="AB413" i="1"/>
  <c r="AB405" i="1"/>
  <c r="AB397" i="1"/>
  <c r="AB389" i="1"/>
  <c r="AB381" i="1"/>
  <c r="AB373" i="1"/>
  <c r="AB365" i="1"/>
  <c r="AB357" i="1"/>
  <c r="AB349" i="1"/>
  <c r="AB341" i="1"/>
  <c r="AB333" i="1"/>
  <c r="AB325" i="1"/>
  <c r="AB317" i="1"/>
  <c r="AB309" i="1"/>
  <c r="AB301" i="1"/>
  <c r="AB293" i="1"/>
  <c r="AB1164" i="1"/>
  <c r="AB1156" i="1"/>
  <c r="AB1148" i="1"/>
  <c r="AB1140" i="1"/>
  <c r="AB1132" i="1"/>
  <c r="AB1124" i="1"/>
  <c r="AB1116" i="1"/>
  <c r="AB1108" i="1"/>
  <c r="AB1100" i="1"/>
  <c r="AB1092" i="1"/>
  <c r="AB1084" i="1"/>
  <c r="AB1076" i="1"/>
  <c r="AB1068" i="1"/>
  <c r="AB1060" i="1"/>
  <c r="AB1052" i="1"/>
  <c r="AB1044" i="1"/>
  <c r="AB1036" i="1"/>
  <c r="AB1028" i="1"/>
  <c r="AB1020" i="1"/>
  <c r="AB1012" i="1"/>
  <c r="AB1004" i="1"/>
  <c r="AB996" i="1"/>
  <c r="AB988" i="1"/>
  <c r="AB980" i="1"/>
  <c r="AB972" i="1"/>
  <c r="AB964" i="1"/>
  <c r="AB956" i="1"/>
  <c r="AB948" i="1"/>
  <c r="AB940" i="1"/>
  <c r="AB932" i="1"/>
  <c r="AB924" i="1"/>
  <c r="AB916" i="1"/>
  <c r="AB908" i="1"/>
  <c r="AB900" i="1"/>
  <c r="AB892" i="1"/>
  <c r="AB884" i="1"/>
  <c r="AB876" i="1"/>
  <c r="AB868" i="1"/>
  <c r="AB860" i="1"/>
  <c r="AB852" i="1"/>
  <c r="AB844" i="1"/>
  <c r="AB836" i="1"/>
  <c r="AB828" i="1"/>
  <c r="AB820" i="1"/>
  <c r="AB812" i="1"/>
  <c r="AB804" i="1"/>
  <c r="AB796" i="1"/>
  <c r="AB788" i="1"/>
  <c r="AB780" i="1"/>
  <c r="AB772" i="1"/>
  <c r="AB764" i="1"/>
  <c r="AB756" i="1"/>
  <c r="AB748" i="1"/>
  <c r="AB740" i="1"/>
  <c r="AB732" i="1"/>
  <c r="AB724" i="1"/>
  <c r="AB716" i="1"/>
  <c r="AB708" i="1"/>
  <c r="AB700" i="1"/>
  <c r="AB692" i="1"/>
  <c r="AB684" i="1"/>
  <c r="AB676" i="1"/>
  <c r="AB668" i="1"/>
  <c r="AB660" i="1"/>
  <c r="AB652" i="1"/>
  <c r="AB644" i="1"/>
  <c r="AB636" i="1"/>
  <c r="AB628" i="1"/>
  <c r="AB620" i="1"/>
  <c r="AB612" i="1"/>
  <c r="AB604" i="1"/>
  <c r="AB596" i="1"/>
  <c r="AB588" i="1"/>
  <c r="AB580" i="1"/>
  <c r="AB572" i="1"/>
  <c r="AB564" i="1"/>
  <c r="AB556" i="1"/>
  <c r="AB548" i="1"/>
  <c r="AB540" i="1"/>
  <c r="AB532" i="1"/>
  <c r="AB524" i="1"/>
  <c r="AB516" i="1"/>
  <c r="AB508" i="1"/>
  <c r="AB500" i="1"/>
  <c r="AB492" i="1"/>
  <c r="AB484" i="1"/>
  <c r="AB476" i="1"/>
  <c r="AB468" i="1"/>
  <c r="AB460" i="1"/>
  <c r="AB452" i="1"/>
  <c r="AB444" i="1"/>
  <c r="AB436" i="1"/>
  <c r="AB428" i="1"/>
  <c r="AB420" i="1"/>
  <c r="AB412" i="1"/>
  <c r="AB404" i="1"/>
  <c r="AB396" i="1"/>
  <c r="AB388" i="1"/>
  <c r="AB380" i="1"/>
  <c r="AB372" i="1"/>
  <c r="AB364" i="1"/>
  <c r="AB356" i="1"/>
  <c r="AB348" i="1"/>
  <c r="AB340" i="1"/>
  <c r="AB332" i="1"/>
  <c r="AB324" i="1"/>
  <c r="AB316" i="1"/>
  <c r="AB308" i="1"/>
  <c r="AB300" i="1"/>
  <c r="AB292" i="1"/>
  <c r="AB1163" i="1"/>
  <c r="AB1155" i="1"/>
  <c r="AB1147" i="1"/>
  <c r="AB1139" i="1"/>
  <c r="AB1131" i="1"/>
  <c r="AB1123" i="1"/>
  <c r="AB1115" i="1"/>
  <c r="AB1107" i="1"/>
  <c r="AB1099" i="1"/>
  <c r="AB1091" i="1"/>
  <c r="AB1083" i="1"/>
  <c r="AB1075" i="1"/>
  <c r="AB1067" i="1"/>
  <c r="AB1059" i="1"/>
  <c r="AB1051" i="1"/>
  <c r="AB1043" i="1"/>
  <c r="AB1035" i="1"/>
  <c r="AB1027" i="1"/>
  <c r="AB1019" i="1"/>
  <c r="AB1011" i="1"/>
  <c r="AB1003" i="1"/>
  <c r="AB995" i="1"/>
  <c r="AB987" i="1"/>
  <c r="AB979" i="1"/>
  <c r="AB971" i="1"/>
  <c r="AB963" i="1"/>
  <c r="AB955" i="1"/>
  <c r="AB947" i="1"/>
  <c r="AB939" i="1"/>
  <c r="AB931" i="1"/>
  <c r="AB923" i="1"/>
  <c r="AB915" i="1"/>
  <c r="AB907" i="1"/>
  <c r="AB899" i="1"/>
  <c r="AB891" i="1"/>
  <c r="AB883" i="1"/>
  <c r="AB875" i="1"/>
  <c r="AB867" i="1"/>
  <c r="AB859" i="1"/>
  <c r="AB851" i="1"/>
  <c r="AB843" i="1"/>
  <c r="AB835" i="1"/>
  <c r="AB827" i="1"/>
  <c r="AB819" i="1"/>
  <c r="AB811" i="1"/>
  <c r="AB803" i="1"/>
  <c r="AB795" i="1"/>
  <c r="AB787" i="1"/>
  <c r="AB779" i="1"/>
  <c r="AB771" i="1"/>
  <c r="AB763" i="1"/>
  <c r="AB755" i="1"/>
  <c r="AB747" i="1"/>
  <c r="AB739" i="1"/>
  <c r="AB731" i="1"/>
  <c r="AB723" i="1"/>
  <c r="AB715" i="1"/>
  <c r="AB707" i="1"/>
  <c r="AB699" i="1"/>
  <c r="AB691" i="1"/>
  <c r="AB683" i="1"/>
  <c r="AB675" i="1"/>
  <c r="AB667" i="1"/>
  <c r="AB659" i="1"/>
  <c r="AB651" i="1"/>
  <c r="AB643" i="1"/>
  <c r="AB635" i="1"/>
  <c r="AB627" i="1"/>
  <c r="AB619" i="1"/>
  <c r="AB611" i="1"/>
  <c r="AB603" i="1"/>
  <c r="AB595" i="1"/>
  <c r="AB587" i="1"/>
  <c r="AB579" i="1"/>
  <c r="AB571" i="1"/>
  <c r="AB563" i="1"/>
  <c r="AB555" i="1"/>
  <c r="AB547" i="1"/>
  <c r="AB539" i="1"/>
  <c r="AB531" i="1"/>
  <c r="AB523" i="1"/>
  <c r="AB515" i="1"/>
  <c r="AB507" i="1"/>
  <c r="AB499" i="1"/>
  <c r="AB491" i="1"/>
  <c r="AB483" i="1"/>
  <c r="AB475" i="1"/>
  <c r="AB467" i="1"/>
  <c r="AB459" i="1"/>
  <c r="AB451" i="1"/>
  <c r="AB443" i="1"/>
  <c r="AB435" i="1"/>
  <c r="AB427" i="1"/>
  <c r="AB419" i="1"/>
  <c r="AB411" i="1"/>
  <c r="AB403" i="1"/>
  <c r="AB395" i="1"/>
  <c r="AB387" i="1"/>
  <c r="AB379" i="1"/>
  <c r="AB371" i="1"/>
  <c r="AB363" i="1"/>
  <c r="AB355" i="1"/>
  <c r="AB347" i="1"/>
  <c r="AB339" i="1"/>
  <c r="AB331" i="1"/>
  <c r="AB323" i="1"/>
  <c r="AB315" i="1"/>
  <c r="AB307" i="1"/>
  <c r="AB299" i="1"/>
  <c r="AB291" i="1"/>
  <c r="AB1153" i="1"/>
  <c r="AB1121" i="1"/>
  <c r="AB1089" i="1"/>
  <c r="AB1057" i="1"/>
  <c r="AB1025" i="1"/>
  <c r="AB993" i="1"/>
  <c r="AB961" i="1"/>
  <c r="AB929" i="1"/>
  <c r="AB897" i="1"/>
  <c r="AB865" i="1"/>
  <c r="AB833" i="1"/>
  <c r="AB801" i="1"/>
  <c r="AB769" i="1"/>
  <c r="AB737" i="1"/>
  <c r="AB705" i="1"/>
  <c r="AB673" i="1"/>
  <c r="AB641" i="1"/>
  <c r="AB609" i="1"/>
  <c r="AB577" i="1"/>
  <c r="AB545" i="1"/>
  <c r="AB513" i="1"/>
  <c r="AB481" i="1"/>
  <c r="AB449" i="1"/>
  <c r="AB417" i="1"/>
  <c r="AB385" i="1"/>
  <c r="AB353" i="1"/>
  <c r="AB321" i="1"/>
  <c r="AB289" i="1"/>
  <c r="AB281" i="1"/>
  <c r="AB273" i="1"/>
  <c r="AB265" i="1"/>
  <c r="AB257" i="1"/>
  <c r="AB249" i="1"/>
  <c r="AB241" i="1"/>
  <c r="AB233" i="1"/>
  <c r="AB225" i="1"/>
  <c r="AB217" i="1"/>
  <c r="AB209" i="1"/>
  <c r="AB201" i="1"/>
  <c r="AB193" i="1"/>
  <c r="AB185" i="1"/>
  <c r="AB177" i="1"/>
  <c r="AB169" i="1"/>
  <c r="AB161" i="1"/>
  <c r="AB153" i="1"/>
  <c r="AB145" i="1"/>
  <c r="AB137" i="1"/>
  <c r="AB129" i="1"/>
  <c r="AB121" i="1"/>
  <c r="AB113" i="1"/>
  <c r="AB105" i="1"/>
  <c r="AB97" i="1"/>
  <c r="AB89" i="1"/>
  <c r="AB81" i="1"/>
  <c r="AB73" i="1"/>
  <c r="AB65" i="1"/>
  <c r="AB57" i="1"/>
  <c r="AB49" i="1"/>
  <c r="AB41" i="1"/>
  <c r="AB33" i="1"/>
  <c r="AB25" i="1"/>
  <c r="AB17" i="1"/>
  <c r="AB9" i="1"/>
  <c r="AB2" i="1"/>
  <c r="AB1146" i="1"/>
  <c r="AB1114" i="1"/>
  <c r="AB1082" i="1"/>
  <c r="AB1050" i="1"/>
  <c r="AB1018" i="1"/>
  <c r="AB986" i="1"/>
  <c r="AB954" i="1"/>
  <c r="AB922" i="1"/>
  <c r="AB890" i="1"/>
  <c r="AB858" i="1"/>
  <c r="AB826" i="1"/>
  <c r="AB794" i="1"/>
  <c r="AB762" i="1"/>
  <c r="AB730" i="1"/>
  <c r="AB698" i="1"/>
  <c r="AB666" i="1"/>
  <c r="AB634" i="1"/>
  <c r="AB602" i="1"/>
  <c r="AB570" i="1"/>
  <c r="AB538" i="1"/>
  <c r="AB506" i="1"/>
  <c r="AB474" i="1"/>
  <c r="AB442" i="1"/>
  <c r="AB410" i="1"/>
  <c r="AB378" i="1"/>
  <c r="AB346" i="1"/>
  <c r="AB314" i="1"/>
  <c r="AB288" i="1"/>
  <c r="AB280" i="1"/>
  <c r="AB272" i="1"/>
  <c r="AB264" i="1"/>
  <c r="AB256" i="1"/>
  <c r="AB248" i="1"/>
  <c r="AB240" i="1"/>
  <c r="AB232" i="1"/>
  <c r="AB224" i="1"/>
  <c r="AB216" i="1"/>
  <c r="AB208" i="1"/>
  <c r="AB200" i="1"/>
  <c r="AB192" i="1"/>
  <c r="AB184" i="1"/>
  <c r="AB176" i="1"/>
  <c r="AB168" i="1"/>
  <c r="AB160" i="1"/>
  <c r="AB152" i="1"/>
  <c r="AB144" i="1"/>
  <c r="AB136" i="1"/>
  <c r="AB128" i="1"/>
  <c r="AB120" i="1"/>
  <c r="AB112" i="1"/>
  <c r="AB104" i="1"/>
  <c r="AB96" i="1"/>
  <c r="AB88" i="1"/>
  <c r="AB80" i="1"/>
  <c r="AB72" i="1"/>
  <c r="AB64" i="1"/>
  <c r="AB56" i="1"/>
  <c r="AB48" i="1"/>
  <c r="AB40" i="1"/>
  <c r="AB32" i="1"/>
  <c r="AB24" i="1"/>
  <c r="AB16" i="1"/>
  <c r="AB8" i="1"/>
  <c r="AB1145" i="1"/>
  <c r="AB1113" i="1"/>
  <c r="AB1081" i="1"/>
  <c r="AB1049" i="1"/>
  <c r="AB1017" i="1"/>
  <c r="AB985" i="1"/>
  <c r="AB953" i="1"/>
  <c r="AB921" i="1"/>
  <c r="AB889" i="1"/>
  <c r="AB857" i="1"/>
  <c r="AB825" i="1"/>
  <c r="AB793" i="1"/>
  <c r="AB761" i="1"/>
  <c r="AB729" i="1"/>
  <c r="AB697" i="1"/>
  <c r="AB665" i="1"/>
  <c r="AB633" i="1"/>
  <c r="AB601" i="1"/>
  <c r="AB569" i="1"/>
  <c r="AB537" i="1"/>
  <c r="AB505" i="1"/>
  <c r="AB473" i="1"/>
  <c r="AB441" i="1"/>
  <c r="AB409" i="1"/>
  <c r="AB377" i="1"/>
  <c r="AB345" i="1"/>
  <c r="AB313" i="1"/>
  <c r="AB287" i="1"/>
  <c r="AB279" i="1"/>
  <c r="AB271" i="1"/>
  <c r="AB263" i="1"/>
  <c r="AB255" i="1"/>
  <c r="AB247" i="1"/>
  <c r="AB239" i="1"/>
  <c r="AB231" i="1"/>
  <c r="AB223" i="1"/>
  <c r="AB215" i="1"/>
  <c r="AB207" i="1"/>
  <c r="AB199" i="1"/>
  <c r="AB191" i="1"/>
  <c r="AB183" i="1"/>
  <c r="AB175" i="1"/>
  <c r="AB167" i="1"/>
  <c r="AB159" i="1"/>
  <c r="AB151" i="1"/>
  <c r="AB143" i="1"/>
  <c r="AB135" i="1"/>
  <c r="AB127" i="1"/>
  <c r="AB119" i="1"/>
  <c r="AB111" i="1"/>
  <c r="AB103" i="1"/>
  <c r="AB95" i="1"/>
  <c r="AB87" i="1"/>
  <c r="AB79" i="1"/>
  <c r="AB71" i="1"/>
  <c r="AB63" i="1"/>
  <c r="AB55" i="1"/>
  <c r="AB47" i="1"/>
  <c r="AB39" i="1"/>
  <c r="AB31" i="1"/>
  <c r="AB23" i="1"/>
  <c r="AB15" i="1"/>
  <c r="AB7" i="1"/>
  <c r="AB1138" i="1"/>
  <c r="AB1106" i="1"/>
  <c r="AB1074" i="1"/>
  <c r="AB1042" i="1"/>
  <c r="AB1010" i="1"/>
  <c r="AB978" i="1"/>
  <c r="AB946" i="1"/>
  <c r="AB914" i="1"/>
  <c r="AB882" i="1"/>
  <c r="AB850" i="1"/>
  <c r="AB818" i="1"/>
  <c r="AB786" i="1"/>
  <c r="AB754" i="1"/>
  <c r="AB722" i="1"/>
  <c r="AB690" i="1"/>
  <c r="AB658" i="1"/>
  <c r="AB626" i="1"/>
  <c r="AB594" i="1"/>
  <c r="AB562" i="1"/>
  <c r="AB530" i="1"/>
  <c r="AB498" i="1"/>
  <c r="AB466" i="1"/>
  <c r="AB434" i="1"/>
  <c r="AB402" i="1"/>
  <c r="AB370" i="1"/>
  <c r="AB338" i="1"/>
  <c r="AB306" i="1"/>
  <c r="AB286" i="1"/>
  <c r="AB278" i="1"/>
  <c r="AB270" i="1"/>
  <c r="AB262" i="1"/>
  <c r="AB254" i="1"/>
  <c r="AB246" i="1"/>
  <c r="AB238" i="1"/>
  <c r="AB230" i="1"/>
  <c r="AB222" i="1"/>
  <c r="AB214" i="1"/>
  <c r="AB206" i="1"/>
  <c r="AB198" i="1"/>
  <c r="AB190" i="1"/>
  <c r="AB182" i="1"/>
  <c r="AB174" i="1"/>
  <c r="AB166" i="1"/>
  <c r="AB158" i="1"/>
  <c r="AB150" i="1"/>
  <c r="AB142" i="1"/>
  <c r="AB134" i="1"/>
  <c r="AB126" i="1"/>
  <c r="AB118" i="1"/>
  <c r="AB110" i="1"/>
  <c r="AB102" i="1"/>
  <c r="AB94" i="1"/>
  <c r="AB86" i="1"/>
  <c r="AB78" i="1"/>
  <c r="AB70" i="1"/>
  <c r="AB62" i="1"/>
  <c r="AB54" i="1"/>
  <c r="AB46" i="1"/>
  <c r="AB38" i="1"/>
  <c r="AB30" i="1"/>
  <c r="AB22" i="1"/>
  <c r="AB14" i="1"/>
  <c r="AB6" i="1"/>
  <c r="AB1137" i="1"/>
  <c r="AB1105" i="1"/>
  <c r="AB1073" i="1"/>
  <c r="AB1041" i="1"/>
  <c r="AB1009" i="1"/>
  <c r="AB977" i="1"/>
  <c r="AB945" i="1"/>
  <c r="AB913" i="1"/>
  <c r="AB881" i="1"/>
  <c r="AB849" i="1"/>
  <c r="AB817" i="1"/>
  <c r="AB785" i="1"/>
  <c r="AB753" i="1"/>
  <c r="AB721" i="1"/>
  <c r="AB689" i="1"/>
  <c r="AB657" i="1"/>
  <c r="AB625" i="1"/>
  <c r="AB593" i="1"/>
  <c r="AB561" i="1"/>
  <c r="AB529" i="1"/>
  <c r="AB497" i="1"/>
  <c r="AB465" i="1"/>
  <c r="AB433" i="1"/>
  <c r="AB401" i="1"/>
  <c r="AB369" i="1"/>
  <c r="AB337" i="1"/>
  <c r="AB305" i="1"/>
  <c r="AB285" i="1"/>
  <c r="AB277" i="1"/>
  <c r="AB269" i="1"/>
  <c r="AB261" i="1"/>
  <c r="AB253" i="1"/>
  <c r="AB245" i="1"/>
  <c r="AB237" i="1"/>
  <c r="AB229" i="1"/>
  <c r="AB221" i="1"/>
  <c r="AB213" i="1"/>
  <c r="AB205" i="1"/>
  <c r="AB197" i="1"/>
  <c r="AB189" i="1"/>
  <c r="AB181" i="1"/>
  <c r="AB173" i="1"/>
  <c r="AB165" i="1"/>
  <c r="AB157" i="1"/>
  <c r="AB149" i="1"/>
  <c r="AB141" i="1"/>
  <c r="AB133" i="1"/>
  <c r="AB125" i="1"/>
  <c r="AB117" i="1"/>
  <c r="AB109" i="1"/>
  <c r="AB101" i="1"/>
  <c r="AB93" i="1"/>
  <c r="AB85" i="1"/>
  <c r="AB77" i="1"/>
  <c r="AB69" i="1"/>
  <c r="AB61" i="1"/>
  <c r="AB53" i="1"/>
  <c r="AB45" i="1"/>
  <c r="AB37" i="1"/>
  <c r="AB29" i="1"/>
  <c r="AB21" i="1"/>
  <c r="AB13" i="1"/>
  <c r="AB5" i="1"/>
  <c r="AB1162" i="1"/>
  <c r="AB1130" i="1"/>
  <c r="AB1098" i="1"/>
  <c r="AB1066" i="1"/>
  <c r="AB1034" i="1"/>
  <c r="AB1002" i="1"/>
  <c r="AB970" i="1"/>
  <c r="AB938" i="1"/>
  <c r="AB906" i="1"/>
  <c r="AB874" i="1"/>
  <c r="AB842" i="1"/>
  <c r="AB810" i="1"/>
  <c r="AB778" i="1"/>
  <c r="AB746" i="1"/>
  <c r="AB714" i="1"/>
  <c r="AB682" i="1"/>
  <c r="AB650" i="1"/>
  <c r="AB618" i="1"/>
  <c r="AB586" i="1"/>
  <c r="AB554" i="1"/>
  <c r="AB522" i="1"/>
  <c r="AB490" i="1"/>
  <c r="AB458" i="1"/>
  <c r="AB426" i="1"/>
  <c r="AB394" i="1"/>
  <c r="AB362" i="1"/>
  <c r="AB330" i="1"/>
  <c r="AB298" i="1"/>
  <c r="AB284" i="1"/>
  <c r="AB276" i="1"/>
  <c r="AB268" i="1"/>
  <c r="AB260" i="1"/>
  <c r="AB252" i="1"/>
  <c r="AB244" i="1"/>
  <c r="AB236" i="1"/>
  <c r="AB228" i="1"/>
  <c r="AB220" i="1"/>
  <c r="AB212" i="1"/>
  <c r="AB204" i="1"/>
  <c r="AB196" i="1"/>
  <c r="AB188" i="1"/>
  <c r="AB180" i="1"/>
  <c r="AB172" i="1"/>
  <c r="AB164" i="1"/>
  <c r="AB156" i="1"/>
  <c r="AB148" i="1"/>
  <c r="AB140" i="1"/>
  <c r="AB132" i="1"/>
  <c r="AB124" i="1"/>
  <c r="AB116" i="1"/>
  <c r="AB108" i="1"/>
  <c r="AB100" i="1"/>
  <c r="AB92" i="1"/>
  <c r="AB84" i="1"/>
  <c r="AB76" i="1"/>
  <c r="AB68" i="1"/>
  <c r="AB60" i="1"/>
  <c r="AB52" i="1"/>
  <c r="AB44" i="1"/>
  <c r="AB36" i="1"/>
  <c r="AB28" i="1"/>
  <c r="AB20" i="1"/>
  <c r="AB12" i="1"/>
  <c r="AB4" i="1"/>
  <c r="AB34" i="1"/>
  <c r="AB66" i="1"/>
  <c r="AB98" i="1"/>
  <c r="AB130" i="1"/>
  <c r="AB162" i="1"/>
  <c r="AB194" i="1"/>
  <c r="AB226" i="1"/>
  <c r="AB258" i="1"/>
  <c r="AB290" i="1"/>
  <c r="AB418" i="1"/>
  <c r="AB546" i="1"/>
  <c r="AB674" i="1"/>
  <c r="AB802" i="1"/>
  <c r="AB930" i="1"/>
  <c r="AB1058" i="1"/>
  <c r="AB3" i="1"/>
  <c r="AB35" i="1"/>
  <c r="AB67" i="1"/>
  <c r="AB99" i="1"/>
  <c r="AB131" i="1"/>
  <c r="AB163" i="1"/>
  <c r="AB195" i="1"/>
  <c r="AB227" i="1"/>
  <c r="AB259" i="1"/>
  <c r="AB297" i="1"/>
  <c r="AB425" i="1"/>
  <c r="AB553" i="1"/>
  <c r="AB681" i="1"/>
  <c r="AB809" i="1"/>
  <c r="AB937" i="1"/>
  <c r="AB1065" i="1"/>
  <c r="AB10" i="1"/>
  <c r="AB42" i="1"/>
  <c r="AB74" i="1"/>
  <c r="AB106" i="1"/>
  <c r="AB138" i="1"/>
  <c r="AB170" i="1"/>
  <c r="AB202" i="1"/>
  <c r="AB234" i="1"/>
  <c r="AB266" i="1"/>
  <c r="AB322" i="1"/>
  <c r="AB450" i="1"/>
  <c r="AB578" i="1"/>
  <c r="AB706" i="1"/>
  <c r="AB834" i="1"/>
  <c r="AB962" i="1"/>
  <c r="AB1090" i="1"/>
  <c r="AB11" i="1"/>
  <c r="AB43" i="1"/>
  <c r="AB75" i="1"/>
  <c r="AB107" i="1"/>
  <c r="AB139" i="1"/>
  <c r="AB171" i="1"/>
  <c r="AB203" i="1"/>
  <c r="AB235" i="1"/>
  <c r="AB267" i="1"/>
  <c r="AB329" i="1"/>
  <c r="AB457" i="1"/>
  <c r="AB585" i="1"/>
  <c r="AB713" i="1"/>
  <c r="AB841" i="1"/>
  <c r="AB969" i="1"/>
  <c r="AB1097" i="1"/>
  <c r="AB18" i="1"/>
  <c r="AB50" i="1"/>
  <c r="AB82" i="1"/>
  <c r="AB114" i="1"/>
  <c r="AB146" i="1"/>
  <c r="AB178" i="1"/>
  <c r="AB210" i="1"/>
  <c r="AB242" i="1"/>
  <c r="AB274" i="1"/>
  <c r="AB354" i="1"/>
  <c r="AB482" i="1"/>
  <c r="AB610" i="1"/>
  <c r="AB738" i="1"/>
  <c r="AB866" i="1"/>
  <c r="AB994" i="1"/>
  <c r="AB1122" i="1"/>
  <c r="AE1165" i="1"/>
  <c r="AE1157" i="1"/>
  <c r="AE1149" i="1"/>
  <c r="AE1141" i="1"/>
  <c r="AE1133" i="1"/>
  <c r="AE1125" i="1"/>
  <c r="AE1117" i="1"/>
  <c r="AE1109" i="1"/>
  <c r="AE1101" i="1"/>
  <c r="AE1093" i="1"/>
  <c r="AE1085" i="1"/>
  <c r="AE1077" i="1"/>
  <c r="AE1069" i="1"/>
  <c r="AE1061" i="1"/>
  <c r="AE1053" i="1"/>
  <c r="AE1045" i="1"/>
  <c r="AE1037" i="1"/>
  <c r="AE1029" i="1"/>
  <c r="AE1021" i="1"/>
  <c r="AE1013" i="1"/>
  <c r="AE1005" i="1"/>
  <c r="AE997" i="1"/>
  <c r="AE989" i="1"/>
  <c r="AE981" i="1"/>
  <c r="AE973" i="1"/>
  <c r="AE965" i="1"/>
  <c r="AE957" i="1"/>
  <c r="AE949" i="1"/>
  <c r="AE941" i="1"/>
  <c r="AE933" i="1"/>
  <c r="AE925" i="1"/>
  <c r="AE917" i="1"/>
  <c r="AE909" i="1"/>
  <c r="AE901" i="1"/>
  <c r="AE893" i="1"/>
  <c r="AE885" i="1"/>
  <c r="AE877" i="1"/>
  <c r="AE869" i="1"/>
  <c r="AE861" i="1"/>
  <c r="AE853" i="1"/>
  <c r="AE845" i="1"/>
  <c r="AE837" i="1"/>
  <c r="AE829" i="1"/>
  <c r="AE821" i="1"/>
  <c r="AE813" i="1"/>
  <c r="AE805" i="1"/>
  <c r="AE1164" i="1"/>
  <c r="AE1156" i="1"/>
  <c r="AE1148" i="1"/>
  <c r="AE1140" i="1"/>
  <c r="AE1132" i="1"/>
  <c r="AE1124" i="1"/>
  <c r="AE1116" i="1"/>
  <c r="AE1108" i="1"/>
  <c r="AE1100" i="1"/>
  <c r="AE1092" i="1"/>
  <c r="AE1084" i="1"/>
  <c r="AE1076" i="1"/>
  <c r="AE1068" i="1"/>
  <c r="AE1060" i="1"/>
  <c r="AE1052" i="1"/>
  <c r="AE1044" i="1"/>
  <c r="AE1036" i="1"/>
  <c r="AE1028" i="1"/>
  <c r="AE1020" i="1"/>
  <c r="AE1012" i="1"/>
  <c r="AE1004" i="1"/>
  <c r="AE1163" i="1"/>
  <c r="AE1155" i="1"/>
  <c r="AE1147" i="1"/>
  <c r="AE1139" i="1"/>
  <c r="AE1131" i="1"/>
  <c r="AE1123" i="1"/>
  <c r="AE1115" i="1"/>
  <c r="AE1107" i="1"/>
  <c r="AE1099" i="1"/>
  <c r="AE1091" i="1"/>
  <c r="AE1083" i="1"/>
  <c r="AE1075" i="1"/>
  <c r="AE1067" i="1"/>
  <c r="AE1059" i="1"/>
  <c r="AE1051" i="1"/>
  <c r="AE1043" i="1"/>
  <c r="AE1035" i="1"/>
  <c r="AE1027" i="1"/>
  <c r="AE1019" i="1"/>
  <c r="AE1011" i="1"/>
  <c r="AE1162" i="1"/>
  <c r="AE1154" i="1"/>
  <c r="AE1146" i="1"/>
  <c r="AE1138" i="1"/>
  <c r="AE1130" i="1"/>
  <c r="AE1122" i="1"/>
  <c r="AE1114" i="1"/>
  <c r="AE1106" i="1"/>
  <c r="AE1098" i="1"/>
  <c r="AE1090" i="1"/>
  <c r="AE1082" i="1"/>
  <c r="AE1074" i="1"/>
  <c r="AE1066" i="1"/>
  <c r="AE1058" i="1"/>
  <c r="AE1050" i="1"/>
  <c r="AE1042" i="1"/>
  <c r="AE1034" i="1"/>
  <c r="AE1026" i="1"/>
  <c r="AE1018" i="1"/>
  <c r="AE1010" i="1"/>
  <c r="AE1002" i="1"/>
  <c r="AE994" i="1"/>
  <c r="AE986" i="1"/>
  <c r="AE978" i="1"/>
  <c r="AE970" i="1"/>
  <c r="AE962" i="1"/>
  <c r="AE954" i="1"/>
  <c r="AE946" i="1"/>
  <c r="AE938" i="1"/>
  <c r="AE930" i="1"/>
  <c r="AE922" i="1"/>
  <c r="AE1158" i="1"/>
  <c r="AE1142" i="1"/>
  <c r="AE1126" i="1"/>
  <c r="AE1110" i="1"/>
  <c r="AE1094" i="1"/>
  <c r="AE1078" i="1"/>
  <c r="AE1062" i="1"/>
  <c r="AE1046" i="1"/>
  <c r="AE1030" i="1"/>
  <c r="AE1014" i="1"/>
  <c r="AE999" i="1"/>
  <c r="AE988" i="1"/>
  <c r="AE977" i="1"/>
  <c r="AE967" i="1"/>
  <c r="AE956" i="1"/>
  <c r="AE945" i="1"/>
  <c r="AE935" i="1"/>
  <c r="AE924" i="1"/>
  <c r="AE914" i="1"/>
  <c r="AE905" i="1"/>
  <c r="AE896" i="1"/>
  <c r="AE887" i="1"/>
  <c r="AE878" i="1"/>
  <c r="AE868" i="1"/>
  <c r="AE859" i="1"/>
  <c r="AE850" i="1"/>
  <c r="AE841" i="1"/>
  <c r="AE832" i="1"/>
  <c r="AE823" i="1"/>
  <c r="AE814" i="1"/>
  <c r="AE804" i="1"/>
  <c r="AE796" i="1"/>
  <c r="AE788" i="1"/>
  <c r="AE780" i="1"/>
  <c r="AE772" i="1"/>
  <c r="AE764" i="1"/>
  <c r="AE756" i="1"/>
  <c r="AE748" i="1"/>
  <c r="AE740" i="1"/>
  <c r="AE732" i="1"/>
  <c r="AE724" i="1"/>
  <c r="AE716" i="1"/>
  <c r="AE708" i="1"/>
  <c r="AE700" i="1"/>
  <c r="AE692" i="1"/>
  <c r="AE684" i="1"/>
  <c r="AE676" i="1"/>
  <c r="AE668" i="1"/>
  <c r="AE660" i="1"/>
  <c r="AE652" i="1"/>
  <c r="AE644" i="1"/>
  <c r="AE636" i="1"/>
  <c r="AE628" i="1"/>
  <c r="AE620" i="1"/>
  <c r="AE612" i="1"/>
  <c r="AE604" i="1"/>
  <c r="AE596" i="1"/>
  <c r="AE588" i="1"/>
  <c r="AE580" i="1"/>
  <c r="AE572" i="1"/>
  <c r="AE564" i="1"/>
  <c r="AE556" i="1"/>
  <c r="AE548" i="1"/>
  <c r="AE540" i="1"/>
  <c r="AE532" i="1"/>
  <c r="AE524" i="1"/>
  <c r="AE516" i="1"/>
  <c r="AE508" i="1"/>
  <c r="AE500" i="1"/>
  <c r="AE492" i="1"/>
  <c r="AE484" i="1"/>
  <c r="AE476" i="1"/>
  <c r="AE468" i="1"/>
  <c r="AE460" i="1"/>
  <c r="AE452" i="1"/>
  <c r="AE444" i="1"/>
  <c r="AE436" i="1"/>
  <c r="AE428" i="1"/>
  <c r="AE420" i="1"/>
  <c r="AE412" i="1"/>
  <c r="AE404" i="1"/>
  <c r="AE396" i="1"/>
  <c r="AE388" i="1"/>
  <c r="AE380" i="1"/>
  <c r="AE372" i="1"/>
  <c r="AE364" i="1"/>
  <c r="AE356" i="1"/>
  <c r="AE348" i="1"/>
  <c r="AE340" i="1"/>
  <c r="AE332" i="1"/>
  <c r="AE324" i="1"/>
  <c r="AE316" i="1"/>
  <c r="AE308" i="1"/>
  <c r="AE300" i="1"/>
  <c r="AE292" i="1"/>
  <c r="AE284" i="1"/>
  <c r="AE276" i="1"/>
  <c r="AE268" i="1"/>
  <c r="AE260" i="1"/>
  <c r="AE252" i="1"/>
  <c r="AE244" i="1"/>
  <c r="AE236" i="1"/>
  <c r="AE228" i="1"/>
  <c r="AE220" i="1"/>
  <c r="AE212" i="1"/>
  <c r="AE204" i="1"/>
  <c r="AE196" i="1"/>
  <c r="AE188" i="1"/>
  <c r="AE180" i="1"/>
  <c r="AE172" i="1"/>
  <c r="AE164" i="1"/>
  <c r="AE156" i="1"/>
  <c r="AE148" i="1"/>
  <c r="AE140" i="1"/>
  <c r="AE1152" i="1"/>
  <c r="AE1136" i="1"/>
  <c r="AE1120" i="1"/>
  <c r="AE1104" i="1"/>
  <c r="AE1088" i="1"/>
  <c r="AE1072" i="1"/>
  <c r="AE1056" i="1"/>
  <c r="AE1040" i="1"/>
  <c r="AE1024" i="1"/>
  <c r="AE1008" i="1"/>
  <c r="AE996" i="1"/>
  <c r="AE985" i="1"/>
  <c r="AE975" i="1"/>
  <c r="AE964" i="1"/>
  <c r="AE953" i="1"/>
  <c r="AE943" i="1"/>
  <c r="AE932" i="1"/>
  <c r="AE921" i="1"/>
  <c r="AE912" i="1"/>
  <c r="AE903" i="1"/>
  <c r="AE894" i="1"/>
  <c r="AE884" i="1"/>
  <c r="AE875" i="1"/>
  <c r="AE866" i="1"/>
  <c r="AE857" i="1"/>
  <c r="AE848" i="1"/>
  <c r="AE839" i="1"/>
  <c r="AE830" i="1"/>
  <c r="AE820" i="1"/>
  <c r="AE811" i="1"/>
  <c r="AE802" i="1"/>
  <c r="AE794" i="1"/>
  <c r="AE786" i="1"/>
  <c r="AE778" i="1"/>
  <c r="AE770" i="1"/>
  <c r="AE762" i="1"/>
  <c r="AE754" i="1"/>
  <c r="AE746" i="1"/>
  <c r="AE738" i="1"/>
  <c r="AE730" i="1"/>
  <c r="AE722" i="1"/>
  <c r="AE714" i="1"/>
  <c r="AE706" i="1"/>
  <c r="AE698" i="1"/>
  <c r="AE690" i="1"/>
  <c r="AE682" i="1"/>
  <c r="AE674" i="1"/>
  <c r="AE666" i="1"/>
  <c r="AE658" i="1"/>
  <c r="AE650" i="1"/>
  <c r="AE642" i="1"/>
  <c r="AE634" i="1"/>
  <c r="AE626" i="1"/>
  <c r="AE618" i="1"/>
  <c r="AE610" i="1"/>
  <c r="AE602" i="1"/>
  <c r="AE594" i="1"/>
  <c r="AE586" i="1"/>
  <c r="AE578" i="1"/>
  <c r="AE570" i="1"/>
  <c r="AE562" i="1"/>
  <c r="AE554" i="1"/>
  <c r="AE546" i="1"/>
  <c r="AE538" i="1"/>
  <c r="AE530" i="1"/>
  <c r="AE522" i="1"/>
  <c r="AE514" i="1"/>
  <c r="AE506" i="1"/>
  <c r="AE498" i="1"/>
  <c r="AE490" i="1"/>
  <c r="AE482" i="1"/>
  <c r="AE474" i="1"/>
  <c r="AE466" i="1"/>
  <c r="AE458" i="1"/>
  <c r="AE450" i="1"/>
  <c r="AE442" i="1"/>
  <c r="AE434" i="1"/>
  <c r="AE426" i="1"/>
  <c r="AE418" i="1"/>
  <c r="AE410" i="1"/>
  <c r="AE402" i="1"/>
  <c r="AE394" i="1"/>
  <c r="AE386" i="1"/>
  <c r="AE378" i="1"/>
  <c r="AE370" i="1"/>
  <c r="AE362" i="1"/>
  <c r="AE354" i="1"/>
  <c r="AE346" i="1"/>
  <c r="AE338" i="1"/>
  <c r="AE330" i="1"/>
  <c r="AE322" i="1"/>
  <c r="AE314" i="1"/>
  <c r="AE306" i="1"/>
  <c r="AE298" i="1"/>
  <c r="AE290" i="1"/>
  <c r="AE282" i="1"/>
  <c r="AE274" i="1"/>
  <c r="AE266" i="1"/>
  <c r="AE258" i="1"/>
  <c r="AE250" i="1"/>
  <c r="AE242" i="1"/>
  <c r="AE234" i="1"/>
  <c r="AE226" i="1"/>
  <c r="AE218" i="1"/>
  <c r="AE210" i="1"/>
  <c r="AE202" i="1"/>
  <c r="AE194" i="1"/>
  <c r="AE186" i="1"/>
  <c r="AE178" i="1"/>
  <c r="AE170" i="1"/>
  <c r="AE162" i="1"/>
  <c r="AE154" i="1"/>
  <c r="AE146" i="1"/>
  <c r="AE1167" i="1"/>
  <c r="AE1151" i="1"/>
  <c r="AE1135" i="1"/>
  <c r="AE1119" i="1"/>
  <c r="AE1103" i="1"/>
  <c r="AE1087" i="1"/>
  <c r="AE1071" i="1"/>
  <c r="AE1055" i="1"/>
  <c r="AE1039" i="1"/>
  <c r="AE1023" i="1"/>
  <c r="AE1007" i="1"/>
  <c r="AE995" i="1"/>
  <c r="AE984" i="1"/>
  <c r="AE974" i="1"/>
  <c r="AE963" i="1"/>
  <c r="AE952" i="1"/>
  <c r="AE942" i="1"/>
  <c r="AE931" i="1"/>
  <c r="AE920" i="1"/>
  <c r="AE911" i="1"/>
  <c r="AE902" i="1"/>
  <c r="AE892" i="1"/>
  <c r="AE883" i="1"/>
  <c r="AE874" i="1"/>
  <c r="AE865" i="1"/>
  <c r="AE856" i="1"/>
  <c r="AE847" i="1"/>
  <c r="AE838" i="1"/>
  <c r="AE828" i="1"/>
  <c r="AE819" i="1"/>
  <c r="AE810" i="1"/>
  <c r="AE801" i="1"/>
  <c r="AE793" i="1"/>
  <c r="AE785" i="1"/>
  <c r="AE777" i="1"/>
  <c r="AE769" i="1"/>
  <c r="AE761" i="1"/>
  <c r="AE753" i="1"/>
  <c r="AE745" i="1"/>
  <c r="AE737" i="1"/>
  <c r="AE729" i="1"/>
  <c r="AE721" i="1"/>
  <c r="AE713" i="1"/>
  <c r="AE705" i="1"/>
  <c r="AE697" i="1"/>
  <c r="AE689" i="1"/>
  <c r="AE681" i="1"/>
  <c r="AE673" i="1"/>
  <c r="AE665" i="1"/>
  <c r="AE657" i="1"/>
  <c r="AE649" i="1"/>
  <c r="AE641" i="1"/>
  <c r="AE633" i="1"/>
  <c r="AE625" i="1"/>
  <c r="AE617" i="1"/>
  <c r="AE609" i="1"/>
  <c r="AE601" i="1"/>
  <c r="AE593" i="1"/>
  <c r="AE585" i="1"/>
  <c r="AE577" i="1"/>
  <c r="AE569" i="1"/>
  <c r="AE561" i="1"/>
  <c r="AE553" i="1"/>
  <c r="AE545" i="1"/>
  <c r="AE537" i="1"/>
  <c r="AE529" i="1"/>
  <c r="AE521" i="1"/>
  <c r="AE513" i="1"/>
  <c r="AE505" i="1"/>
  <c r="AE497" i="1"/>
  <c r="AE489" i="1"/>
  <c r="AE481" i="1"/>
  <c r="AE473" i="1"/>
  <c r="AE465" i="1"/>
  <c r="AE457" i="1"/>
  <c r="AE449" i="1"/>
  <c r="AE441" i="1"/>
  <c r="AE433" i="1"/>
  <c r="AE425" i="1"/>
  <c r="AE417" i="1"/>
  <c r="AE409" i="1"/>
  <c r="AE401" i="1"/>
  <c r="AE393" i="1"/>
  <c r="AE385" i="1"/>
  <c r="AE377" i="1"/>
  <c r="AE369" i="1"/>
  <c r="AE361" i="1"/>
  <c r="AE353" i="1"/>
  <c r="AE345" i="1"/>
  <c r="AE337" i="1"/>
  <c r="AE329" i="1"/>
  <c r="AE321" i="1"/>
  <c r="AE313" i="1"/>
  <c r="AE305" i="1"/>
  <c r="AE297" i="1"/>
  <c r="AE289" i="1"/>
  <c r="AE281" i="1"/>
  <c r="AE273" i="1"/>
  <c r="AE265" i="1"/>
  <c r="AE257" i="1"/>
  <c r="AE249" i="1"/>
  <c r="AE241" i="1"/>
  <c r="AE233" i="1"/>
  <c r="AE225" i="1"/>
  <c r="AE217" i="1"/>
  <c r="AE209" i="1"/>
  <c r="AE201" i="1"/>
  <c r="AE193" i="1"/>
  <c r="AE185" i="1"/>
  <c r="AE177" i="1"/>
  <c r="AE169" i="1"/>
  <c r="AE161" i="1"/>
  <c r="AE153" i="1"/>
  <c r="AE145" i="1"/>
  <c r="AE1166" i="1"/>
  <c r="AE1150" i="1"/>
  <c r="AE1134" i="1"/>
  <c r="AE1118" i="1"/>
  <c r="AE1102" i="1"/>
  <c r="AE1086" i="1"/>
  <c r="AE1070" i="1"/>
  <c r="AE1054" i="1"/>
  <c r="AE1038" i="1"/>
  <c r="AE1022" i="1"/>
  <c r="AE1006" i="1"/>
  <c r="AE993" i="1"/>
  <c r="AE983" i="1"/>
  <c r="AE972" i="1"/>
  <c r="AE961" i="1"/>
  <c r="AE951" i="1"/>
  <c r="AE940" i="1"/>
  <c r="AE929" i="1"/>
  <c r="AE919" i="1"/>
  <c r="AE910" i="1"/>
  <c r="AE900" i="1"/>
  <c r="AE891" i="1"/>
  <c r="AE882" i="1"/>
  <c r="AE873" i="1"/>
  <c r="AE864" i="1"/>
  <c r="AE855" i="1"/>
  <c r="AE846" i="1"/>
  <c r="AE836" i="1"/>
  <c r="AE827" i="1"/>
  <c r="AE818" i="1"/>
  <c r="AE809" i="1"/>
  <c r="AE800" i="1"/>
  <c r="AE792" i="1"/>
  <c r="AE784" i="1"/>
  <c r="AE776" i="1"/>
  <c r="AE768" i="1"/>
  <c r="AE760" i="1"/>
  <c r="AE752" i="1"/>
  <c r="AE744" i="1"/>
  <c r="AE736" i="1"/>
  <c r="AE728" i="1"/>
  <c r="AE720" i="1"/>
  <c r="AE712" i="1"/>
  <c r="AE704" i="1"/>
  <c r="AE696" i="1"/>
  <c r="AE688" i="1"/>
  <c r="AE680" i="1"/>
  <c r="AE672" i="1"/>
  <c r="AE664" i="1"/>
  <c r="AE656" i="1"/>
  <c r="AE648" i="1"/>
  <c r="AE640" i="1"/>
  <c r="AE632" i="1"/>
  <c r="AE624" i="1"/>
  <c r="AE616" i="1"/>
  <c r="AE608" i="1"/>
  <c r="AE600" i="1"/>
  <c r="AE592" i="1"/>
  <c r="AE584" i="1"/>
  <c r="AE576" i="1"/>
  <c r="AE568" i="1"/>
  <c r="AE560" i="1"/>
  <c r="AE552" i="1"/>
  <c r="AE544" i="1"/>
  <c r="AE536" i="1"/>
  <c r="AE528" i="1"/>
  <c r="AE520" i="1"/>
  <c r="AE512" i="1"/>
  <c r="AE504" i="1"/>
  <c r="AE496" i="1"/>
  <c r="AE488" i="1"/>
  <c r="AE480" i="1"/>
  <c r="AE472" i="1"/>
  <c r="AE464" i="1"/>
  <c r="AE456" i="1"/>
  <c r="AE448" i="1"/>
  <c r="AE440" i="1"/>
  <c r="AE432" i="1"/>
  <c r="AE424" i="1"/>
  <c r="AE416" i="1"/>
  <c r="AE408" i="1"/>
  <c r="AE400" i="1"/>
  <c r="AE392" i="1"/>
  <c r="AE384" i="1"/>
  <c r="AE376" i="1"/>
  <c r="AE368" i="1"/>
  <c r="AE360" i="1"/>
  <c r="AE352" i="1"/>
  <c r="AE344" i="1"/>
  <c r="AE336" i="1"/>
  <c r="AE328" i="1"/>
  <c r="AE320" i="1"/>
  <c r="AE312" i="1"/>
  <c r="AE304" i="1"/>
  <c r="AE296" i="1"/>
  <c r="AE288" i="1"/>
  <c r="AE280" i="1"/>
  <c r="AE272" i="1"/>
  <c r="AE264" i="1"/>
  <c r="AE256" i="1"/>
  <c r="AE248" i="1"/>
  <c r="AE240" i="1"/>
  <c r="AE232" i="1"/>
  <c r="AE224" i="1"/>
  <c r="AE216" i="1"/>
  <c r="AE208" i="1"/>
  <c r="AE200" i="1"/>
  <c r="AE192" i="1"/>
  <c r="AE184" i="1"/>
  <c r="AE176" i="1"/>
  <c r="AE168" i="1"/>
  <c r="AE160" i="1"/>
  <c r="AE152" i="1"/>
  <c r="AE144" i="1"/>
  <c r="AE1159" i="1"/>
  <c r="AE1143" i="1"/>
  <c r="AE1127" i="1"/>
  <c r="AE1111" i="1"/>
  <c r="AE1095" i="1"/>
  <c r="AE1079" i="1"/>
  <c r="AE1063" i="1"/>
  <c r="AE1047" i="1"/>
  <c r="AE1031" i="1"/>
  <c r="AE1015" i="1"/>
  <c r="AE1000" i="1"/>
  <c r="AE990" i="1"/>
  <c r="AE979" i="1"/>
  <c r="AE968" i="1"/>
  <c r="AE958" i="1"/>
  <c r="AE947" i="1"/>
  <c r="AE936" i="1"/>
  <c r="AE926" i="1"/>
  <c r="AE915" i="1"/>
  <c r="AE906" i="1"/>
  <c r="AE897" i="1"/>
  <c r="AE888" i="1"/>
  <c r="AE879" i="1"/>
  <c r="AE870" i="1"/>
  <c r="AE860" i="1"/>
  <c r="AE851" i="1"/>
  <c r="AE842" i="1"/>
  <c r="AE833" i="1"/>
  <c r="AE824" i="1"/>
  <c r="AE815" i="1"/>
  <c r="AE806" i="1"/>
  <c r="AE797" i="1"/>
  <c r="AE789" i="1"/>
  <c r="AE781" i="1"/>
  <c r="AE773" i="1"/>
  <c r="AE765" i="1"/>
  <c r="AE757" i="1"/>
  <c r="AE749" i="1"/>
  <c r="AE741" i="1"/>
  <c r="AE733" i="1"/>
  <c r="AE725" i="1"/>
  <c r="AE717" i="1"/>
  <c r="AE709" i="1"/>
  <c r="AE701" i="1"/>
  <c r="AE693" i="1"/>
  <c r="AE685" i="1"/>
  <c r="AE677" i="1"/>
  <c r="AE669" i="1"/>
  <c r="AE661" i="1"/>
  <c r="AE653" i="1"/>
  <c r="AE645" i="1"/>
  <c r="AE637" i="1"/>
  <c r="AE629" i="1"/>
  <c r="AE621" i="1"/>
  <c r="AE613" i="1"/>
  <c r="AE605" i="1"/>
  <c r="AE597" i="1"/>
  <c r="AE589" i="1"/>
  <c r="AE581" i="1"/>
  <c r="AE573" i="1"/>
  <c r="AE565" i="1"/>
  <c r="AE557" i="1"/>
  <c r="AE549" i="1"/>
  <c r="AE541" i="1"/>
  <c r="AE533" i="1"/>
  <c r="AE525" i="1"/>
  <c r="AE517" i="1"/>
  <c r="AE509" i="1"/>
  <c r="AE501" i="1"/>
  <c r="AE493" i="1"/>
  <c r="AE485" i="1"/>
  <c r="AE477" i="1"/>
  <c r="AE469" i="1"/>
  <c r="AE461" i="1"/>
  <c r="AE453" i="1"/>
  <c r="AE445" i="1"/>
  <c r="AE437" i="1"/>
  <c r="AE429" i="1"/>
  <c r="AE421" i="1"/>
  <c r="AE413" i="1"/>
  <c r="AE405" i="1"/>
  <c r="AE397" i="1"/>
  <c r="AE389" i="1"/>
  <c r="AE381" i="1"/>
  <c r="AE373" i="1"/>
  <c r="AE365" i="1"/>
  <c r="AE357" i="1"/>
  <c r="AE349" i="1"/>
  <c r="AE341" i="1"/>
  <c r="AE333" i="1"/>
  <c r="AE325" i="1"/>
  <c r="AE317" i="1"/>
  <c r="AE309" i="1"/>
  <c r="AE301" i="1"/>
  <c r="AE293" i="1"/>
  <c r="AE285" i="1"/>
  <c r="AE277" i="1"/>
  <c r="AE269" i="1"/>
  <c r="AE261" i="1"/>
  <c r="AE253" i="1"/>
  <c r="AE245" i="1"/>
  <c r="AE237" i="1"/>
  <c r="AE229" i="1"/>
  <c r="AE221" i="1"/>
  <c r="AE213" i="1"/>
  <c r="AE205" i="1"/>
  <c r="AE197" i="1"/>
  <c r="AE189" i="1"/>
  <c r="AE181" i="1"/>
  <c r="AE173" i="1"/>
  <c r="AE165" i="1"/>
  <c r="AE157" i="1"/>
  <c r="AE149" i="1"/>
  <c r="AE10" i="1"/>
  <c r="AE18" i="1"/>
  <c r="AE26" i="1"/>
  <c r="AE34" i="1"/>
  <c r="AE42" i="1"/>
  <c r="AE50" i="1"/>
  <c r="AE58" i="1"/>
  <c r="AE66" i="1"/>
  <c r="AE74" i="1"/>
  <c r="AE82" i="1"/>
  <c r="AE90" i="1"/>
  <c r="AE98" i="1"/>
  <c r="AE106" i="1"/>
  <c r="AE114" i="1"/>
  <c r="AE122" i="1"/>
  <c r="AE130" i="1"/>
  <c r="AE138" i="1"/>
  <c r="AE155" i="1"/>
  <c r="AE175" i="1"/>
  <c r="AE198" i="1"/>
  <c r="AE219" i="1"/>
  <c r="AE239" i="1"/>
  <c r="AE262" i="1"/>
  <c r="AE283" i="1"/>
  <c r="AE303" i="1"/>
  <c r="AE326" i="1"/>
  <c r="AE347" i="1"/>
  <c r="AE367" i="1"/>
  <c r="AE390" i="1"/>
  <c r="AE411" i="1"/>
  <c r="AE431" i="1"/>
  <c r="AE454" i="1"/>
  <c r="AE475" i="1"/>
  <c r="AE495" i="1"/>
  <c r="AE518" i="1"/>
  <c r="AE539" i="1"/>
  <c r="AE559" i="1"/>
  <c r="AE582" i="1"/>
  <c r="AE603" i="1"/>
  <c r="AE623" i="1"/>
  <c r="AE646" i="1"/>
  <c r="AE667" i="1"/>
  <c r="AE687" i="1"/>
  <c r="AE710" i="1"/>
  <c r="AE731" i="1"/>
  <c r="AE751" i="1"/>
  <c r="AE774" i="1"/>
  <c r="AE795" i="1"/>
  <c r="AE817" i="1"/>
  <c r="AE843" i="1"/>
  <c r="AE867" i="1"/>
  <c r="AE890" i="1"/>
  <c r="AE916" i="1"/>
  <c r="AE944" i="1"/>
  <c r="AE971" i="1"/>
  <c r="AE1001" i="1"/>
  <c r="AE1041" i="1"/>
  <c r="AE1081" i="1"/>
  <c r="AE1128" i="1"/>
  <c r="AE4" i="1"/>
  <c r="AE12" i="1"/>
  <c r="AE20" i="1"/>
  <c r="AE28" i="1"/>
  <c r="AE36" i="1"/>
  <c r="AE44" i="1"/>
  <c r="AE52" i="1"/>
  <c r="AE60" i="1"/>
  <c r="AE68" i="1"/>
  <c r="AE76" i="1"/>
  <c r="AE84" i="1"/>
  <c r="AE92" i="1"/>
  <c r="AE100" i="1"/>
  <c r="AE108" i="1"/>
  <c r="AE116" i="1"/>
  <c r="AE124" i="1"/>
  <c r="AE132" i="1"/>
  <c r="AE141" i="1"/>
  <c r="AE159" i="1"/>
  <c r="AE182" i="1"/>
  <c r="AE203" i="1"/>
  <c r="AE223" i="1"/>
  <c r="AE246" i="1"/>
  <c r="AE267" i="1"/>
  <c r="AE287" i="1"/>
  <c r="AE310" i="1"/>
  <c r="AE331" i="1"/>
  <c r="AE351" i="1"/>
  <c r="AE374" i="1"/>
  <c r="AE395" i="1"/>
  <c r="AE415" i="1"/>
  <c r="AE438" i="1"/>
  <c r="AE459" i="1"/>
  <c r="AE479" i="1"/>
  <c r="AE502" i="1"/>
  <c r="AE523" i="1"/>
  <c r="AE543" i="1"/>
  <c r="AE566" i="1"/>
  <c r="AE587" i="1"/>
  <c r="AE607" i="1"/>
  <c r="AE630" i="1"/>
  <c r="AE651" i="1"/>
  <c r="AE671" i="1"/>
  <c r="AE694" i="1"/>
  <c r="AE715" i="1"/>
  <c r="AE735" i="1"/>
  <c r="AE758" i="1"/>
  <c r="AE779" i="1"/>
  <c r="AE799" i="1"/>
  <c r="AE825" i="1"/>
  <c r="AE849" i="1"/>
  <c r="AE872" i="1"/>
  <c r="AE898" i="1"/>
  <c r="AE923" i="1"/>
  <c r="AE950" i="1"/>
  <c r="AE980" i="1"/>
  <c r="AE1009" i="1"/>
  <c r="AE1049" i="1"/>
  <c r="AE1096" i="1"/>
  <c r="AE1137" i="1"/>
  <c r="AE5" i="1"/>
  <c r="AE13" i="1"/>
  <c r="AE21" i="1"/>
  <c r="AE29" i="1"/>
  <c r="AE37" i="1"/>
  <c r="AE45" i="1"/>
  <c r="AE53" i="1"/>
  <c r="AE61" i="1"/>
  <c r="AE69" i="1"/>
  <c r="AE77" i="1"/>
  <c r="AE85" i="1"/>
  <c r="AE93" i="1"/>
  <c r="AE101" i="1"/>
  <c r="AE109" i="1"/>
  <c r="AE117" i="1"/>
  <c r="AE125" i="1"/>
  <c r="AE133" i="1"/>
  <c r="AE142" i="1"/>
  <c r="AE163" i="1"/>
  <c r="AE183" i="1"/>
  <c r="AE206" i="1"/>
  <c r="AE227" i="1"/>
  <c r="AE247" i="1"/>
  <c r="AE270" i="1"/>
  <c r="AE291" i="1"/>
  <c r="AE311" i="1"/>
  <c r="AE334" i="1"/>
  <c r="AE355" i="1"/>
  <c r="AE375" i="1"/>
  <c r="AE398" i="1"/>
  <c r="AE419" i="1"/>
  <c r="AE439" i="1"/>
  <c r="AE462" i="1"/>
  <c r="AE483" i="1"/>
  <c r="AE503" i="1"/>
  <c r="AE526" i="1"/>
  <c r="AE547" i="1"/>
  <c r="AE567" i="1"/>
  <c r="AE590" i="1"/>
  <c r="AE611" i="1"/>
  <c r="AE631" i="1"/>
  <c r="AE654" i="1"/>
  <c r="AE675" i="1"/>
  <c r="AE695" i="1"/>
  <c r="AE718" i="1"/>
  <c r="AE739" i="1"/>
  <c r="AE759" i="1"/>
  <c r="AE782" i="1"/>
  <c r="AE803" i="1"/>
  <c r="AE826" i="1"/>
  <c r="AE852" i="1"/>
  <c r="AE876" i="1"/>
  <c r="AE899" i="1"/>
  <c r="AE927" i="1"/>
  <c r="AE955" i="1"/>
  <c r="AE982" i="1"/>
  <c r="AE1016" i="1"/>
  <c r="AE1057" i="1"/>
  <c r="AE1097" i="1"/>
  <c r="AE1144" i="1"/>
  <c r="AE6" i="1"/>
  <c r="AE14" i="1"/>
  <c r="AE22" i="1"/>
  <c r="AE30" i="1"/>
  <c r="AE38" i="1"/>
  <c r="AE46" i="1"/>
  <c r="AE54" i="1"/>
  <c r="AE62" i="1"/>
  <c r="AE70" i="1"/>
  <c r="AE78" i="1"/>
  <c r="AE86" i="1"/>
  <c r="AE94" i="1"/>
  <c r="AE102" i="1"/>
  <c r="AE110" i="1"/>
  <c r="AE118" i="1"/>
  <c r="AE126" i="1"/>
  <c r="AE134" i="1"/>
  <c r="AE143" i="1"/>
  <c r="AE166" i="1"/>
  <c r="AE187" i="1"/>
  <c r="AE207" i="1"/>
  <c r="AE230" i="1"/>
  <c r="AE251" i="1"/>
  <c r="AE271" i="1"/>
  <c r="AE294" i="1"/>
  <c r="AE315" i="1"/>
  <c r="AE335" i="1"/>
  <c r="AE358" i="1"/>
  <c r="AE379" i="1"/>
  <c r="AE399" i="1"/>
  <c r="AE422" i="1"/>
  <c r="AE443" i="1"/>
  <c r="AE463" i="1"/>
  <c r="AE486" i="1"/>
  <c r="AE507" i="1"/>
  <c r="AE527" i="1"/>
  <c r="AE550" i="1"/>
  <c r="AE571" i="1"/>
  <c r="AE591" i="1"/>
  <c r="AE614" i="1"/>
  <c r="AE635" i="1"/>
  <c r="AE655" i="1"/>
  <c r="AE678" i="1"/>
  <c r="AE699" i="1"/>
  <c r="AE719" i="1"/>
  <c r="AE742" i="1"/>
  <c r="AE763" i="1"/>
  <c r="AE783" i="1"/>
  <c r="AE807" i="1"/>
  <c r="AE831" i="1"/>
  <c r="AE854" i="1"/>
  <c r="AE880" i="1"/>
  <c r="AE904" i="1"/>
  <c r="AE928" i="1"/>
  <c r="AE959" i="1"/>
  <c r="AE987" i="1"/>
  <c r="AE1017" i="1"/>
  <c r="AE1064" i="1"/>
  <c r="AE1105" i="1"/>
  <c r="AE1145" i="1"/>
  <c r="AE7" i="1"/>
  <c r="AE15" i="1"/>
  <c r="AE23" i="1"/>
  <c r="AE31" i="1"/>
  <c r="AE39" i="1"/>
  <c r="AE47" i="1"/>
  <c r="AE55" i="1"/>
  <c r="AE63" i="1"/>
  <c r="AE71" i="1"/>
  <c r="AE79" i="1"/>
  <c r="AE87" i="1"/>
  <c r="AE95" i="1"/>
  <c r="AE103" i="1"/>
  <c r="AE111" i="1"/>
  <c r="AE119" i="1"/>
  <c r="AE127" i="1"/>
  <c r="AE135" i="1"/>
  <c r="AE147" i="1"/>
  <c r="AE167" i="1"/>
  <c r="AE190" i="1"/>
  <c r="AE211" i="1"/>
  <c r="AE231" i="1"/>
  <c r="AE254" i="1"/>
  <c r="AE275" i="1"/>
  <c r="AE295" i="1"/>
  <c r="AE318" i="1"/>
  <c r="AE339" i="1"/>
  <c r="AE359" i="1"/>
  <c r="AE382" i="1"/>
  <c r="AE403" i="1"/>
  <c r="AE423" i="1"/>
  <c r="AE446" i="1"/>
  <c r="AE467" i="1"/>
  <c r="AE487" i="1"/>
  <c r="AE510" i="1"/>
  <c r="AE531" i="1"/>
  <c r="AE551" i="1"/>
  <c r="AE574" i="1"/>
  <c r="AE595" i="1"/>
  <c r="AE615" i="1"/>
  <c r="AE638" i="1"/>
  <c r="AE659" i="1"/>
  <c r="AE679" i="1"/>
  <c r="AE702" i="1"/>
  <c r="AE723" i="1"/>
  <c r="AE743" i="1"/>
  <c r="AE766" i="1"/>
  <c r="AE787" i="1"/>
  <c r="AE808" i="1"/>
  <c r="AE834" i="1"/>
  <c r="AE858" i="1"/>
  <c r="AE881" i="1"/>
  <c r="AE907" i="1"/>
  <c r="AE934" i="1"/>
  <c r="AE960" i="1"/>
  <c r="AE991" i="1"/>
  <c r="AE1025" i="1"/>
  <c r="AE1065" i="1"/>
  <c r="AE1112" i="1"/>
  <c r="AE1153" i="1"/>
  <c r="AE8" i="1"/>
  <c r="AE16" i="1"/>
  <c r="AE24" i="1"/>
  <c r="AE32" i="1"/>
  <c r="AE40" i="1"/>
  <c r="AE48" i="1"/>
  <c r="AE56" i="1"/>
  <c r="AE64" i="1"/>
  <c r="AE72" i="1"/>
  <c r="AE80" i="1"/>
  <c r="AE88" i="1"/>
  <c r="AE96" i="1"/>
  <c r="AE104" i="1"/>
  <c r="AE112" i="1"/>
  <c r="AE120" i="1"/>
  <c r="AE128" i="1"/>
  <c r="AE136" i="1"/>
  <c r="AE150" i="1"/>
  <c r="AE171" i="1"/>
  <c r="AE191" i="1"/>
  <c r="AE214" i="1"/>
  <c r="AE235" i="1"/>
  <c r="AE255" i="1"/>
  <c r="AE278" i="1"/>
  <c r="AE299" i="1"/>
  <c r="AE319" i="1"/>
  <c r="AE342" i="1"/>
  <c r="AE363" i="1"/>
  <c r="AE383" i="1"/>
  <c r="AE406" i="1"/>
  <c r="AE427" i="1"/>
  <c r="AE447" i="1"/>
  <c r="AE470" i="1"/>
  <c r="AE491" i="1"/>
  <c r="AE511" i="1"/>
  <c r="AE534" i="1"/>
  <c r="AE555" i="1"/>
  <c r="AE575" i="1"/>
  <c r="AE598" i="1"/>
  <c r="AE619" i="1"/>
  <c r="AE639" i="1"/>
  <c r="AE662" i="1"/>
  <c r="AE683" i="1"/>
  <c r="AE703" i="1"/>
  <c r="AE726" i="1"/>
  <c r="AE747" i="1"/>
  <c r="AE767" i="1"/>
  <c r="AE790" i="1"/>
  <c r="AE812" i="1"/>
  <c r="AE835" i="1"/>
  <c r="AE862" i="1"/>
  <c r="AE886" i="1"/>
  <c r="AE908" i="1"/>
  <c r="AE937" i="1"/>
  <c r="AE966" i="1"/>
  <c r="AE992" i="1"/>
  <c r="AE1032" i="1"/>
  <c r="AE1073" i="1"/>
  <c r="AE1113" i="1"/>
  <c r="AE1160" i="1"/>
  <c r="AE2" i="1"/>
  <c r="AE9" i="1"/>
  <c r="AE17" i="1"/>
  <c r="AE25" i="1"/>
  <c r="AE33" i="1"/>
  <c r="AE41" i="1"/>
  <c r="AE49" i="1"/>
  <c r="AE57" i="1"/>
  <c r="AE65" i="1"/>
  <c r="AE73" i="1"/>
  <c r="AE81" i="1"/>
  <c r="AE89" i="1"/>
  <c r="AE97" i="1"/>
  <c r="AE105" i="1"/>
  <c r="AE113" i="1"/>
  <c r="AE121" i="1"/>
  <c r="AE129" i="1"/>
  <c r="AE137" i="1"/>
  <c r="AE151" i="1"/>
  <c r="AE174" i="1"/>
  <c r="AE195" i="1"/>
  <c r="AE215" i="1"/>
  <c r="AE238" i="1"/>
  <c r="AE259" i="1"/>
  <c r="AE279" i="1"/>
  <c r="AE302" i="1"/>
  <c r="AE323" i="1"/>
  <c r="AE343" i="1"/>
  <c r="AE366" i="1"/>
  <c r="AE387" i="1"/>
  <c r="AE407" i="1"/>
  <c r="AE430" i="1"/>
  <c r="AE451" i="1"/>
  <c r="AE471" i="1"/>
  <c r="AE494" i="1"/>
  <c r="AE515" i="1"/>
  <c r="AE535" i="1"/>
  <c r="AE558" i="1"/>
  <c r="AE579" i="1"/>
  <c r="AE599" i="1"/>
  <c r="AE622" i="1"/>
  <c r="AE643" i="1"/>
  <c r="AE663" i="1"/>
  <c r="AE686" i="1"/>
  <c r="AE707" i="1"/>
  <c r="AE727" i="1"/>
  <c r="AE750" i="1"/>
  <c r="AE771" i="1"/>
  <c r="AE791" i="1"/>
  <c r="AE816" i="1"/>
  <c r="AE840" i="1"/>
  <c r="AE863" i="1"/>
  <c r="AE889" i="1"/>
  <c r="AE913" i="1"/>
  <c r="AE939" i="1"/>
  <c r="AE969" i="1"/>
  <c r="AE998" i="1"/>
  <c r="AE1033" i="1"/>
  <c r="AE1080" i="1"/>
  <c r="AE1121" i="1"/>
  <c r="AE1161" i="1"/>
  <c r="AH8" i="1"/>
  <c r="AH24" i="1"/>
  <c r="AH40" i="1"/>
  <c r="AH56" i="1"/>
  <c r="AH72" i="1"/>
  <c r="AH88" i="1"/>
  <c r="AH104" i="1"/>
  <c r="AH120" i="1"/>
  <c r="AH136" i="1"/>
  <c r="AH152" i="1"/>
  <c r="AH168" i="1"/>
  <c r="AH184" i="1"/>
  <c r="AH200" i="1"/>
  <c r="AH216" i="1"/>
  <c r="AH236" i="1"/>
  <c r="AH257" i="1"/>
  <c r="AH278" i="1"/>
  <c r="AH300" i="1"/>
  <c r="AH321" i="1"/>
  <c r="AH342" i="1"/>
  <c r="AH364" i="1"/>
  <c r="AH385" i="1"/>
  <c r="AH406" i="1"/>
  <c r="AH428" i="1"/>
  <c r="AH449" i="1"/>
  <c r="AH470" i="1"/>
  <c r="AH492" i="1"/>
  <c r="AH513" i="1"/>
  <c r="AH534" i="1"/>
  <c r="AH556" i="1"/>
  <c r="AH577" i="1"/>
  <c r="AH598" i="1"/>
  <c r="AH620" i="1"/>
  <c r="AH641" i="1"/>
  <c r="AH662" i="1"/>
  <c r="AH684" i="1"/>
  <c r="AH705" i="1"/>
  <c r="AH726" i="1"/>
  <c r="AH748" i="1"/>
  <c r="AH769" i="1"/>
  <c r="AH790" i="1"/>
  <c r="AH812" i="1"/>
  <c r="AH833" i="1"/>
  <c r="AH854" i="1"/>
  <c r="AH876" i="1"/>
  <c r="AH897" i="1"/>
  <c r="AH918" i="1"/>
  <c r="AH940" i="1"/>
  <c r="AH962" i="1"/>
  <c r="AH988" i="1"/>
  <c r="AH1013" i="1"/>
  <c r="AH1038" i="1"/>
  <c r="AH1065" i="1"/>
  <c r="AH1090" i="1"/>
  <c r="AH1116" i="1"/>
  <c r="AH1141" i="1"/>
  <c r="AH1166" i="1"/>
  <c r="AH15" i="1"/>
  <c r="AH31" i="1"/>
  <c r="AH47" i="1"/>
  <c r="AH63" i="1"/>
  <c r="AH79" i="1"/>
  <c r="AH95" i="1"/>
  <c r="AH111" i="1"/>
  <c r="AH127" i="1"/>
  <c r="AH143" i="1"/>
  <c r="AH159" i="1"/>
  <c r="AH175" i="1"/>
  <c r="AH191" i="1"/>
  <c r="AH207" i="1"/>
  <c r="AH223" i="1"/>
  <c r="AH245" i="1"/>
  <c r="AH266" i="1"/>
  <c r="AH287" i="1"/>
  <c r="AH309" i="1"/>
  <c r="AH330" i="1"/>
  <c r="AH351" i="1"/>
  <c r="AH373" i="1"/>
  <c r="AH394" i="1"/>
  <c r="AH415" i="1"/>
  <c r="AH437" i="1"/>
  <c r="AH458" i="1"/>
  <c r="AH479" i="1"/>
  <c r="AH501" i="1"/>
  <c r="AH522" i="1"/>
  <c r="AH543" i="1"/>
  <c r="AH565" i="1"/>
  <c r="AH586" i="1"/>
  <c r="AH607" i="1"/>
  <c r="AH629" i="1"/>
  <c r="AH650" i="1"/>
  <c r="AH671" i="1"/>
  <c r="AH693" i="1"/>
  <c r="AH714" i="1"/>
  <c r="AH735" i="1"/>
  <c r="AH757" i="1"/>
  <c r="AH778" i="1"/>
  <c r="AH799" i="1"/>
  <c r="AH821" i="1"/>
  <c r="AH842" i="1"/>
  <c r="AH863" i="1"/>
  <c r="AH885" i="1"/>
  <c r="AH906" i="1"/>
  <c r="AH927" i="1"/>
  <c r="AH949" i="1"/>
  <c r="AH973" i="1"/>
  <c r="AH998" i="1"/>
  <c r="AH1025" i="1"/>
  <c r="AH1050" i="1"/>
  <c r="AH1076" i="1"/>
  <c r="AH1101" i="1"/>
  <c r="AH1126" i="1"/>
  <c r="AH1153" i="1"/>
  <c r="AH16" i="1"/>
  <c r="AH32" i="1"/>
  <c r="AH48" i="1"/>
  <c r="AH64" i="1"/>
  <c r="AH80" i="1"/>
  <c r="AH96" i="1"/>
  <c r="AH112" i="1"/>
  <c r="AH128" i="1"/>
  <c r="AH144" i="1"/>
  <c r="AH160" i="1"/>
  <c r="AH176" i="1"/>
  <c r="AH192" i="1"/>
  <c r="AH208" i="1"/>
  <c r="AH225" i="1"/>
  <c r="AH246" i="1"/>
  <c r="AH268" i="1"/>
  <c r="AH289" i="1"/>
  <c r="AH310" i="1"/>
  <c r="AH332" i="1"/>
  <c r="AH353" i="1"/>
  <c r="AH374" i="1"/>
  <c r="AH396" i="1"/>
  <c r="AH417" i="1"/>
  <c r="AH438" i="1"/>
  <c r="AH460" i="1"/>
  <c r="AH481" i="1"/>
  <c r="AH502" i="1"/>
  <c r="AH524" i="1"/>
  <c r="AH545" i="1"/>
  <c r="AH566" i="1"/>
  <c r="AH588" i="1"/>
  <c r="AH609" i="1"/>
  <c r="AH630" i="1"/>
  <c r="AH652" i="1"/>
  <c r="AH673" i="1"/>
  <c r="AH694" i="1"/>
  <c r="AH716" i="1"/>
  <c r="AH737" i="1"/>
  <c r="AH758" i="1"/>
  <c r="AH780" i="1"/>
  <c r="AH801" i="1"/>
  <c r="AH822" i="1"/>
  <c r="AH844" i="1"/>
  <c r="AH865" i="1"/>
  <c r="AH886" i="1"/>
  <c r="AH908" i="1"/>
  <c r="AH929" i="1"/>
  <c r="AH950" i="1"/>
  <c r="AH974" i="1"/>
  <c r="AH1001" i="1"/>
  <c r="AH1026" i="1"/>
  <c r="AH1052" i="1"/>
  <c r="AH1077" i="1"/>
  <c r="AH1102" i="1"/>
  <c r="AH1129" i="1"/>
  <c r="AH1154" i="1"/>
  <c r="AH2" i="1"/>
  <c r="AH17" i="1"/>
  <c r="AH33" i="1"/>
  <c r="AH49" i="1"/>
  <c r="AH65" i="1"/>
  <c r="AH81" i="1"/>
  <c r="AH97" i="1"/>
  <c r="AH113" i="1"/>
  <c r="AH129" i="1"/>
  <c r="AH145" i="1"/>
  <c r="AH161" i="1"/>
  <c r="AH177" i="1"/>
  <c r="AH193" i="1"/>
  <c r="AH209" i="1"/>
  <c r="AH226" i="1"/>
  <c r="AH247" i="1"/>
  <c r="AH269" i="1"/>
  <c r="AH290" i="1"/>
  <c r="AH311" i="1"/>
  <c r="AH333" i="1"/>
  <c r="AH354" i="1"/>
  <c r="AH375" i="1"/>
  <c r="AH397" i="1"/>
  <c r="AH418" i="1"/>
  <c r="AH439" i="1"/>
  <c r="AH461" i="1"/>
  <c r="AH482" i="1"/>
  <c r="AH503" i="1"/>
  <c r="AH525" i="1"/>
  <c r="AH546" i="1"/>
  <c r="AH567" i="1"/>
  <c r="AH589" i="1"/>
  <c r="AH610" i="1"/>
  <c r="AH631" i="1"/>
  <c r="AH653" i="1"/>
  <c r="AH674" i="1"/>
  <c r="AH695" i="1"/>
  <c r="AH717" i="1"/>
  <c r="AH738" i="1"/>
  <c r="AH759" i="1"/>
  <c r="AH781" i="1"/>
  <c r="AH802" i="1"/>
  <c r="AH823" i="1"/>
  <c r="AH845" i="1"/>
  <c r="AH866" i="1"/>
  <c r="AH887" i="1"/>
  <c r="AH909" i="1"/>
  <c r="AH930" i="1"/>
  <c r="AH951" i="1"/>
  <c r="AH977" i="1"/>
  <c r="AH1002" i="1"/>
  <c r="AH1028" i="1"/>
  <c r="AH1053" i="1"/>
  <c r="AH1078" i="1"/>
  <c r="AH1105" i="1"/>
  <c r="AH1130" i="1"/>
  <c r="AH1163" i="1"/>
  <c r="AH1155" i="1"/>
  <c r="AH1147" i="1"/>
  <c r="AH1139" i="1"/>
  <c r="AH1131" i="1"/>
  <c r="AH1123" i="1"/>
  <c r="AH1115" i="1"/>
  <c r="AH1107" i="1"/>
  <c r="AH1099" i="1"/>
  <c r="AH1091" i="1"/>
  <c r="AH1083" i="1"/>
  <c r="AH1075" i="1"/>
  <c r="AH1067" i="1"/>
  <c r="AH1059" i="1"/>
  <c r="AH1051" i="1"/>
  <c r="AH1043" i="1"/>
  <c r="AH1035" i="1"/>
  <c r="AH1027" i="1"/>
  <c r="AH1019" i="1"/>
  <c r="AH1011" i="1"/>
  <c r="AH1003" i="1"/>
  <c r="AH995" i="1"/>
  <c r="AH987" i="1"/>
  <c r="AH979" i="1"/>
  <c r="AH971" i="1"/>
  <c r="AH963" i="1"/>
  <c r="AH955" i="1"/>
  <c r="AH947" i="1"/>
  <c r="AH939" i="1"/>
  <c r="AH931" i="1"/>
  <c r="AH923" i="1"/>
  <c r="AH915" i="1"/>
  <c r="AH907" i="1"/>
  <c r="AH899" i="1"/>
  <c r="AH891" i="1"/>
  <c r="AH883" i="1"/>
  <c r="AH875" i="1"/>
  <c r="AH867" i="1"/>
  <c r="AH859" i="1"/>
  <c r="AH851" i="1"/>
  <c r="AH843" i="1"/>
  <c r="AH835" i="1"/>
  <c r="AH827" i="1"/>
  <c r="AH819" i="1"/>
  <c r="AH811" i="1"/>
  <c r="AH803" i="1"/>
  <c r="AH795" i="1"/>
  <c r="AH787" i="1"/>
  <c r="AH779" i="1"/>
  <c r="AH771" i="1"/>
  <c r="AH763" i="1"/>
  <c r="AH755" i="1"/>
  <c r="AH747" i="1"/>
  <c r="AH739" i="1"/>
  <c r="AH731" i="1"/>
  <c r="AH723" i="1"/>
  <c r="AH715" i="1"/>
  <c r="AH707" i="1"/>
  <c r="AH699" i="1"/>
  <c r="AH691" i="1"/>
  <c r="AH683" i="1"/>
  <c r="AH675" i="1"/>
  <c r="AH667" i="1"/>
  <c r="AH659" i="1"/>
  <c r="AH651" i="1"/>
  <c r="AH643" i="1"/>
  <c r="AH635" i="1"/>
  <c r="AH627" i="1"/>
  <c r="AH619" i="1"/>
  <c r="AH611" i="1"/>
  <c r="AH603" i="1"/>
  <c r="AH595" i="1"/>
  <c r="AH587" i="1"/>
  <c r="AH579" i="1"/>
  <c r="AH571" i="1"/>
  <c r="AH563" i="1"/>
  <c r="AH555" i="1"/>
  <c r="AH547" i="1"/>
  <c r="AH539" i="1"/>
  <c r="AH531" i="1"/>
  <c r="AH523" i="1"/>
  <c r="AH515" i="1"/>
  <c r="AH507" i="1"/>
  <c r="AH499" i="1"/>
  <c r="AH491" i="1"/>
  <c r="AH483" i="1"/>
  <c r="AH475" i="1"/>
  <c r="AH467" i="1"/>
  <c r="AH459" i="1"/>
  <c r="AH451" i="1"/>
  <c r="AH443" i="1"/>
  <c r="AH435" i="1"/>
  <c r="AH427" i="1"/>
  <c r="AH419" i="1"/>
  <c r="AH411" i="1"/>
  <c r="AH403" i="1"/>
  <c r="AH395" i="1"/>
  <c r="AH387" i="1"/>
  <c r="AH379" i="1"/>
  <c r="AH371" i="1"/>
  <c r="AH363" i="1"/>
  <c r="AH355" i="1"/>
  <c r="AH347" i="1"/>
  <c r="AH339" i="1"/>
  <c r="AH331" i="1"/>
  <c r="AH323" i="1"/>
  <c r="AH315" i="1"/>
  <c r="AH307" i="1"/>
  <c r="AH299" i="1"/>
  <c r="AH291" i="1"/>
  <c r="AH283" i="1"/>
  <c r="AH275" i="1"/>
  <c r="AH267" i="1"/>
  <c r="AH259" i="1"/>
  <c r="AH251" i="1"/>
  <c r="AH243" i="1"/>
  <c r="AH235" i="1"/>
  <c r="AH227" i="1"/>
  <c r="AH1160" i="1"/>
  <c r="AH1152" i="1"/>
  <c r="AH1144" i="1"/>
  <c r="AH1136" i="1"/>
  <c r="AH1128" i="1"/>
  <c r="AH1120" i="1"/>
  <c r="AH1112" i="1"/>
  <c r="AH1104" i="1"/>
  <c r="AH1096" i="1"/>
  <c r="AH1088" i="1"/>
  <c r="AH1080" i="1"/>
  <c r="AH1072" i="1"/>
  <c r="AH1064" i="1"/>
  <c r="AH1056" i="1"/>
  <c r="AH1048" i="1"/>
  <c r="AH1040" i="1"/>
  <c r="AH1032" i="1"/>
  <c r="AH1024" i="1"/>
  <c r="AH1016" i="1"/>
  <c r="AH1008" i="1"/>
  <c r="AH1000" i="1"/>
  <c r="AH992" i="1"/>
  <c r="AH984" i="1"/>
  <c r="AH976" i="1"/>
  <c r="AH968" i="1"/>
  <c r="AH960" i="1"/>
  <c r="AH952" i="1"/>
  <c r="AH944" i="1"/>
  <c r="AH936" i="1"/>
  <c r="AH928" i="1"/>
  <c r="AH920" i="1"/>
  <c r="AH912" i="1"/>
  <c r="AH904" i="1"/>
  <c r="AH896" i="1"/>
  <c r="AH888" i="1"/>
  <c r="AH880" i="1"/>
  <c r="AH872" i="1"/>
  <c r="AH864" i="1"/>
  <c r="AH856" i="1"/>
  <c r="AH848" i="1"/>
  <c r="AH840" i="1"/>
  <c r="AH832" i="1"/>
  <c r="AH824" i="1"/>
  <c r="AH816" i="1"/>
  <c r="AH808" i="1"/>
  <c r="AH800" i="1"/>
  <c r="AH792" i="1"/>
  <c r="AH784" i="1"/>
  <c r="AH776" i="1"/>
  <c r="AH768" i="1"/>
  <c r="AH760" i="1"/>
  <c r="AH752" i="1"/>
  <c r="AH744" i="1"/>
  <c r="AH736" i="1"/>
  <c r="AH728" i="1"/>
  <c r="AH720" i="1"/>
  <c r="AH712" i="1"/>
  <c r="AH704" i="1"/>
  <c r="AH696" i="1"/>
  <c r="AH688" i="1"/>
  <c r="AH680" i="1"/>
  <c r="AH672" i="1"/>
  <c r="AH664" i="1"/>
  <c r="AH656" i="1"/>
  <c r="AH648" i="1"/>
  <c r="AH640" i="1"/>
  <c r="AH632" i="1"/>
  <c r="AH624" i="1"/>
  <c r="AH616" i="1"/>
  <c r="AH608" i="1"/>
  <c r="AH600" i="1"/>
  <c r="AH592" i="1"/>
  <c r="AH584" i="1"/>
  <c r="AH576" i="1"/>
  <c r="AH568" i="1"/>
  <c r="AH560" i="1"/>
  <c r="AH552" i="1"/>
  <c r="AH544" i="1"/>
  <c r="AH536" i="1"/>
  <c r="AH528" i="1"/>
  <c r="AH520" i="1"/>
  <c r="AH512" i="1"/>
  <c r="AH504" i="1"/>
  <c r="AH496" i="1"/>
  <c r="AH488" i="1"/>
  <c r="AH480" i="1"/>
  <c r="AH472" i="1"/>
  <c r="AH464" i="1"/>
  <c r="AH456" i="1"/>
  <c r="AH448" i="1"/>
  <c r="AH440" i="1"/>
  <c r="AH432" i="1"/>
  <c r="AH424" i="1"/>
  <c r="AH416" i="1"/>
  <c r="AH408" i="1"/>
  <c r="AH400" i="1"/>
  <c r="AH392" i="1"/>
  <c r="AH384" i="1"/>
  <c r="AH376" i="1"/>
  <c r="AH368" i="1"/>
  <c r="AH360" i="1"/>
  <c r="AH352" i="1"/>
  <c r="AH344" i="1"/>
  <c r="AH336" i="1"/>
  <c r="AH328" i="1"/>
  <c r="AH320" i="1"/>
  <c r="AH312" i="1"/>
  <c r="AH304" i="1"/>
  <c r="AH296" i="1"/>
  <c r="AH288" i="1"/>
  <c r="AH280" i="1"/>
  <c r="AH272" i="1"/>
  <c r="AH264" i="1"/>
  <c r="AH256" i="1"/>
  <c r="AH248" i="1"/>
  <c r="AH240" i="1"/>
  <c r="AH232" i="1"/>
  <c r="AH224" i="1"/>
  <c r="AH1167" i="1"/>
  <c r="AH1159" i="1"/>
  <c r="AH1151" i="1"/>
  <c r="AH1143" i="1"/>
  <c r="AH1135" i="1"/>
  <c r="AH1127" i="1"/>
  <c r="AH1119" i="1"/>
  <c r="AH1111" i="1"/>
  <c r="AH1103" i="1"/>
  <c r="AH1095" i="1"/>
  <c r="AH1087" i="1"/>
  <c r="AH1079" i="1"/>
  <c r="AH1071" i="1"/>
  <c r="AH1063" i="1"/>
  <c r="AH1055" i="1"/>
  <c r="AH1047" i="1"/>
  <c r="AH1039" i="1"/>
  <c r="AH1031" i="1"/>
  <c r="AH1023" i="1"/>
  <c r="AH1015" i="1"/>
  <c r="AH1007" i="1"/>
  <c r="AH999" i="1"/>
  <c r="AH991" i="1"/>
  <c r="AH983" i="1"/>
  <c r="AH975" i="1"/>
  <c r="AH967" i="1"/>
  <c r="AH959" i="1"/>
  <c r="AH1164" i="1"/>
  <c r="AH1150" i="1"/>
  <c r="AH1138" i="1"/>
  <c r="AH1125" i="1"/>
  <c r="AH1113" i="1"/>
  <c r="AH1100" i="1"/>
  <c r="AH1086" i="1"/>
  <c r="AH1074" i="1"/>
  <c r="AH1061" i="1"/>
  <c r="AH1049" i="1"/>
  <c r="AH1036" i="1"/>
  <c r="AH1022" i="1"/>
  <c r="AH1010" i="1"/>
  <c r="AH997" i="1"/>
  <c r="AH985" i="1"/>
  <c r="AH972" i="1"/>
  <c r="AH958" i="1"/>
  <c r="AH948" i="1"/>
  <c r="AH937" i="1"/>
  <c r="AH926" i="1"/>
  <c r="AH916" i="1"/>
  <c r="AH905" i="1"/>
  <c r="AH894" i="1"/>
  <c r="AH884" i="1"/>
  <c r="AH873" i="1"/>
  <c r="AH862" i="1"/>
  <c r="AH852" i="1"/>
  <c r="AH841" i="1"/>
  <c r="AH830" i="1"/>
  <c r="AH820" i="1"/>
  <c r="AH809" i="1"/>
  <c r="AH798" i="1"/>
  <c r="AH788" i="1"/>
  <c r="AH777" i="1"/>
  <c r="AH766" i="1"/>
  <c r="AH756" i="1"/>
  <c r="AH745" i="1"/>
  <c r="AH734" i="1"/>
  <c r="AH724" i="1"/>
  <c r="AH713" i="1"/>
  <c r="AH702" i="1"/>
  <c r="AH692" i="1"/>
  <c r="AH681" i="1"/>
  <c r="AH670" i="1"/>
  <c r="AH660" i="1"/>
  <c r="AH649" i="1"/>
  <c r="AH638" i="1"/>
  <c r="AH628" i="1"/>
  <c r="AH617" i="1"/>
  <c r="AH606" i="1"/>
  <c r="AH596" i="1"/>
  <c r="AH585" i="1"/>
  <c r="AH574" i="1"/>
  <c r="AH564" i="1"/>
  <c r="AH553" i="1"/>
  <c r="AH542" i="1"/>
  <c r="AH532" i="1"/>
  <c r="AH521" i="1"/>
  <c r="AH510" i="1"/>
  <c r="AH500" i="1"/>
  <c r="AH489" i="1"/>
  <c r="AH478" i="1"/>
  <c r="AH468" i="1"/>
  <c r="AH457" i="1"/>
  <c r="AH446" i="1"/>
  <c r="AH436" i="1"/>
  <c r="AH425" i="1"/>
  <c r="AH414" i="1"/>
  <c r="AH404" i="1"/>
  <c r="AH393" i="1"/>
  <c r="AH382" i="1"/>
  <c r="AH372" i="1"/>
  <c r="AH361" i="1"/>
  <c r="AH350" i="1"/>
  <c r="AH340" i="1"/>
  <c r="AH329" i="1"/>
  <c r="AH318" i="1"/>
  <c r="AH308" i="1"/>
  <c r="AH297" i="1"/>
  <c r="AH286" i="1"/>
  <c r="AH276" i="1"/>
  <c r="AH265" i="1"/>
  <c r="AH254" i="1"/>
  <c r="AH244" i="1"/>
  <c r="AH233" i="1"/>
  <c r="AH222" i="1"/>
  <c r="AH214" i="1"/>
  <c r="AH206" i="1"/>
  <c r="AH198" i="1"/>
  <c r="AH190" i="1"/>
  <c r="AH182" i="1"/>
  <c r="AH174" i="1"/>
  <c r="AH166" i="1"/>
  <c r="AH158" i="1"/>
  <c r="AH150" i="1"/>
  <c r="AH142" i="1"/>
  <c r="AH134" i="1"/>
  <c r="AH126" i="1"/>
  <c r="AH118" i="1"/>
  <c r="AH110" i="1"/>
  <c r="AH102" i="1"/>
  <c r="AH94" i="1"/>
  <c r="AH86" i="1"/>
  <c r="AH78" i="1"/>
  <c r="AH70" i="1"/>
  <c r="AH62" i="1"/>
  <c r="AH54" i="1"/>
  <c r="AH46" i="1"/>
  <c r="AH38" i="1"/>
  <c r="AH30" i="1"/>
  <c r="AH22" i="1"/>
  <c r="AH14" i="1"/>
  <c r="AH6" i="1"/>
  <c r="AH1162" i="1"/>
  <c r="AH1149" i="1"/>
  <c r="AH1137" i="1"/>
  <c r="AH1124" i="1"/>
  <c r="AH1110" i="1"/>
  <c r="AH1098" i="1"/>
  <c r="AH1085" i="1"/>
  <c r="AH1073" i="1"/>
  <c r="AH1060" i="1"/>
  <c r="AH1046" i="1"/>
  <c r="AH1034" i="1"/>
  <c r="AH1021" i="1"/>
  <c r="AH1009" i="1"/>
  <c r="AH996" i="1"/>
  <c r="AH982" i="1"/>
  <c r="AH970" i="1"/>
  <c r="AH957" i="1"/>
  <c r="AH946" i="1"/>
  <c r="AH935" i="1"/>
  <c r="AH925" i="1"/>
  <c r="AH914" i="1"/>
  <c r="AH903" i="1"/>
  <c r="AH893" i="1"/>
  <c r="AH882" i="1"/>
  <c r="AH871" i="1"/>
  <c r="AH861" i="1"/>
  <c r="AH850" i="1"/>
  <c r="AH839" i="1"/>
  <c r="AH829" i="1"/>
  <c r="AH818" i="1"/>
  <c r="AH807" i="1"/>
  <c r="AH797" i="1"/>
  <c r="AH786" i="1"/>
  <c r="AH775" i="1"/>
  <c r="AH765" i="1"/>
  <c r="AH754" i="1"/>
  <c r="AH743" i="1"/>
  <c r="AH733" i="1"/>
  <c r="AH722" i="1"/>
  <c r="AH711" i="1"/>
  <c r="AH701" i="1"/>
  <c r="AH690" i="1"/>
  <c r="AH679" i="1"/>
  <c r="AH669" i="1"/>
  <c r="AH658" i="1"/>
  <c r="AH647" i="1"/>
  <c r="AH637" i="1"/>
  <c r="AH626" i="1"/>
  <c r="AH615" i="1"/>
  <c r="AH605" i="1"/>
  <c r="AH594" i="1"/>
  <c r="AH583" i="1"/>
  <c r="AH573" i="1"/>
  <c r="AH562" i="1"/>
  <c r="AH551" i="1"/>
  <c r="AH541" i="1"/>
  <c r="AH530" i="1"/>
  <c r="AH519" i="1"/>
  <c r="AH509" i="1"/>
  <c r="AH498" i="1"/>
  <c r="AH487" i="1"/>
  <c r="AH477" i="1"/>
  <c r="AH466" i="1"/>
  <c r="AH455" i="1"/>
  <c r="AH445" i="1"/>
  <c r="AH434" i="1"/>
  <c r="AH423" i="1"/>
  <c r="AH413" i="1"/>
  <c r="AH402" i="1"/>
  <c r="AH391" i="1"/>
  <c r="AH381" i="1"/>
  <c r="AH370" i="1"/>
  <c r="AH359" i="1"/>
  <c r="AH349" i="1"/>
  <c r="AH338" i="1"/>
  <c r="AH327" i="1"/>
  <c r="AH317" i="1"/>
  <c r="AH306" i="1"/>
  <c r="AH295" i="1"/>
  <c r="AH285" i="1"/>
  <c r="AH274" i="1"/>
  <c r="AH263" i="1"/>
  <c r="AH253" i="1"/>
  <c r="AH242" i="1"/>
  <c r="AH231" i="1"/>
  <c r="AH221" i="1"/>
  <c r="AH213" i="1"/>
  <c r="AH205" i="1"/>
  <c r="AH197" i="1"/>
  <c r="AH189" i="1"/>
  <c r="AH181" i="1"/>
  <c r="AH173" i="1"/>
  <c r="AH165" i="1"/>
  <c r="AH157" i="1"/>
  <c r="AH149" i="1"/>
  <c r="AH141" i="1"/>
  <c r="AH133" i="1"/>
  <c r="AH125" i="1"/>
  <c r="AH117" i="1"/>
  <c r="AH109" i="1"/>
  <c r="AH101" i="1"/>
  <c r="AH93" i="1"/>
  <c r="AH85" i="1"/>
  <c r="AH77" i="1"/>
  <c r="AH69" i="1"/>
  <c r="AH61" i="1"/>
  <c r="AH53" i="1"/>
  <c r="AH45" i="1"/>
  <c r="AH37" i="1"/>
  <c r="AH29" i="1"/>
  <c r="AH21" i="1"/>
  <c r="AH13" i="1"/>
  <c r="AH5" i="1"/>
  <c r="AH1161" i="1"/>
  <c r="AH1148" i="1"/>
  <c r="AH1134" i="1"/>
  <c r="AH1122" i="1"/>
  <c r="AH1109" i="1"/>
  <c r="AH1097" i="1"/>
  <c r="AH1084" i="1"/>
  <c r="AH1070" i="1"/>
  <c r="AH1058" i="1"/>
  <c r="AH1045" i="1"/>
  <c r="AH1033" i="1"/>
  <c r="AH1020" i="1"/>
  <c r="AH1006" i="1"/>
  <c r="AH994" i="1"/>
  <c r="AH981" i="1"/>
  <c r="AH969" i="1"/>
  <c r="AH956" i="1"/>
  <c r="AH945" i="1"/>
  <c r="AH934" i="1"/>
  <c r="AH924" i="1"/>
  <c r="AH913" i="1"/>
  <c r="AH902" i="1"/>
  <c r="AH892" i="1"/>
  <c r="AH881" i="1"/>
  <c r="AH870" i="1"/>
  <c r="AH860" i="1"/>
  <c r="AH849" i="1"/>
  <c r="AH838" i="1"/>
  <c r="AH828" i="1"/>
  <c r="AH817" i="1"/>
  <c r="AH806" i="1"/>
  <c r="AH796" i="1"/>
  <c r="AH785" i="1"/>
  <c r="AH774" i="1"/>
  <c r="AH764" i="1"/>
  <c r="AH753" i="1"/>
  <c r="AH742" i="1"/>
  <c r="AH732" i="1"/>
  <c r="AH721" i="1"/>
  <c r="AH710" i="1"/>
  <c r="AH700" i="1"/>
  <c r="AH689" i="1"/>
  <c r="AH678" i="1"/>
  <c r="AH668" i="1"/>
  <c r="AH657" i="1"/>
  <c r="AH646" i="1"/>
  <c r="AH636" i="1"/>
  <c r="AH625" i="1"/>
  <c r="AH614" i="1"/>
  <c r="AH604" i="1"/>
  <c r="AH593" i="1"/>
  <c r="AH582" i="1"/>
  <c r="AH572" i="1"/>
  <c r="AH561" i="1"/>
  <c r="AH550" i="1"/>
  <c r="AH540" i="1"/>
  <c r="AH529" i="1"/>
  <c r="AH518" i="1"/>
  <c r="AH508" i="1"/>
  <c r="AH497" i="1"/>
  <c r="AH486" i="1"/>
  <c r="AH476" i="1"/>
  <c r="AH465" i="1"/>
  <c r="AH454" i="1"/>
  <c r="AH444" i="1"/>
  <c r="AH433" i="1"/>
  <c r="AH422" i="1"/>
  <c r="AH412" i="1"/>
  <c r="AH401" i="1"/>
  <c r="AH390" i="1"/>
  <c r="AH380" i="1"/>
  <c r="AH369" i="1"/>
  <c r="AH358" i="1"/>
  <c r="AH348" i="1"/>
  <c r="AH337" i="1"/>
  <c r="AH326" i="1"/>
  <c r="AH316" i="1"/>
  <c r="AH305" i="1"/>
  <c r="AH294" i="1"/>
  <c r="AH284" i="1"/>
  <c r="AH273" i="1"/>
  <c r="AH262" i="1"/>
  <c r="AH252" i="1"/>
  <c r="AH241" i="1"/>
  <c r="AH230" i="1"/>
  <c r="AH220" i="1"/>
  <c r="AH212" i="1"/>
  <c r="AH204" i="1"/>
  <c r="AH196" i="1"/>
  <c r="AH188" i="1"/>
  <c r="AH180" i="1"/>
  <c r="AH172" i="1"/>
  <c r="AH164" i="1"/>
  <c r="AH156" i="1"/>
  <c r="AH148" i="1"/>
  <c r="AH140" i="1"/>
  <c r="AH132" i="1"/>
  <c r="AH124" i="1"/>
  <c r="AH116" i="1"/>
  <c r="AH108" i="1"/>
  <c r="AH100" i="1"/>
  <c r="AH92" i="1"/>
  <c r="AH84" i="1"/>
  <c r="AH76" i="1"/>
  <c r="AH68" i="1"/>
  <c r="AH60" i="1"/>
  <c r="AH52" i="1"/>
  <c r="AH44" i="1"/>
  <c r="AH36" i="1"/>
  <c r="AH28" i="1"/>
  <c r="AH20" i="1"/>
  <c r="AH12" i="1"/>
  <c r="AH4" i="1"/>
  <c r="AH1158" i="1"/>
  <c r="AH1146" i="1"/>
  <c r="AH1133" i="1"/>
  <c r="AH1121" i="1"/>
  <c r="AH1108" i="1"/>
  <c r="AH1094" i="1"/>
  <c r="AH1082" i="1"/>
  <c r="AH1069" i="1"/>
  <c r="AH1057" i="1"/>
  <c r="AH1044" i="1"/>
  <c r="AH1030" i="1"/>
  <c r="AH1018" i="1"/>
  <c r="AH1005" i="1"/>
  <c r="AH993" i="1"/>
  <c r="AH980" i="1"/>
  <c r="AH966" i="1"/>
  <c r="AH954" i="1"/>
  <c r="AH943" i="1"/>
  <c r="AH933" i="1"/>
  <c r="AH922" i="1"/>
  <c r="AH911" i="1"/>
  <c r="AH901" i="1"/>
  <c r="AH890" i="1"/>
  <c r="AH879" i="1"/>
  <c r="AH869" i="1"/>
  <c r="AH858" i="1"/>
  <c r="AH847" i="1"/>
  <c r="AH837" i="1"/>
  <c r="AH826" i="1"/>
  <c r="AH815" i="1"/>
  <c r="AH805" i="1"/>
  <c r="AH794" i="1"/>
  <c r="AH783" i="1"/>
  <c r="AH773" i="1"/>
  <c r="AH762" i="1"/>
  <c r="AH751" i="1"/>
  <c r="AH741" i="1"/>
  <c r="AH730" i="1"/>
  <c r="AH719" i="1"/>
  <c r="AH709" i="1"/>
  <c r="AH698" i="1"/>
  <c r="AH687" i="1"/>
  <c r="AH677" i="1"/>
  <c r="AH666" i="1"/>
  <c r="AH655" i="1"/>
  <c r="AH645" i="1"/>
  <c r="AH634" i="1"/>
  <c r="AH623" i="1"/>
  <c r="AH613" i="1"/>
  <c r="AH602" i="1"/>
  <c r="AH591" i="1"/>
  <c r="AH581" i="1"/>
  <c r="AH570" i="1"/>
  <c r="AH559" i="1"/>
  <c r="AH549" i="1"/>
  <c r="AH538" i="1"/>
  <c r="AH527" i="1"/>
  <c r="AH517" i="1"/>
  <c r="AH506" i="1"/>
  <c r="AH495" i="1"/>
  <c r="AH485" i="1"/>
  <c r="AH474" i="1"/>
  <c r="AH463" i="1"/>
  <c r="AH453" i="1"/>
  <c r="AH442" i="1"/>
  <c r="AH431" i="1"/>
  <c r="AH421" i="1"/>
  <c r="AH410" i="1"/>
  <c r="AH399" i="1"/>
  <c r="AH389" i="1"/>
  <c r="AH378" i="1"/>
  <c r="AH367" i="1"/>
  <c r="AH357" i="1"/>
  <c r="AH346" i="1"/>
  <c r="AH335" i="1"/>
  <c r="AH325" i="1"/>
  <c r="AH314" i="1"/>
  <c r="AH303" i="1"/>
  <c r="AH293" i="1"/>
  <c r="AH282" i="1"/>
  <c r="AH271" i="1"/>
  <c r="AH261" i="1"/>
  <c r="AH250" i="1"/>
  <c r="AH239" i="1"/>
  <c r="AH229" i="1"/>
  <c r="AH219" i="1"/>
  <c r="AH211" i="1"/>
  <c r="AH203" i="1"/>
  <c r="AH195" i="1"/>
  <c r="AH187" i="1"/>
  <c r="AH179" i="1"/>
  <c r="AH171" i="1"/>
  <c r="AH163" i="1"/>
  <c r="AH155" i="1"/>
  <c r="AH147" i="1"/>
  <c r="AH139" i="1"/>
  <c r="AH131" i="1"/>
  <c r="AH123" i="1"/>
  <c r="AH115" i="1"/>
  <c r="AH107" i="1"/>
  <c r="AH99" i="1"/>
  <c r="AH91" i="1"/>
  <c r="AH83" i="1"/>
  <c r="AH75" i="1"/>
  <c r="AH67" i="1"/>
  <c r="AH59" i="1"/>
  <c r="AH51" i="1"/>
  <c r="AH43" i="1"/>
  <c r="AH35" i="1"/>
  <c r="AH27" i="1"/>
  <c r="AH19" i="1"/>
  <c r="AH11" i="1"/>
  <c r="AH3" i="1"/>
  <c r="AH18" i="1"/>
  <c r="AH34" i="1"/>
  <c r="AH50" i="1"/>
  <c r="AH66" i="1"/>
  <c r="AH82" i="1"/>
  <c r="AH98" i="1"/>
  <c r="AH114" i="1"/>
  <c r="AH130" i="1"/>
  <c r="AH146" i="1"/>
  <c r="AH162" i="1"/>
  <c r="AH178" i="1"/>
  <c r="AH194" i="1"/>
  <c r="AH210" i="1"/>
  <c r="AH228" i="1"/>
  <c r="AH249" i="1"/>
  <c r="AH270" i="1"/>
  <c r="AH292" i="1"/>
  <c r="AH313" i="1"/>
  <c r="AH334" i="1"/>
  <c r="AH356" i="1"/>
  <c r="AH377" i="1"/>
  <c r="AH398" i="1"/>
  <c r="AH420" i="1"/>
  <c r="AH441" i="1"/>
  <c r="AH462" i="1"/>
  <c r="AH484" i="1"/>
  <c r="AH505" i="1"/>
  <c r="AH526" i="1"/>
  <c r="AH548" i="1"/>
  <c r="AH569" i="1"/>
  <c r="AH590" i="1"/>
  <c r="AH612" i="1"/>
  <c r="AH633" i="1"/>
  <c r="AH654" i="1"/>
  <c r="AH676" i="1"/>
  <c r="AH697" i="1"/>
  <c r="AH718" i="1"/>
  <c r="AH740" i="1"/>
  <c r="AH761" i="1"/>
  <c r="AH782" i="1"/>
  <c r="AH804" i="1"/>
  <c r="AH825" i="1"/>
  <c r="AH846" i="1"/>
  <c r="AH868" i="1"/>
  <c r="AH889" i="1"/>
  <c r="AH910" i="1"/>
  <c r="AH932" i="1"/>
  <c r="AH953" i="1"/>
  <c r="AH978" i="1"/>
  <c r="AH1004" i="1"/>
  <c r="AH1029" i="1"/>
  <c r="AH1054" i="1"/>
  <c r="AH1081" i="1"/>
  <c r="AH1106" i="1"/>
  <c r="AH1132" i="1"/>
  <c r="AH1157" i="1"/>
  <c r="AH7" i="1"/>
  <c r="AH23" i="1"/>
  <c r="AH39" i="1"/>
  <c r="AH55" i="1"/>
  <c r="AH71" i="1"/>
  <c r="AH87" i="1"/>
  <c r="AH103" i="1"/>
  <c r="AH119" i="1"/>
  <c r="AH135" i="1"/>
  <c r="AH151" i="1"/>
  <c r="AH167" i="1"/>
  <c r="AH183" i="1"/>
  <c r="AH199" i="1"/>
  <c r="AH215" i="1"/>
  <c r="AH234" i="1"/>
  <c r="AH255" i="1"/>
  <c r="AH277" i="1"/>
  <c r="AH298" i="1"/>
  <c r="AH319" i="1"/>
  <c r="AH341" i="1"/>
  <c r="AH362" i="1"/>
  <c r="AH383" i="1"/>
  <c r="AH405" i="1"/>
  <c r="AH426" i="1"/>
  <c r="AH447" i="1"/>
  <c r="AH469" i="1"/>
  <c r="AH490" i="1"/>
  <c r="AH511" i="1"/>
  <c r="AH533" i="1"/>
  <c r="AH554" i="1"/>
  <c r="AH575" i="1"/>
  <c r="AH597" i="1"/>
  <c r="AH618" i="1"/>
  <c r="AH639" i="1"/>
  <c r="AH661" i="1"/>
  <c r="AH682" i="1"/>
  <c r="AH703" i="1"/>
  <c r="AH725" i="1"/>
  <c r="AH746" i="1"/>
  <c r="AH767" i="1"/>
  <c r="AH789" i="1"/>
  <c r="AH810" i="1"/>
  <c r="AH831" i="1"/>
  <c r="AH853" i="1"/>
  <c r="AH874" i="1"/>
  <c r="AH895" i="1"/>
  <c r="AH917" i="1"/>
  <c r="AH938" i="1"/>
  <c r="AH961" i="1"/>
  <c r="AH986" i="1"/>
  <c r="AH1012" i="1"/>
  <c r="AH1037" i="1"/>
  <c r="AH1062" i="1"/>
  <c r="AH1089" i="1"/>
  <c r="AH1114" i="1"/>
  <c r="AH1140" i="1"/>
  <c r="AH1165" i="1"/>
  <c r="AK1160" i="1"/>
  <c r="AK1152" i="1"/>
  <c r="AK1144" i="1"/>
  <c r="AK1136" i="1"/>
  <c r="AK1128" i="1"/>
  <c r="AK1120" i="1"/>
  <c r="AK1112" i="1"/>
  <c r="AK1104" i="1"/>
  <c r="AK1096" i="1"/>
  <c r="AK1088" i="1"/>
  <c r="AK1080" i="1"/>
  <c r="AK1072" i="1"/>
  <c r="AK1064" i="1"/>
  <c r="AK1056" i="1"/>
  <c r="AK1167" i="1"/>
  <c r="AK1159" i="1"/>
  <c r="AK1151" i="1"/>
  <c r="AK1143" i="1"/>
  <c r="AK1135" i="1"/>
  <c r="AK1127" i="1"/>
  <c r="AK1119" i="1"/>
  <c r="AK1111" i="1"/>
  <c r="AK1103" i="1"/>
  <c r="AK1095" i="1"/>
  <c r="AK1087" i="1"/>
  <c r="AK1079" i="1"/>
  <c r="AK1071" i="1"/>
  <c r="AK1063" i="1"/>
  <c r="AK1166" i="1"/>
  <c r="AK1158" i="1"/>
  <c r="AK1150" i="1"/>
  <c r="AK1142" i="1"/>
  <c r="AK1134" i="1"/>
  <c r="AK1126" i="1"/>
  <c r="AK1118" i="1"/>
  <c r="AK1110" i="1"/>
  <c r="AK1102" i="1"/>
  <c r="AK1094" i="1"/>
  <c r="AK1086" i="1"/>
  <c r="AK1078" i="1"/>
  <c r="AK1070" i="1"/>
  <c r="AK1062" i="1"/>
  <c r="AK1165" i="1"/>
  <c r="AK1157" i="1"/>
  <c r="AK1161" i="1"/>
  <c r="AK1146" i="1"/>
  <c r="AK1132" i="1"/>
  <c r="AK1121" i="1"/>
  <c r="AK1107" i="1"/>
  <c r="AK1093" i="1"/>
  <c r="AK1082" i="1"/>
  <c r="AK1068" i="1"/>
  <c r="AK1057" i="1"/>
  <c r="AK1048" i="1"/>
  <c r="AK1040" i="1"/>
  <c r="AK1032" i="1"/>
  <c r="AK1024" i="1"/>
  <c r="AK1016" i="1"/>
  <c r="AK1008" i="1"/>
  <c r="AK1000" i="1"/>
  <c r="AK992" i="1"/>
  <c r="AK984" i="1"/>
  <c r="AK976" i="1"/>
  <c r="AK968" i="1"/>
  <c r="AK960" i="1"/>
  <c r="AK952" i="1"/>
  <c r="AK944" i="1"/>
  <c r="AK936" i="1"/>
  <c r="AK928" i="1"/>
  <c r="AK920" i="1"/>
  <c r="AK912" i="1"/>
  <c r="AK904" i="1"/>
  <c r="AK896" i="1"/>
  <c r="AK888" i="1"/>
  <c r="AK880" i="1"/>
  <c r="AK872" i="1"/>
  <c r="AK864" i="1"/>
  <c r="AK856" i="1"/>
  <c r="AK848" i="1"/>
  <c r="AK840" i="1"/>
  <c r="AK832" i="1"/>
  <c r="AK824" i="1"/>
  <c r="AK816" i="1"/>
  <c r="AK808" i="1"/>
  <c r="AK800" i="1"/>
  <c r="AK792" i="1"/>
  <c r="AK784" i="1"/>
  <c r="AK776" i="1"/>
  <c r="AK768" i="1"/>
  <c r="AK760" i="1"/>
  <c r="AK752" i="1"/>
  <c r="AK744" i="1"/>
  <c r="AK736" i="1"/>
  <c r="AK728" i="1"/>
  <c r="AK720" i="1"/>
  <c r="AK712" i="1"/>
  <c r="AK704" i="1"/>
  <c r="AK696" i="1"/>
  <c r="AK688" i="1"/>
  <c r="AK680" i="1"/>
  <c r="AK672" i="1"/>
  <c r="AK664" i="1"/>
  <c r="AK656" i="1"/>
  <c r="AK648" i="1"/>
  <c r="AK640" i="1"/>
  <c r="AK632" i="1"/>
  <c r="AK624" i="1"/>
  <c r="AK616" i="1"/>
  <c r="AK608" i="1"/>
  <c r="AK600" i="1"/>
  <c r="AK592" i="1"/>
  <c r="AK584" i="1"/>
  <c r="AK576" i="1"/>
  <c r="AK568" i="1"/>
  <c r="AK560" i="1"/>
  <c r="AK552" i="1"/>
  <c r="AK544" i="1"/>
  <c r="AK536" i="1"/>
  <c r="AK528" i="1"/>
  <c r="AK520" i="1"/>
  <c r="AK512" i="1"/>
  <c r="AK504" i="1"/>
  <c r="AK496" i="1"/>
  <c r="AK488" i="1"/>
  <c r="AK480" i="1"/>
  <c r="AK472" i="1"/>
  <c r="AK464" i="1"/>
  <c r="AK456" i="1"/>
  <c r="AK448" i="1"/>
  <c r="AK1155" i="1"/>
  <c r="AK1141" i="1"/>
  <c r="AK1130" i="1"/>
  <c r="AK1116" i="1"/>
  <c r="AK1105" i="1"/>
  <c r="AK1091" i="1"/>
  <c r="AK1077" i="1"/>
  <c r="AK1066" i="1"/>
  <c r="AK1054" i="1"/>
  <c r="AK1046" i="1"/>
  <c r="AK1038" i="1"/>
  <c r="AK1030" i="1"/>
  <c r="AK1022" i="1"/>
  <c r="AK1014" i="1"/>
  <c r="AK1006" i="1"/>
  <c r="AK998" i="1"/>
  <c r="AK990" i="1"/>
  <c r="AK982" i="1"/>
  <c r="AK974" i="1"/>
  <c r="AK966" i="1"/>
  <c r="AK958" i="1"/>
  <c r="AK950" i="1"/>
  <c r="AK942" i="1"/>
  <c r="AK934" i="1"/>
  <c r="AK926" i="1"/>
  <c r="AK918" i="1"/>
  <c r="AK910" i="1"/>
  <c r="AK902" i="1"/>
  <c r="AK894" i="1"/>
  <c r="AK886" i="1"/>
  <c r="AK878" i="1"/>
  <c r="AK870" i="1"/>
  <c r="AK862" i="1"/>
  <c r="AK854" i="1"/>
  <c r="AK846" i="1"/>
  <c r="AK838" i="1"/>
  <c r="AK830" i="1"/>
  <c r="AK822" i="1"/>
  <c r="AK814" i="1"/>
  <c r="AK806" i="1"/>
  <c r="AK798" i="1"/>
  <c r="AK790" i="1"/>
  <c r="AK782" i="1"/>
  <c r="AK774" i="1"/>
  <c r="AK766" i="1"/>
  <c r="AK758" i="1"/>
  <c r="AK750" i="1"/>
  <c r="AK742" i="1"/>
  <c r="AK734" i="1"/>
  <c r="AK726" i="1"/>
  <c r="AK718" i="1"/>
  <c r="AK710" i="1"/>
  <c r="AK702" i="1"/>
  <c r="AK694" i="1"/>
  <c r="AK686" i="1"/>
  <c r="AK678" i="1"/>
  <c r="AK670" i="1"/>
  <c r="AK662" i="1"/>
  <c r="AK654" i="1"/>
  <c r="AK646" i="1"/>
  <c r="AK638" i="1"/>
  <c r="AK630" i="1"/>
  <c r="AK622" i="1"/>
  <c r="AK614" i="1"/>
  <c r="AK606" i="1"/>
  <c r="AK598" i="1"/>
  <c r="AK590" i="1"/>
  <c r="AK582" i="1"/>
  <c r="AK574" i="1"/>
  <c r="AK566" i="1"/>
  <c r="AK558" i="1"/>
  <c r="AK550" i="1"/>
  <c r="AK542" i="1"/>
  <c r="AK534" i="1"/>
  <c r="AK526" i="1"/>
  <c r="AK1154" i="1"/>
  <c r="AK1140" i="1"/>
  <c r="AK1129" i="1"/>
  <c r="AK1115" i="1"/>
  <c r="AK1101" i="1"/>
  <c r="AK1090" i="1"/>
  <c r="AK1076" i="1"/>
  <c r="AK1065" i="1"/>
  <c r="AK1053" i="1"/>
  <c r="AK1045" i="1"/>
  <c r="AK1037" i="1"/>
  <c r="AK1029" i="1"/>
  <c r="AK1021" i="1"/>
  <c r="AK1013" i="1"/>
  <c r="AK1005" i="1"/>
  <c r="AK997" i="1"/>
  <c r="AK989" i="1"/>
  <c r="AK981" i="1"/>
  <c r="AK973" i="1"/>
  <c r="AK965" i="1"/>
  <c r="AK957" i="1"/>
  <c r="AK949" i="1"/>
  <c r="AK941" i="1"/>
  <c r="AK933" i="1"/>
  <c r="AK925" i="1"/>
  <c r="AK917" i="1"/>
  <c r="AK909" i="1"/>
  <c r="AK901" i="1"/>
  <c r="AK893" i="1"/>
  <c r="AK885" i="1"/>
  <c r="AK877" i="1"/>
  <c r="AK869" i="1"/>
  <c r="AK861" i="1"/>
  <c r="AK853" i="1"/>
  <c r="AK845" i="1"/>
  <c r="AK837" i="1"/>
  <c r="AK829" i="1"/>
  <c r="AK821" i="1"/>
  <c r="AK813" i="1"/>
  <c r="AK805" i="1"/>
  <c r="AK797" i="1"/>
  <c r="AK789" i="1"/>
  <c r="AK781" i="1"/>
  <c r="AK773" i="1"/>
  <c r="AK765" i="1"/>
  <c r="AK757" i="1"/>
  <c r="AK749" i="1"/>
  <c r="AK741" i="1"/>
  <c r="AK733" i="1"/>
  <c r="AK725" i="1"/>
  <c r="AK717" i="1"/>
  <c r="AK709" i="1"/>
  <c r="AK701" i="1"/>
  <c r="AK693" i="1"/>
  <c r="AK685" i="1"/>
  <c r="AK677" i="1"/>
  <c r="AK669" i="1"/>
  <c r="AK661" i="1"/>
  <c r="AK653" i="1"/>
  <c r="AK645" i="1"/>
  <c r="AK637" i="1"/>
  <c r="AK629" i="1"/>
  <c r="AK621" i="1"/>
  <c r="AK613" i="1"/>
  <c r="AK605" i="1"/>
  <c r="AK597" i="1"/>
  <c r="AK589" i="1"/>
  <c r="AK581" i="1"/>
  <c r="AK573" i="1"/>
  <c r="AK565" i="1"/>
  <c r="AK557" i="1"/>
  <c r="AK549" i="1"/>
  <c r="AK541" i="1"/>
  <c r="AK533" i="1"/>
  <c r="AK525" i="1"/>
  <c r="AK517" i="1"/>
  <c r="AK509" i="1"/>
  <c r="AK501" i="1"/>
  <c r="AK493" i="1"/>
  <c r="AK485" i="1"/>
  <c r="AK477" i="1"/>
  <c r="AK469" i="1"/>
  <c r="AK461" i="1"/>
  <c r="AK453" i="1"/>
  <c r="AK445" i="1"/>
  <c r="AK1153" i="1"/>
  <c r="AK1139" i="1"/>
  <c r="AK1125" i="1"/>
  <c r="AK1114" i="1"/>
  <c r="AK1100" i="1"/>
  <c r="AK1089" i="1"/>
  <c r="AK1075" i="1"/>
  <c r="AK1061" i="1"/>
  <c r="AK1052" i="1"/>
  <c r="AK1044" i="1"/>
  <c r="AK1036" i="1"/>
  <c r="AK1028" i="1"/>
  <c r="AK1020" i="1"/>
  <c r="AK1012" i="1"/>
  <c r="AK1004" i="1"/>
  <c r="AK996" i="1"/>
  <c r="AK988" i="1"/>
  <c r="AK980" i="1"/>
  <c r="AK972" i="1"/>
  <c r="AK964" i="1"/>
  <c r="AK956" i="1"/>
  <c r="AK948" i="1"/>
  <c r="AK940" i="1"/>
  <c r="AK932" i="1"/>
  <c r="AK924" i="1"/>
  <c r="AK916" i="1"/>
  <c r="AK908" i="1"/>
  <c r="AK900" i="1"/>
  <c r="AK892" i="1"/>
  <c r="AK884" i="1"/>
  <c r="AK876" i="1"/>
  <c r="AK868" i="1"/>
  <c r="AK860" i="1"/>
  <c r="AK852" i="1"/>
  <c r="AK844" i="1"/>
  <c r="AK836" i="1"/>
  <c r="AK828" i="1"/>
  <c r="AK820" i="1"/>
  <c r="AK812" i="1"/>
  <c r="AK804" i="1"/>
  <c r="AK796" i="1"/>
  <c r="AK788" i="1"/>
  <c r="AK780" i="1"/>
  <c r="AK772" i="1"/>
  <c r="AK764" i="1"/>
  <c r="AK756" i="1"/>
  <c r="AK748" i="1"/>
  <c r="AK740" i="1"/>
  <c r="AK732" i="1"/>
  <c r="AK724" i="1"/>
  <c r="AK716" i="1"/>
  <c r="AK708" i="1"/>
  <c r="AK700" i="1"/>
  <c r="AK692" i="1"/>
  <c r="AK684" i="1"/>
  <c r="AK676" i="1"/>
  <c r="AK668" i="1"/>
  <c r="AK660" i="1"/>
  <c r="AK652" i="1"/>
  <c r="AK644" i="1"/>
  <c r="AK636" i="1"/>
  <c r="AK628" i="1"/>
  <c r="AK620" i="1"/>
  <c r="AK612" i="1"/>
  <c r="AK604" i="1"/>
  <c r="AK596" i="1"/>
  <c r="AK588" i="1"/>
  <c r="AK580" i="1"/>
  <c r="AK572" i="1"/>
  <c r="AK564" i="1"/>
  <c r="AK556" i="1"/>
  <c r="AK548" i="1"/>
  <c r="AK540" i="1"/>
  <c r="AK532" i="1"/>
  <c r="AK524" i="1"/>
  <c r="AK1156" i="1"/>
  <c r="AK1131" i="1"/>
  <c r="AK1106" i="1"/>
  <c r="AK1081" i="1"/>
  <c r="AK1055" i="1"/>
  <c r="AK1039" i="1"/>
  <c r="AK1023" i="1"/>
  <c r="AK1007" i="1"/>
  <c r="AK991" i="1"/>
  <c r="AK975" i="1"/>
  <c r="AK959" i="1"/>
  <c r="AK943" i="1"/>
  <c r="AK927" i="1"/>
  <c r="AK911" i="1"/>
  <c r="AK895" i="1"/>
  <c r="AK879" i="1"/>
  <c r="AK863" i="1"/>
  <c r="AK847" i="1"/>
  <c r="AK831" i="1"/>
  <c r="AK815" i="1"/>
  <c r="AK799" i="1"/>
  <c r="AK783" i="1"/>
  <c r="AK767" i="1"/>
  <c r="AK751" i="1"/>
  <c r="AK735" i="1"/>
  <c r="AK719" i="1"/>
  <c r="AK703" i="1"/>
  <c r="AK687" i="1"/>
  <c r="AK671" i="1"/>
  <c r="AK655" i="1"/>
  <c r="AK639" i="1"/>
  <c r="AK623" i="1"/>
  <c r="AK607" i="1"/>
  <c r="AK591" i="1"/>
  <c r="AK575" i="1"/>
  <c r="AK559" i="1"/>
  <c r="AK543" i="1"/>
  <c r="AK527" i="1"/>
  <c r="AK514" i="1"/>
  <c r="AK503" i="1"/>
  <c r="AK492" i="1"/>
  <c r="AK482" i="1"/>
  <c r="AK471" i="1"/>
  <c r="AK460" i="1"/>
  <c r="AK450" i="1"/>
  <c r="AK440" i="1"/>
  <c r="AK432" i="1"/>
  <c r="AK424" i="1"/>
  <c r="AK416" i="1"/>
  <c r="AK408" i="1"/>
  <c r="AK400" i="1"/>
  <c r="AK392" i="1"/>
  <c r="AK384" i="1"/>
  <c r="AK376" i="1"/>
  <c r="AK368" i="1"/>
  <c r="AK360" i="1"/>
  <c r="AK352" i="1"/>
  <c r="AK344" i="1"/>
  <c r="AK336" i="1"/>
  <c r="AK328" i="1"/>
  <c r="AK320" i="1"/>
  <c r="AK312" i="1"/>
  <c r="AK304" i="1"/>
  <c r="AK296" i="1"/>
  <c r="AK288" i="1"/>
  <c r="AK280" i="1"/>
  <c r="AK272" i="1"/>
  <c r="AK264" i="1"/>
  <c r="AK256" i="1"/>
  <c r="AK248" i="1"/>
  <c r="AK240" i="1"/>
  <c r="AK232" i="1"/>
  <c r="AK224" i="1"/>
  <c r="AK216" i="1"/>
  <c r="AK208" i="1"/>
  <c r="AK200" i="1"/>
  <c r="AK192" i="1"/>
  <c r="AK184" i="1"/>
  <c r="AK176" i="1"/>
  <c r="AK168" i="1"/>
  <c r="AK160" i="1"/>
  <c r="AK152" i="1"/>
  <c r="AK144" i="1"/>
  <c r="AK136" i="1"/>
  <c r="AK128" i="1"/>
  <c r="AK120" i="1"/>
  <c r="AK112" i="1"/>
  <c r="AK1149" i="1"/>
  <c r="AK1124" i="1"/>
  <c r="AK1099" i="1"/>
  <c r="AK1074" i="1"/>
  <c r="AK1051" i="1"/>
  <c r="AK1035" i="1"/>
  <c r="AK1019" i="1"/>
  <c r="AK1003" i="1"/>
  <c r="AK987" i="1"/>
  <c r="AK971" i="1"/>
  <c r="AK955" i="1"/>
  <c r="AK939" i="1"/>
  <c r="AK923" i="1"/>
  <c r="AK907" i="1"/>
  <c r="AK891" i="1"/>
  <c r="AK875" i="1"/>
  <c r="AK859" i="1"/>
  <c r="AK843" i="1"/>
  <c r="AK827" i="1"/>
  <c r="AK811" i="1"/>
  <c r="AK795" i="1"/>
  <c r="AK779" i="1"/>
  <c r="AK763" i="1"/>
  <c r="AK747" i="1"/>
  <c r="AK731" i="1"/>
  <c r="AK715" i="1"/>
  <c r="AK699" i="1"/>
  <c r="AK683" i="1"/>
  <c r="AK667" i="1"/>
  <c r="AK651" i="1"/>
  <c r="AK635" i="1"/>
  <c r="AK619" i="1"/>
  <c r="AK603" i="1"/>
  <c r="AK587" i="1"/>
  <c r="AK571" i="1"/>
  <c r="AK555" i="1"/>
  <c r="AK539" i="1"/>
  <c r="AK523" i="1"/>
  <c r="AK513" i="1"/>
  <c r="AK502" i="1"/>
  <c r="AK491" i="1"/>
  <c r="AK481" i="1"/>
  <c r="AK470" i="1"/>
  <c r="AK459" i="1"/>
  <c r="AK449" i="1"/>
  <c r="AK439" i="1"/>
  <c r="AK431" i="1"/>
  <c r="AK423" i="1"/>
  <c r="AK415" i="1"/>
  <c r="AK407" i="1"/>
  <c r="AK399" i="1"/>
  <c r="AK391" i="1"/>
  <c r="AK383" i="1"/>
  <c r="AK375" i="1"/>
  <c r="AK367" i="1"/>
  <c r="AK359" i="1"/>
  <c r="AK351" i="1"/>
  <c r="AK343" i="1"/>
  <c r="AK335" i="1"/>
  <c r="AK327" i="1"/>
  <c r="AK319" i="1"/>
  <c r="AK311" i="1"/>
  <c r="AK303" i="1"/>
  <c r="AK295" i="1"/>
  <c r="AK287" i="1"/>
  <c r="AK279" i="1"/>
  <c r="AK271" i="1"/>
  <c r="AK263" i="1"/>
  <c r="AK255" i="1"/>
  <c r="AK247" i="1"/>
  <c r="AK239" i="1"/>
  <c r="AK231" i="1"/>
  <c r="AK223" i="1"/>
  <c r="AK215" i="1"/>
  <c r="AK207" i="1"/>
  <c r="AK199" i="1"/>
  <c r="AK191" i="1"/>
  <c r="AK183" i="1"/>
  <c r="AK175" i="1"/>
  <c r="AK167" i="1"/>
  <c r="AK159" i="1"/>
  <c r="AK151" i="1"/>
  <c r="AK143" i="1"/>
  <c r="AK135" i="1"/>
  <c r="AK127" i="1"/>
  <c r="AK1148" i="1"/>
  <c r="AK1123" i="1"/>
  <c r="AK1098" i="1"/>
  <c r="AK1073" i="1"/>
  <c r="AK1050" i="1"/>
  <c r="AK1034" i="1"/>
  <c r="AK1018" i="1"/>
  <c r="AK1002" i="1"/>
  <c r="AK986" i="1"/>
  <c r="AK970" i="1"/>
  <c r="AK954" i="1"/>
  <c r="AK938" i="1"/>
  <c r="AK922" i="1"/>
  <c r="AK906" i="1"/>
  <c r="AK890" i="1"/>
  <c r="AK874" i="1"/>
  <c r="AK858" i="1"/>
  <c r="AK842" i="1"/>
  <c r="AK826" i="1"/>
  <c r="AK810" i="1"/>
  <c r="AK794" i="1"/>
  <c r="AK778" i="1"/>
  <c r="AK762" i="1"/>
  <c r="AK746" i="1"/>
  <c r="AK730" i="1"/>
  <c r="AK714" i="1"/>
  <c r="AK698" i="1"/>
  <c r="AK682" i="1"/>
  <c r="AK666" i="1"/>
  <c r="AK650" i="1"/>
  <c r="AK634" i="1"/>
  <c r="AK618" i="1"/>
  <c r="AK602" i="1"/>
  <c r="AK586" i="1"/>
  <c r="AK570" i="1"/>
  <c r="AK554" i="1"/>
  <c r="AK538" i="1"/>
  <c r="AK522" i="1"/>
  <c r="AK511" i="1"/>
  <c r="AK500" i="1"/>
  <c r="AK490" i="1"/>
  <c r="AK479" i="1"/>
  <c r="AK468" i="1"/>
  <c r="AK458" i="1"/>
  <c r="AK447" i="1"/>
  <c r="AK438" i="1"/>
  <c r="AK430" i="1"/>
  <c r="AK422" i="1"/>
  <c r="AK414" i="1"/>
  <c r="AK406" i="1"/>
  <c r="AK398" i="1"/>
  <c r="AK390" i="1"/>
  <c r="AK382" i="1"/>
  <c r="AK374" i="1"/>
  <c r="AK366" i="1"/>
  <c r="AK358" i="1"/>
  <c r="AK350" i="1"/>
  <c r="AK342" i="1"/>
  <c r="AK334" i="1"/>
  <c r="AK326" i="1"/>
  <c r="AK318" i="1"/>
  <c r="AK310" i="1"/>
  <c r="AK302" i="1"/>
  <c r="AK294" i="1"/>
  <c r="AK286" i="1"/>
  <c r="AK278" i="1"/>
  <c r="AK270" i="1"/>
  <c r="AK262" i="1"/>
  <c r="AK254" i="1"/>
  <c r="AK246" i="1"/>
  <c r="AK238" i="1"/>
  <c r="AK230" i="1"/>
  <c r="AK222" i="1"/>
  <c r="AK214" i="1"/>
  <c r="AK206" i="1"/>
  <c r="AK198" i="1"/>
  <c r="AK190" i="1"/>
  <c r="AK182" i="1"/>
  <c r="AK174" i="1"/>
  <c r="AK166" i="1"/>
  <c r="AK158" i="1"/>
  <c r="AK150" i="1"/>
  <c r="AK142" i="1"/>
  <c r="AK134" i="1"/>
  <c r="AK126" i="1"/>
  <c r="AK1147" i="1"/>
  <c r="AK1122" i="1"/>
  <c r="AK1097" i="1"/>
  <c r="AK1069" i="1"/>
  <c r="AK1049" i="1"/>
  <c r="AK1033" i="1"/>
  <c r="AK1017" i="1"/>
  <c r="AK1001" i="1"/>
  <c r="AK985" i="1"/>
  <c r="AK969" i="1"/>
  <c r="AK953" i="1"/>
  <c r="AK937" i="1"/>
  <c r="AK921" i="1"/>
  <c r="AK905" i="1"/>
  <c r="AK889" i="1"/>
  <c r="AK873" i="1"/>
  <c r="AK857" i="1"/>
  <c r="AK841" i="1"/>
  <c r="AK825" i="1"/>
  <c r="AK809" i="1"/>
  <c r="AK793" i="1"/>
  <c r="AK777" i="1"/>
  <c r="AK761" i="1"/>
  <c r="AK745" i="1"/>
  <c r="AK729" i="1"/>
  <c r="AK713" i="1"/>
  <c r="AK697" i="1"/>
  <c r="AK681" i="1"/>
  <c r="AK665" i="1"/>
  <c r="AK649" i="1"/>
  <c r="AK633" i="1"/>
  <c r="AK617" i="1"/>
  <c r="AK601" i="1"/>
  <c r="AK585" i="1"/>
  <c r="AK569" i="1"/>
  <c r="AK553" i="1"/>
  <c r="AK537" i="1"/>
  <c r="AK521" i="1"/>
  <c r="AK510" i="1"/>
  <c r="AK499" i="1"/>
  <c r="AK489" i="1"/>
  <c r="AK478" i="1"/>
  <c r="AK467" i="1"/>
  <c r="AK457" i="1"/>
  <c r="AK446" i="1"/>
  <c r="AK437" i="1"/>
  <c r="AK429" i="1"/>
  <c r="AK421" i="1"/>
  <c r="AK413" i="1"/>
  <c r="AK405" i="1"/>
  <c r="AK397" i="1"/>
  <c r="AK389" i="1"/>
  <c r="AK381" i="1"/>
  <c r="AK373" i="1"/>
  <c r="AK365" i="1"/>
  <c r="AK357" i="1"/>
  <c r="AK349" i="1"/>
  <c r="AK341" i="1"/>
  <c r="AK333" i="1"/>
  <c r="AK325" i="1"/>
  <c r="AK317" i="1"/>
  <c r="AK309" i="1"/>
  <c r="AK301" i="1"/>
  <c r="AK293" i="1"/>
  <c r="AK285" i="1"/>
  <c r="AK277" i="1"/>
  <c r="AK269" i="1"/>
  <c r="AK261" i="1"/>
  <c r="AK253" i="1"/>
  <c r="AK245" i="1"/>
  <c r="AK237" i="1"/>
  <c r="AK229" i="1"/>
  <c r="AK221" i="1"/>
  <c r="AK1145" i="1"/>
  <c r="AK1117" i="1"/>
  <c r="AK1092" i="1"/>
  <c r="AK1067" i="1"/>
  <c r="AK1047" i="1"/>
  <c r="AK1031" i="1"/>
  <c r="AK1015" i="1"/>
  <c r="AK999" i="1"/>
  <c r="AK983" i="1"/>
  <c r="AK967" i="1"/>
  <c r="AK951" i="1"/>
  <c r="AK935" i="1"/>
  <c r="AK919" i="1"/>
  <c r="AK903" i="1"/>
  <c r="AK887" i="1"/>
  <c r="AK871" i="1"/>
  <c r="AK855" i="1"/>
  <c r="AK839" i="1"/>
  <c r="AK823" i="1"/>
  <c r="AK807" i="1"/>
  <c r="AK791" i="1"/>
  <c r="AK775" i="1"/>
  <c r="AK759" i="1"/>
  <c r="AK743" i="1"/>
  <c r="AK727" i="1"/>
  <c r="AK711" i="1"/>
  <c r="AK695" i="1"/>
  <c r="AK679" i="1"/>
  <c r="AK663" i="1"/>
  <c r="AK647" i="1"/>
  <c r="AK631" i="1"/>
  <c r="AK615" i="1"/>
  <c r="AK599" i="1"/>
  <c r="AK583" i="1"/>
  <c r="AK567" i="1"/>
  <c r="AK551" i="1"/>
  <c r="AK535" i="1"/>
  <c r="AK519" i="1"/>
  <c r="AK508" i="1"/>
  <c r="AK498" i="1"/>
  <c r="AK487" i="1"/>
  <c r="AK476" i="1"/>
  <c r="AK466" i="1"/>
  <c r="AK455" i="1"/>
  <c r="AK444" i="1"/>
  <c r="AK436" i="1"/>
  <c r="AK428" i="1"/>
  <c r="AK420" i="1"/>
  <c r="AK412" i="1"/>
  <c r="AK404" i="1"/>
  <c r="AK396" i="1"/>
  <c r="AK388" i="1"/>
  <c r="AK380" i="1"/>
  <c r="AK372" i="1"/>
  <c r="AK364" i="1"/>
  <c r="AK356" i="1"/>
  <c r="AK348" i="1"/>
  <c r="AK340" i="1"/>
  <c r="AK1138" i="1"/>
  <c r="AK1083" i="1"/>
  <c r="AK1026" i="1"/>
  <c r="AK979" i="1"/>
  <c r="AK945" i="1"/>
  <c r="AK898" i="1"/>
  <c r="AK851" i="1"/>
  <c r="AK817" i="1"/>
  <c r="AK770" i="1"/>
  <c r="AK723" i="1"/>
  <c r="AK689" i="1"/>
  <c r="AK642" i="1"/>
  <c r="AK595" i="1"/>
  <c r="AK561" i="1"/>
  <c r="AK516" i="1"/>
  <c r="AK486" i="1"/>
  <c r="AK462" i="1"/>
  <c r="AK434" i="1"/>
  <c r="AK411" i="1"/>
  <c r="AK393" i="1"/>
  <c r="AK370" i="1"/>
  <c r="AK347" i="1"/>
  <c r="AK330" i="1"/>
  <c r="AK314" i="1"/>
  <c r="AK298" i="1"/>
  <c r="AK282" i="1"/>
  <c r="AK266" i="1"/>
  <c r="AK250" i="1"/>
  <c r="AK234" i="1"/>
  <c r="AK218" i="1"/>
  <c r="AK204" i="1"/>
  <c r="AK193" i="1"/>
  <c r="AK179" i="1"/>
  <c r="AK165" i="1"/>
  <c r="AK154" i="1"/>
  <c r="AK140" i="1"/>
  <c r="AK129" i="1"/>
  <c r="AK117" i="1"/>
  <c r="AK108" i="1"/>
  <c r="AK100" i="1"/>
  <c r="AK92" i="1"/>
  <c r="AK84" i="1"/>
  <c r="AK76" i="1"/>
  <c r="AK68" i="1"/>
  <c r="AK60" i="1"/>
  <c r="AK52" i="1"/>
  <c r="AK44" i="1"/>
  <c r="AK36" i="1"/>
  <c r="AK28" i="1"/>
  <c r="AK20" i="1"/>
  <c r="AK12" i="1"/>
  <c r="AK4" i="1"/>
  <c r="AK1137" i="1"/>
  <c r="AK1060" i="1"/>
  <c r="AK1025" i="1"/>
  <c r="AK978" i="1"/>
  <c r="AK931" i="1"/>
  <c r="AK897" i="1"/>
  <c r="AK850" i="1"/>
  <c r="AK803" i="1"/>
  <c r="AK769" i="1"/>
  <c r="AK722" i="1"/>
  <c r="AK675" i="1"/>
  <c r="AK641" i="1"/>
  <c r="AK594" i="1"/>
  <c r="AK547" i="1"/>
  <c r="AK515" i="1"/>
  <c r="AK484" i="1"/>
  <c r="AK454" i="1"/>
  <c r="AK433" i="1"/>
  <c r="AK410" i="1"/>
  <c r="AK387" i="1"/>
  <c r="AK369" i="1"/>
  <c r="AK346" i="1"/>
  <c r="AK329" i="1"/>
  <c r="AK313" i="1"/>
  <c r="AK297" i="1"/>
  <c r="AK281" i="1"/>
  <c r="AK265" i="1"/>
  <c r="AK249" i="1"/>
  <c r="AK233" i="1"/>
  <c r="AK217" i="1"/>
  <c r="AK203" i="1"/>
  <c r="AK189" i="1"/>
  <c r="AK178" i="1"/>
  <c r="AK164" i="1"/>
  <c r="AK153" i="1"/>
  <c r="AK139" i="1"/>
  <c r="AK125" i="1"/>
  <c r="AK116" i="1"/>
  <c r="AK107" i="1"/>
  <c r="AK99" i="1"/>
  <c r="AK91" i="1"/>
  <c r="AK83" i="1"/>
  <c r="AK75" i="1"/>
  <c r="AK67" i="1"/>
  <c r="AK59" i="1"/>
  <c r="AK51" i="1"/>
  <c r="AK43" i="1"/>
  <c r="AK35" i="1"/>
  <c r="AK27" i="1"/>
  <c r="AK19" i="1"/>
  <c r="AK11" i="1"/>
  <c r="AK1113" i="1"/>
  <c r="AK1058" i="1"/>
  <c r="AK1010" i="1"/>
  <c r="AK963" i="1"/>
  <c r="AK929" i="1"/>
  <c r="AK882" i="1"/>
  <c r="AK835" i="1"/>
  <c r="AK801" i="1"/>
  <c r="AK754" i="1"/>
  <c r="AK707" i="1"/>
  <c r="AK673" i="1"/>
  <c r="AK626" i="1"/>
  <c r="AK579" i="1"/>
  <c r="AK545" i="1"/>
  <c r="AK506" i="1"/>
  <c r="AK475" i="1"/>
  <c r="AK451" i="1"/>
  <c r="AK426" i="1"/>
  <c r="AK403" i="1"/>
  <c r="AK385" i="1"/>
  <c r="AK362" i="1"/>
  <c r="AK339" i="1"/>
  <c r="AK323" i="1"/>
  <c r="AK307" i="1"/>
  <c r="AK291" i="1"/>
  <c r="AK275" i="1"/>
  <c r="AK259" i="1"/>
  <c r="AK243" i="1"/>
  <c r="AK227" i="1"/>
  <c r="AK212" i="1"/>
  <c r="AK201" i="1"/>
  <c r="AK187" i="1"/>
  <c r="AK173" i="1"/>
  <c r="AK162" i="1"/>
  <c r="AK148" i="1"/>
  <c r="AK137" i="1"/>
  <c r="AK123" i="1"/>
  <c r="AK114" i="1"/>
  <c r="AK105" i="1"/>
  <c r="AK97" i="1"/>
  <c r="AK89" i="1"/>
  <c r="AK81" i="1"/>
  <c r="AK73" i="1"/>
  <c r="AK65" i="1"/>
  <c r="AK57" i="1"/>
  <c r="AK49" i="1"/>
  <c r="AK41" i="1"/>
  <c r="AK33" i="1"/>
  <c r="AK25" i="1"/>
  <c r="AK17" i="1"/>
  <c r="AK9" i="1"/>
  <c r="AK2" i="1"/>
  <c r="AK1109" i="1"/>
  <c r="AK1043" i="1"/>
  <c r="AK1009" i="1"/>
  <c r="AK962" i="1"/>
  <c r="AK915" i="1"/>
  <c r="AK881" i="1"/>
  <c r="AK834" i="1"/>
  <c r="AK787" i="1"/>
  <c r="AK753" i="1"/>
  <c r="AK706" i="1"/>
  <c r="AK659" i="1"/>
  <c r="AK625" i="1"/>
  <c r="AK578" i="1"/>
  <c r="AK531" i="1"/>
  <c r="AK505" i="1"/>
  <c r="AK474" i="1"/>
  <c r="AK443" i="1"/>
  <c r="AK425" i="1"/>
  <c r="AK402" i="1"/>
  <c r="AK379" i="1"/>
  <c r="AK361" i="1"/>
  <c r="AK338" i="1"/>
  <c r="AK322" i="1"/>
  <c r="AK306" i="1"/>
  <c r="AK290" i="1"/>
  <c r="AK274" i="1"/>
  <c r="AK258" i="1"/>
  <c r="AK242" i="1"/>
  <c r="AK226" i="1"/>
  <c r="AK211" i="1"/>
  <c r="AK197" i="1"/>
  <c r="AK186" i="1"/>
  <c r="AK172" i="1"/>
  <c r="AK161" i="1"/>
  <c r="AK147" i="1"/>
  <c r="AK133" i="1"/>
  <c r="AK122" i="1"/>
  <c r="AK113" i="1"/>
  <c r="AK104" i="1"/>
  <c r="AK96" i="1"/>
  <c r="AK88" i="1"/>
  <c r="AK80" i="1"/>
  <c r="AK72" i="1"/>
  <c r="AK64" i="1"/>
  <c r="AK56" i="1"/>
  <c r="AK48" i="1"/>
  <c r="AK40" i="1"/>
  <c r="AK32" i="1"/>
  <c r="AK24" i="1"/>
  <c r="AK16" i="1"/>
  <c r="AK8" i="1"/>
  <c r="AK15" i="1"/>
  <c r="AK31" i="1"/>
  <c r="AK47" i="1"/>
  <c r="AK63" i="1"/>
  <c r="AK79" i="1"/>
  <c r="AK95" i="1"/>
  <c r="AK111" i="1"/>
  <c r="AK132" i="1"/>
  <c r="AK157" i="1"/>
  <c r="AK185" i="1"/>
  <c r="AK210" i="1"/>
  <c r="AK241" i="1"/>
  <c r="AK273" i="1"/>
  <c r="AK305" i="1"/>
  <c r="AK337" i="1"/>
  <c r="AK378" i="1"/>
  <c r="AK419" i="1"/>
  <c r="AK473" i="1"/>
  <c r="AK530" i="1"/>
  <c r="AK611" i="1"/>
  <c r="AK705" i="1"/>
  <c r="AK786" i="1"/>
  <c r="AK867" i="1"/>
  <c r="AK961" i="1"/>
  <c r="AK1042" i="1"/>
  <c r="AK1164" i="1"/>
  <c r="AK721" i="1"/>
  <c r="AK802" i="1"/>
  <c r="AK883" i="1"/>
  <c r="AK977" i="1"/>
  <c r="AK1059" i="1"/>
  <c r="AK5" i="1"/>
  <c r="AK21" i="1"/>
  <c r="AK37" i="1"/>
  <c r="AK53" i="1"/>
  <c r="AK69" i="1"/>
  <c r="AK85" i="1"/>
  <c r="AK101" i="1"/>
  <c r="AK118" i="1"/>
  <c r="AK141" i="1"/>
  <c r="AK169" i="1"/>
  <c r="AK194" i="1"/>
  <c r="AK219" i="1"/>
  <c r="AK251" i="1"/>
  <c r="AK283" i="1"/>
  <c r="AK315" i="1"/>
  <c r="AK353" i="1"/>
  <c r="AK394" i="1"/>
  <c r="AK435" i="1"/>
  <c r="AK494" i="1"/>
  <c r="AK562" i="1"/>
  <c r="AK643" i="1"/>
  <c r="AK737" i="1"/>
  <c r="AK818" i="1"/>
  <c r="AK899" i="1"/>
  <c r="AK993" i="1"/>
  <c r="AK1084" i="1"/>
  <c r="AK6" i="1"/>
  <c r="AK22" i="1"/>
  <c r="AK38" i="1"/>
  <c r="AK54" i="1"/>
  <c r="AK70" i="1"/>
  <c r="AK86" i="1"/>
  <c r="AK102" i="1"/>
  <c r="AK119" i="1"/>
  <c r="AK145" i="1"/>
  <c r="AK170" i="1"/>
  <c r="AK195" i="1"/>
  <c r="AK220" i="1"/>
  <c r="AK252" i="1"/>
  <c r="AK284" i="1"/>
  <c r="AK316" i="1"/>
  <c r="AK354" i="1"/>
  <c r="AK395" i="1"/>
  <c r="AK441" i="1"/>
  <c r="AK495" i="1"/>
  <c r="AK563" i="1"/>
  <c r="AK657" i="1"/>
  <c r="AK738" i="1"/>
  <c r="AK819" i="1"/>
  <c r="AK913" i="1"/>
  <c r="AK994" i="1"/>
  <c r="AK1085" i="1"/>
  <c r="AK7" i="1"/>
  <c r="AK23" i="1"/>
  <c r="AK39" i="1"/>
  <c r="AK55" i="1"/>
  <c r="AK71" i="1"/>
  <c r="AK87" i="1"/>
  <c r="AK103" i="1"/>
  <c r="AK121" i="1"/>
  <c r="AK146" i="1"/>
  <c r="AK171" i="1"/>
  <c r="AK196" i="1"/>
  <c r="AK225" i="1"/>
  <c r="AK257" i="1"/>
  <c r="AK289" i="1"/>
  <c r="AK321" i="1"/>
  <c r="AK355" i="1"/>
  <c r="AK401" i="1"/>
  <c r="AK442" i="1"/>
  <c r="AK497" i="1"/>
  <c r="AK577" i="1"/>
  <c r="AK658" i="1"/>
  <c r="AK739" i="1"/>
  <c r="AK833" i="1"/>
  <c r="AK914" i="1"/>
  <c r="AK995" i="1"/>
  <c r="AK1108" i="1"/>
  <c r="AK10" i="1"/>
  <c r="AK26" i="1"/>
  <c r="AK42" i="1"/>
  <c r="AK58" i="1"/>
  <c r="AK74" i="1"/>
  <c r="AK90" i="1"/>
  <c r="AK106" i="1"/>
  <c r="AK124" i="1"/>
  <c r="AK149" i="1"/>
  <c r="AK177" i="1"/>
  <c r="AK202" i="1"/>
  <c r="AK228" i="1"/>
  <c r="AK260" i="1"/>
  <c r="AK292" i="1"/>
  <c r="AK324" i="1"/>
  <c r="AK363" i="1"/>
  <c r="AK409" i="1"/>
  <c r="AK452" i="1"/>
  <c r="AK507" i="1"/>
  <c r="AK593" i="1"/>
  <c r="AK674" i="1"/>
  <c r="AK755" i="1"/>
  <c r="AK849" i="1"/>
  <c r="AK930" i="1"/>
  <c r="AK1011" i="1"/>
  <c r="AK113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<sst xmlns="http://schemas.openxmlformats.org/spreadsheetml/2006/main" count="3722" uniqueCount="2425">
  <si>
    <t>repo</t>
  </si>
  <si>
    <t>owner</t>
  </si>
  <si>
    <t>repo_name</t>
  </si>
  <si>
    <t>url</t>
  </si>
  <si>
    <t>created_at</t>
  </si>
  <si>
    <t>updated_at</t>
  </si>
  <si>
    <t>is_fork</t>
  </si>
  <si>
    <t>in_org</t>
  </si>
  <si>
    <t>stars</t>
  </si>
  <si>
    <t>watchers</t>
  </si>
  <si>
    <t>forks</t>
  </si>
  <si>
    <t>releases</t>
  </si>
  <si>
    <t>commit_comments</t>
  </si>
  <si>
    <t>contributors</t>
  </si>
  <si>
    <t>prs</t>
  </si>
  <si>
    <t>prs_open</t>
  </si>
  <si>
    <t>issues</t>
  </si>
  <si>
    <t>issues_open</t>
  </si>
  <si>
    <t>license</t>
  </si>
  <si>
    <t>lloc</t>
  </si>
  <si>
    <t>logger_calls</t>
  </si>
  <si>
    <t>logger/lloc</t>
  </si>
  <si>
    <t>verbosity_debug</t>
  </si>
  <si>
    <t>debug/loggers</t>
  </si>
  <si>
    <t>verbosity_info</t>
  </si>
  <si>
    <t>info/loggers</t>
  </si>
  <si>
    <t>verbosity_warning</t>
  </si>
  <si>
    <t>warning/loggers</t>
  </si>
  <si>
    <t>verbosity_error</t>
  </si>
  <si>
    <t>error/loggers</t>
  </si>
  <si>
    <t>verbosity_critical</t>
  </si>
  <si>
    <t>critical/loggers</t>
  </si>
  <si>
    <t>verbosity_exception</t>
  </si>
  <si>
    <t>exception/loggers</t>
  </si>
  <si>
    <t>dockerfile</t>
  </si>
  <si>
    <t>docker-compose</t>
  </si>
  <si>
    <t>.kube</t>
  </si>
  <si>
    <t>configmap</t>
  </si>
  <si>
    <t>logging</t>
  </si>
  <si>
    <t>daiquiri</t>
  </si>
  <si>
    <t>eliot</t>
  </si>
  <si>
    <t>logbook</t>
  </si>
  <si>
    <t>loguru</t>
  </si>
  <si>
    <t>logzero</t>
  </si>
  <si>
    <t>pysimplelog</t>
  </si>
  <si>
    <t>structlog</t>
  </si>
  <si>
    <t>twiggy</t>
  </si>
  <si>
    <t>0Kee-Team/WatchAD</t>
  </si>
  <si>
    <t>https://github.com/0Kee-Team/WatchAD</t>
  </si>
  <si>
    <t>GNU General Public License v3.0</t>
  </si>
  <si>
    <t>0vercl0k/stuffz</t>
  </si>
  <si>
    <t>https://github.com/0vercl0k/stuffz</t>
  </si>
  <si>
    <t>N/A</t>
  </si>
  <si>
    <t>0xInfection/TIDoS-Framework</t>
  </si>
  <si>
    <t>https://github.com/0xInfection/TIDoS-Framework</t>
  </si>
  <si>
    <t>1adrianb/face-alignment</t>
  </si>
  <si>
    <t>https://github.com/1adrianb/face-alignment</t>
  </si>
  <si>
    <t>BSD 3-Clause "New" or "Revised" License</t>
  </si>
  <si>
    <t>1tayH/noisy</t>
  </si>
  <si>
    <t>https://github.com/1tayH/noisy</t>
  </si>
  <si>
    <t>5hirish/adam_qas</t>
  </si>
  <si>
    <t>https://github.com/5hirish/adam_qas</t>
  </si>
  <si>
    <t>aancw/Belati</t>
  </si>
  <si>
    <t>https://github.com/aancw/Belati</t>
  </si>
  <si>
    <t>GNU General Public License v2.0</t>
  </si>
  <si>
    <t>abhinavsingh/proxy.py</t>
  </si>
  <si>
    <t>https://github.com/abhinavsingh/proxy.py</t>
  </si>
  <si>
    <t>AcademySoftwareFoundation/OpenCue</t>
  </si>
  <si>
    <t>https://github.com/AcademySoftwareFoundation/OpenCue</t>
  </si>
  <si>
    <t>Apache License 2.0</t>
  </si>
  <si>
    <t>achillesrasquinha/pipupgrade</t>
  </si>
  <si>
    <t>https://github.com/achillesrasquinha/pipupgrade</t>
  </si>
  <si>
    <t>MIT License</t>
  </si>
  <si>
    <t>activeloopai/Hub</t>
  </si>
  <si>
    <t>https://github.com/activeloopai/Hub</t>
  </si>
  <si>
    <t>Mozilla Public License 2.0</t>
  </si>
  <si>
    <t>adamrehn/ue4-docker</t>
  </si>
  <si>
    <t>https://github.com/adamrehn/ue4-docker</t>
  </si>
  <si>
    <t>Adapter-Hub/adapter-transformers</t>
  </si>
  <si>
    <t>https://github.com/Adapter-Hub/adapter-transformers</t>
  </si>
  <si>
    <t>adferrand/dnsrobocert</t>
  </si>
  <si>
    <t>https://github.com/adferrand/dnsrobocert</t>
  </si>
  <si>
    <t>agconti/cookiecutter-django-rest</t>
  </si>
  <si>
    <t>https://github.com/agconti/cookiecutter-django-rest</t>
  </si>
  <si>
    <t>agronholm/apscheduler</t>
  </si>
  <si>
    <t>https://github.com/agronholm/apscheduler</t>
  </si>
  <si>
    <t>ahmetozlu/vehicle_counting_tensorflow</t>
  </si>
  <si>
    <t>https://github.com/ahmetozlu/vehicle_counting_tensorflow</t>
  </si>
  <si>
    <t>AIChallenger/AI_Challenger_2018</t>
  </si>
  <si>
    <t>https://github.com/AIChallenger/AI_Challenger_2018</t>
  </si>
  <si>
    <t>aim-uofa/AdelaiDet</t>
  </si>
  <si>
    <t>https://github.com/aim-uofa/AdelaiDet</t>
  </si>
  <si>
    <t>Other</t>
  </si>
  <si>
    <t>aio-libs/aiocache</t>
  </si>
  <si>
    <t>https://github.com/aio-libs/aiocache</t>
  </si>
  <si>
    <t>aio-libs/aiokafka</t>
  </si>
  <si>
    <t>https://github.com/aio-libs/aiokafka</t>
  </si>
  <si>
    <t>aio-libs/aiomysql</t>
  </si>
  <si>
    <t>https://github.com/aio-libs/aiomysql</t>
  </si>
  <si>
    <t>airnotifier/airnotifier</t>
  </si>
  <si>
    <t>https://github.com/airnotifier/airnotifier</t>
  </si>
  <si>
    <t>akirasosa/mobile-semantic-segmentation</t>
  </si>
  <si>
    <t>https://github.com/akirasosa/mobile-semantic-segmentation</t>
  </si>
  <si>
    <t>AKSHAYUBHAT/DeepVideoAnalytics</t>
  </si>
  <si>
    <t>https://github.com/AKSHAYUBHAT/DeepVideoAnalytics</t>
  </si>
  <si>
    <t>alan-turing-institute/sktime</t>
  </si>
  <si>
    <t>https://github.com/alan-turing-institute/sktime</t>
  </si>
  <si>
    <t>alectrocute/flaskSaaS</t>
  </si>
  <si>
    <t>https://github.com/alectrocute/flaskSaaS</t>
  </si>
  <si>
    <t>alerta/alerta</t>
  </si>
  <si>
    <t>https://github.com/alerta/alerta</t>
  </si>
  <si>
    <t>alexander-akhmetov/python-shortcuts</t>
  </si>
  <si>
    <t>https://github.com/alexander-akhmetov/python-shortcuts</t>
  </si>
  <si>
    <t>alexmojaki/futurecoder</t>
  </si>
  <si>
    <t>https://github.com/alexmojaki/futurecoder</t>
  </si>
  <si>
    <t>alfredfrancis/ai-chatbot-framework</t>
  </si>
  <si>
    <t>https://github.com/alfredfrancis/ai-chatbot-framework</t>
  </si>
  <si>
    <t>alibaba/flink-ai-extended</t>
  </si>
  <si>
    <t>https://github.com/alibaba/flink-ai-extended</t>
  </si>
  <si>
    <t>aliparlakci/bulk-downloader-for-reddit</t>
  </si>
  <si>
    <t>https://github.com/aliparlakci/bulk-downloader-for-reddit</t>
  </si>
  <si>
    <t>alisaifee/flask-limiter</t>
  </si>
  <si>
    <t>https://github.com/alisaifee/flask-limiter</t>
  </si>
  <si>
    <t>alisen39/TrWebOCR</t>
  </si>
  <si>
    <t>https://github.com/alisen39/TrWebOCR</t>
  </si>
  <si>
    <t>allegro/ralph</t>
  </si>
  <si>
    <t>https://github.com/allegro/ralph</t>
  </si>
  <si>
    <t>allenai/allennlp</t>
  </si>
  <si>
    <t>https://github.com/allenai/allennlp</t>
  </si>
  <si>
    <t>allenai/scibert</t>
  </si>
  <si>
    <t>https://github.com/allenai/scibert</t>
  </si>
  <si>
    <t>allenai/writing-code-for-nlp-research-emnlp2018</t>
  </si>
  <si>
    <t>https://github.com/allenai/writing-code-for-nlp-research-emnlp2018</t>
  </si>
  <si>
    <t>almandin/fuxploider</t>
  </si>
  <si>
    <t>https://github.com/almandin/fuxploider</t>
  </si>
  <si>
    <t>alpacahq/pylivetrader</t>
  </si>
  <si>
    <t>https://github.com/alpacahq/pylivetrader</t>
  </si>
  <si>
    <t>altdesktop/i3ipc-python</t>
  </si>
  <si>
    <t>https://github.com/altdesktop/i3ipc-python</t>
  </si>
  <si>
    <t>amirassov/kaggle-imaterialist</t>
  </si>
  <si>
    <t>https://github.com/amirassov/kaggle-imaterialist</t>
  </si>
  <si>
    <t>amitt001/pygmy</t>
  </si>
  <si>
    <t>https://github.com/amitt001/pygmy</t>
  </si>
  <si>
    <t>amoffat/sh</t>
  </si>
  <si>
    <t>https://github.com/amoffat/sh</t>
  </si>
  <si>
    <t>AnalogJ/lexicon</t>
  </si>
  <si>
    <t>https://github.com/AnalogJ/lexicon</t>
  </si>
  <si>
    <t>anchore/anchore-engine</t>
  </si>
  <si>
    <t>https://github.com/anchore/anchore-engine</t>
  </si>
  <si>
    <t>andresriancho/w3af</t>
  </si>
  <si>
    <t>https://github.com/andresriancho/w3af</t>
  </si>
  <si>
    <t>angr/angr</t>
  </si>
  <si>
    <t>https://github.com/angr/angr</t>
  </si>
  <si>
    <t>BSD 2-Clause "Simplified" License</t>
  </si>
  <si>
    <t>angr/rex</t>
  </si>
  <si>
    <t>https://github.com/angr/rex</t>
  </si>
  <si>
    <t>ansible/ansible</t>
  </si>
  <si>
    <t>https://github.com/ansible/ansible</t>
  </si>
  <si>
    <t>ansible/ansible-container</t>
  </si>
  <si>
    <t>https://github.com/ansible/ansible-container</t>
  </si>
  <si>
    <t>GNU Lesser General Public License v3.0</t>
  </si>
  <si>
    <t>ansible/ansible-jupyter-kernel</t>
  </si>
  <si>
    <t>https://github.com/ansible/ansible-jupyter-kernel</t>
  </si>
  <si>
    <t>ansible/ansible-runner</t>
  </si>
  <si>
    <t>https://github.com/ansible/ansible-runner</t>
  </si>
  <si>
    <t>ansible/awx</t>
  </si>
  <si>
    <t>https://github.com/ansible/awx</t>
  </si>
  <si>
    <t>ansible/galaxy</t>
  </si>
  <si>
    <t>https://github.com/ansible/galaxy</t>
  </si>
  <si>
    <t>anyant/rssant</t>
  </si>
  <si>
    <t>https://github.com/anyant/rssant</t>
  </si>
  <si>
    <t>aosp-mirror/platform_development</t>
  </si>
  <si>
    <t>https://github.com/aosp-mirror/platform_development</t>
  </si>
  <si>
    <t>apache/airflow</t>
  </si>
  <si>
    <t>https://github.com/apache/airflow</t>
  </si>
  <si>
    <t>apache/libcloud</t>
  </si>
  <si>
    <t>https://github.com/apache/libcloud</t>
  </si>
  <si>
    <t>apache/superset</t>
  </si>
  <si>
    <t>https://github.com/apache/superset</t>
  </si>
  <si>
    <t>AppDaemon/appdaemon</t>
  </si>
  <si>
    <t>https://github.com/AppDaemon/appdaemon</t>
  </si>
  <si>
    <t>apple/coremltools</t>
  </si>
  <si>
    <t>https://github.com/apple/coremltools</t>
  </si>
  <si>
    <t>appu1232/Discord-Selfbot</t>
  </si>
  <si>
    <t>https://github.com/appu1232/Discord-Selfbot</t>
  </si>
  <si>
    <t>aquasecurity/kube-hunter</t>
  </si>
  <si>
    <t>https://github.com/aquasecurity/kube-hunter</t>
  </si>
  <si>
    <t>AragonSnow/qiandao</t>
  </si>
  <si>
    <t>https://github.com/AragonSnow/qiandao</t>
  </si>
  <si>
    <t>arviz-devs/arviz</t>
  </si>
  <si>
    <t>https://github.com/arviz-devs/arviz</t>
  </si>
  <si>
    <t>arxiv-vanity/arxiv-vanity</t>
  </si>
  <si>
    <t>https://github.com/arxiv-vanity/arxiv-vanity</t>
  </si>
  <si>
    <t>asyml/texar-pytorch</t>
  </si>
  <si>
    <t>https://github.com/asyml/texar-pytorch</t>
  </si>
  <si>
    <t>automl/auto-sklearn</t>
  </si>
  <si>
    <t>https://github.com/automl/auto-sklearn</t>
  </si>
  <si>
    <t>autorope/donkeycar</t>
  </si>
  <si>
    <t>https://github.com/autorope/donkeycar</t>
  </si>
  <si>
    <t>avatartwo/avatar2</t>
  </si>
  <si>
    <t>https://github.com/avatartwo/avatar2</t>
  </si>
  <si>
    <t>awolfly9/IPProxyTool</t>
  </si>
  <si>
    <t>https://github.com/awolfly9/IPProxyTool</t>
  </si>
  <si>
    <t>aws-cloudformation/cfn-python-lint</t>
  </si>
  <si>
    <t>https://github.com/aws-cloudformation/cfn-python-lint</t>
  </si>
  <si>
    <t>aws-quickstart/taskcat</t>
  </si>
  <si>
    <t>https://github.com/aws-quickstart/taskcat</t>
  </si>
  <si>
    <t>aws-samples/aws-cdk-examples</t>
  </si>
  <si>
    <t>https://github.com/aws-samples/aws-cdk-examples</t>
  </si>
  <si>
    <t>aws-samples/aws-glue-samples</t>
  </si>
  <si>
    <t>https://github.com/aws-samples/aws-glue-samples</t>
  </si>
  <si>
    <t>aws/aws-parallelcluster</t>
  </si>
  <si>
    <t>https://github.com/aws/aws-parallelcluster</t>
  </si>
  <si>
    <t>aws/aws-sam-cli</t>
  </si>
  <si>
    <t>https://github.com/aws/aws-sam-cli</t>
  </si>
  <si>
    <t>aws/sagemaker-python-sdk</t>
  </si>
  <si>
    <t>https://github.com/aws/sagemaker-python-sdk</t>
  </si>
  <si>
    <t>awslabs/amazon-redshift-utils</t>
  </si>
  <si>
    <t>https://github.com/awslabs/amazon-redshift-utils</t>
  </si>
  <si>
    <t>awslabs/aws-data-wrangler</t>
  </si>
  <si>
    <t>https://github.com/awslabs/aws-data-wrangler</t>
  </si>
  <si>
    <t>awslabs/aws-deployment-framework</t>
  </si>
  <si>
    <t>https://github.com/awslabs/aws-deployment-framework</t>
  </si>
  <si>
    <t>awslabs/aws-lambda-powertools-python</t>
  </si>
  <si>
    <t>https://github.com/awslabs/aws-lambda-powertools-python</t>
  </si>
  <si>
    <t>MIT No Attribution</t>
  </si>
  <si>
    <t>awslabs/aws-servicebroker</t>
  </si>
  <si>
    <t>https://github.com/awslabs/aws-servicebroker</t>
  </si>
  <si>
    <t>awslabs/gluon-ts</t>
  </si>
  <si>
    <t>https://github.com/awslabs/gluon-ts</t>
  </si>
  <si>
    <t>awslabs/sockeye</t>
  </si>
  <si>
    <t>https://github.com/awslabs/sockeye</t>
  </si>
  <si>
    <t>azavea/raster-vision</t>
  </si>
  <si>
    <t>https://github.com/azavea/raster-vision</t>
  </si>
  <si>
    <t>Azure/azure-cli</t>
  </si>
  <si>
    <t>https://github.com/Azure/azure-cli</t>
  </si>
  <si>
    <t>Azure/azure-sdk-for-python</t>
  </si>
  <si>
    <t>https://github.com/Azure/azure-sdk-for-python</t>
  </si>
  <si>
    <t>Azure/Stormspotter</t>
  </si>
  <si>
    <t>https://github.com/Azure/Stormspotter</t>
  </si>
  <si>
    <t>baabaaox/ScrapyDouban</t>
  </si>
  <si>
    <t>https://github.com/baabaaox/ScrapyDouban</t>
  </si>
  <si>
    <t>bbc/brave</t>
  </si>
  <si>
    <t>https://github.com/bbc/brave</t>
  </si>
  <si>
    <t>bchew/dynamodump</t>
  </si>
  <si>
    <t>https://github.com/bchew/dynamodump</t>
  </si>
  <si>
    <t>beancount/fava</t>
  </si>
  <si>
    <t>https://github.com/beancount/fava</t>
  </si>
  <si>
    <t>bear/python-twitter</t>
  </si>
  <si>
    <t>https://github.com/bear/python-twitter</t>
  </si>
  <si>
    <t>bentoml/BentoML</t>
  </si>
  <si>
    <t>https://github.com/bentoml/BentoML</t>
  </si>
  <si>
    <t>bhoov/exbert</t>
  </si>
  <si>
    <t>https://github.com/bhoov/exbert</t>
  </si>
  <si>
    <t>bigbaser/TcloudServer</t>
  </si>
  <si>
    <t>https://github.com/bigbaser/TcloudServer</t>
  </si>
  <si>
    <t>bigchaindb/bigchaindb</t>
  </si>
  <si>
    <t>https://github.com/bigchaindb/bigchaindb</t>
  </si>
  <si>
    <t>binux/pyspider</t>
  </si>
  <si>
    <t>https://github.com/binux/pyspider</t>
  </si>
  <si>
    <t>Bitmessage/PyBitmessage</t>
  </si>
  <si>
    <t>https://github.com/Bitmessage/PyBitmessage</t>
  </si>
  <si>
    <t>blackholll/loonflow</t>
  </si>
  <si>
    <t>https://github.com/blackholll/loonflow</t>
  </si>
  <si>
    <t>blacklanternsecurity/writehat</t>
  </si>
  <si>
    <t>https://github.com/blacklanternsecurity/writehat</t>
  </si>
  <si>
    <t>Blazemeter/taurus</t>
  </si>
  <si>
    <t>https://github.com/Blazemeter/taurus</t>
  </si>
  <si>
    <t>blockchain-certificates/cert-issuer</t>
  </si>
  <si>
    <t>https://github.com/blockchain-certificates/cert-issuer</t>
  </si>
  <si>
    <t>blockchain-etl/ethereum-etl</t>
  </si>
  <si>
    <t>https://github.com/blockchain-etl/ethereum-etl</t>
  </si>
  <si>
    <t>BMW-InnovationLab/BMW-TensorFlow-Training-GUI</t>
  </si>
  <si>
    <t>https://github.com/BMW-InnovationLab/BMW-TensorFlow-Training-GUI</t>
  </si>
  <si>
    <t>BMW-InnovationLab/BMW-YOLOv4-Training-Automation</t>
  </si>
  <si>
    <t>https://github.com/BMW-InnovationLab/BMW-YOLOv4-Training-Automation</t>
  </si>
  <si>
    <t>Boerderij/Varken</t>
  </si>
  <si>
    <t>https://github.com/Boerderij/Varken</t>
  </si>
  <si>
    <t>bokeh/bokeh</t>
  </si>
  <si>
    <t>https://github.com/bokeh/bokeh</t>
  </si>
  <si>
    <t>bootphon/phonemizer</t>
  </si>
  <si>
    <t>https://github.com/bootphon/phonemizer</t>
  </si>
  <si>
    <t>boston-dynamics/spot-sdk</t>
  </si>
  <si>
    <t>https://github.com/boston-dynamics/spot-sdk</t>
  </si>
  <si>
    <t>brettkromkamp/contextualise</t>
  </si>
  <si>
    <t>https://github.com/brettkromkamp/contextualise</t>
  </si>
  <si>
    <t>briancappello/flask-react-spa</t>
  </si>
  <si>
    <t>https://github.com/briancappello/flask-react-spa</t>
  </si>
  <si>
    <t>bridgecrewio/checkov</t>
  </si>
  <si>
    <t>https://github.com/bridgecrewio/checkov</t>
  </si>
  <si>
    <t>brndnmtthws/thetagang</t>
  </si>
  <si>
    <t>https://github.com/brndnmtthws/thetagang</t>
  </si>
  <si>
    <t>brutasse/graphite-api</t>
  </si>
  <si>
    <t>https://github.com/brutasse/graphite-api</t>
  </si>
  <si>
    <t>buffer/thug</t>
  </si>
  <si>
    <t>https://github.com/buffer/thug</t>
  </si>
  <si>
    <t>bugy/script-server</t>
  </si>
  <si>
    <t>https://github.com/bugy/script-server</t>
  </si>
  <si>
    <t>buildbot/buildbot</t>
  </si>
  <si>
    <t>https://github.com/buildbot/buildbot</t>
  </si>
  <si>
    <t>buildout/buildout</t>
  </si>
  <si>
    <t>https://github.com/buildout/buildout</t>
  </si>
  <si>
    <t>buriburisuri/sugartensor</t>
  </si>
  <si>
    <t>https://github.com/buriburisuri/sugartensor</t>
  </si>
  <si>
    <t>burnettk/delete-docker-registry-image</t>
  </si>
  <si>
    <t>https://github.com/burnettk/delete-docker-registry-image</t>
  </si>
  <si>
    <t>Buuntu/fastapi-react</t>
  </si>
  <si>
    <t>https://github.com/Buuntu/fastapi-react</t>
  </si>
  <si>
    <t>byt3bl33d3r/CrackMapExec</t>
  </si>
  <si>
    <t>https://github.com/byt3bl33d3r/CrackMapExec</t>
  </si>
  <si>
    <t>byt3bl33d3r/DeathStar</t>
  </si>
  <si>
    <t>https://github.com/byt3bl33d3r/DeathStar</t>
  </si>
  <si>
    <t>byt3bl33d3r/WitnessMe</t>
  </si>
  <si>
    <t>https://github.com/byt3bl33d3r/WitnessMe</t>
  </si>
  <si>
    <t>bytedance/byteps</t>
  </si>
  <si>
    <t>https://github.com/bytedance/byteps</t>
  </si>
  <si>
    <t>bytedance/fedlearner</t>
  </si>
  <si>
    <t>https://github.com/bytedance/fedlearner</t>
  </si>
  <si>
    <t>c4urself/bump2version</t>
  </si>
  <si>
    <t>https://github.com/c4urself/bump2version</t>
  </si>
  <si>
    <t>calebstewart/pwncat</t>
  </si>
  <si>
    <t>https://github.com/calebstewart/pwncat</t>
  </si>
  <si>
    <t>CanopyTax/asyncpgsa</t>
  </si>
  <si>
    <t>https://github.com/CanopyTax/asyncpgsa</t>
  </si>
  <si>
    <t>catalyst-team/catalyst</t>
  </si>
  <si>
    <t>https://github.com/catalyst-team/catalyst</t>
  </si>
  <si>
    <t>cbfinn/maml_rl</t>
  </si>
  <si>
    <t>https://github.com/cbfinn/maml_rl</t>
  </si>
  <si>
    <t>cburmeister/flask-bones</t>
  </si>
  <si>
    <t>https://github.com/cburmeister/flask-bones</t>
  </si>
  <si>
    <t>ccrisan/motioneye</t>
  </si>
  <si>
    <t>https://github.com/ccrisan/motioneye</t>
  </si>
  <si>
    <t>cdrx/rancher-gitlab-deploy</t>
  </si>
  <si>
    <t>https://github.com/cdrx/rancher-gitlab-deploy</t>
  </si>
  <si>
    <t>cea-sec/ivre</t>
  </si>
  <si>
    <t>https://github.com/cea-sec/ivre</t>
  </si>
  <si>
    <t>cea-sec/miasm</t>
  </si>
  <si>
    <t>https://github.com/cea-sec/miasm</t>
  </si>
  <si>
    <t>cea-sec/Sibyl</t>
  </si>
  <si>
    <t>https://github.com/cea-sec/Sibyl</t>
  </si>
  <si>
    <t>celery/celery</t>
  </si>
  <si>
    <t>https://github.com/celery/celery</t>
  </si>
  <si>
    <t>celery/django-celery-beat</t>
  </si>
  <si>
    <t>https://github.com/celery/django-celery-beat</t>
  </si>
  <si>
    <t>CenterForOpenScience/osf.io</t>
  </si>
  <si>
    <t>https://github.com/CenterForOpenScience/osf.io</t>
  </si>
  <si>
    <t>certbot/certbot</t>
  </si>
  <si>
    <t>https://github.com/certbot/certbot</t>
  </si>
  <si>
    <t>Ceruleanacg/Personae</t>
  </si>
  <si>
    <t>https://github.com/Ceruleanacg/Personae</t>
  </si>
  <si>
    <t>cesium-ml/cesium</t>
  </si>
  <si>
    <t>https://github.com/cesium-ml/cesium</t>
  </si>
  <si>
    <t>cevoaustralia/aws-google-auth</t>
  </si>
  <si>
    <t>https://github.com/cevoaustralia/aws-google-auth</t>
  </si>
  <si>
    <t>cgre-aachen/gempy</t>
  </si>
  <si>
    <t>https://github.com/cgre-aachen/gempy</t>
  </si>
  <si>
    <t>chainer/chainer-chemistry</t>
  </si>
  <si>
    <t>https://github.com/chainer/chainer-chemistry</t>
  </si>
  <si>
    <t>Chaosthebot/Chaos</t>
  </si>
  <si>
    <t>https://github.com/Chaosthebot/Chaos</t>
  </si>
  <si>
    <t>chaostoolkit/chaostoolkit</t>
  </si>
  <si>
    <t>https://github.com/chaostoolkit/chaostoolkit</t>
  </si>
  <si>
    <t>Charcoal-SE/SmokeDetector</t>
  </si>
  <si>
    <t>https://github.com/Charcoal-SE/SmokeDetector</t>
  </si>
  <si>
    <t>chdsbd/kodiak</t>
  </si>
  <si>
    <t>https://github.com/chdsbd/kodiak</t>
  </si>
  <si>
    <t>GNU Affero General Public License v3.0</t>
  </si>
  <si>
    <t>cheind/py-motmetrics</t>
  </si>
  <si>
    <t>https://github.com/cheind/py-motmetrics</t>
  </si>
  <si>
    <t>chemprop/chemprop</t>
  </si>
  <si>
    <t>https://github.com/chemprop/chemprop</t>
  </si>
  <si>
    <t>chengyumeng/spider163</t>
  </si>
  <si>
    <t>https://github.com/chengyumeng/spider163</t>
  </si>
  <si>
    <t>ChenRocks/UNITER</t>
  </si>
  <si>
    <t>https://github.com/ChenRocks/UNITER</t>
  </si>
  <si>
    <t>cholcombe973/autodock</t>
  </si>
  <si>
    <t>https://github.com/cholcombe973/autodock</t>
  </si>
  <si>
    <t>chubin/cheat.sh</t>
  </si>
  <si>
    <t>https://github.com/chubin/cheat.sh</t>
  </si>
  <si>
    <t>chubin/wttr.in</t>
  </si>
  <si>
    <t>https://github.com/chubin/wttr.in</t>
  </si>
  <si>
    <t>CIRCL/AIL-framework</t>
  </si>
  <si>
    <t>https://github.com/CIRCL/AIL-framework</t>
  </si>
  <si>
    <t>cisagov/Malcolm</t>
  </si>
  <si>
    <t>https://github.com/cisagov/Malcolm</t>
  </si>
  <si>
    <t>cisagov/pshtt</t>
  </si>
  <si>
    <t>https://github.com/cisagov/pshtt</t>
  </si>
  <si>
    <t>Creative Commons Zero v1.0 Universal</t>
  </si>
  <si>
    <t>cisco/mindmeld</t>
  </si>
  <si>
    <t>https://github.com/cisco/mindmeld</t>
  </si>
  <si>
    <t>citusdata/django-multitenant</t>
  </si>
  <si>
    <t>https://github.com/citusdata/django-multitenant</t>
  </si>
  <si>
    <t>ciur/papermerge</t>
  </si>
  <si>
    <t>https://github.com/ciur/papermerge</t>
  </si>
  <si>
    <t>ckan/ckan</t>
  </si>
  <si>
    <t>https://github.com/ckan/ckan</t>
  </si>
  <si>
    <t>Cl0udG0d/SZhe_Scan</t>
  </si>
  <si>
    <t>https://github.com/Cl0udG0d/SZhe_Scan</t>
  </si>
  <si>
    <t>ClaudiuGeorgiu/Obfuscapk</t>
  </si>
  <si>
    <t>https://github.com/ClaudiuGeorgiu/Obfuscapk</t>
  </si>
  <si>
    <t>ClaudiuGeorgiu/PlaystoreDownloader</t>
  </si>
  <si>
    <t>https://github.com/ClaudiuGeorgiu/PlaystoreDownloader</t>
  </si>
  <si>
    <t>cleardusk/3DDFA</t>
  </si>
  <si>
    <t>https://github.com/cleardusk/3DDFA</t>
  </si>
  <si>
    <t>closeio/tasktiger</t>
  </si>
  <si>
    <t>https://github.com/closeio/tasktiger</t>
  </si>
  <si>
    <t>cloud-custodian/cloud-custodian</t>
  </si>
  <si>
    <t>https://github.com/cloud-custodian/cloud-custodian</t>
  </si>
  <si>
    <t>Cloud-CV/EvalAI</t>
  </si>
  <si>
    <t>https://github.com/Cloud-CV/EvalAI</t>
  </si>
  <si>
    <t>cloudtools/stacker</t>
  </si>
  <si>
    <t>https://github.com/cloudtools/stacker</t>
  </si>
  <si>
    <t>ClusterHQ/flocker</t>
  </si>
  <si>
    <t>https://github.com/ClusterHQ/flocker</t>
  </si>
  <si>
    <t>cobbler/cobbler</t>
  </si>
  <si>
    <t>https://github.com/cobbler/cobbler</t>
  </si>
  <si>
    <t>coddingtonbear/inthe.am</t>
  </si>
  <si>
    <t>https://github.com/coddingtonbear/inthe.am</t>
  </si>
  <si>
    <t>CoinAlpha/hummingbot</t>
  </si>
  <si>
    <t>https://github.com/CoinAlpha/hummingbot</t>
  </si>
  <si>
    <t>ComplianceAsCode/content</t>
  </si>
  <si>
    <t>https://github.com/ComplianceAsCode/content</t>
  </si>
  <si>
    <t>Conchylicultor/DeepQA</t>
  </si>
  <si>
    <t>https://github.com/Conchylicultor/DeepQA</t>
  </si>
  <si>
    <t>confluentinc/confluent-kafka-python</t>
  </si>
  <si>
    <t>https://github.com/confluentinc/confluent-kafka-python</t>
  </si>
  <si>
    <t>ConsenSys/mythril</t>
  </si>
  <si>
    <t>https://github.com/ConsenSys/mythril</t>
  </si>
  <si>
    <t>controlscanmdr/cyphon</t>
  </si>
  <si>
    <t>https://github.com/controlscanmdr/cyphon</t>
  </si>
  <si>
    <t>ConvLab/ConvLab</t>
  </si>
  <si>
    <t>https://github.com/ConvLab/ConvLab</t>
  </si>
  <si>
    <t>cookiecutter-flask/cookiecutter-flask</t>
  </si>
  <si>
    <t>https://github.com/cookiecutter-flask/cookiecutter-flask</t>
  </si>
  <si>
    <t>CorralPeltzer/newTrackon</t>
  </si>
  <si>
    <t>https://github.com/CorralPeltzer/newTrackon</t>
  </si>
  <si>
    <t>cosmicpython/code</t>
  </si>
  <si>
    <t>https://github.com/cosmicpython/code</t>
  </si>
  <si>
    <t>coursera-dl/coursera-dl</t>
  </si>
  <si>
    <t>https://github.com/coursera-dl/coursera-dl</t>
  </si>
  <si>
    <t>cr0hn/aiotasks</t>
  </si>
  <si>
    <t>https://github.com/cr0hn/aiotasks</t>
  </si>
  <si>
    <t>crccheck/django-object-actions</t>
  </si>
  <si>
    <t>https://github.com/crccheck/django-object-actions</t>
  </si>
  <si>
    <t>CryptoSignal/Crypto-Signal</t>
  </si>
  <si>
    <t>https://github.com/CryptoSignal/Crypto-Signal</t>
  </si>
  <si>
    <t>crytic/slither</t>
  </si>
  <si>
    <t>https://github.com/crytic/slither</t>
  </si>
  <si>
    <t>csxmli2016/DFDNet</t>
  </si>
  <si>
    <t>https://github.com/csxmli2016/DFDNet</t>
  </si>
  <si>
    <t>ctf-wiki/ctf-wiki</t>
  </si>
  <si>
    <t>https://github.com/ctf-wiki/ctf-wiki</t>
  </si>
  <si>
    <t>CTFd/CTFd</t>
  </si>
  <si>
    <t>https://github.com/CTFd/CTFd</t>
  </si>
  <si>
    <t>cvg/Hierarchical-Localization</t>
  </si>
  <si>
    <t>https://github.com/cvg/Hierarchical-Localization</t>
  </si>
  <si>
    <t>cyrildiagne/basnet-http</t>
  </si>
  <si>
    <t>https://github.com/cyrildiagne/basnet-http</t>
  </si>
  <si>
    <t>D0g3-Lab/H1ve</t>
  </si>
  <si>
    <t>https://github.com/D0g3-Lab/H1ve</t>
  </si>
  <si>
    <t>dagster-io/dagster</t>
  </si>
  <si>
    <t>https://github.com/dagster-io/dagster</t>
  </si>
  <si>
    <t>damianmoore/photonix</t>
  </si>
  <si>
    <t>https://github.com/damianmoore/photonix</t>
  </si>
  <si>
    <t>danmacnish/cartoonify</t>
  </si>
  <si>
    <t>https://github.com/danmacnish/cartoonify</t>
  </si>
  <si>
    <t>DarkSecDevelopers/HiddenEye-Legacy</t>
  </si>
  <si>
    <t>https://github.com/DarkSecDevelopers/HiddenEye-Legacy</t>
  </si>
  <si>
    <t>dasguptar/treelstm.pytorch</t>
  </si>
  <si>
    <t>https://github.com/dasguptar/treelstm.pytorch</t>
  </si>
  <si>
    <t>dask/dask</t>
  </si>
  <si>
    <t>https://github.com/dask/dask</t>
  </si>
  <si>
    <t>DataBiosphere/toil</t>
  </si>
  <si>
    <t>https://github.com/DataBiosphere/toil</t>
  </si>
  <si>
    <t>DataDog/integrations-core</t>
  </si>
  <si>
    <t>https://github.com/DataDog/integrations-core</t>
  </si>
  <si>
    <t>datafolklabs/cement</t>
  </si>
  <si>
    <t>https://github.com/datafolklabs/cement</t>
  </si>
  <si>
    <t>datawire/ambassador</t>
  </si>
  <si>
    <t>https://github.com/datawire/ambassador</t>
  </si>
  <si>
    <t>datawire/forge</t>
  </si>
  <si>
    <t>https://github.com/datawire/forge</t>
  </si>
  <si>
    <t>datmo/datmo</t>
  </si>
  <si>
    <t>https://github.com/datmo/datmo</t>
  </si>
  <si>
    <t>david8862/keras-YOLOv3-model-set</t>
  </si>
  <si>
    <t>https://github.com/david8862/keras-YOLOv3-model-set</t>
  </si>
  <si>
    <t>davidteather/TikTok-Api</t>
  </si>
  <si>
    <t>https://github.com/davidteather/TikTok-Api</t>
  </si>
  <si>
    <t>dbcli/mssql-cli</t>
  </si>
  <si>
    <t>https://github.com/dbcli/mssql-cli</t>
  </si>
  <si>
    <t>dbcli/pgcli</t>
  </si>
  <si>
    <t>https://github.com/dbcli/pgcli</t>
  </si>
  <si>
    <t>dcos/dcos</t>
  </si>
  <si>
    <t>https://github.com/dcos/dcos</t>
  </si>
  <si>
    <t>dcowden/cadquery</t>
  </si>
  <si>
    <t>https://github.com/dcowden/cadquery</t>
  </si>
  <si>
    <t>deepchem/deepchem</t>
  </si>
  <si>
    <t>https://github.com/deepchem/deepchem</t>
  </si>
  <si>
    <t>deepdrive/deepdrive</t>
  </si>
  <si>
    <t>https://github.com/deepdrive/deepdrive</t>
  </si>
  <si>
    <t>DeepPavlov/convai</t>
  </si>
  <si>
    <t>https://github.com/DeepPavlov/convai</t>
  </si>
  <si>
    <t>deepset-ai/FARM</t>
  </si>
  <si>
    <t>https://github.com/deepset-ai/FARM</t>
  </si>
  <si>
    <t>deepset-ai/haystack</t>
  </si>
  <si>
    <t>https://github.com/deepset-ai/haystack</t>
  </si>
  <si>
    <t>deis/deis</t>
  </si>
  <si>
    <t>https://github.com/deis/deis</t>
  </si>
  <si>
    <t>Delta-ML/delta</t>
  </si>
  <si>
    <t>https://github.com/Delta-ML/delta</t>
  </si>
  <si>
    <t>Dentosal/python-sc2</t>
  </si>
  <si>
    <t>https://github.com/Dentosal/python-sc2</t>
  </si>
  <si>
    <t>deoplete-plugins/deoplete-jedi</t>
  </si>
  <si>
    <t>https://github.com/deoplete-plugins/deoplete-jedi</t>
  </si>
  <si>
    <t>DexterInd/GrovePi</t>
  </si>
  <si>
    <t>https://github.com/DexterInd/GrovePi</t>
  </si>
  <si>
    <t>Diaoul/subliminal</t>
  </si>
  <si>
    <t>https://github.com/Diaoul/subliminal</t>
  </si>
  <si>
    <t>DIGITALCRIMINAL/OnlyFans</t>
  </si>
  <si>
    <t>https://github.com/DIGITALCRIMINAL/OnlyFans</t>
  </si>
  <si>
    <t>dimagi/commcare-hq</t>
  </si>
  <si>
    <t>https://github.com/dimagi/commcare-hq</t>
  </si>
  <si>
    <t>DinoTools/dionaea</t>
  </si>
  <si>
    <t>https://github.com/DinoTools/dionaea</t>
  </si>
  <si>
    <t>django-import-export/django-import-export</t>
  </si>
  <si>
    <t>https://github.com/django-import-export/django-import-export</t>
  </si>
  <si>
    <t>django-oscar/django-oscar</t>
  </si>
  <si>
    <t>https://github.com/django-oscar/django-oscar</t>
  </si>
  <si>
    <t>django-tenants/django-tenants</t>
  </si>
  <si>
    <t>https://github.com/django-tenants/django-tenants</t>
  </si>
  <si>
    <t>djangopackages/djangopackages</t>
  </si>
  <si>
    <t>https://github.com/djangopackages/djangopackages</t>
  </si>
  <si>
    <t>dlapiduz/certbot-s3front</t>
  </si>
  <si>
    <t>https://github.com/dlapiduz/certbot-s3front</t>
  </si>
  <si>
    <t>DLLXW/data-science-competition</t>
  </si>
  <si>
    <t>https://github.com/DLLXW/data-science-competition</t>
  </si>
  <si>
    <t>dmlc/gluon-cv</t>
  </si>
  <si>
    <t>https://github.com/dmlc/gluon-cv</t>
  </si>
  <si>
    <t>dmlc/minpy</t>
  </si>
  <si>
    <t>https://github.com/dmlc/minpy</t>
  </si>
  <si>
    <t>DMOJ/judge-server</t>
  </si>
  <si>
    <t>https://github.com/DMOJ/judge-server</t>
  </si>
  <si>
    <t>dnsviz/dnsviz</t>
  </si>
  <si>
    <t>https://github.com/dnsviz/dnsviz</t>
  </si>
  <si>
    <t>doccano/doccano</t>
  </si>
  <si>
    <t>https://github.com/doccano/doccano</t>
  </si>
  <si>
    <t>docker-archive/docker-registry</t>
  </si>
  <si>
    <t>https://github.com/docker-archive/docker-registry</t>
  </si>
  <si>
    <t>docker/compose</t>
  </si>
  <si>
    <t>https://github.com/docker/compose</t>
  </si>
  <si>
    <t>docker/docker-py</t>
  </si>
  <si>
    <t>https://github.com/docker/docker-py</t>
  </si>
  <si>
    <t>dongweiming/web_develop</t>
  </si>
  <si>
    <t>https://github.com/dongweiming/web_develop</t>
  </si>
  <si>
    <t>donnemartin/data-science-ipython-notebooks</t>
  </si>
  <si>
    <t>https://github.com/donnemartin/data-science-ipython-notebooks</t>
  </si>
  <si>
    <t>donnemartin/gitsome</t>
  </si>
  <si>
    <t>https://github.com/donnemartin/gitsome</t>
  </si>
  <si>
    <t>donnemartin/saws</t>
  </si>
  <si>
    <t>https://github.com/donnemartin/saws</t>
  </si>
  <si>
    <t>douban/dpark</t>
  </si>
  <si>
    <t>https://github.com/douban/dpark</t>
  </si>
  <si>
    <t>dowjones/hammer</t>
  </si>
  <si>
    <t>https://github.com/dowjones/hammer</t>
  </si>
  <si>
    <t>dpgaspar/Flask-AppBuilder</t>
  </si>
  <si>
    <t>https://github.com/dpgaspar/Flask-AppBuilder</t>
  </si>
  <si>
    <t>dragonchain/dragonchain</t>
  </si>
  <si>
    <t>https://github.com/dragonchain/dragonchain</t>
  </si>
  <si>
    <t>DragonComputer/Dragonfire</t>
  </si>
  <si>
    <t>https://github.com/DragonComputer/Dragonfire</t>
  </si>
  <si>
    <t>Drakkar-Software/OctoBot</t>
  </si>
  <si>
    <t>https://github.com/Drakkar-Software/OctoBot</t>
  </si>
  <si>
    <t>droope/droopescan</t>
  </si>
  <si>
    <t>https://github.com/droope/droopescan</t>
  </si>
  <si>
    <t>dropbox/changes</t>
  </si>
  <si>
    <t>https://github.com/dropbox/changes</t>
  </si>
  <si>
    <t>dropbox/nsot</t>
  </si>
  <si>
    <t>https://github.com/dropbox/nsot</t>
  </si>
  <si>
    <t>dssg/aequitas</t>
  </si>
  <si>
    <t>https://github.com/dssg/aequitas</t>
  </si>
  <si>
    <t>DT42/BerryNet</t>
  </si>
  <si>
    <t>https://github.com/DT42/BerryNet</t>
  </si>
  <si>
    <t>duckietown/gym-duckietown</t>
  </si>
  <si>
    <t>https://github.com/duckietown/gym-duckietown</t>
  </si>
  <si>
    <t>dwisiswant0/apkleaks</t>
  </si>
  <si>
    <t>https://github.com/dwisiswant0/apkleaks</t>
  </si>
  <si>
    <t>ebhy/budgetml</t>
  </si>
  <si>
    <t>https://github.com/ebhy/budgetml</t>
  </si>
  <si>
    <t>edeng23/binance-trade-bot</t>
  </si>
  <si>
    <t>https://github.com/edeng23/binance-trade-bot</t>
  </si>
  <si>
    <t>edx/configuration</t>
  </si>
  <si>
    <t>https://github.com/edx/configuration</t>
  </si>
  <si>
    <t>edx/edx-platform</t>
  </si>
  <si>
    <t>https://github.com/edx/edx-platform</t>
  </si>
  <si>
    <t>EFForg/crocodilehunter</t>
  </si>
  <si>
    <t>https://github.com/EFForg/crocodilehunter</t>
  </si>
  <si>
    <t>ehendrix23/tesla_dashcam</t>
  </si>
  <si>
    <t>https://github.com/ehendrix23/tesla_dashcam</t>
  </si>
  <si>
    <t>Ekultek/Zeus-Scanner</t>
  </si>
  <si>
    <t>https://github.com/Ekultek/Zeus-Scanner</t>
  </si>
  <si>
    <t>elastic/curator</t>
  </si>
  <si>
    <t>https://github.com/elastic/curator</t>
  </si>
  <si>
    <t>elastic/elasticsearch-py</t>
  </si>
  <si>
    <t>https://github.com/elastic/elasticsearch-py</t>
  </si>
  <si>
    <t>elastic/rally</t>
  </si>
  <si>
    <t>https://github.com/elastic/rally</t>
  </si>
  <si>
    <t>EleutherAI/gpt-neo</t>
  </si>
  <si>
    <t>https://github.com/EleutherAI/gpt-neo</t>
  </si>
  <si>
    <t>EleutherAI/gpt-neox</t>
  </si>
  <si>
    <t>https://github.com/EleutherAI/gpt-neox</t>
  </si>
  <si>
    <t>eliasgranderubio/dagda</t>
  </si>
  <si>
    <t>https://github.com/eliasgranderubio/dagda</t>
  </si>
  <si>
    <t>EliotAndres/pretrained.ml</t>
  </si>
  <si>
    <t>https://github.com/EliotAndres/pretrained.ml</t>
  </si>
  <si>
    <t>elyra-ai/elyra</t>
  </si>
  <si>
    <t>https://github.com/elyra-ai/elyra</t>
  </si>
  <si>
    <t>Emptyset110/dHydra</t>
  </si>
  <si>
    <t>https://github.com/Emptyset110/dHydra</t>
  </si>
  <si>
    <t>enigmampc/catalyst</t>
  </si>
  <si>
    <t>https://github.com/enigmampc/catalyst</t>
  </si>
  <si>
    <t>epinna/tplmap</t>
  </si>
  <si>
    <t>https://github.com/epinna/tplmap</t>
  </si>
  <si>
    <t>epinna/weevely3</t>
  </si>
  <si>
    <t>https://github.com/epinna/weevely3</t>
  </si>
  <si>
    <t>EricJMarti/inventory-hunter</t>
  </si>
  <si>
    <t>https://github.com/EricJMarti/inventory-hunter</t>
  </si>
  <si>
    <t>Ericsson/codechecker</t>
  </si>
  <si>
    <t>https://github.com/Ericsson/codechecker</t>
  </si>
  <si>
    <t>erikbern/ann-benchmarks</t>
  </si>
  <si>
    <t>https://github.com/erikbern/ann-benchmarks</t>
  </si>
  <si>
    <t>errbotio/errbot</t>
  </si>
  <si>
    <t>https://github.com/errbotio/errbot</t>
  </si>
  <si>
    <t>espnet/espnet</t>
  </si>
  <si>
    <t>https://github.com/espnet/espnet</t>
  </si>
  <si>
    <t>eth-brownie/brownie</t>
  </si>
  <si>
    <t>https://github.com/eth-brownie/brownie</t>
  </si>
  <si>
    <t>ethereum/trinity</t>
  </si>
  <si>
    <t>https://github.com/ethereum/trinity</t>
  </si>
  <si>
    <t>ethereum/web3.py</t>
  </si>
  <si>
    <t>https://github.com/ethereum/web3.py</t>
  </si>
  <si>
    <t>EthVentures/CryptoTracker</t>
  </si>
  <si>
    <t>https://github.com/EthVentures/CryptoTracker</t>
  </si>
  <si>
    <t>ets-labs/python-dependency-injector</t>
  </si>
  <si>
    <t>https://github.com/ets-labs/python-dependency-injector</t>
  </si>
  <si>
    <t>EvgenyKashin/stylegan2-distillation</t>
  </si>
  <si>
    <t>https://github.com/EvgenyKashin/stylegan2-distillation</t>
  </si>
  <si>
    <t>evyatarmeged/Raccoon</t>
  </si>
  <si>
    <t>https://github.com/evyatarmeged/Raccoon</t>
  </si>
  <si>
    <t>ewels/MultiQC</t>
  </si>
  <si>
    <t>https://github.com/ewels/MultiQC</t>
  </si>
  <si>
    <t>Exa-Networks/exabgp</t>
  </si>
  <si>
    <t>https://github.com/Exa-Networks/exabgp</t>
  </si>
  <si>
    <t>exadel-inc/CompreFace</t>
  </si>
  <si>
    <t>https://github.com/exadel-inc/CompreFace</t>
  </si>
  <si>
    <t>exercism/python</t>
  </si>
  <si>
    <t>https://github.com/exercism/python</t>
  </si>
  <si>
    <t>Exodus-Privacy/exodus</t>
  </si>
  <si>
    <t>https://github.com/Exodus-Privacy/exodus</t>
  </si>
  <si>
    <t>ExpDev07/coronavirus-tracker-api</t>
  </si>
  <si>
    <t>https://github.com/ExpDev07/coronavirus-tracker-api</t>
  </si>
  <si>
    <t>explosion/projects</t>
  </si>
  <si>
    <t>https://github.com/explosion/projects</t>
  </si>
  <si>
    <t>f0cker/crackq</t>
  </si>
  <si>
    <t>https://github.com/f0cker/crackq</t>
  </si>
  <si>
    <t>fabfuel/ecs-deploy</t>
  </si>
  <si>
    <t>https://github.com/fabfuel/ecs-deploy</t>
  </si>
  <si>
    <t>facebook/prophet</t>
  </si>
  <si>
    <t>https://github.com/facebook/prophet</t>
  </si>
  <si>
    <t>facebookresearch/ClassyVision</t>
  </si>
  <si>
    <t>https://github.com/facebookresearch/ClassyVision</t>
  </si>
  <si>
    <t>facebookresearch/CrypTen</t>
  </si>
  <si>
    <t>https://github.com/facebookresearch/CrypTen</t>
  </si>
  <si>
    <t>facebookresearch/DetectAndTrack</t>
  </si>
  <si>
    <t>https://github.com/facebookresearch/DetectAndTrack</t>
  </si>
  <si>
    <t>facebookresearch/Detectron</t>
  </si>
  <si>
    <t>https://github.com/facebookresearch/Detectron</t>
  </si>
  <si>
    <t>facebookresearch/detectron2</t>
  </si>
  <si>
    <t>https://github.com/facebookresearch/detectron2</t>
  </si>
  <si>
    <t>facebookresearch/detr</t>
  </si>
  <si>
    <t>https://github.com/facebookresearch/detr</t>
  </si>
  <si>
    <t>facebookresearch/habitat-lab</t>
  </si>
  <si>
    <t>https://github.com/facebookresearch/habitat-lab</t>
  </si>
  <si>
    <t>facebookresearch/LASER</t>
  </si>
  <si>
    <t>https://github.com/facebookresearch/LASER</t>
  </si>
  <si>
    <t>facebookresearch/maskrcnn-benchmark</t>
  </si>
  <si>
    <t>https://github.com/facebookresearch/maskrcnn-benchmark</t>
  </si>
  <si>
    <t>facebookresearch/phyre</t>
  </si>
  <si>
    <t>https://github.com/facebookresearch/phyre</t>
  </si>
  <si>
    <t>facebookresearch/pytext</t>
  </si>
  <si>
    <t>https://github.com/facebookresearch/pytext</t>
  </si>
  <si>
    <t>facebookresearch/torchbeast</t>
  </si>
  <si>
    <t>https://github.com/facebookresearch/torchbeast</t>
  </si>
  <si>
    <t>faizann24/XssPy</t>
  </si>
  <si>
    <t>https://github.com/faizann24/XssPy</t>
  </si>
  <si>
    <t>faucetsdn/faucet</t>
  </si>
  <si>
    <t>https://github.com/faucetsdn/faucet</t>
  </si>
  <si>
    <t>favll/pogom</t>
  </si>
  <si>
    <t>https://github.com/favll/pogom</t>
  </si>
  <si>
    <t>fcavallarin/htcap</t>
  </si>
  <si>
    <t>https://github.com/fcavallarin/htcap</t>
  </si>
  <si>
    <t>FDA/openfda</t>
  </si>
  <si>
    <t>https://github.com/FDA/openfda</t>
  </si>
  <si>
    <t>feast-dev/feast</t>
  </si>
  <si>
    <t>https://github.com/feast-dev/feast</t>
  </si>
  <si>
    <t>fedden/poker_ai</t>
  </si>
  <si>
    <t>https://github.com/fedden/poker_ai</t>
  </si>
  <si>
    <t>FederatedAI/FATE</t>
  </si>
  <si>
    <t>https://github.com/FederatedAI/FATE</t>
  </si>
  <si>
    <t>fennerm/flashfocus</t>
  </si>
  <si>
    <t>https://github.com/fennerm/flashfocus</t>
  </si>
  <si>
    <t>fhamborg/news-please</t>
  </si>
  <si>
    <t>https://github.com/fhamborg/news-please</t>
  </si>
  <si>
    <t>fireeye/speakeasy</t>
  </si>
  <si>
    <t>https://github.com/fireeye/speakeasy</t>
  </si>
  <si>
    <t>firmianay/IoT-vulhub</t>
  </si>
  <si>
    <t>https://github.com/firmianay/IoT-vulhub</t>
  </si>
  <si>
    <t>fishtown-analytics/dbt</t>
  </si>
  <si>
    <t>https://github.com/fishtown-analytics/dbt</t>
  </si>
  <si>
    <t>fkie-cad/FACT_core</t>
  </si>
  <si>
    <t>https://github.com/fkie-cad/FACT_core</t>
  </si>
  <si>
    <t>Flexget/Flexget</t>
  </si>
  <si>
    <t>https://github.com/Flexget/Flexget</t>
  </si>
  <si>
    <t>flexxui/flexx</t>
  </si>
  <si>
    <t>https://github.com/flexxui/flexx</t>
  </si>
  <si>
    <t>flipkart-incubator/Astra</t>
  </si>
  <si>
    <t>https://github.com/flipkart-incubator/Astra</t>
  </si>
  <si>
    <t>flipkart-incubator/watchdog</t>
  </si>
  <si>
    <t>https://github.com/flipkart-incubator/watchdog</t>
  </si>
  <si>
    <t>flosell/trailscraper</t>
  </si>
  <si>
    <t>https://github.com/flosell/trailscraper</t>
  </si>
  <si>
    <t>flow-project/flow</t>
  </si>
  <si>
    <t>https://github.com/flow-project/flow</t>
  </si>
  <si>
    <t>fofapro/vulfocus</t>
  </si>
  <si>
    <t>https://github.com/fofapro/vulfocus</t>
  </si>
  <si>
    <t>foolcage/fooltrader</t>
  </si>
  <si>
    <t>https://github.com/foolcage/fooltrader</t>
  </si>
  <si>
    <t>forseti-security/forseti-security</t>
  </si>
  <si>
    <t>https://github.com/forseti-security/forseti-security</t>
  </si>
  <si>
    <t>fossasia/open-event-legacy</t>
  </si>
  <si>
    <t>https://github.com/fossasia/open-event-legacy</t>
  </si>
  <si>
    <t>fossasia/open-event-server</t>
  </si>
  <si>
    <t>https://github.com/fossasia/open-event-server</t>
  </si>
  <si>
    <t>fox-it/BloodHound.py</t>
  </si>
  <si>
    <t>https://github.com/fox-it/BloodHound.py</t>
  </si>
  <si>
    <t>foxmask/django-th</t>
  </si>
  <si>
    <t>https://github.com/foxmask/django-th</t>
  </si>
  <si>
    <t>freedomofpress/securedrop</t>
  </si>
  <si>
    <t>https://github.com/freedomofpress/securedrop</t>
  </si>
  <si>
    <t>freeipa/freeipa</t>
  </si>
  <si>
    <t>https://github.com/freeipa/freeipa</t>
  </si>
  <si>
    <t>FreeOpcUa/python-opcua</t>
  </si>
  <si>
    <t>https://github.com/FreeOpcUa/python-opcua</t>
  </si>
  <si>
    <t>freqtrade/freqtrade</t>
  </si>
  <si>
    <t>https://github.com/freqtrade/freqtrade</t>
  </si>
  <si>
    <t>frol/flask-restplus-server-example</t>
  </si>
  <si>
    <t>https://github.com/frol/flask-restplus-server-example</t>
  </si>
  <si>
    <t>FSecureLABS/awspx</t>
  </si>
  <si>
    <t>https://github.com/FSecureLABS/awspx</t>
  </si>
  <si>
    <t>FSecureLABS/drozer</t>
  </si>
  <si>
    <t>https://github.com/FSecureLABS/drozer</t>
  </si>
  <si>
    <t>FZambia/centrifuge</t>
  </si>
  <si>
    <t>https://github.com/FZambia/centrifuge</t>
  </si>
  <si>
    <t>GadgetReactor/pyHS100</t>
  </si>
  <si>
    <t>https://github.com/GadgetReactor/pyHS100</t>
  </si>
  <si>
    <t>galaxyproject/galaxy</t>
  </si>
  <si>
    <t>https://github.com/galaxyproject/galaxy</t>
  </si>
  <si>
    <t>Gallopsled/pwntools</t>
  </si>
  <si>
    <t>https://github.com/Gallopsled/pwntools</t>
  </si>
  <si>
    <t>gamechanger/dusty</t>
  </si>
  <si>
    <t>https://github.com/gamechanger/dusty</t>
  </si>
  <si>
    <t>gamenet/redis-memory-analyzer</t>
  </si>
  <si>
    <t>https://github.com/gamenet/redis-memory-analyzer</t>
  </si>
  <si>
    <t>gautamajay52/TorrentLeech-Gdrive</t>
  </si>
  <si>
    <t>https://github.com/gautamajay52/TorrentLeech-Gdrive</t>
  </si>
  <si>
    <t>gbeced/pyalgotrade</t>
  </si>
  <si>
    <t>https://github.com/gbeced/pyalgotrade</t>
  </si>
  <si>
    <t>gboeing/osmnx</t>
  </si>
  <si>
    <t>https://github.com/gboeing/osmnx</t>
  </si>
  <si>
    <t>Gerapy/Gerapy</t>
  </si>
  <si>
    <t>https://github.com/Gerapy/Gerapy</t>
  </si>
  <si>
    <t>getredash/redash</t>
  </si>
  <si>
    <t>https://github.com/getredash/redash</t>
  </si>
  <si>
    <t>getsentry/freight</t>
  </si>
  <si>
    <t>https://github.com/getsentry/freight</t>
  </si>
  <si>
    <t>getsentry/sentry</t>
  </si>
  <si>
    <t>https://github.com/getsentry/sentry</t>
  </si>
  <si>
    <t>getsentry/sentry-kubernetes</t>
  </si>
  <si>
    <t>https://github.com/getsentry/sentry-kubernetes</t>
  </si>
  <si>
    <t>Ghadjeres/DeepBach</t>
  </si>
  <si>
    <t>https://github.com/Ghadjeres/DeepBach</t>
  </si>
  <si>
    <t>GhostManager/Ghostwriter</t>
  </si>
  <si>
    <t>https://github.com/GhostManager/Ghostwriter</t>
  </si>
  <si>
    <t>gilesknap/gphotos-sync</t>
  </si>
  <si>
    <t>https://github.com/gilesknap/gphotos-sync</t>
  </si>
  <si>
    <t>Giphy/celeb-detection-oss</t>
  </si>
  <si>
    <t>https://github.com/Giphy/celeb-detection-oss</t>
  </si>
  <si>
    <t>girder/girder</t>
  </si>
  <si>
    <t>https://github.com/girder/girder</t>
  </si>
  <si>
    <t>githublitao/api_automation_test</t>
  </si>
  <si>
    <t>https://github.com/githublitao/api_automation_test</t>
  </si>
  <si>
    <t>gitpython-developers/GitPython</t>
  </si>
  <si>
    <t>https://github.com/gitpython-developers/GitPython</t>
  </si>
  <si>
    <t>GNS3/gns3-gui</t>
  </si>
  <si>
    <t>https://github.com/GNS3/gns3-gui</t>
  </si>
  <si>
    <t>GNS3/gns3-server</t>
  </si>
  <si>
    <t>https://github.com/GNS3/gns3-server</t>
  </si>
  <si>
    <t>godotengine/godot-blender-exporter</t>
  </si>
  <si>
    <t>https://github.com/godotengine/godot-blender-exporter</t>
  </si>
  <si>
    <t>golemfactory/clay</t>
  </si>
  <si>
    <t>https://github.com/golemfactory/clay</t>
  </si>
  <si>
    <t>golismero/golismero</t>
  </si>
  <si>
    <t>https://github.com/golismero/golismero</t>
  </si>
  <si>
    <t>google-research/football</t>
  </si>
  <si>
    <t>https://github.com/google-research/football</t>
  </si>
  <si>
    <t>google/android-emulator-container-scripts</t>
  </si>
  <si>
    <t>https://github.com/google/android-emulator-container-scripts</t>
  </si>
  <si>
    <t>google/brain-tokyo-workshop</t>
  </si>
  <si>
    <t>https://github.com/google/brain-tokyo-workshop</t>
  </si>
  <si>
    <t>google/caliban</t>
  </si>
  <si>
    <t>https://github.com/google/caliban</t>
  </si>
  <si>
    <t>google/capirca</t>
  </si>
  <si>
    <t>https://github.com/google/capirca</t>
  </si>
  <si>
    <t>google/clif</t>
  </si>
  <si>
    <t>https://github.com/google/clif</t>
  </si>
  <si>
    <t>google/clusterfuzz</t>
  </si>
  <si>
    <t>https://github.com/google/clusterfuzz</t>
  </si>
  <si>
    <t>google/deepvariant</t>
  </si>
  <si>
    <t>https://github.com/google/deepvariant</t>
  </si>
  <si>
    <t>google/fuzzbench</t>
  </si>
  <si>
    <t>https://github.com/google/fuzzbench</t>
  </si>
  <si>
    <t>google/grr</t>
  </si>
  <si>
    <t>https://github.com/google/grr</t>
  </si>
  <si>
    <t>google/jax</t>
  </si>
  <si>
    <t>https://github.com/google/jax</t>
  </si>
  <si>
    <t>google/personfinder</t>
  </si>
  <si>
    <t>https://github.com/google/personfinder</t>
  </si>
  <si>
    <t>google/subpar</t>
  </si>
  <si>
    <t>https://github.com/google/subpar</t>
  </si>
  <si>
    <t>google/tf-quant-finance</t>
  </si>
  <si>
    <t>https://github.com/google/tf-quant-finance</t>
  </si>
  <si>
    <t>google/timesketch</t>
  </si>
  <si>
    <t>https://github.com/google/timesketch</t>
  </si>
  <si>
    <t>google/turbinia</t>
  </si>
  <si>
    <t>https://github.com/google/turbinia</t>
  </si>
  <si>
    <t>google/vulncode-db</t>
  </si>
  <si>
    <t>https://github.com/google/vulncode-db</t>
  </si>
  <si>
    <t>googleapis/google-auth-library-python</t>
  </si>
  <si>
    <t>https://github.com/googleapis/google-auth-library-python</t>
  </si>
  <si>
    <t>GoogleCloudPlatform/cloudml-samples</t>
  </si>
  <si>
    <t>https://github.com/GoogleCloudPlatform/cloudml-samples</t>
  </si>
  <si>
    <t>GoogleCloudPlatform/deploymentmanager-samples</t>
  </si>
  <si>
    <t>https://github.com/GoogleCloudPlatform/deploymentmanager-samples</t>
  </si>
  <si>
    <t>GoogleCloudPlatform/getting-started-python</t>
  </si>
  <si>
    <t>https://github.com/GoogleCloudPlatform/getting-started-python</t>
  </si>
  <si>
    <t>GoogleCloudPlatform/microservices-demo</t>
  </si>
  <si>
    <t>https://github.com/GoogleCloudPlatform/microservices-demo</t>
  </si>
  <si>
    <t>GoogleCloudPlatform/ml-on-gcp</t>
  </si>
  <si>
    <t>https://github.com/GoogleCloudPlatform/ml-on-gcp</t>
  </si>
  <si>
    <t>GoogleCloudPlatform/PerfKitBenchmarker</t>
  </si>
  <si>
    <t>https://github.com/GoogleCloudPlatform/PerfKitBenchmarker</t>
  </si>
  <si>
    <t>GoogleCloudPlatform/professional-services</t>
  </si>
  <si>
    <t>https://github.com/GoogleCloudPlatform/professional-services</t>
  </si>
  <si>
    <t>GoogleCloudPlatform/python-docs-samples</t>
  </si>
  <si>
    <t>https://github.com/GoogleCloudPlatform/python-docs-samples</t>
  </si>
  <si>
    <t>GoSecure/pyrdp</t>
  </si>
  <si>
    <t>https://github.com/GoSecure/pyrdp</t>
  </si>
  <si>
    <t>gouthambs/Flask-Blogging</t>
  </si>
  <si>
    <t>https://github.com/gouthambs/Flask-Blogging</t>
  </si>
  <si>
    <t>GoVanguard/legion</t>
  </si>
  <si>
    <t>https://github.com/GoVanguard/legion</t>
  </si>
  <si>
    <t>grapheneX/grapheneX</t>
  </si>
  <si>
    <t>https://github.com/grapheneX/grapheneX</t>
  </si>
  <si>
    <t>graphistry/pygraphistry</t>
  </si>
  <si>
    <t>https://github.com/graphistry/pygraphistry</t>
  </si>
  <si>
    <t>grapl-security/grapl</t>
  </si>
  <si>
    <t>https://github.com/grapl-security/grapl</t>
  </si>
  <si>
    <t>gratipay/gratipay.com</t>
  </si>
  <si>
    <t>https://github.com/gratipay/gratipay.com</t>
  </si>
  <si>
    <t>graydon/bors</t>
  </si>
  <si>
    <t>https://github.com/graydon/bors</t>
  </si>
  <si>
    <t>great-expectations/great_expectations</t>
  </si>
  <si>
    <t>https://github.com/great-expectations/great_expectations</t>
  </si>
  <si>
    <t>grow/grow</t>
  </si>
  <si>
    <t>https://github.com/grow/grow</t>
  </si>
  <si>
    <t>grycap/scar</t>
  </si>
  <si>
    <t>https://github.com/grycap/scar</t>
  </si>
  <si>
    <t>guardicore/monkey</t>
  </si>
  <si>
    <t>https://github.com/guardicore/monkey</t>
  </si>
  <si>
    <t>guessit-io/guessit</t>
  </si>
  <si>
    <t>https://github.com/guessit-io/guessit</t>
  </si>
  <si>
    <t>guildai/guildai</t>
  </si>
  <si>
    <t>https://github.com/guildai/guildai</t>
  </si>
  <si>
    <t>guoday/CCF-BDCI-Sentiment-Analysis-Baseline</t>
  </si>
  <si>
    <t>https://github.com/guoday/CCF-BDCI-Sentiment-Analysis-Baseline</t>
  </si>
  <si>
    <t>gyoisamurai/GyoiThon</t>
  </si>
  <si>
    <t>https://github.com/gyoisamurai/GyoiThon</t>
  </si>
  <si>
    <t>h2oai/wave</t>
  </si>
  <si>
    <t>https://github.com/h2oai/wave</t>
  </si>
  <si>
    <t>haarnoja/sac</t>
  </si>
  <si>
    <t>https://github.com/haarnoja/sac</t>
  </si>
  <si>
    <t>haarnoja/softqlearning</t>
  </si>
  <si>
    <t>https://github.com/haarnoja/softqlearning</t>
  </si>
  <si>
    <t>hacktoolspack/hack-tools</t>
  </si>
  <si>
    <t>https://github.com/hacktoolspack/hack-tools</t>
  </si>
  <si>
    <t>hacs/integration</t>
  </si>
  <si>
    <t>https://github.com/hacs/integration</t>
  </si>
  <si>
    <t>haiwen/seafile-docker</t>
  </si>
  <si>
    <t>https://github.com/haiwen/seafile-docker</t>
  </si>
  <si>
    <t>hamcrest/PyHamcrest</t>
  </si>
  <si>
    <t>https://github.com/hamcrest/PyHamcrest</t>
  </si>
  <si>
    <t>hangoutsbot/hangoutsbot</t>
  </si>
  <si>
    <t>https://github.com/hangoutsbot/hangoutsbot</t>
  </si>
  <si>
    <t>hanxiao/bert-as-service</t>
  </si>
  <si>
    <t>https://github.com/hanxiao/bert-as-service</t>
  </si>
  <si>
    <t>HASecuritySolutions/VulnWhisperer</t>
  </si>
  <si>
    <t>https://github.com/HASecuritySolutions/VulnWhisperer</t>
  </si>
  <si>
    <t>HashPals/Name-That-Hash</t>
  </si>
  <si>
    <t>https://github.com/HashPals/Name-That-Hash</t>
  </si>
  <si>
    <t>HazyResearch/fonduer</t>
  </si>
  <si>
    <t>https://github.com/HazyResearch/fonduer</t>
  </si>
  <si>
    <t>heartexlabs/label-studio</t>
  </si>
  <si>
    <t>https://github.com/heartexlabs/label-studio</t>
  </si>
  <si>
    <t>HendrikStrobelt/Seq2Seq-Vis</t>
  </si>
  <si>
    <t>https://github.com/HendrikStrobelt/Seq2Seq-Vis</t>
  </si>
  <si>
    <t>hhyo/Archery</t>
  </si>
  <si>
    <t>https://github.com/hhyo/Archery</t>
  </si>
  <si>
    <t>hjacobs/kube-downscaler</t>
  </si>
  <si>
    <t>https://github.com/hjacobs/kube-downscaler</t>
  </si>
  <si>
    <t>hjacobs/kube-janitor</t>
  </si>
  <si>
    <t>https://github.com/hjacobs/kube-janitor</t>
  </si>
  <si>
    <t>home-assistant-libs/pytradfri</t>
  </si>
  <si>
    <t>https://github.com/home-assistant-libs/pytradfri</t>
  </si>
  <si>
    <t>home-assistant/core</t>
  </si>
  <si>
    <t>https://github.com/home-assistant/core</t>
  </si>
  <si>
    <t>home-assistant/supervisor</t>
  </si>
  <si>
    <t>https://github.com/home-assistant/supervisor</t>
  </si>
  <si>
    <t>howie6879/owllook</t>
  </si>
  <si>
    <t>https://github.com/howie6879/owllook</t>
  </si>
  <si>
    <t>huashengdun/webssh</t>
  </si>
  <si>
    <t>https://github.com/huashengdun/webssh</t>
  </si>
  <si>
    <t>huawei-noah/Pretrained-Language-Model</t>
  </si>
  <si>
    <t>https://github.com/huawei-noah/Pretrained-Language-Model</t>
  </si>
  <si>
    <t>hugapi/hug</t>
  </si>
  <si>
    <t>https://github.com/hugapi/hug</t>
  </si>
  <si>
    <t>huggingface/transfer-learning-conv-ai</t>
  </si>
  <si>
    <t>https://github.com/huggingface/transfer-learning-conv-ai</t>
  </si>
  <si>
    <t>huggingface/transformers</t>
  </si>
  <si>
    <t>https://github.com/huggingface/transformers</t>
  </si>
  <si>
    <t>hukkelas/DeepPrivacy</t>
  </si>
  <si>
    <t>https://github.com/hukkelas/DeepPrivacy</t>
  </si>
  <si>
    <t>huseinzol05/Gather-Deployment</t>
  </si>
  <si>
    <t>https://github.com/huseinzol05/Gather-Deployment</t>
  </si>
  <si>
    <t>HydraChain/hydrachain</t>
  </si>
  <si>
    <t>https://github.com/HydraChain/hydrachain</t>
  </si>
  <si>
    <t>hyperledger/cello</t>
  </si>
  <si>
    <t>https://github.com/hyperledger/cello</t>
  </si>
  <si>
    <t>hyperledger/indy-node</t>
  </si>
  <si>
    <t>https://github.com/hyperledger/indy-node</t>
  </si>
  <si>
    <t>hyperledger/sawtooth-core</t>
  </si>
  <si>
    <t>https://github.com/hyperledger/sawtooth-core</t>
  </si>
  <si>
    <t>hypothesis/h</t>
  </si>
  <si>
    <t>https://github.com/hypothesis/h</t>
  </si>
  <si>
    <t>hzwer/arXiv2020-RIFE</t>
  </si>
  <si>
    <t>https://github.com/hzwer/arXiv2020-RIFE</t>
  </si>
  <si>
    <t>hzy46/Deep-Learning-21-Examples</t>
  </si>
  <si>
    <t>https://github.com/hzy46/Deep-Learning-21-Examples</t>
  </si>
  <si>
    <t>ianmiell/shutit</t>
  </si>
  <si>
    <t>https://github.com/ianmiell/shutit</t>
  </si>
  <si>
    <t>IBM/MAX-Image-Resolution-Enhancer</t>
  </si>
  <si>
    <t>https://github.com/IBM/MAX-Image-Resolution-Enhancer</t>
  </si>
  <si>
    <t>icloud-photos-downloader/icloud_photos_downloader</t>
  </si>
  <si>
    <t>https://github.com/icloud-photos-downloader/icloud_photos_downloader</t>
  </si>
  <si>
    <t>ICLRandD/Blackstone</t>
  </si>
  <si>
    <t>https://github.com/ICLRandD/Blackstone</t>
  </si>
  <si>
    <t>icopy-site/awesome-cn</t>
  </si>
  <si>
    <t>https://github.com/icopy-site/awesome-cn</t>
  </si>
  <si>
    <t>idank/explainshell</t>
  </si>
  <si>
    <t>https://github.com/idank/explainshell</t>
  </si>
  <si>
    <t>IDSIA/sacred</t>
  </si>
  <si>
    <t>https://github.com/IDSIA/sacred</t>
  </si>
  <si>
    <t>ifzhang/FairMOT</t>
  </si>
  <si>
    <t>https://github.com/ifzhang/FairMOT</t>
  </si>
  <si>
    <t>ilius/pyglossary</t>
  </si>
  <si>
    <t>https://github.com/ilius/pyglossary</t>
  </si>
  <si>
    <t>implus/GFocal</t>
  </si>
  <si>
    <t>https://github.com/implus/GFocal</t>
  </si>
  <si>
    <t>imWildCat/scylla</t>
  </si>
  <si>
    <t>https://github.com/imWildCat/scylla</t>
  </si>
  <si>
    <t>insanum/sncli</t>
  </si>
  <si>
    <t>https://github.com/insanum/sncli</t>
  </si>
  <si>
    <t>IntelAI/nauta</t>
  </si>
  <si>
    <t>https://github.com/IntelAI/nauta</t>
  </si>
  <si>
    <t>IntelLabs/coach</t>
  </si>
  <si>
    <t>https://github.com/IntelLabs/coach</t>
  </si>
  <si>
    <t>IntelLabs/nlp-architect</t>
  </si>
  <si>
    <t>https://github.com/IntelLabs/nlp-architect</t>
  </si>
  <si>
    <t>intelowlproject/IntelOwl</t>
  </si>
  <si>
    <t>https://github.com/intelowlproject/IntelOwl</t>
  </si>
  <si>
    <t>internetarchive/openlibrary</t>
  </si>
  <si>
    <t>https://github.com/internetarchive/openlibrary</t>
  </si>
  <si>
    <t>istresearch/scrapy-cluster</t>
  </si>
  <si>
    <t>https://github.com/istresearch/scrapy-cluster</t>
  </si>
  <si>
    <t>italomaia/flask-empty</t>
  </si>
  <si>
    <t>https://github.com/italomaia/flask-empty</t>
  </si>
  <si>
    <t>iterative/dvc</t>
  </si>
  <si>
    <t>https://github.com/iterative/dvc</t>
  </si>
  <si>
    <t>its-a-feature/Mythic</t>
  </si>
  <si>
    <t>https://github.com/its-a-feature/Mythic</t>
  </si>
  <si>
    <t>izar/pytm</t>
  </si>
  <si>
    <t>https://github.com/izar/pytm</t>
  </si>
  <si>
    <t>j-bennet/wharfee</t>
  </si>
  <si>
    <t>https://github.com/j-bennet/wharfee</t>
  </si>
  <si>
    <t>j3ssie/Osmedeus</t>
  </si>
  <si>
    <t>https://github.com/j3ssie/Osmedeus</t>
  </si>
  <si>
    <t>j96w/DenseFusion</t>
  </si>
  <si>
    <t>https://github.com/j96w/DenseFusion</t>
  </si>
  <si>
    <t>jachinlin/geektime_dl</t>
  </si>
  <si>
    <t>https://github.com/jachinlin/geektime_dl</t>
  </si>
  <si>
    <t>jaegertracing/jaeger-client-python</t>
  </si>
  <si>
    <t>https://github.com/jaegertracing/jaeger-client-python</t>
  </si>
  <si>
    <t>JaidedAI/EasyOCR</t>
  </si>
  <si>
    <t>https://github.com/JaidedAI/EasyOCR</t>
  </si>
  <si>
    <t>jamesob/tinychain</t>
  </si>
  <si>
    <t>https://github.com/jamesob/tinychain</t>
  </si>
  <si>
    <t>jamesoff/simplemonitor</t>
  </si>
  <si>
    <t>https://github.com/jamesoff/simplemonitor</t>
  </si>
  <si>
    <t>jantman/awslimitchecker</t>
  </si>
  <si>
    <t>https://github.com/jantman/awslimitchecker</t>
  </si>
  <si>
    <t>jaraco/keyring</t>
  </si>
  <si>
    <t>https://github.com/jaraco/keyring</t>
  </si>
  <si>
    <t>jarun/buku</t>
  </si>
  <si>
    <t>https://github.com/jarun/buku</t>
  </si>
  <si>
    <t>jasonrbriggs/stomp.py</t>
  </si>
  <si>
    <t>https://github.com/jasonrbriggs/stomp.py</t>
  </si>
  <si>
    <t>jbarlow83/OCRmyPDF</t>
  </si>
  <si>
    <t>https://github.com/jbarlow83/OCRmyPDF</t>
  </si>
  <si>
    <t>jbesomi/texthero</t>
  </si>
  <si>
    <t>https://github.com/jbesomi/texthero</t>
  </si>
  <si>
    <t>JDAI-CV/fast-reid</t>
  </si>
  <si>
    <t>https://github.com/JDAI-CV/fast-reid</t>
  </si>
  <si>
    <t>jeanphix/Ghost.py</t>
  </si>
  <si>
    <t>https://github.com/jeanphix/Ghost.py</t>
  </si>
  <si>
    <t>jeffzh3ng/fuxi</t>
  </si>
  <si>
    <t>https://github.com/jeffzh3ng/fuxi</t>
  </si>
  <si>
    <t>jet-admin/jet-bridge</t>
  </si>
  <si>
    <t>https://github.com/jet-admin/jet-bridge</t>
  </si>
  <si>
    <t>jhao104/proxy_pool</t>
  </si>
  <si>
    <t>https://github.com/jhao104/proxy_pool</t>
  </si>
  <si>
    <t>jhpyle/docassemble</t>
  </si>
  <si>
    <t>https://github.com/jhpyle/docassemble</t>
  </si>
  <si>
    <t>jimmy201602/webterminal</t>
  </si>
  <si>
    <t>https://github.com/jimmy201602/webterminal</t>
  </si>
  <si>
    <t>jina-ai/jina</t>
  </si>
  <si>
    <t>https://github.com/jina-ai/jina</t>
  </si>
  <si>
    <t>jindaxiang/akshare</t>
  </si>
  <si>
    <t>https://github.com/jindaxiang/akshare</t>
  </si>
  <si>
    <t>jiny2001/dcscn-super-resolution</t>
  </si>
  <si>
    <t>https://github.com/jiny2001/dcscn-super-resolution</t>
  </si>
  <si>
    <t>jmathai/elodie</t>
  </si>
  <si>
    <t>https://github.com/jmathai/elodie</t>
  </si>
  <si>
    <t>joaoricardo000/whatsapp-bot-seed</t>
  </si>
  <si>
    <t>https://github.com/joaoricardo000/whatsapp-bot-seed</t>
  </si>
  <si>
    <t>joe-siyuan-qiao/DetectoRS</t>
  </si>
  <si>
    <t>https://github.com/joe-siyuan-qiao/DetectoRS</t>
  </si>
  <si>
    <t>JohnHammond/katana</t>
  </si>
  <si>
    <t>https://github.com/JohnHammond/katana</t>
  </si>
  <si>
    <t>jookies/jasmin</t>
  </si>
  <si>
    <t>https://github.com/jookies/jasmin</t>
  </si>
  <si>
    <t>jopohl/urh</t>
  </si>
  <si>
    <t>https://github.com/jopohl/urh</t>
  </si>
  <si>
    <t>jorisroovers/gitlint</t>
  </si>
  <si>
    <t>https://github.com/jorisroovers/gitlint</t>
  </si>
  <si>
    <t>JosephKJ/OWOD</t>
  </si>
  <si>
    <t>https://github.com/JosephKJ/OWOD</t>
  </si>
  <si>
    <t>josiahcarlson/redis-in-action</t>
  </si>
  <si>
    <t>https://github.com/josiahcarlson/redis-in-action</t>
  </si>
  <si>
    <t>jpmens/mqttwarn</t>
  </si>
  <si>
    <t>https://github.com/jpmens/mqttwarn</t>
  </si>
  <si>
    <t>Eclipse Public License 2.0</t>
  </si>
  <si>
    <t>jumpserver/jumpserver</t>
  </si>
  <si>
    <t>https://github.com/jumpserver/jumpserver</t>
  </si>
  <si>
    <t>Juniper/py-junos-eznc</t>
  </si>
  <si>
    <t>https://github.com/Juniper/py-junos-eznc</t>
  </si>
  <si>
    <t>jupyter-incubator/sparkmagic</t>
  </si>
  <si>
    <t>https://github.com/jupyter-incubator/sparkmagic</t>
  </si>
  <si>
    <t>jupyter/docker-stacks</t>
  </si>
  <si>
    <t>https://github.com/jupyter/docker-stacks</t>
  </si>
  <si>
    <t>jupyter/enterprise_gateway</t>
  </si>
  <si>
    <t>https://github.com/jupyter/enterprise_gateway</t>
  </si>
  <si>
    <t>jupyter/nbviewer</t>
  </si>
  <si>
    <t>https://github.com/jupyter/nbviewer</t>
  </si>
  <si>
    <t>jupyterhub/binderhub</t>
  </si>
  <si>
    <t>https://github.com/jupyterhub/binderhub</t>
  </si>
  <si>
    <t>jupyterhub/dockerspawner</t>
  </si>
  <si>
    <t>https://github.com/jupyterhub/dockerspawner</t>
  </si>
  <si>
    <t>jupyterhub/jupyterhub</t>
  </si>
  <si>
    <t>https://github.com/jupyterhub/jupyterhub</t>
  </si>
  <si>
    <t>jupyterhub/repo2docker</t>
  </si>
  <si>
    <t>https://github.com/jupyterhub/repo2docker</t>
  </si>
  <si>
    <t>jupyterhub/the-littlest-jupyterhub</t>
  </si>
  <si>
    <t>https://github.com/jupyterhub/the-littlest-jupyterhub</t>
  </si>
  <si>
    <t>jupyterhub/zero-to-jupyterhub-k8s</t>
  </si>
  <si>
    <t>https://github.com/jupyterhub/zero-to-jupyterhub-k8s</t>
  </si>
  <si>
    <t>Just-Some-Bots/MusicBot</t>
  </si>
  <si>
    <t>https://github.com/Just-Some-Bots/MusicBot</t>
  </si>
  <si>
    <t>Kaggle/docker-python</t>
  </si>
  <si>
    <t>https://github.com/Kaggle/docker-python</t>
  </si>
  <si>
    <t>kakao/buffalo</t>
  </si>
  <si>
    <t>https://github.com/kakao/buffalo</t>
  </si>
  <si>
    <t>kakao/khaiii</t>
  </si>
  <si>
    <t>https://github.com/kakao/khaiii</t>
  </si>
  <si>
    <t>kakaobrain/pororo</t>
  </si>
  <si>
    <t>https://github.com/kakaobrain/pororo</t>
  </si>
  <si>
    <t>kapicorp/kapitan</t>
  </si>
  <si>
    <t>https://github.com/kapicorp/kapitan</t>
  </si>
  <si>
    <t>karec/cookiecutter-flask-restful</t>
  </si>
  <si>
    <t>https://github.com/karec/cookiecutter-flask-restful</t>
  </si>
  <si>
    <t>karlicoss/promnesia</t>
  </si>
  <si>
    <t>https://github.com/karlicoss/promnesia</t>
  </si>
  <si>
    <t>kbumsik/VirtScreen</t>
  </si>
  <si>
    <t>https://github.com/kbumsik/VirtScreen</t>
  </si>
  <si>
    <t>KDD-OpenSource/DeepADoTS</t>
  </si>
  <si>
    <t>https://github.com/KDD-OpenSource/DeepADoTS</t>
  </si>
  <si>
    <t>keiohta/tf2rl</t>
  </si>
  <si>
    <t>https://github.com/keiohta/tf2rl</t>
  </si>
  <si>
    <t>keithrozario/Klayers</t>
  </si>
  <si>
    <t>https://github.com/keithrozario/Klayers</t>
  </si>
  <si>
    <t>kengz/SLM-Lab</t>
  </si>
  <si>
    <t>https://github.com/kengz/SLM-Lab</t>
  </si>
  <si>
    <t>kennethreitz-archive/requests3</t>
  </si>
  <si>
    <t>https://github.com/kennethreitz-archive/requests3</t>
  </si>
  <si>
    <t>kensho-technologies/graphql-compiler</t>
  </si>
  <si>
    <t>https://github.com/kensho-technologies/graphql-compiler</t>
  </si>
  <si>
    <t>keras-team/keras-tuner</t>
  </si>
  <si>
    <t>https://github.com/keras-team/keras-tuner</t>
  </si>
  <si>
    <t>kerlomz/captcha_platform</t>
  </si>
  <si>
    <t>https://github.com/kerlomz/captcha_platform</t>
  </si>
  <si>
    <t>kevthehermit/PasteHunter</t>
  </si>
  <si>
    <t>https://github.com/kevthehermit/PasteHunter</t>
  </si>
  <si>
    <t>keylase/nvidia-patch</t>
  </si>
  <si>
    <t>https://github.com/keylase/nvidia-patch</t>
  </si>
  <si>
    <t>kfei/slack-cleaner</t>
  </si>
  <si>
    <t>https://github.com/kfei/slack-cleaner</t>
  </si>
  <si>
    <t>khanrc/pt.darts</t>
  </si>
  <si>
    <t>https://github.com/khanrc/pt.darts</t>
  </si>
  <si>
    <t>kibitzr/kibitzr</t>
  </si>
  <si>
    <t>https://github.com/kibitzr/kibitzr</t>
  </si>
  <si>
    <t>Kinto/kinto</t>
  </si>
  <si>
    <t>https://github.com/Kinto/kinto</t>
  </si>
  <si>
    <t>Kismuz/btgym</t>
  </si>
  <si>
    <t>https://github.com/Kismuz/btgym</t>
  </si>
  <si>
    <t>kivy/python-for-android</t>
  </si>
  <si>
    <t>https://github.com/kivy/python-for-android</t>
  </si>
  <si>
    <t>kizniche/Mycodo</t>
  </si>
  <si>
    <t>https://github.com/kizniche/Mycodo</t>
  </si>
  <si>
    <t>Kkevsterrr/geneva</t>
  </si>
  <si>
    <t>https://github.com/Kkevsterrr/geneva</t>
  </si>
  <si>
    <t>klen/py-frameworks-bench</t>
  </si>
  <si>
    <t>https://github.com/klen/py-frameworks-bench</t>
  </si>
  <si>
    <t>knipknap/SpiffWorkflow</t>
  </si>
  <si>
    <t>https://github.com/knipknap/SpiffWorkflow</t>
  </si>
  <si>
    <t>koalalorenzo/python-digitalocean</t>
  </si>
  <si>
    <t>https://github.com/koalalorenzo/python-digitalocean</t>
  </si>
  <si>
    <t>Komodo/KomodoEdit</t>
  </si>
  <si>
    <t>https://github.com/Komodo/KomodoEdit</t>
  </si>
  <si>
    <t>kornia/kornia</t>
  </si>
  <si>
    <t>https://github.com/kornia/kornia</t>
  </si>
  <si>
    <t>koursaros-ai/nboost</t>
  </si>
  <si>
    <t>https://github.com/koursaros-ai/nboost</t>
  </si>
  <si>
    <t>Kozea/Radicale</t>
  </si>
  <si>
    <t>https://github.com/Kozea/Radicale</t>
  </si>
  <si>
    <t>Kozea/wdb</t>
  </si>
  <si>
    <t>https://github.com/Kozea/wdb</t>
  </si>
  <si>
    <t>krmaxwell/maltrieve</t>
  </si>
  <si>
    <t>https://github.com/krmaxwell/maltrieve</t>
  </si>
  <si>
    <t>KuangDD/zhrtvc</t>
  </si>
  <si>
    <t>https://github.com/KuangDD/zhrtvc</t>
  </si>
  <si>
    <t>kubeflow-kale/kale</t>
  </si>
  <si>
    <t>https://github.com/kubeflow-kale/kale</t>
  </si>
  <si>
    <t>kubeflow/pipelines</t>
  </si>
  <si>
    <t>https://github.com/kubeflow/pipelines</t>
  </si>
  <si>
    <t>kubernetes-client/python</t>
  </si>
  <si>
    <t>https://github.com/kubernetes-client/python</t>
  </si>
  <si>
    <t>kyb3r/modmail</t>
  </si>
  <si>
    <t>https://github.com/kyb3r/modmail</t>
  </si>
  <si>
    <t>kymatio/kymatio</t>
  </si>
  <si>
    <t>https://github.com/kymatio/kymatio</t>
  </si>
  <si>
    <t>kyuupichan/electrumx</t>
  </si>
  <si>
    <t>https://github.com/kyuupichan/electrumx</t>
  </si>
  <si>
    <t>l3uddz/traktarr</t>
  </si>
  <si>
    <t>https://github.com/l3uddz/traktarr</t>
  </si>
  <si>
    <t>laixintao/iredis</t>
  </si>
  <si>
    <t>https://github.com/laixintao/iredis</t>
  </si>
  <si>
    <t>lancachenet/steamcache</t>
  </si>
  <si>
    <t>https://github.com/lancachenet/steamcache</t>
  </si>
  <si>
    <t>langgithub/CloudControl</t>
  </si>
  <si>
    <t>https://github.com/langgithub/CloudControl</t>
  </si>
  <si>
    <t>lanjelot/patator</t>
  </si>
  <si>
    <t>https://github.com/lanjelot/patator</t>
  </si>
  <si>
    <t>lardbit/nefarious</t>
  </si>
  <si>
    <t>https://github.com/lardbit/nefarious</t>
  </si>
  <si>
    <t>learningequality/ka-lite</t>
  </si>
  <si>
    <t>https://github.com/learningequality/ka-lite</t>
  </si>
  <si>
    <t>leeroybrun/glacier-vault-remove</t>
  </si>
  <si>
    <t>https://github.com/leeroybrun/glacier-vault-remove</t>
  </si>
  <si>
    <t>levlaz/braindump</t>
  </si>
  <si>
    <t>https://github.com/levlaz/braindump</t>
  </si>
  <si>
    <t>liangliangyy/DjangoBlog</t>
  </si>
  <si>
    <t>https://github.com/liangliangyy/DjangoBlog</t>
  </si>
  <si>
    <t>liberapay/liberapay.com</t>
  </si>
  <si>
    <t>https://github.com/liberapay/liberapay.com</t>
  </si>
  <si>
    <t>lightbulb-framework/lightbulb-framework</t>
  </si>
  <si>
    <t>https://github.com/lightbulb-framework/lightbulb-framework</t>
  </si>
  <si>
    <t>liiight/notifiers</t>
  </si>
  <si>
    <t>https://github.com/liiight/notifiers</t>
  </si>
  <si>
    <t>line/promgen</t>
  </si>
  <si>
    <t>https://github.com/line/promgen</t>
  </si>
  <si>
    <t>linkchecker/linkchecker</t>
  </si>
  <si>
    <t>https://github.com/linkchecker/linkchecker</t>
  </si>
  <si>
    <t>linkedin/iris</t>
  </si>
  <si>
    <t>https://github.com/linkedin/iris</t>
  </si>
  <si>
    <t>linkedin/oncall</t>
  </si>
  <si>
    <t>https://github.com/linkedin/oncall</t>
  </si>
  <si>
    <t>LinOTP/LinOTP</t>
  </si>
  <si>
    <t>https://github.com/LinOTP/LinOTP</t>
  </si>
  <si>
    <t>LiuRoy/zhihu_spider</t>
  </si>
  <si>
    <t>https://github.com/LiuRoy/zhihu_spider</t>
  </si>
  <si>
    <t>llimllib/limbo</t>
  </si>
  <si>
    <t>https://github.com/llimllib/limbo</t>
  </si>
  <si>
    <t>llSourcell/AI_Startup_Prototype</t>
  </si>
  <si>
    <t>https://github.com/llSourcell/AI_Startup_Prototype</t>
  </si>
  <si>
    <t>lmco/laikaboss</t>
  </si>
  <si>
    <t>https://github.com/lmco/laikaboss</t>
  </si>
  <si>
    <t>localstack/localstack</t>
  </si>
  <si>
    <t>https://github.com/localstack/localstack</t>
  </si>
  <si>
    <t>locustio/locust</t>
  </si>
  <si>
    <t>https://github.com/locustio/locust</t>
  </si>
  <si>
    <t>log2timeline/plaso</t>
  </si>
  <si>
    <t>https://github.com/log2timeline/plaso</t>
  </si>
  <si>
    <t>Lonero-Team/Decentralized-Internet</t>
  </si>
  <si>
    <t>https://github.com/Lonero-Team/Decentralized-Internet</t>
  </si>
  <si>
    <t>Lookyloo/lookyloo</t>
  </si>
  <si>
    <t>https://github.com/Lookyloo/lookyloo</t>
  </si>
  <si>
    <t>lowerquality/gentle</t>
  </si>
  <si>
    <t>https://github.com/lowerquality/gentle</t>
  </si>
  <si>
    <t>lspvic/jupyter_tensorboard</t>
  </si>
  <si>
    <t>https://github.com/lspvic/jupyter_tensorboard</t>
  </si>
  <si>
    <t>LTD-Beget/sprutio</t>
  </si>
  <si>
    <t>https://github.com/LTD-Beget/sprutio</t>
  </si>
  <si>
    <t>ludwig-ai/ludwig</t>
  </si>
  <si>
    <t>https://github.com/ludwig-ai/ludwig</t>
  </si>
  <si>
    <t>lyft/confidant</t>
  </si>
  <si>
    <t>https://github.com/lyft/confidant</t>
  </si>
  <si>
    <t>lyft/metadataproxy</t>
  </si>
  <si>
    <t>https://github.com/lyft/metadataproxy</t>
  </si>
  <si>
    <t>lzzy12/python-aria-mirror-bot</t>
  </si>
  <si>
    <t>https://github.com/lzzy12/python-aria-mirror-bot</t>
  </si>
  <si>
    <t>m4n3dw0lf/pythem</t>
  </si>
  <si>
    <t>https://github.com/m4n3dw0lf/pythem</t>
  </si>
  <si>
    <t>madflojo/automatron</t>
  </si>
  <si>
    <t>https://github.com/madflojo/automatron</t>
  </si>
  <si>
    <t>madhawav/YOLO3-4-Py</t>
  </si>
  <si>
    <t>https://github.com/madhawav/YOLO3-4-Py</t>
  </si>
  <si>
    <t>mahyarnajibi/SNIPER</t>
  </si>
  <si>
    <t>https://github.com/mahyarnajibi/SNIPER</t>
  </si>
  <si>
    <t>Maicius/QQZoneMood</t>
  </si>
  <si>
    <t>https://github.com/Maicius/QQZoneMood</t>
  </si>
  <si>
    <t>mailpile/Mailpile</t>
  </si>
  <si>
    <t>https://github.com/mailpile/Mailpile</t>
  </si>
  <si>
    <t>Mailu/Mailu</t>
  </si>
  <si>
    <t>https://github.com/Mailu/Mailu</t>
  </si>
  <si>
    <t>makerdao/market-maker-keeper</t>
  </si>
  <si>
    <t>https://github.com/makerdao/market-maker-keeper</t>
  </si>
  <si>
    <t>manateelazycat/emacs-application-framework</t>
  </si>
  <si>
    <t>https://github.com/manateelazycat/emacs-application-framework</t>
  </si>
  <si>
    <t>ManimCommunity/manim</t>
  </si>
  <si>
    <t>https://github.com/ManimCommunity/manim</t>
  </si>
  <si>
    <t>mantl/mantl</t>
  </si>
  <si>
    <t>https://github.com/mantl/mantl</t>
  </si>
  <si>
    <t>mar10/wsgidav</t>
  </si>
  <si>
    <t>https://github.com/mar10/wsgidav</t>
  </si>
  <si>
    <t>Mariewelt/OpenChem</t>
  </si>
  <si>
    <t>https://github.com/Mariewelt/OpenChem</t>
  </si>
  <si>
    <t>mariusmotea/diyHue</t>
  </si>
  <si>
    <t>https://github.com/mariusmotea/diyHue</t>
  </si>
  <si>
    <t>mars-project/mars</t>
  </si>
  <si>
    <t>https://github.com/mars-project/mars</t>
  </si>
  <si>
    <t>Marten4n6/EvilOSX</t>
  </si>
  <si>
    <t>https://github.com/Marten4n6/EvilOSX</t>
  </si>
  <si>
    <t>martomo/SublimeTextXdebug</t>
  </si>
  <si>
    <t>https://github.com/martomo/SublimeTextXdebug</t>
  </si>
  <si>
    <t>matrix-org/synapse</t>
  </si>
  <si>
    <t>https://github.com/matrix-org/synapse</t>
  </si>
  <si>
    <t>mattupstate/overholt</t>
  </si>
  <si>
    <t>https://github.com/mattupstate/overholt</t>
  </si>
  <si>
    <t>maurosoria/dirsearch</t>
  </si>
  <si>
    <t>https://github.com/maurosoria/dirsearch</t>
  </si>
  <si>
    <t>maxbbraun/trump2cash</t>
  </si>
  <si>
    <t>https://github.com/maxbbraun/trump2cash</t>
  </si>
  <si>
    <t>mdn/kuma</t>
  </si>
  <si>
    <t>https://github.com/mdn/kuma</t>
  </si>
  <si>
    <t>MeetMe/newrelic-plugin-agent</t>
  </si>
  <si>
    <t>https://github.com/MeetMe/newrelic-plugin-agent</t>
  </si>
  <si>
    <t>megvii-model/YOLOF</t>
  </si>
  <si>
    <t>https://github.com/megvii-model/YOLOF</t>
  </si>
  <si>
    <t>MegviiDetection/video_analyst</t>
  </si>
  <si>
    <t>https://github.com/MegviiDetection/video_analyst</t>
  </si>
  <si>
    <t>Meituan-Dianping/lyrebird</t>
  </si>
  <si>
    <t>https://github.com/Meituan-Dianping/lyrebird</t>
  </si>
  <si>
    <t>Melissa-AI/Melissa-Core</t>
  </si>
  <si>
    <t>https://github.com/Melissa-AI/Melissa-Core</t>
  </si>
  <si>
    <t>mengskysama/shadowsocks-rm</t>
  </si>
  <si>
    <t>https://github.com/mengskysama/shadowsocks-rm</t>
  </si>
  <si>
    <t>meolu/walle-web</t>
  </si>
  <si>
    <t>https://github.com/meolu/walle-web</t>
  </si>
  <si>
    <t>mesalock-linux/mesapy</t>
  </si>
  <si>
    <t>https://github.com/mesalock-linux/mesapy</t>
  </si>
  <si>
    <t>mesosphere/marathon-lb</t>
  </si>
  <si>
    <t>https://github.com/mesosphere/marathon-lb</t>
  </si>
  <si>
    <t>metabrainz/listenbrainz-server</t>
  </si>
  <si>
    <t>https://github.com/metabrainz/listenbrainz-server</t>
  </si>
  <si>
    <t>mhallsmoore/qstrader</t>
  </si>
  <si>
    <t>https://github.com/mhallsmoore/qstrader</t>
  </si>
  <si>
    <t>mher/flower</t>
  </si>
  <si>
    <t>https://github.com/mher/flower</t>
  </si>
  <si>
    <t>mherrmann/fbs</t>
  </si>
  <si>
    <t>https://github.com/mherrmann/fbs</t>
  </si>
  <si>
    <t>micahhausler/container-transform</t>
  </si>
  <si>
    <t>https://github.com/micahhausler/container-transform</t>
  </si>
  <si>
    <t>microsoft/botbuilder-python</t>
  </si>
  <si>
    <t>https://github.com/microsoft/botbuilder-python</t>
  </si>
  <si>
    <t>microsoft/DeBERTa</t>
  </si>
  <si>
    <t>https://github.com/microsoft/DeBERTa</t>
  </si>
  <si>
    <t>microsoft/DeepSpeed</t>
  </si>
  <si>
    <t>https://github.com/microsoft/DeepSpeed</t>
  </si>
  <si>
    <t>microsoft/fastformers</t>
  </si>
  <si>
    <t>https://github.com/microsoft/fastformers</t>
  </si>
  <si>
    <t>microsoft/maro</t>
  </si>
  <si>
    <t>https://github.com/microsoft/maro</t>
  </si>
  <si>
    <t>microsoft/nlp-recipes</t>
  </si>
  <si>
    <t>https://github.com/microsoft/nlp-recipes</t>
  </si>
  <si>
    <t>microsoft/nni</t>
  </si>
  <si>
    <t>https://github.com/microsoft/nni</t>
  </si>
  <si>
    <t>microsoft/presidio</t>
  </si>
  <si>
    <t>https://github.com/microsoft/presidio</t>
  </si>
  <si>
    <t>microsoft/recommenders</t>
  </si>
  <si>
    <t>https://github.com/microsoft/recommenders</t>
  </si>
  <si>
    <t>microsoft/restler-fuzzer</t>
  </si>
  <si>
    <t>https://github.com/microsoft/restler-fuzzer</t>
  </si>
  <si>
    <t>microsoft/TextWorld</t>
  </si>
  <si>
    <t>https://github.com/microsoft/TextWorld</t>
  </si>
  <si>
    <t>miguelgrinberg/flasky</t>
  </si>
  <si>
    <t>https://github.com/miguelgrinberg/flasky</t>
  </si>
  <si>
    <t>miguelgrinberg/microblog</t>
  </si>
  <si>
    <t>https://github.com/miguelgrinberg/microblog</t>
  </si>
  <si>
    <t>mike-grant/haaska</t>
  </si>
  <si>
    <t>https://github.com/mike-grant/haaska</t>
  </si>
  <si>
    <t>mikedh/trimesh</t>
  </si>
  <si>
    <t>https://github.com/mikedh/trimesh</t>
  </si>
  <si>
    <t>mikeyy/nonoCAPTCHA</t>
  </si>
  <si>
    <t>https://github.com/mikeyy/nonoCAPTCHA</t>
  </si>
  <si>
    <t>mil-tokyo/webdnn</t>
  </si>
  <si>
    <t>https://github.com/mil-tokyo/webdnn</t>
  </si>
  <si>
    <t>mila-iqia/babyai</t>
  </si>
  <si>
    <t>https://github.com/mila-iqia/babyai</t>
  </si>
  <si>
    <t>milesmcc/shynet</t>
  </si>
  <si>
    <t>https://github.com/milesmcc/shynet</t>
  </si>
  <si>
    <t>milvus-io/bootcamp</t>
  </si>
  <si>
    <t>https://github.com/milvus-io/bootcamp</t>
  </si>
  <si>
    <t>minimaxir/aitextgen</t>
  </si>
  <si>
    <t>https://github.com/minimaxir/aitextgen</t>
  </si>
  <si>
    <t>minimaxir/person-blocker</t>
  </si>
  <si>
    <t>https://github.com/minimaxir/person-blocker</t>
  </si>
  <si>
    <t>mirumee/saleor</t>
  </si>
  <si>
    <t>https://github.com/mirumee/saleor</t>
  </si>
  <si>
    <t>mit-han-lab/data-efficient-gans</t>
  </si>
  <si>
    <t>https://github.com/mit-han-lab/data-efficient-gans</t>
  </si>
  <si>
    <t>mitmproxy/mitmproxy</t>
  </si>
  <si>
    <t>https://github.com/mitmproxy/mitmproxy</t>
  </si>
  <si>
    <t>mitre/caldera</t>
  </si>
  <si>
    <t>https://github.com/mitre/caldera</t>
  </si>
  <si>
    <t>mitre/multiscanner</t>
  </si>
  <si>
    <t>https://github.com/mitre/multiscanner</t>
  </si>
  <si>
    <t>MITRECND/chopshop</t>
  </si>
  <si>
    <t>https://github.com/MITRECND/chopshop</t>
  </si>
  <si>
    <t>mlbvn/d2l-vn</t>
  </si>
  <si>
    <t>https://github.com/mlbvn/d2l-vn</t>
  </si>
  <si>
    <t>mlcommons/inference</t>
  </si>
  <si>
    <t>https://github.com/mlcommons/inference</t>
  </si>
  <si>
    <t>mlcommons/training</t>
  </si>
  <si>
    <t>https://github.com/mlcommons/training</t>
  </si>
  <si>
    <t>mlflow/mlflow</t>
  </si>
  <si>
    <t>https://github.com/mlflow/mlflow</t>
  </si>
  <si>
    <t>mlsecproject/combine</t>
  </si>
  <si>
    <t>https://github.com/mlsecproject/combine</t>
  </si>
  <si>
    <t>mobier/shadowsocksr-speed</t>
  </si>
  <si>
    <t>https://github.com/mobier/shadowsocksr-speed</t>
  </si>
  <si>
    <t>MobSF/Mobile-Security-Framework-MobSF</t>
  </si>
  <si>
    <t>https://github.com/MobSF/Mobile-Security-Framework-MobSF</t>
  </si>
  <si>
    <t>mobvoi/wenet</t>
  </si>
  <si>
    <t>https://github.com/mobvoi/wenet</t>
  </si>
  <si>
    <t>modin-project/modin</t>
  </si>
  <si>
    <t>https://github.com/modin-project/modin</t>
  </si>
  <si>
    <t>modoboa/modoboa</t>
  </si>
  <si>
    <t>https://github.com/modoboa/modoboa</t>
  </si>
  <si>
    <t>ISC License</t>
  </si>
  <si>
    <t>molecularsets/moses</t>
  </si>
  <si>
    <t>https://github.com/molecularsets/moses</t>
  </si>
  <si>
    <t>momosecurity/aswan</t>
  </si>
  <si>
    <t>https://github.com/momosecurity/aswan</t>
  </si>
  <si>
    <t>GNU Lesser General Public License v2.1</t>
  </si>
  <si>
    <t>mouse-reeve/bookwyrm</t>
  </si>
  <si>
    <t>https://github.com/mouse-reeve/bookwyrm</t>
  </si>
  <si>
    <t>mozilla-services/socorro</t>
  </si>
  <si>
    <t>https://github.com/mozilla-services/socorro</t>
  </si>
  <si>
    <t>mozilla-services/syncserver</t>
  </si>
  <si>
    <t>https://github.com/mozilla-services/syncserver</t>
  </si>
  <si>
    <t>mozilla/addons-server</t>
  </si>
  <si>
    <t>https://github.com/mozilla/addons-server</t>
  </si>
  <si>
    <t>mozilla/bugbug</t>
  </si>
  <si>
    <t>https://github.com/mozilla/bugbug</t>
  </si>
  <si>
    <t>mozilla/dxr</t>
  </si>
  <si>
    <t>https://github.com/mozilla/dxr</t>
  </si>
  <si>
    <t>mozilla/http-observatory</t>
  </si>
  <si>
    <t>https://github.com/mozilla/http-observatory</t>
  </si>
  <si>
    <t>mozilla/ichnaea</t>
  </si>
  <si>
    <t>https://github.com/mozilla/ichnaea</t>
  </si>
  <si>
    <t>mozilla/kitsune</t>
  </si>
  <si>
    <t>https://github.com/mozilla/kitsune</t>
  </si>
  <si>
    <t>mozilla/MozDef</t>
  </si>
  <si>
    <t>https://github.com/mozilla/MozDef</t>
  </si>
  <si>
    <t>mozilla/OpenWPM</t>
  </si>
  <si>
    <t>https://github.com/mozilla/OpenWPM</t>
  </si>
  <si>
    <t>mozilla/zamboni</t>
  </si>
  <si>
    <t>https://github.com/mozilla/zamboni</t>
  </si>
  <si>
    <t>MozillaSecurity/dharma</t>
  </si>
  <si>
    <t>https://github.com/MozillaSecurity/dharma</t>
  </si>
  <si>
    <t>mps-youtube/mps-youtube</t>
  </si>
  <si>
    <t>https://github.com/mps-youtube/mps-youtube</t>
  </si>
  <si>
    <t>mtianyan/VueDjangoAntdProBookShop</t>
  </si>
  <si>
    <t>https://github.com/mtianyan/VueDjangoAntdProBookShop</t>
  </si>
  <si>
    <t>mukulhase/WebWhatsapp-Wrapper</t>
  </si>
  <si>
    <t>https://github.com/mukulhase/WebWhatsapp-Wrapper</t>
  </si>
  <si>
    <t>MultiAgentLearning/playground</t>
  </si>
  <si>
    <t>https://github.com/MultiAgentLearning/playground</t>
  </si>
  <si>
    <t>mushorg/conpot</t>
  </si>
  <si>
    <t>https://github.com/mushorg/conpot</t>
  </si>
  <si>
    <t>mushorg/glastopf</t>
  </si>
  <si>
    <t>https://github.com/mushorg/glastopf</t>
  </si>
  <si>
    <t>mvantellingen/localshop</t>
  </si>
  <si>
    <t>https://github.com/mvantellingen/localshop</t>
  </si>
  <si>
    <t>mwarkentin/django-watchman</t>
  </si>
  <si>
    <t>https://github.com/mwarkentin/django-watchman</t>
  </si>
  <si>
    <t>mwielgoszewski/doorman</t>
  </si>
  <si>
    <t>https://github.com/mwielgoszewski/doorman</t>
  </si>
  <si>
    <t>MycroftAI/mycroft-core</t>
  </si>
  <si>
    <t>https://github.com/MycroftAI/mycroft-core</t>
  </si>
  <si>
    <t>Naategh/PyCk</t>
  </si>
  <si>
    <t>https://github.com/Naategh/PyCk</t>
  </si>
  <si>
    <t>nabla-c0d3/sslyze</t>
  </si>
  <si>
    <t>https://github.com/nabla-c0d3/sslyze</t>
  </si>
  <si>
    <t>namisan/mt-dnn</t>
  </si>
  <si>
    <t>https://github.com/namisan/mt-dnn</t>
  </si>
  <si>
    <t>Nandaka/PixivUtil2</t>
  </si>
  <si>
    <t>https://github.com/Nandaka/PixivUtil2</t>
  </si>
  <si>
    <t>napalm-automation/napalm</t>
  </si>
  <si>
    <t>https://github.com/napalm-automation/napalm</t>
  </si>
  <si>
    <t>napari/napari</t>
  </si>
  <si>
    <t>https://github.com/napari/napari</t>
  </si>
  <si>
    <t>Naresh1318/Topaz</t>
  </si>
  <si>
    <t>https://github.com/Naresh1318/Topaz</t>
  </si>
  <si>
    <t>natlas/natlas</t>
  </si>
  <si>
    <t>https://github.com/natlas/natlas</t>
  </si>
  <si>
    <t>nccgroup/ScoutSuite</t>
  </si>
  <si>
    <t>https://github.com/nccgroup/ScoutSuite</t>
  </si>
  <si>
    <t>nccgroup/Winpayloads</t>
  </si>
  <si>
    <t>https://github.com/nccgroup/Winpayloads</t>
  </si>
  <si>
    <t>Nekmo/amazon-dash</t>
  </si>
  <si>
    <t>https://github.com/Nekmo/amazon-dash</t>
  </si>
  <si>
    <t>neo4j/neo4j-python-driver</t>
  </si>
  <si>
    <t>https://github.com/neo4j/neo4j-python-driver</t>
  </si>
  <si>
    <t>nerdvegas/rez</t>
  </si>
  <si>
    <t>https://github.com/nerdvegas/rez</t>
  </si>
  <si>
    <t>NervanaSystems/neon</t>
  </si>
  <si>
    <t>https://github.com/NervanaSystems/neon</t>
  </si>
  <si>
    <t>NetEaseGame/git-webhook</t>
  </si>
  <si>
    <t>https://github.com/NetEaseGame/git-webhook</t>
  </si>
  <si>
    <t>Netflix-Skunkworks/aardvark</t>
  </si>
  <si>
    <t>https://github.com/Netflix-Skunkworks/aardvark</t>
  </si>
  <si>
    <t>Netflix-Skunkworks/stethoscope</t>
  </si>
  <si>
    <t>https://github.com/Netflix-Skunkworks/stethoscope</t>
  </si>
  <si>
    <t>Netflix/consoleme</t>
  </si>
  <si>
    <t>https://github.com/Netflix/consoleme</t>
  </si>
  <si>
    <t>Netflix/dispatch</t>
  </si>
  <si>
    <t>https://github.com/Netflix/dispatch</t>
  </si>
  <si>
    <t>Netflix/lemur</t>
  </si>
  <si>
    <t>https://github.com/Netflix/lemur</t>
  </si>
  <si>
    <t>Netflix/repokid</t>
  </si>
  <si>
    <t>https://github.com/Netflix/repokid</t>
  </si>
  <si>
    <t>Netflix/security_monkey</t>
  </si>
  <si>
    <t>https://github.com/Netflix/security_monkey</t>
  </si>
  <si>
    <t>Netflix/vmaf</t>
  </si>
  <si>
    <t>https://github.com/Netflix/vmaf</t>
  </si>
  <si>
    <t>netzob/netzob</t>
  </si>
  <si>
    <t>https://github.com/netzob/netzob</t>
  </si>
  <si>
    <t>NewFuture/DDNS</t>
  </si>
  <si>
    <t>https://github.com/NewFuture/DDNS</t>
  </si>
  <si>
    <t>nexB/scancode-toolkit</t>
  </si>
  <si>
    <t>https://github.com/nexB/scancode-toolkit</t>
  </si>
  <si>
    <t>Nextdoor/ndscheduler</t>
  </si>
  <si>
    <t>https://github.com/Nextdoor/ndscheduler</t>
  </si>
  <si>
    <t>nginx-proxy/nginx-proxy</t>
  </si>
  <si>
    <t>https://github.com/nginx-proxy/nginx-proxy</t>
  </si>
  <si>
    <t>ngoduykhanh/PowerDNS-Admin</t>
  </si>
  <si>
    <t>https://github.com/ngoduykhanh/PowerDNS-Admin</t>
  </si>
  <si>
    <t>nicolargo/glances</t>
  </si>
  <si>
    <t>https://github.com/nicolargo/glances</t>
  </si>
  <si>
    <t>nicolas-chaulet/torch-points3d</t>
  </si>
  <si>
    <t>https://github.com/nicolas-chaulet/torch-points3d</t>
  </si>
  <si>
    <t>nidhaloff/igel</t>
  </si>
  <si>
    <t>https://github.com/nidhaloff/igel</t>
  </si>
  <si>
    <t>nimia/public_drown_scanner</t>
  </si>
  <si>
    <t>https://github.com/nimia/public_drown_scanner</t>
  </si>
  <si>
    <t>nixawk/labs</t>
  </si>
  <si>
    <t>https://github.com/nixawk/labs</t>
  </si>
  <si>
    <t>nornir-automation/nornir</t>
  </si>
  <si>
    <t>https://github.com/nornir-automation/nornir</t>
  </si>
  <si>
    <t>nsacyber/WALKOFF</t>
  </si>
  <si>
    <t>https://github.com/nsacyber/WALKOFF</t>
  </si>
  <si>
    <t>nsidnev/fastapi-realworld-example-app</t>
  </si>
  <si>
    <t>https://github.com/nsidnev/fastapi-realworld-example-app</t>
  </si>
  <si>
    <t>numenta/nupic</t>
  </si>
  <si>
    <t>https://github.com/numenta/nupic</t>
  </si>
  <si>
    <t>nv-tlabs/GSCNN</t>
  </si>
  <si>
    <t>https://github.com/nv-tlabs/GSCNN</t>
  </si>
  <si>
    <t>NVIDIA/semantic-segmentation</t>
  </si>
  <si>
    <t>https://github.com/NVIDIA/semantic-segmentation</t>
  </si>
  <si>
    <t>NVIDIAGameWorks/kaolin</t>
  </si>
  <si>
    <t>https://github.com/NVIDIAGameWorks/kaolin</t>
  </si>
  <si>
    <t>NVlabs/NVAE</t>
  </si>
  <si>
    <t>https://github.com/NVlabs/NVAE</t>
  </si>
  <si>
    <t>NVlabs/stylegan2</t>
  </si>
  <si>
    <t>https://github.com/NVlabs/stylegan2</t>
  </si>
  <si>
    <t>NVlabs/stylegan2-ada</t>
  </si>
  <si>
    <t>https://github.com/NVlabs/stylegan2-ada</t>
  </si>
  <si>
    <t>nyaadevs/nyaa</t>
  </si>
  <si>
    <t>https://github.com/nyaadevs/nyaa</t>
  </si>
  <si>
    <t>oarriaga/face_classification</t>
  </si>
  <si>
    <t>https://github.com/oarriaga/face_classification</t>
  </si>
  <si>
    <t>obsidianforensics/unfurl</t>
  </si>
  <si>
    <t>https://github.com/obsidianforensics/unfurl</t>
  </si>
  <si>
    <t>obspy/obspy</t>
  </si>
  <si>
    <t>https://github.com/obspy/obspy</t>
  </si>
  <si>
    <t>oduwsdl/ipwb</t>
  </si>
  <si>
    <t>https://github.com/oduwsdl/ipwb</t>
  </si>
  <si>
    <t>ohld/igbot</t>
  </si>
  <si>
    <t>https://github.com/ohld/igbot</t>
  </si>
  <si>
    <t>okfn-brasil/serenata-de-amor</t>
  </si>
  <si>
    <t>https://github.com/okfn-brasil/serenata-de-amor</t>
  </si>
  <si>
    <t>okigan/awscurl</t>
  </si>
  <si>
    <t>https://github.com/okigan/awscurl</t>
  </si>
  <si>
    <t>open-mmlab/mmaction</t>
  </si>
  <si>
    <t>https://github.com/open-mmlab/mmaction</t>
  </si>
  <si>
    <t>open-mmlab/mmaction2</t>
  </si>
  <si>
    <t>https://github.com/open-mmlab/mmaction2</t>
  </si>
  <si>
    <t>open-mmlab/mmcv</t>
  </si>
  <si>
    <t>https://github.com/open-mmlab/mmcv</t>
  </si>
  <si>
    <t>open-mmlab/mmdetection</t>
  </si>
  <si>
    <t>https://github.com/open-mmlab/mmdetection</t>
  </si>
  <si>
    <t>open-mmlab/mmdetection3d</t>
  </si>
  <si>
    <t>https://github.com/open-mmlab/mmdetection3d</t>
  </si>
  <si>
    <t>open-mmlab/mmediting</t>
  </si>
  <si>
    <t>https://github.com/open-mmlab/mmediting</t>
  </si>
  <si>
    <t>open-mmlab/mmfashion</t>
  </si>
  <si>
    <t>https://github.com/open-mmlab/mmfashion</t>
  </si>
  <si>
    <t>open-mmlab/mmpose</t>
  </si>
  <si>
    <t>https://github.com/open-mmlab/mmpose</t>
  </si>
  <si>
    <t>open-mmlab/mmsegmentation</t>
  </si>
  <si>
    <t>https://github.com/open-mmlab/mmsegmentation</t>
  </si>
  <si>
    <t>open-telemetry/opentelemetry-python</t>
  </si>
  <si>
    <t>https://github.com/open-telemetry/opentelemetry-python</t>
  </si>
  <si>
    <t>openai/baselines</t>
  </si>
  <si>
    <t>https://github.com/openai/baselines</t>
  </si>
  <si>
    <t>openai/jukebox</t>
  </si>
  <si>
    <t>https://github.com/openai/jukebox</t>
  </si>
  <si>
    <t>openai/kubernetes-ec2-autoscaler</t>
  </si>
  <si>
    <t>https://github.com/openai/kubernetes-ec2-autoscaler</t>
  </si>
  <si>
    <t>openai/mlsh</t>
  </si>
  <si>
    <t>https://github.com/openai/mlsh</t>
  </si>
  <si>
    <t>openai/universe</t>
  </si>
  <si>
    <t>https://github.com/openai/universe</t>
  </si>
  <si>
    <t>openbmc/openbmc</t>
  </si>
  <si>
    <t>https://github.com/openbmc/openbmc</t>
  </si>
  <si>
    <t>OpenDroneMap/ODM</t>
  </si>
  <si>
    <t>https://github.com/OpenDroneMap/ODM</t>
  </si>
  <si>
    <t>OpenGeoscience/geonotebook</t>
  </si>
  <si>
    <t>https://github.com/OpenGeoscience/geonotebook</t>
  </si>
  <si>
    <t>OpenIDC/pyoidc</t>
  </si>
  <si>
    <t>https://github.com/OpenIDC/pyoidc</t>
  </si>
  <si>
    <t>OpenMined/PyGrid</t>
  </si>
  <si>
    <t>https://github.com/OpenMined/PyGrid</t>
  </si>
  <si>
    <t>openshift/openshift-ansible</t>
  </si>
  <si>
    <t>https://github.com/openshift/openshift-ansible</t>
  </si>
  <si>
    <t>openstack/cinder</t>
  </si>
  <si>
    <t>https://github.com/openstack/cinder</t>
  </si>
  <si>
    <t>openstack/swift</t>
  </si>
  <si>
    <t>https://github.com/openstack/swift</t>
  </si>
  <si>
    <t>openstates/openstates-scrapers</t>
  </si>
  <si>
    <t>https://github.com/openstates/openstates-scrapers</t>
  </si>
  <si>
    <t>OpnTec/open-event-server</t>
  </si>
  <si>
    <t>https://github.com/OpnTec/open-event-server</t>
  </si>
  <si>
    <t>opsdroid/opsdroid</t>
  </si>
  <si>
    <t>https://github.com/opsdroid/opsdroid</t>
  </si>
  <si>
    <t>optuna/optuna</t>
  </si>
  <si>
    <t>https://github.com/optuna/optuna</t>
  </si>
  <si>
    <t>orchest/orchest</t>
  </si>
  <si>
    <t>https://github.com/orchest/orchest</t>
  </si>
  <si>
    <t>osmr/imgclsmob</t>
  </si>
  <si>
    <t>https://github.com/osmr/imgclsmob</t>
  </si>
  <si>
    <t>OTRF/mordor</t>
  </si>
  <si>
    <t>https://github.com/OTRF/mordor</t>
  </si>
  <si>
    <t>OTRF/OSSEM</t>
  </si>
  <si>
    <t>https://github.com/OTRF/OSSEM</t>
  </si>
  <si>
    <t>ottogroup/palladium</t>
  </si>
  <si>
    <t>https://github.com/ottogroup/palladium</t>
  </si>
  <si>
    <t>outflanknl/RedELK</t>
  </si>
  <si>
    <t>https://github.com/outflanknl/RedELK</t>
  </si>
  <si>
    <t>overhangio/tutor</t>
  </si>
  <si>
    <t>https://github.com/overhangio/tutor</t>
  </si>
  <si>
    <t>OWASP/Nettacker</t>
  </si>
  <si>
    <t>https://github.com/OWASP/Nettacker</t>
  </si>
  <si>
    <t>owtf/owtf</t>
  </si>
  <si>
    <t>https://github.com/owtf/owtf</t>
  </si>
  <si>
    <t>oxwhirl/pymarl</t>
  </si>
  <si>
    <t>https://github.com/oxwhirl/pymarl</t>
  </si>
  <si>
    <t>ozhiwei/SmartProxyPool</t>
  </si>
  <si>
    <t>https://github.com/ozhiwei/SmartProxyPool</t>
  </si>
  <si>
    <t>P0cL4bs/wifipumpkin3</t>
  </si>
  <si>
    <t>https://github.com/P0cL4bs/wifipumpkin3</t>
  </si>
  <si>
    <t>p1r06u3/opencanary_web</t>
  </si>
  <si>
    <t>https://github.com/p1r06u3/opencanary_web</t>
  </si>
  <si>
    <t>pact-foundation/pact-python</t>
  </si>
  <si>
    <t>https://github.com/pact-foundation/pact-python</t>
  </si>
  <si>
    <t>PaddlePaddle/Paddle</t>
  </si>
  <si>
    <t>https://github.com/PaddlePaddle/Paddle</t>
  </si>
  <si>
    <t>PaddlePaddle/PaddleOCR</t>
  </si>
  <si>
    <t>https://github.com/PaddlePaddle/PaddleOCR</t>
  </si>
  <si>
    <t>PaddlePaddle/PaddleSeg</t>
  </si>
  <si>
    <t>https://github.com/PaddlePaddle/PaddleSeg</t>
  </si>
  <si>
    <t>PaddlePaddle/PARL</t>
  </si>
  <si>
    <t>https://github.com/PaddlePaddle/PARL</t>
  </si>
  <si>
    <t>pageauc/speed-camera</t>
  </si>
  <si>
    <t>https://github.com/pageauc/speed-camera</t>
  </si>
  <si>
    <t>pahaz/sshtunnel</t>
  </si>
  <si>
    <t>https://github.com/pahaz/sshtunnel</t>
  </si>
  <si>
    <t>pandas-dev/pandas</t>
  </si>
  <si>
    <t>https://github.com/pandas-dev/pandas</t>
  </si>
  <si>
    <t>pantsbuild/pants</t>
  </si>
  <si>
    <t>https://github.com/pantsbuild/pants</t>
  </si>
  <si>
    <t>pantsbuild/pex</t>
  </si>
  <si>
    <t>https://github.com/pantsbuild/pex</t>
  </si>
  <si>
    <t>paulpierre/informer</t>
  </si>
  <si>
    <t>https://github.com/paulpierre/informer</t>
  </si>
  <si>
    <t>paver/paver</t>
  </si>
  <si>
    <t>https://github.com/paver/paver</t>
  </si>
  <si>
    <t>pdm-project/pdm</t>
  </si>
  <si>
    <t>https://github.com/pdm-project/pdm</t>
  </si>
  <si>
    <t>PeizeSun/OneNet</t>
  </si>
  <si>
    <t>https://github.com/PeizeSun/OneNet</t>
  </si>
  <si>
    <t>PeizeSun/SparseR-CNN</t>
  </si>
  <si>
    <t>https://github.com/PeizeSun/SparseR-CNN</t>
  </si>
  <si>
    <t>pimutils/vdirsyncer</t>
  </si>
  <si>
    <t>https://github.com/pimutils/vdirsyncer</t>
  </si>
  <si>
    <t>pinry/pinry</t>
  </si>
  <si>
    <t>https://github.com/pinry/pinry</t>
  </si>
  <si>
    <t>pixie-labs/pixie</t>
  </si>
  <si>
    <t>https://github.com/pixie-labs/pixie</t>
  </si>
  <si>
    <t>pjialin/py12306</t>
  </si>
  <si>
    <t>https://github.com/pjialin/py12306</t>
  </si>
  <si>
    <t>PKUbahuangliuhe/CBNet</t>
  </si>
  <si>
    <t>https://github.com/PKUbahuangliuhe/CBNet</t>
  </si>
  <si>
    <t>plajjan/vrnetlab</t>
  </si>
  <si>
    <t>https://github.com/plajjan/vrnetlab</t>
  </si>
  <si>
    <t>plotly/dash-docs</t>
  </si>
  <si>
    <t>https://github.com/plotly/dash-docs</t>
  </si>
  <si>
    <t>pogodevorg/pgoapi</t>
  </si>
  <si>
    <t>https://github.com/pogodevorg/pgoapi</t>
  </si>
  <si>
    <t>PokemonGoF/PokemonGo-Bot</t>
  </si>
  <si>
    <t>https://github.com/PokemonGoF/PokemonGo-Bot</t>
  </si>
  <si>
    <t>polakowo/vectorbt</t>
  </si>
  <si>
    <t>https://github.com/polakowo/vectorbt</t>
  </si>
  <si>
    <t>poljar/weechat-matrix</t>
  </si>
  <si>
    <t>https://github.com/poljar/weechat-matrix</t>
  </si>
  <si>
    <t>polyaxon/polyaxon</t>
  </si>
  <si>
    <t>https://github.com/polyaxon/polyaxon</t>
  </si>
  <si>
    <t>polygamma/aurman</t>
  </si>
  <si>
    <t>https://github.com/polygamma/aurman</t>
  </si>
  <si>
    <t>posativ/isso</t>
  </si>
  <si>
    <t>https://github.com/posativ/isso</t>
  </si>
  <si>
    <t>postgres/pgadmin4</t>
  </si>
  <si>
    <t>https://github.com/postgres/pgadmin4</t>
  </si>
  <si>
    <t>PostHog/posthog</t>
  </si>
  <si>
    <t>https://github.com/PostHog/posthog</t>
  </si>
  <si>
    <t>powerfulseal/powerfulseal</t>
  </si>
  <si>
    <t>https://github.com/powerfulseal/powerfulseal</t>
  </si>
  <si>
    <t>pprp/SimpleCVReproduction</t>
  </si>
  <si>
    <t>https://github.com/pprp/SimpleCVReproduction</t>
  </si>
  <si>
    <t>praekeltfoundation/vumi</t>
  </si>
  <si>
    <t>https://github.com/praekeltfoundation/vumi</t>
  </si>
  <si>
    <t>praveendath92/fitbit-googlefit</t>
  </si>
  <si>
    <t>https://github.com/praveendath92/fitbit-googlefit</t>
  </si>
  <si>
    <t>pre-commit/pre-commit</t>
  </si>
  <si>
    <t>https://github.com/pre-commit/pre-commit</t>
  </si>
  <si>
    <t>PrefectHQ/prefect</t>
  </si>
  <si>
    <t>https://github.com/PrefectHQ/prefect</t>
  </si>
  <si>
    <t>pretix/pretix</t>
  </si>
  <si>
    <t>https://github.com/pretix/pretix</t>
  </si>
  <si>
    <t>pricingassistant/mrq</t>
  </si>
  <si>
    <t>https://github.com/pricingassistant/mrq</t>
  </si>
  <si>
    <t>pritunl/pritunl</t>
  </si>
  <si>
    <t>https://github.com/pritunl/pritunl</t>
  </si>
  <si>
    <t>programa-stic/barf-project</t>
  </si>
  <si>
    <t>https://github.com/programa-stic/barf-project</t>
  </si>
  <si>
    <t>Project-MONAI/MONAI</t>
  </si>
  <si>
    <t>https://github.com/Project-MONAI/MONAI</t>
  </si>
  <si>
    <t>psf/black</t>
  </si>
  <si>
    <t>https://github.com/psf/black</t>
  </si>
  <si>
    <t>psincraian/pepy</t>
  </si>
  <si>
    <t>https://github.com/psincraian/pepy</t>
  </si>
  <si>
    <t>ptpb/pb</t>
  </si>
  <si>
    <t>https://github.com/ptpb/pb</t>
  </si>
  <si>
    <t>pulp/pulp</t>
  </si>
  <si>
    <t>https://github.com/pulp/pulp</t>
  </si>
  <si>
    <t>PUNCH-Cyber/stoq</t>
  </si>
  <si>
    <t>https://github.com/PUNCH-Cyber/stoq</t>
  </si>
  <si>
    <t>pwnlandia/mhn</t>
  </si>
  <si>
    <t>https://github.com/pwnlandia/mhn</t>
  </si>
  <si>
    <t>pycook/cmdb</t>
  </si>
  <si>
    <t>https://github.com/pycook/cmdb</t>
  </si>
  <si>
    <t>PyCQA/isort</t>
  </si>
  <si>
    <t>https://github.com/PyCQA/isort</t>
  </si>
  <si>
    <t>PyCQA/prospector</t>
  </si>
  <si>
    <t>https://github.com/PyCQA/prospector</t>
  </si>
  <si>
    <t>PyCQA/pylint</t>
  </si>
  <si>
    <t>https://github.com/PyCQA/pylint</t>
  </si>
  <si>
    <t>pydanny/cookiecutter-django</t>
  </si>
  <si>
    <t>https://github.com/pydanny/cookiecutter-django</t>
  </si>
  <si>
    <t>pyinstaller/pyinstaller</t>
  </si>
  <si>
    <t>https://github.com/pyinstaller/pyinstaller</t>
  </si>
  <si>
    <t>pykaldi/pykaldi</t>
  </si>
  <si>
    <t>https://github.com/pykaldi/pykaldi</t>
  </si>
  <si>
    <t>pyload/pyload</t>
  </si>
  <si>
    <t>https://github.com/pyload/pyload</t>
  </si>
  <si>
    <t>pymc-devs/pymc3</t>
  </si>
  <si>
    <t>https://github.com/pymc-devs/pymc3</t>
  </si>
  <si>
    <t>pymedusa/Medusa</t>
  </si>
  <si>
    <t>https://github.com/pymedusa/Medusa</t>
  </si>
  <si>
    <t>pymssql/pymssql</t>
  </si>
  <si>
    <t>https://github.com/pymssql/pymssql</t>
  </si>
  <si>
    <t>pyouroboros/ouroboros</t>
  </si>
  <si>
    <t>https://github.com/pyouroboros/ouroboros</t>
  </si>
  <si>
    <t>pypa/warehouse</t>
  </si>
  <si>
    <t>https://github.com/pypa/warehouse</t>
  </si>
  <si>
    <t>pypiserver/pypiserver</t>
  </si>
  <si>
    <t>https://github.com/pypiserver/pypiserver</t>
  </si>
  <si>
    <t>pyro-ppl/pyro</t>
  </si>
  <si>
    <t>https://github.com/pyro-ppl/pyro</t>
  </si>
  <si>
    <t>pytest-dev/pytest-testinfra</t>
  </si>
  <si>
    <t>https://github.com/pytest-dev/pytest-testinfra</t>
  </si>
  <si>
    <t>python-discord/bot</t>
  </si>
  <si>
    <t>https://github.com/python-discord/bot</t>
  </si>
  <si>
    <t>python-discord/site</t>
  </si>
  <si>
    <t>https://github.com/python-discord/site</t>
  </si>
  <si>
    <t>python-social-auth/social-app-django</t>
  </si>
  <si>
    <t>https://github.com/python-social-auth/social-app-django</t>
  </si>
  <si>
    <t>python-social-auth/social-core</t>
  </si>
  <si>
    <t>https://github.com/python-social-auth/social-core</t>
  </si>
  <si>
    <t>python-streamz/streamz</t>
  </si>
  <si>
    <t>https://github.com/python-streamz/streamz</t>
  </si>
  <si>
    <t>Python3WebSpider/ProxyPool</t>
  </si>
  <si>
    <t>https://github.com/Python3WebSpider/ProxyPool</t>
  </si>
  <si>
    <t>pythonstock/stock</t>
  </si>
  <si>
    <t>https://github.com/pythonstock/stock</t>
  </si>
  <si>
    <t>pytorch/audio</t>
  </si>
  <si>
    <t>https://github.com/pytorch/audio</t>
  </si>
  <si>
    <t>pytorch/elastic</t>
  </si>
  <si>
    <t>https://github.com/pytorch/elastic</t>
  </si>
  <si>
    <t>pytorch/text</t>
  </si>
  <si>
    <t>https://github.com/pytorch/text</t>
  </si>
  <si>
    <t>pytorch/translate</t>
  </si>
  <si>
    <t>https://github.com/pytorch/translate</t>
  </si>
  <si>
    <t>PyTorchLightning/pytorch-lightning</t>
  </si>
  <si>
    <t>https://github.com/PyTorchLightning/pytorch-lightning</t>
  </si>
  <si>
    <t>pyvista/pyvista</t>
  </si>
  <si>
    <t>https://github.com/pyvista/pyvista</t>
  </si>
  <si>
    <t>qilingframework/qiling</t>
  </si>
  <si>
    <t>https://github.com/qilingframework/qiling</t>
  </si>
  <si>
    <t>QingdaoU/OnlineJudge</t>
  </si>
  <si>
    <t>https://github.com/QingdaoU/OnlineJudge</t>
  </si>
  <si>
    <t>QUANTAXIS/QUANTAXIS</t>
  </si>
  <si>
    <t>https://github.com/QUANTAXIS/QUANTAXIS</t>
  </si>
  <si>
    <t>quantopian/zipline</t>
  </si>
  <si>
    <t>https://github.com/quantopian/zipline</t>
  </si>
  <si>
    <t>quantumlib/Cirq</t>
  </si>
  <si>
    <t>https://github.com/quantumlib/Cirq</t>
  </si>
  <si>
    <t>quantumlib/OpenFermion</t>
  </si>
  <si>
    <t>https://github.com/quantumlib/OpenFermion</t>
  </si>
  <si>
    <t>quark-engine/quark-engine</t>
  </si>
  <si>
    <t>https://github.com/quark-engine/quark-engine</t>
  </si>
  <si>
    <t>quay/quay</t>
  </si>
  <si>
    <t>https://github.com/quay/quay</t>
  </si>
  <si>
    <t>quentinhardy/odat</t>
  </si>
  <si>
    <t>https://github.com/quentinhardy/odat</t>
  </si>
  <si>
    <t>quic/aimet</t>
  </si>
  <si>
    <t>https://github.com/quic/aimet</t>
  </si>
  <si>
    <t>quodlibet/quodlibet</t>
  </si>
  <si>
    <t>https://github.com/quodlibet/quodlibet</t>
  </si>
  <si>
    <t>quokkaproject/quokka</t>
  </si>
  <si>
    <t>https://github.com/quokkaproject/quokka</t>
  </si>
  <si>
    <t>qzq1111/flask-restful-example</t>
  </si>
  <si>
    <t>https://github.com/qzq1111/flask-restful-example</t>
  </si>
  <si>
    <t>RackHD/RackHD</t>
  </si>
  <si>
    <t>https://github.com/RackHD/RackHD</t>
  </si>
  <si>
    <t>rafalp/Misago</t>
  </si>
  <si>
    <t>https://github.com/rafalp/Misago</t>
  </si>
  <si>
    <t>raiden-network/raiden</t>
  </si>
  <si>
    <t>https://github.com/raiden-network/raiden</t>
  </si>
  <si>
    <t>RameenAbdal/StyleFlow</t>
  </si>
  <si>
    <t>https://github.com/RameenAbdal/StyleFlow</t>
  </si>
  <si>
    <t>ranger/ranger</t>
  </si>
  <si>
    <t>https://github.com/ranger/ranger</t>
  </si>
  <si>
    <t>RasaHQ/rasa</t>
  </si>
  <si>
    <t>https://github.com/RasaHQ/rasa</t>
  </si>
  <si>
    <t>RasaHQ/rasa_core</t>
  </si>
  <si>
    <t>https://github.com/RasaHQ/rasa_core</t>
  </si>
  <si>
    <t>RasaHQ/rasa-demo</t>
  </si>
  <si>
    <t>https://github.com/RasaHQ/rasa-demo</t>
  </si>
  <si>
    <t>raveberry/raveberry</t>
  </si>
  <si>
    <t>https://github.com/raveberry/raveberry</t>
  </si>
  <si>
    <t>ray-project/ray</t>
  </si>
  <si>
    <t>https://github.com/ray-project/ray</t>
  </si>
  <si>
    <t>readthedocs/readthedocs.org</t>
  </si>
  <si>
    <t>https://github.com/readthedocs/readthedocs.org</t>
  </si>
  <si>
    <t>realgam3/pymultitor</t>
  </si>
  <si>
    <t>https://github.com/realgam3/pymultitor</t>
  </si>
  <si>
    <t>reddit/baseplate.py</t>
  </si>
  <si>
    <t>https://github.com/reddit/baseplate.py</t>
  </si>
  <si>
    <t>ReFirmLabs/binwalk</t>
  </si>
  <si>
    <t>https://github.com/ReFirmLabs/binwalk</t>
  </si>
  <si>
    <t>reviewboard/reviewboard</t>
  </si>
  <si>
    <t>https://github.com/reviewboard/reviewboard</t>
  </si>
  <si>
    <t>RhinoSecurityLabs/pacu</t>
  </si>
  <si>
    <t>https://github.com/RhinoSecurityLabs/pacu</t>
  </si>
  <si>
    <t>rhinstaller/anaconda</t>
  </si>
  <si>
    <t>https://github.com/rhinstaller/anaconda</t>
  </si>
  <si>
    <t>Rhizome-Conifer/conifer</t>
  </si>
  <si>
    <t>https://github.com/Rhizome-Conifer/conifer</t>
  </si>
  <si>
    <t>Rhynorater/CVE-2018-15473-Exploit</t>
  </si>
  <si>
    <t>https://github.com/Rhynorater/CVE-2018-15473-Exploit</t>
  </si>
  <si>
    <t>richardaecn/class-balanced-loss</t>
  </si>
  <si>
    <t>https://github.com/richardaecn/class-balanced-loss</t>
  </si>
  <si>
    <t>rigetti/pyquil</t>
  </si>
  <si>
    <t>https://github.com/rigetti/pyquil</t>
  </si>
  <si>
    <t>RiotGames/cloud-inquisitor</t>
  </si>
  <si>
    <t>https://github.com/RiotGames/cloud-inquisitor</t>
  </si>
  <si>
    <t>rll/rllab</t>
  </si>
  <si>
    <t>https://github.com/rll/rllab</t>
  </si>
  <si>
    <t>rmax/scrapy-redis</t>
  </si>
  <si>
    <t>https://github.com/rmax/scrapy-redis</t>
  </si>
  <si>
    <t>rmountjoy92/DashMachine</t>
  </si>
  <si>
    <t>https://github.com/rmountjoy92/DashMachine</t>
  </si>
  <si>
    <t>robinhood/faust</t>
  </si>
  <si>
    <t>https://github.com/robinhood/faust</t>
  </si>
  <si>
    <t>rochacbruno/dynaconf</t>
  </si>
  <si>
    <t>https://github.com/rochacbruno/dynaconf</t>
  </si>
  <si>
    <t>RocketMap/RocketMap</t>
  </si>
  <si>
    <t>https://github.com/RocketMap/RocketMap</t>
  </si>
  <si>
    <t>ronghanghu/seg_every_thing</t>
  </si>
  <si>
    <t>https://github.com/ronghanghu/seg_every_thing</t>
  </si>
  <si>
    <t>ronreiter/interactive-tutorials</t>
  </si>
  <si>
    <t>https://github.com/ronreiter/interactive-tutorials</t>
  </si>
  <si>
    <t>ropnop/impacket_static_binaries</t>
  </si>
  <si>
    <t>https://github.com/ropnop/impacket_static_binaries</t>
  </si>
  <si>
    <t>rotki/rotki</t>
  </si>
  <si>
    <t>https://github.com/rotki/rotki</t>
  </si>
  <si>
    <t>rq/rq</t>
  </si>
  <si>
    <t>https://github.com/rq/rq</t>
  </si>
  <si>
    <t>rsms/inter</t>
  </si>
  <si>
    <t>https://github.com/rsms/inter</t>
  </si>
  <si>
    <t>rsmusllp/king-phisher</t>
  </si>
  <si>
    <t>https://github.com/rsmusllp/king-phisher</t>
  </si>
  <si>
    <t>ruddra/docker-django</t>
  </si>
  <si>
    <t>https://github.com/ruddra/docker-django</t>
  </si>
  <si>
    <t>rushter/MLAlgorithms</t>
  </si>
  <si>
    <t>https://github.com/rushter/MLAlgorithms</t>
  </si>
  <si>
    <t>rusty1s/pytorch_geometric</t>
  </si>
  <si>
    <t>https://github.com/rusty1s/pytorch_geometric</t>
  </si>
  <si>
    <t>Rydgel/Fake-images-please</t>
  </si>
  <si>
    <t>https://github.com/Rydgel/Fake-images-please</t>
  </si>
  <si>
    <t>s3ql/s3ql</t>
  </si>
  <si>
    <t>https://github.com/s3ql/s3ql</t>
  </si>
  <si>
    <t>sa7mon/S3Scanner</t>
  </si>
  <si>
    <t>https://github.com/sa7mon/S3Scanner</t>
  </si>
  <si>
    <t>sabri-zaki/EasY_HaCk</t>
  </si>
  <si>
    <t>https://github.com/sabri-zaki/EasY_HaCk</t>
  </si>
  <si>
    <t>sagemath/sage</t>
  </si>
  <si>
    <t>https://github.com/sagemath/sage</t>
  </si>
  <si>
    <t>sahana/eden</t>
  </si>
  <si>
    <t>https://github.com/sahana/eden</t>
  </si>
  <si>
    <t>salesforce/cove</t>
  </si>
  <si>
    <t>https://github.com/salesforce/cove</t>
  </si>
  <si>
    <t>salesforce/hassh</t>
  </si>
  <si>
    <t>https://github.com/salesforce/hassh</t>
  </si>
  <si>
    <t>salesforce/policy_sentry</t>
  </si>
  <si>
    <t>https://github.com/salesforce/policy_sentry</t>
  </si>
  <si>
    <t>saltstack/salt</t>
  </si>
  <si>
    <t>https://github.com/saltstack/salt</t>
  </si>
  <si>
    <t>samre12/deep-trading-agent</t>
  </si>
  <si>
    <t>https://github.com/samre12/deep-trading-agent</t>
  </si>
  <si>
    <t>SamSchott/maestral</t>
  </si>
  <si>
    <t>https://github.com/SamSchott/maestral</t>
  </si>
  <si>
    <t>sanic-org/sanic</t>
  </si>
  <si>
    <t>https://github.com/sanic-org/sanic</t>
  </si>
  <si>
    <t>SathyaBhat/spotify-dl</t>
  </si>
  <si>
    <t>https://github.com/SathyaBhat/spotify-dl</t>
  </si>
  <si>
    <t>saulpw/visidata</t>
  </si>
  <si>
    <t>https://github.com/saulpw/visidata</t>
  </si>
  <si>
    <t>sbaresearch/simcoin</t>
  </si>
  <si>
    <t>https://github.com/sbaresearch/simcoin</t>
  </si>
  <si>
    <t>scalingexcellence/scrapybook</t>
  </si>
  <si>
    <t>https://github.com/scalingexcellence/scrapybook</t>
  </si>
  <si>
    <t>scanapi/scanapi</t>
  </si>
  <si>
    <t>https://github.com/scanapi/scanapi</t>
  </si>
  <si>
    <t>Sceptre/sceptre</t>
  </si>
  <si>
    <t>https://github.com/Sceptre/sceptre</t>
  </si>
  <si>
    <t>schemathesis/schemathesis</t>
  </si>
  <si>
    <t>https://github.com/schemathesis/schemathesis</t>
  </si>
  <si>
    <t>schutzwerk/CANalyzat0r</t>
  </si>
  <si>
    <t>https://github.com/schutzwerk/CANalyzat0r</t>
  </si>
  <si>
    <t>scikit-multiflow/scikit-multiflow</t>
  </si>
  <si>
    <t>https://github.com/scikit-multiflow/scikit-multiflow</t>
  </si>
  <si>
    <t>scipy/scipy</t>
  </si>
  <si>
    <t>https://github.com/scipy/scipy</t>
  </si>
  <si>
    <t>scragg0x/realms-wiki</t>
  </si>
  <si>
    <t>https://github.com/scragg0x/realms-wiki</t>
  </si>
  <si>
    <t>scrapinghub/frontera</t>
  </si>
  <si>
    <t>https://github.com/scrapinghub/frontera</t>
  </si>
  <si>
    <t>scrapinghub/portia</t>
  </si>
  <si>
    <t>https://github.com/scrapinghub/portia</t>
  </si>
  <si>
    <t>scrapinghub/scrapyrt</t>
  </si>
  <si>
    <t>https://github.com/scrapinghub/scrapyrt</t>
  </si>
  <si>
    <t>SeanNaren/deepspeech.pytorch</t>
  </si>
  <si>
    <t>https://github.com/SeanNaren/deepspeech.pytorch</t>
  </si>
  <si>
    <t>searx/searx</t>
  </si>
  <si>
    <t>https://github.com/searx/searx</t>
  </si>
  <si>
    <t>secrary/SSMA</t>
  </si>
  <si>
    <t>https://github.com/secrary/SSMA</t>
  </si>
  <si>
    <t>SecureAuthCorp/impacket</t>
  </si>
  <si>
    <t>https://github.com/SecureAuthCorp/impacket</t>
  </si>
  <si>
    <t>secureworks/dcept</t>
  </si>
  <si>
    <t>https://github.com/secureworks/dcept</t>
  </si>
  <si>
    <t>securing/DumpsterDiver</t>
  </si>
  <si>
    <t>https://github.com/securing/DumpsterDiver</t>
  </si>
  <si>
    <t>Segfault-Inc/Multicorn</t>
  </si>
  <si>
    <t>https://github.com/Segfault-Inc/Multicorn</t>
  </si>
  <si>
    <t>PostgreSQL License</t>
  </si>
  <si>
    <t>seleniumbase/SeleniumBase</t>
  </si>
  <si>
    <t>https://github.com/seleniumbase/SeleniumBase</t>
  </si>
  <si>
    <t>Sense-X/TSD</t>
  </si>
  <si>
    <t>https://github.com/Sense-X/TSD</t>
  </si>
  <si>
    <t>sfzhang15/ATSS</t>
  </si>
  <si>
    <t>https://github.com/sfzhang15/ATSS</t>
  </si>
  <si>
    <t>sgratzl/slack-cleaner</t>
  </si>
  <si>
    <t>https://github.com/sgratzl/slack-cleaner</t>
  </si>
  <si>
    <t>shadowmoose/RedditDownloader</t>
  </si>
  <si>
    <t>https://github.com/shadowmoose/RedditDownloader</t>
  </si>
  <si>
    <t>ShangtongZhang/DeepRL</t>
  </si>
  <si>
    <t>https://github.com/ShangtongZhang/DeepRL</t>
  </si>
  <si>
    <t>SharpAI/DeepCamera</t>
  </si>
  <si>
    <t>https://github.com/SharpAI/DeepCamera</t>
  </si>
  <si>
    <t>shenril/Sitadel</t>
  </si>
  <si>
    <t>https://github.com/shenril/Sitadel</t>
  </si>
  <si>
    <t>shibing624/pycorrector</t>
  </si>
  <si>
    <t>https://github.com/shibing624/pycorrector</t>
  </si>
  <si>
    <t>shirosaidev/stocksight</t>
  </si>
  <si>
    <t>https://github.com/shirosaidev/stocksight</t>
  </si>
  <si>
    <t>shmilylty/OneForAll</t>
  </si>
  <si>
    <t>https://github.com/shmilylty/OneForAll</t>
  </si>
  <si>
    <t>shuup/shuup</t>
  </si>
  <si>
    <t>https://github.com/shuup/shuup</t>
  </si>
  <si>
    <t>SickChill/SickChill</t>
  </si>
  <si>
    <t>https://github.com/SickChill/SickChill</t>
  </si>
  <si>
    <t>SiCKRAGE/SiCKRAGE</t>
  </si>
  <si>
    <t>https://github.com/SiCKRAGE/SiCKRAGE</t>
  </si>
  <si>
    <t>sightmachine/SimpleCV</t>
  </si>
  <si>
    <t>https://github.com/sightmachine/SimpleCV</t>
  </si>
  <si>
    <t>signalfx/maestro-ng</t>
  </si>
  <si>
    <t>https://github.com/signalfx/maestro-ng</t>
  </si>
  <si>
    <t>simple-login/app</t>
  </si>
  <si>
    <t>https://github.com/simple-login/app</t>
  </si>
  <si>
    <t>SimplySecurity/SimplyEmail</t>
  </si>
  <si>
    <t>https://github.com/SimplySecurity/SimplyEmail</t>
  </si>
  <si>
    <t>sirfz/tesserocr</t>
  </si>
  <si>
    <t>https://github.com/sirfz/tesserocr</t>
  </si>
  <si>
    <t>sissbruecker/linkding</t>
  </si>
  <si>
    <t>https://github.com/sissbruecker/linkding</t>
  </si>
  <si>
    <t>Sitoi/dailycheckin</t>
  </si>
  <si>
    <t>https://github.com/Sitoi/dailycheckin</t>
  </si>
  <si>
    <t>skoczen/will</t>
  </si>
  <si>
    <t>https://github.com/skoczen/will</t>
  </si>
  <si>
    <t>smicallef/spiderfoot</t>
  </si>
  <si>
    <t>https://github.com/smicallef/spiderfoot</t>
  </si>
  <si>
    <t>snakemake/snakemake</t>
  </si>
  <si>
    <t>https://github.com/snakemake/snakemake</t>
  </si>
  <si>
    <t>snapcore/snapcraft</t>
  </si>
  <si>
    <t>https://github.com/snapcore/snapcraft</t>
  </si>
  <si>
    <t>songcser/sanic-ms</t>
  </si>
  <si>
    <t>https://github.com/songcser/sanic-ms</t>
  </si>
  <si>
    <t>sony/nnabla</t>
  </si>
  <si>
    <t>https://github.com/sony/nnabla</t>
  </si>
  <si>
    <t>spaam/svtplay-dl</t>
  </si>
  <si>
    <t>https://github.com/spaam/svtplay-dl</t>
  </si>
  <si>
    <t>spack/spack</t>
  </si>
  <si>
    <t>https://github.com/spack/spack</t>
  </si>
  <si>
    <t>spesmilo/electrum</t>
  </si>
  <si>
    <t>https://github.com/spesmilo/electrum</t>
  </si>
  <si>
    <t>SpiderClub/haipproxy</t>
  </si>
  <si>
    <t>https://github.com/SpiderClub/haipproxy</t>
  </si>
  <si>
    <t>SpiderClub/weibospider</t>
  </si>
  <si>
    <t>https://github.com/SpiderClub/weibospider</t>
  </si>
  <si>
    <t>spiral-project/ihatemoney</t>
  </si>
  <si>
    <t>https://github.com/spiral-project/ihatemoney</t>
  </si>
  <si>
    <t>splunk/splunk-sdk-python</t>
  </si>
  <si>
    <t>https://github.com/splunk/splunk-sdk-python</t>
  </si>
  <si>
    <t>spotify/dh-virtualenv</t>
  </si>
  <si>
    <t>https://github.com/spotify/dh-virtualenv</t>
  </si>
  <si>
    <t>spotify/klio</t>
  </si>
  <si>
    <t>https://github.com/spotify/klio</t>
  </si>
  <si>
    <t>spotify/snakebite</t>
  </si>
  <si>
    <t>https://github.com/spotify/snakebite</t>
  </si>
  <si>
    <t>spulec/moto</t>
  </si>
  <si>
    <t>https://github.com/spulec/moto</t>
  </si>
  <si>
    <t>sql-machine-learning/elasticdl</t>
  </si>
  <si>
    <t>https://github.com/sql-machine-learning/elasticdl</t>
  </si>
  <si>
    <t>Srinivas11789/PcapXray</t>
  </si>
  <si>
    <t>https://github.com/Srinivas11789/PcapXray</t>
  </si>
  <si>
    <t>st4lk/django-rest-social-auth</t>
  </si>
  <si>
    <t>https://github.com/st4lk/django-rest-social-auth</t>
  </si>
  <si>
    <t>Staffjoy/suite</t>
  </si>
  <si>
    <t>https://github.com/Staffjoy/suite</t>
  </si>
  <si>
    <t>stellargraph/stellargraph</t>
  </si>
  <si>
    <t>https://github.com/stellargraph/stellargraph</t>
  </si>
  <si>
    <t>stevenleeg/geemusic</t>
  </si>
  <si>
    <t>https://github.com/stevenleeg/geemusic</t>
  </si>
  <si>
    <t>streamlit/streamlit</t>
  </si>
  <si>
    <t>https://github.com/streamlit/streamlit</t>
  </si>
  <si>
    <t>striver-ing/wechat-spider</t>
  </si>
  <si>
    <t>https://github.com/striver-ing/wechat-spider</t>
  </si>
  <si>
    <t>studioml/studio</t>
  </si>
  <si>
    <t>https://github.com/studioml/studio</t>
  </si>
  <si>
    <t>superdesk/superdesk</t>
  </si>
  <si>
    <t>https://github.com/superdesk/superdesk</t>
  </si>
  <si>
    <t>svanoort/pyresttest</t>
  </si>
  <si>
    <t>https://github.com/svanoort/pyresttest</t>
  </si>
  <si>
    <t>swisskyrepo/SSRFmap</t>
  </si>
  <si>
    <t>https://github.com/swisskyrepo/SSRFmap</t>
  </si>
  <si>
    <t>SymbiFlow/prjxray</t>
  </si>
  <si>
    <t>https://github.com/SymbiFlow/prjxray</t>
  </si>
  <si>
    <t>sympy/sympy</t>
  </si>
  <si>
    <t>https://github.com/sympy/sympy</t>
  </si>
  <si>
    <t>sympy/sympy_gamma</t>
  </si>
  <si>
    <t>https://github.com/sympy/sympy_gamma</t>
  </si>
  <si>
    <t>tableau/TabPy</t>
  </si>
  <si>
    <t>https://github.com/tableau/TabPy</t>
  </si>
  <si>
    <t>tahoe-lafs/tahoe-lafs</t>
  </si>
  <si>
    <t>https://github.com/tahoe-lafs/tahoe-lafs</t>
  </si>
  <si>
    <t>taigaio/taiga-back</t>
  </si>
  <si>
    <t>https://github.com/taigaio/taiga-back</t>
  </si>
  <si>
    <t>tankywoo/simiki</t>
  </si>
  <si>
    <t>https://github.com/tankywoo/simiki</t>
  </si>
  <si>
    <t>taokong/FoveaBox</t>
  </si>
  <si>
    <t>https://github.com/taokong/FoveaBox</t>
  </si>
  <si>
    <t>target/strelka</t>
  </si>
  <si>
    <t>https://github.com/target/strelka</t>
  </si>
  <si>
    <t>TarrySingh/Artificial-Intelligence-Deep-Learning-Machine-Learning-Tutorials</t>
  </si>
  <si>
    <t>https://github.com/TarrySingh/Artificial-Intelligence-Deep-Learning-Machine-Learning-Tutorials</t>
  </si>
  <si>
    <t>tartiflette/tartiflette</t>
  </si>
  <si>
    <t>https://github.com/tartiflette/tartiflette</t>
  </si>
  <si>
    <t>taspinar/twitterscraper</t>
  </si>
  <si>
    <t>https://github.com/taspinar/twitterscraper</t>
  </si>
  <si>
    <t>Tautulli/Tautulli</t>
  </si>
  <si>
    <t>https://github.com/Tautulli/Tautulli</t>
  </si>
  <si>
    <t>taverntesting/tavern</t>
  </si>
  <si>
    <t>https://github.com/taverntesting/tavern</t>
  </si>
  <si>
    <t>tdryer/hangups</t>
  </si>
  <si>
    <t>https://github.com/tdryer/hangups</t>
  </si>
  <si>
    <t>Tecnativa/docker-socket-proxy</t>
  </si>
  <si>
    <t>https://github.com/Tecnativa/docker-socket-proxy</t>
  </si>
  <si>
    <t>tensorflow/data-validation</t>
  </si>
  <si>
    <t>https://github.com/tensorflow/data-validation</t>
  </si>
  <si>
    <t>tensorflow/federated</t>
  </si>
  <si>
    <t>https://github.com/tensorflow/federated</t>
  </si>
  <si>
    <t>tensorflow/model-optimization</t>
  </si>
  <si>
    <t>https://github.com/tensorflow/model-optimization</t>
  </si>
  <si>
    <t>tensorflow/models</t>
  </si>
  <si>
    <t>https://github.com/tensorflow/models</t>
  </si>
  <si>
    <t>tensorflow/tfx</t>
  </si>
  <si>
    <t>https://github.com/tensorflow/tfx</t>
  </si>
  <si>
    <t>tensorlayer/hyperpose</t>
  </si>
  <si>
    <t>https://github.com/tensorlayer/hyperpose</t>
  </si>
  <si>
    <t>tensorlayer/tensorlayer</t>
  </si>
  <si>
    <t>https://github.com/tensorlayer/tensorlayer</t>
  </si>
  <si>
    <t>TensorSpeech/TensorFlowTTS</t>
  </si>
  <si>
    <t>https://github.com/TensorSpeech/TensorFlowTTS</t>
  </si>
  <si>
    <t>tensortrade-org/tensortrade</t>
  </si>
  <si>
    <t>https://github.com/tensortrade-org/tensortrade</t>
  </si>
  <si>
    <t>tern-tools/tern</t>
  </si>
  <si>
    <t>https://github.com/tern-tools/tern</t>
  </si>
  <si>
    <t>testerSunshine/12306</t>
  </si>
  <si>
    <t>https://github.com/testerSunshine/12306</t>
  </si>
  <si>
    <t>tf-encrypted/tf-encrypted</t>
  </si>
  <si>
    <t>https://github.com/tf-encrypted/tf-encrypted</t>
  </si>
  <si>
    <t>tgbot-collection/YYeTsBot</t>
  </si>
  <si>
    <t>https://github.com/tgbot-collection/YYeTsBot</t>
  </si>
  <si>
    <t>the-paperless-project/paperless</t>
  </si>
  <si>
    <t>https://github.com/the-paperless-project/paperless</t>
  </si>
  <si>
    <t>TheKevJames/coveralls-python</t>
  </si>
  <si>
    <t>https://github.com/TheKevJames/coveralls-python</t>
  </si>
  <si>
    <t>theotherp/nzbhydra</t>
  </si>
  <si>
    <t>https://github.com/theotherp/nzbhydra</t>
  </si>
  <si>
    <t>thingsboard/thingsboard-gateway</t>
  </si>
  <si>
    <t>https://github.com/thingsboard/thingsboard-gateway</t>
  </si>
  <si>
    <t>thinkst/opencanary</t>
  </si>
  <si>
    <t>https://github.com/thinkst/opencanary</t>
  </si>
  <si>
    <t>thomasloven/hass-browser_mod</t>
  </si>
  <si>
    <t>https://github.com/thomasloven/hass-browser_mod</t>
  </si>
  <si>
    <t>thp/urlwatch</t>
  </si>
  <si>
    <t>https://github.com/thp/urlwatch</t>
  </si>
  <si>
    <t>threat9/routersploit</t>
  </si>
  <si>
    <t>https://github.com/threat9/routersploit</t>
  </si>
  <si>
    <t>THUDM/cogdl</t>
  </si>
  <si>
    <t>https://github.com/THUDM/cogdl</t>
  </si>
  <si>
    <t>thushv89/attention_keras</t>
  </si>
  <si>
    <t>https://github.com/thushv89/attention_keras</t>
  </si>
  <si>
    <t>tiangolo/fastapi</t>
  </si>
  <si>
    <t>https://github.com/tiangolo/fastapi</t>
  </si>
  <si>
    <t>tiangolo/full-stack</t>
  </si>
  <si>
    <t>https://github.com/tiangolo/full-stack</t>
  </si>
  <si>
    <t>tiangolo/full-stack-fastapi-postgresql</t>
  </si>
  <si>
    <t>https://github.com/tiangolo/full-stack-fastapi-postgresql</t>
  </si>
  <si>
    <t>tianzhi0549/FCOS</t>
  </si>
  <si>
    <t>https://github.com/tianzhi0549/FCOS</t>
  </si>
  <si>
    <t>TileStache/TileStache</t>
  </si>
  <si>
    <t>https://github.com/TileStache/TileStache</t>
  </si>
  <si>
    <t>tmrowco/electricitymap-contrib</t>
  </si>
  <si>
    <t>https://github.com/tmrowco/electricitymap-contrib</t>
  </si>
  <si>
    <t>TokenMarketNet/smart-contracts</t>
  </si>
  <si>
    <t>https://github.com/TokenMarketNet/smart-contracts</t>
  </si>
  <si>
    <t>TomasTomecek/sen</t>
  </si>
  <si>
    <t>https://github.com/TomasTomecek/sen</t>
  </si>
  <si>
    <t>tomchop/malcom</t>
  </si>
  <si>
    <t>https://github.com/tomchop/malcom</t>
  </si>
  <si>
    <t>tomerfiliba-org/rpyc</t>
  </si>
  <si>
    <t>https://github.com/tomerfiliba-org/rpyc</t>
  </si>
  <si>
    <t>tomslee/airbnb-data-collection</t>
  </si>
  <si>
    <t>https://github.com/tomslee/airbnb-data-collection</t>
  </si>
  <si>
    <t>TophantTechnology/ARL</t>
  </si>
  <si>
    <t>https://github.com/TophantTechnology/ARL</t>
  </si>
  <si>
    <t>TophantTechnology/osprey</t>
  </si>
  <si>
    <t>https://github.com/TophantTechnology/osprey</t>
  </si>
  <si>
    <t>tornadoweb/tornado</t>
  </si>
  <si>
    <t>https://github.com/tornadoweb/tornado</t>
  </si>
  <si>
    <t>torque59/Nosql-Exploitation-Framework</t>
  </si>
  <si>
    <t>https://github.com/torque59/Nosql-Exploitation-Framework</t>
  </si>
  <si>
    <t>trailofbits/deepstate</t>
  </si>
  <si>
    <t>https://github.com/trailofbits/deepstate</t>
  </si>
  <si>
    <t>trailofbits/manticore</t>
  </si>
  <si>
    <t>https://github.com/trailofbits/manticore</t>
  </si>
  <si>
    <t>translate/pootle</t>
  </si>
  <si>
    <t>https://github.com/translate/pootle</t>
  </si>
  <si>
    <t>traveller59/second.pytorch</t>
  </si>
  <si>
    <t>https://github.com/traveller59/second.pytorch</t>
  </si>
  <si>
    <t>trezor/trezor-firmware</t>
  </si>
  <si>
    <t>https://github.com/trezor/trezor-firmware</t>
  </si>
  <si>
    <t>TRI-ML/packnet-sfm</t>
  </si>
  <si>
    <t>https://github.com/TRI-ML/packnet-sfm</t>
  </si>
  <si>
    <t>tribe29/checkmk</t>
  </si>
  <si>
    <t>https://github.com/tribe29/checkmk</t>
  </si>
  <si>
    <t>Trusted-AI/adversarial-robustness-toolbox</t>
  </si>
  <si>
    <t>https://github.com/Trusted-AI/adversarial-robustness-toolbox</t>
  </si>
  <si>
    <t>Trusted-AI/AIF360</t>
  </si>
  <si>
    <t>https://github.com/Trusted-AI/AIF360</t>
  </si>
  <si>
    <t>trustedsec/ptf</t>
  </si>
  <si>
    <t>https://github.com/trustedsec/ptf</t>
  </si>
  <si>
    <t>tsileo/microblog.pub</t>
  </si>
  <si>
    <t>https://github.com/tsileo/microblog.pub</t>
  </si>
  <si>
    <t>Tuhinshubhra/CMSeeK</t>
  </si>
  <si>
    <t>https://github.com/Tuhinshubhra/CMSeeK</t>
  </si>
  <si>
    <t>Tuhinshubhra/ExtAnalysis</t>
  </si>
  <si>
    <t>https://github.com/Tuhinshubhra/ExtAnalysis</t>
  </si>
  <si>
    <t>tulir/mautrix-telegram</t>
  </si>
  <si>
    <t>https://github.com/tulir/mautrix-telegram</t>
  </si>
  <si>
    <t>turicas/covid19-br</t>
  </si>
  <si>
    <t>https://github.com/turicas/covid19-br</t>
  </si>
  <si>
    <t>turicas/rows</t>
  </si>
  <si>
    <t>https://github.com/turicas/rows</t>
  </si>
  <si>
    <t>TuSimple/simpledet</t>
  </si>
  <si>
    <t>https://github.com/TuSimple/simpledet</t>
  </si>
  <si>
    <t>twilio/twilio-python</t>
  </si>
  <si>
    <t>https://github.com/twilio/twilio-python</t>
  </si>
  <si>
    <t>twintproject/twint</t>
  </si>
  <si>
    <t>https://github.com/twintproject/twint</t>
  </si>
  <si>
    <t>uber-research/deep-neuroevolution</t>
  </si>
  <si>
    <t>https://github.com/uber-research/deep-neuroevolution</t>
  </si>
  <si>
    <t>uber-research/go-explore</t>
  </si>
  <si>
    <t>https://github.com/uber-research/go-explore</t>
  </si>
  <si>
    <t>uber/fiber</t>
  </si>
  <si>
    <t>https://github.com/uber/fiber</t>
  </si>
  <si>
    <t>uber/petastorm</t>
  </si>
  <si>
    <t>https://github.com/uber/petastorm</t>
  </si>
  <si>
    <t>ubuntu/ubuntu-make</t>
  </si>
  <si>
    <t>https://github.com/ubuntu/ubuntu-make</t>
  </si>
  <si>
    <t>ufora/ufora</t>
  </si>
  <si>
    <t>https://github.com/ufora/ufora</t>
  </si>
  <si>
    <t>UKPLab/elmo-bilstm-cnn-crf</t>
  </si>
  <si>
    <t>https://github.com/UKPLab/elmo-bilstm-cnn-crf</t>
  </si>
  <si>
    <t>UKPLab/emnlp2017-bilstm-cnn-crf</t>
  </si>
  <si>
    <t>https://github.com/UKPLab/emnlp2017-bilstm-cnn-crf</t>
  </si>
  <si>
    <t>Ulauncher/Ulauncher</t>
  </si>
  <si>
    <t>https://github.com/Ulauncher/Ulauncher</t>
  </si>
  <si>
    <t>ultralytics/yolov3</t>
  </si>
  <si>
    <t>https://github.com/ultralytics/yolov3</t>
  </si>
  <si>
    <t>ultralytics/yolov5</t>
  </si>
  <si>
    <t>https://github.com/ultralytics/yolov5</t>
  </si>
  <si>
    <t>unit8co/darts</t>
  </si>
  <si>
    <t>https://github.com/unit8co/darts</t>
  </si>
  <si>
    <t>unitedstates/congress</t>
  </si>
  <si>
    <t>https://github.com/unitedstates/congress</t>
  </si>
  <si>
    <t>unknown-horizons/unknown-horizons</t>
  </si>
  <si>
    <t>https://github.com/unknown-horizons/unknown-horizons</t>
  </si>
  <si>
    <t>Urinx/WeixinBot</t>
  </si>
  <si>
    <t>https://github.com/Urinx/WeixinBot</t>
  </si>
  <si>
    <t>USArmyResearchLab/Dshell</t>
  </si>
  <si>
    <t>https://github.com/USArmyResearchLab/Dshell</t>
  </si>
  <si>
    <t>UsergeTeam/Userge</t>
  </si>
  <si>
    <t>https://github.com/UsergeTeam/Userge</t>
  </si>
  <si>
    <t>ustwo/mastermind</t>
  </si>
  <si>
    <t>https://github.com/ustwo/mastermind</t>
  </si>
  <si>
    <t>utterworks/fast-bert</t>
  </si>
  <si>
    <t>https://github.com/utterworks/fast-bert</t>
  </si>
  <si>
    <t>v3n0m-Scanner/V3n0M-Scanner</t>
  </si>
  <si>
    <t>https://github.com/v3n0m-Scanner/V3n0M-Scanner</t>
  </si>
  <si>
    <t>v55448330/lazy-balancer</t>
  </si>
  <si>
    <t>https://github.com/v55448330/lazy-balancer</t>
  </si>
  <si>
    <t>vi3k6i5/flashtext</t>
  </si>
  <si>
    <t>https://github.com/vi3k6i5/flashtext</t>
  </si>
  <si>
    <t>videoflow/videoflow</t>
  </si>
  <si>
    <t>https://github.com/videoflow/videoflow</t>
  </si>
  <si>
    <t>vitchyr/rlkit</t>
  </si>
  <si>
    <t>https://github.com/vitchyr/rlkit</t>
  </si>
  <si>
    <t>vmware/photon</t>
  </si>
  <si>
    <t>https://github.com/vmware/photon</t>
  </si>
  <si>
    <t>voc/voctomix</t>
  </si>
  <si>
    <t>https://github.com/voc/voctomix</t>
  </si>
  <si>
    <t>VOLTTRON/volttron</t>
  </si>
  <si>
    <t>https://github.com/VOLTTRON/volttron</t>
  </si>
  <si>
    <t>voxpupuli/puppetboard</t>
  </si>
  <si>
    <t>https://github.com/voxpupuli/puppetboard</t>
  </si>
  <si>
    <t>vstconsulting/polemarch</t>
  </si>
  <si>
    <t>https://github.com/vstconsulting/polemarch</t>
  </si>
  <si>
    <t>vwxyzjn/cleanrl</t>
  </si>
  <si>
    <t>https://github.com/vwxyzjn/cleanrl</t>
  </si>
  <si>
    <t>vyperlang/vyper</t>
  </si>
  <si>
    <t>https://github.com/vyperlang/vyper</t>
  </si>
  <si>
    <t>wagtail/wagtail</t>
  </si>
  <si>
    <t>https://github.com/wagtail/wagtail</t>
  </si>
  <si>
    <t>weaveworks/kubediff</t>
  </si>
  <si>
    <t>https://github.com/weaveworks/kubediff</t>
  </si>
  <si>
    <t>web2py/web2py</t>
  </si>
  <si>
    <t>https://github.com/web2py/web2py</t>
  </si>
  <si>
    <t>WeblateOrg/weblate</t>
  </si>
  <si>
    <t>https://github.com/WeblateOrg/weblate</t>
  </si>
  <si>
    <t>webrecorder/pywb</t>
  </si>
  <si>
    <t>https://github.com/webrecorder/pywb</t>
  </si>
  <si>
    <t>welliamcao/OpsManage</t>
  </si>
  <si>
    <t>https://github.com/welliamcao/OpsManage</t>
  </si>
  <si>
    <t>wemake-services/wemake-django-template</t>
  </si>
  <si>
    <t>https://github.com/wemake-services/wemake-django-template</t>
  </si>
  <si>
    <t>weskerfoot/DeleteFB</t>
  </si>
  <si>
    <t>https://github.com/weskerfoot/DeleteFB</t>
  </si>
  <si>
    <t>wger-project/wger</t>
  </si>
  <si>
    <t>https://github.com/wger-project/wger</t>
  </si>
  <si>
    <t>Wh0ale/SRC-script</t>
  </si>
  <si>
    <t>https://github.com/Wh0ale/SRC-script</t>
  </si>
  <si>
    <t>WhaleShark-Team/cobra</t>
  </si>
  <si>
    <t>https://github.com/WhaleShark-Team/cobra</t>
  </si>
  <si>
    <t>whipper-team/whipper</t>
  </si>
  <si>
    <t>https://github.com/whipper-team/whipper</t>
  </si>
  <si>
    <t>wikimedia/pywikibot</t>
  </si>
  <si>
    <t>https://github.com/wikimedia/pywikibot</t>
  </si>
  <si>
    <t>witten/borgmatic</t>
  </si>
  <si>
    <t>https://github.com/witten/borgmatic</t>
  </si>
  <si>
    <t>wkentaro/labelme</t>
  </si>
  <si>
    <t>https://github.com/wkentaro/labelme</t>
  </si>
  <si>
    <t>worldveil/dejavu</t>
  </si>
  <si>
    <t>https://github.com/worldveil/dejavu</t>
  </si>
  <si>
    <t>WXinlong/SOLO</t>
  </si>
  <si>
    <t>https://github.com/WXinlong/SOLO</t>
  </si>
  <si>
    <t>wzpan/wukong-robot</t>
  </si>
  <si>
    <t>https://github.com/wzpan/wukong-robot</t>
  </si>
  <si>
    <t>X-DataInitiative/tick</t>
  </si>
  <si>
    <t>https://github.com/X-DataInitiative/tick</t>
  </si>
  <si>
    <t>xhtml2pdf/xhtml2pdf</t>
  </si>
  <si>
    <t>https://github.com/xhtml2pdf/xhtml2pdf</t>
  </si>
  <si>
    <t>xillwillx/skiptracer</t>
  </si>
  <si>
    <t>https://github.com/xillwillx/skiptracer</t>
  </si>
  <si>
    <t>xingyizhou/CenterNet2</t>
  </si>
  <si>
    <t>https://github.com/xingyizhou/CenterNet2</t>
  </si>
  <si>
    <t>xmendez/wfuzz</t>
  </si>
  <si>
    <t>https://github.com/xmendez/wfuzz</t>
  </si>
  <si>
    <t>Xonshiz/comic-dl</t>
  </si>
  <si>
    <t>https://github.com/Xonshiz/comic-dl</t>
  </si>
  <si>
    <t>xsren/wx_taobao_fanli</t>
  </si>
  <si>
    <t>https://github.com/xsren/wx_taobao_fanli</t>
  </si>
  <si>
    <t>yampelo/beagle</t>
  </si>
  <si>
    <t>https://github.com/yampelo/beagle</t>
  </si>
  <si>
    <t>yandex/gixy</t>
  </si>
  <si>
    <t>https://github.com/yandex/gixy</t>
  </si>
  <si>
    <t>yandex/pgmigrate</t>
  </si>
  <si>
    <t>https://github.com/yandex/pgmigrate</t>
  </si>
  <si>
    <t>yandex/yandex-tank</t>
  </si>
  <si>
    <t>https://github.com/yandex/yandex-tank</t>
  </si>
  <si>
    <t>yasinkuyu/binance-trader</t>
  </si>
  <si>
    <t>https://github.com/yasinkuyu/binance-trader</t>
  </si>
  <si>
    <t>YBIGTA/pytorch-hair-segmentation</t>
  </si>
  <si>
    <t>https://github.com/YBIGTA/pytorch-hair-segmentation</t>
  </si>
  <si>
    <t>ycm-core/YouCompleteMe</t>
  </si>
  <si>
    <t>https://github.com/ycm-core/YouCompleteMe</t>
  </si>
  <si>
    <t>Yelp/docker-custodian</t>
  </si>
  <si>
    <t>https://github.com/Yelp/docker-custodian</t>
  </si>
  <si>
    <t>Yelp/elastalert</t>
  </si>
  <si>
    <t>https://github.com/Yelp/elastalert</t>
  </si>
  <si>
    <t>Yelp/mysql_streamer</t>
  </si>
  <si>
    <t>https://github.com/Yelp/mysql_streamer</t>
  </si>
  <si>
    <t>Yelp/paasta</t>
  </si>
  <si>
    <t>https://github.com/Yelp/paasta</t>
  </si>
  <si>
    <t>Yelp/Tron</t>
  </si>
  <si>
    <t>https://github.com/Yelp/Tron</t>
  </si>
  <si>
    <t>yeti-platform/yeti</t>
  </si>
  <si>
    <t>https://github.com/yeti-platform/yeti</t>
  </si>
  <si>
    <t>yihui-he/KL-Loss</t>
  </si>
  <si>
    <t>https://github.com/yihui-he/KL-Loss</t>
  </si>
  <si>
    <t>Yinzo/SmartQQBot</t>
  </si>
  <si>
    <t>https://github.com/Yinzo/SmartQQBot</t>
  </si>
  <si>
    <t>yogeshojha/rengine</t>
  </si>
  <si>
    <t>https://github.com/yogeshojha/rengine</t>
  </si>
  <si>
    <t>youngwanLEE/CenterMask</t>
  </si>
  <si>
    <t>https://github.com/youngwanLEE/CenterMask</t>
  </si>
  <si>
    <t>ysrc/GourdScanV2</t>
  </si>
  <si>
    <t>https://github.com/ysrc/GourdScanV2</t>
  </si>
  <si>
    <t>YunoHost/yunohost</t>
  </si>
  <si>
    <t>https://github.com/YunoHost/yunohost</t>
  </si>
  <si>
    <t>zalando/patroni</t>
  </si>
  <si>
    <t>https://github.com/zalando/patroni</t>
  </si>
  <si>
    <t>zalando/spilo</t>
  </si>
  <si>
    <t>https://github.com/zalando/spilo</t>
  </si>
  <si>
    <t>zenodo/zenodo</t>
  </si>
  <si>
    <t>https://github.com/zenodo/zenodo</t>
  </si>
  <si>
    <t>zentralopensource/zentral</t>
  </si>
  <si>
    <t>https://github.com/zentralopensource/zentral</t>
  </si>
  <si>
    <t>zeromq/pyzmq</t>
  </si>
  <si>
    <t>https://github.com/zeromq/pyzmq</t>
  </si>
  <si>
    <t>zerosum0x0/koadic</t>
  </si>
  <si>
    <t>https://github.com/zerosum0x0/koadic</t>
  </si>
  <si>
    <t>zewelor/bt-mqtt-gateway</t>
  </si>
  <si>
    <t>https://github.com/zewelor/bt-mqtt-gateway</t>
  </si>
  <si>
    <t>zh-plus/video-to-pose3D</t>
  </si>
  <si>
    <t>https://github.com/zh-plus/video-to-pose3D</t>
  </si>
  <si>
    <t>zhaoweicai/Detectron-Cascade-RCNN</t>
  </si>
  <si>
    <t>https://github.com/zhaoweicai/Detectron-Cascade-RCNN</t>
  </si>
  <si>
    <t>Zhongdao/Towards-Realtime-MOT</t>
  </si>
  <si>
    <t>https://github.com/Zhongdao/Towards-Realtime-MOT</t>
  </si>
  <si>
    <t>zhoubear/open-paperless</t>
  </si>
  <si>
    <t>https://github.com/zhoubear/open-paperless</t>
  </si>
  <si>
    <t>zhreshold/mxnet-ssd</t>
  </si>
  <si>
    <t>https://github.com/zhreshold/mxnet-ssd</t>
  </si>
  <si>
    <t>zjhuang22/maskscoring_rcnn</t>
  </si>
  <si>
    <t>https://github.com/zjhuang22/maskscoring_rcnn</t>
  </si>
  <si>
    <t>ZJULearning/ttfnet</t>
  </si>
  <si>
    <t>https://github.com/ZJULearning/ttfnet</t>
  </si>
  <si>
    <t>zsdlove/Hades</t>
  </si>
  <si>
    <t>https://github.com/zsdlove/Hades</t>
  </si>
  <si>
    <t>ztgrace/changeme</t>
  </si>
  <si>
    <t>https://github.com/ztgrace/changeme</t>
  </si>
  <si>
    <t>zulip/zulip</t>
  </si>
  <si>
    <t>https://github.com/zulip/zulip</t>
  </si>
  <si>
    <t>repo_age</t>
  </si>
  <si>
    <t>Rótulos de Linha</t>
  </si>
  <si>
    <t>Total Geral</t>
  </si>
  <si>
    <t>Média de logger/lloc</t>
  </si>
  <si>
    <t>Bloco</t>
  </si>
  <si>
    <t>Mais</t>
  </si>
  <si>
    <t>Freqüência</t>
  </si>
  <si>
    <t>debug/lloc</t>
  </si>
  <si>
    <t>info/lloc</t>
  </si>
  <si>
    <t>warning/lloc</t>
  </si>
  <si>
    <t>error/lloc</t>
  </si>
  <si>
    <t>critical/lloc</t>
  </si>
  <si>
    <t>exception/lloc</t>
  </si>
  <si>
    <t>Média de repo_age</t>
  </si>
  <si>
    <t>Média de debug/lloc</t>
  </si>
  <si>
    <t>Média de debug/loggers</t>
  </si>
  <si>
    <t>Média de info/loggers</t>
  </si>
  <si>
    <t>Média de exception/lloc</t>
  </si>
  <si>
    <t>Média de exception/loggers</t>
  </si>
  <si>
    <t>Média de critical/lloc</t>
  </si>
  <si>
    <t>Média de critical/loggers</t>
  </si>
  <si>
    <t>Média de error/lloc</t>
  </si>
  <si>
    <t>Média de error/loggers</t>
  </si>
  <si>
    <t>Média de warning/lloc</t>
  </si>
  <si>
    <t>Média de warning/loggers</t>
  </si>
  <si>
    <t>Média de info/lloc</t>
  </si>
  <si>
    <t>non_standard/loggers</t>
  </si>
  <si>
    <t>non_standard/lloc</t>
  </si>
  <si>
    <t>non_standard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</si>
</sst>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mmmd"/>
    <numFmt numFmtId="166" formatCode="0.0000"/>
  </numFmts>
  <fonts count="10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1155CC"/>
      <name val="Arial"/>
    </font>
    <font>
      <sz val="11"/>
      <color rgb="FF000000"/>
      <name val="Calibri"/>
    </font>
    <font>
      <i/>
      <sz val="10"/>
      <color rgb="FF000000"/>
      <name val="Arial"/>
      <family val="2"/>
    </font>
    <font>
      <b/>
      <sz val="10"/>
      <color theme="1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4C7C3"/>
        <bgColor rgb="FFF4C7C3"/>
      </patternFill>
    </fill>
    <fill>
      <patternFill patternType="solid">
        <fgColor rgb="FFB7E1CD"/>
        <bgColor rgb="FFB7E1CD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41">
    <xf numFmtId="0" fontId="0" fillId="0" borderId="0" xfId="0" applyFont="1" applyAlignment="1"/>
    <xf numFmtId="0" fontId="1" fillId="2" borderId="0" xfId="0" applyFont="1" applyFill="1" applyAlignment="1"/>
    <xf numFmtId="0" fontId="1" fillId="2" borderId="0" xfId="0" applyFont="1" applyFill="1" applyAlignment="1"/>
    <xf numFmtId="0" fontId="2" fillId="0" borderId="0" xfId="0" applyFont="1" applyAlignment="1"/>
    <xf numFmtId="0" fontId="3" fillId="0" borderId="0" xfId="0" applyFont="1" applyAlignment="1"/>
    <xf numFmtId="164" fontId="2" fillId="0" borderId="0" xfId="0" applyNumberFormat="1" applyFont="1" applyAlignment="1"/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/>
    <xf numFmtId="165" fontId="2" fillId="0" borderId="0" xfId="0" applyNumberFormat="1" applyFont="1" applyAlignment="1">
      <alignment horizontal="right"/>
    </xf>
    <xf numFmtId="2" fontId="2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2" fontId="0" fillId="0" borderId="0" xfId="0" applyNumberFormat="1" applyFont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5" fillId="0" borderId="3" xfId="0" applyFont="1" applyFill="1" applyBorder="1" applyAlignment="1">
      <alignment horizontal="center"/>
    </xf>
    <xf numFmtId="2" fontId="0" fillId="0" borderId="0" xfId="0" applyNumberFormat="1" applyFill="1" applyBorder="1" applyAlignment="1"/>
    <xf numFmtId="1" fontId="0" fillId="0" borderId="0" xfId="0" applyNumberFormat="1" applyFill="1" applyBorder="1" applyAlignment="1"/>
    <xf numFmtId="166" fontId="0" fillId="0" borderId="0" xfId="0" applyNumberFormat="1" applyFont="1" applyAlignment="1"/>
    <xf numFmtId="0" fontId="6" fillId="5" borderId="1" xfId="0" applyFont="1" applyFill="1" applyBorder="1"/>
    <xf numFmtId="166" fontId="1" fillId="2" borderId="0" xfId="0" applyNumberFormat="1" applyFont="1" applyFill="1" applyAlignment="1"/>
    <xf numFmtId="166" fontId="6" fillId="2" borderId="0" xfId="0" applyNumberFormat="1" applyFont="1" applyFill="1" applyAlignment="1"/>
    <xf numFmtId="166" fontId="4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right"/>
    </xf>
    <xf numFmtId="0" fontId="6" fillId="5" borderId="1" xfId="0" applyFont="1" applyFill="1" applyBorder="1" applyAlignment="1"/>
    <xf numFmtId="2" fontId="0" fillId="0" borderId="2" xfId="0" applyNumberFormat="1" applyFill="1" applyBorder="1" applyAlignment="1"/>
    <xf numFmtId="0" fontId="1" fillId="2" borderId="0" xfId="0" applyFont="1" applyFill="1" applyBorder="1" applyAlignment="1"/>
    <xf numFmtId="0" fontId="8" fillId="0" borderId="0" xfId="0" applyFont="1" applyBorder="1" applyAlignment="1">
      <alignment horizontal="right" wrapText="1"/>
    </xf>
    <xf numFmtId="0" fontId="0" fillId="0" borderId="0" xfId="0" applyFont="1" applyBorder="1" applyAlignment="1"/>
    <xf numFmtId="0" fontId="9" fillId="0" borderId="0" xfId="1" applyFont="1" applyAlignment="1">
      <alignment horizontal="right"/>
    </xf>
    <xf numFmtId="0" fontId="9" fillId="0" borderId="0" xfId="1" applyFont="1" applyAlignment="1">
      <alignment horizontal="right"/>
    </xf>
    <xf numFmtId="0" fontId="9" fillId="0" borderId="0" xfId="1" applyFont="1" applyAlignment="1">
      <alignment horizontal="right"/>
    </xf>
    <xf numFmtId="0" fontId="9" fillId="0" borderId="0" xfId="1" applyFont="1" applyAlignment="1">
      <alignment horizontal="right"/>
    </xf>
    <xf numFmtId="0" fontId="9" fillId="0" borderId="0" xfId="1" applyFont="1" applyAlignment="1">
      <alignment horizontal="right"/>
    </xf>
    <xf numFmtId="0" fontId="6" fillId="2" borderId="0" xfId="0" applyFont="1" applyFill="1" applyAlignment="1"/>
    <xf numFmtId="0" fontId="9" fillId="0" borderId="0" xfId="1" applyFont="1" applyAlignment="1">
      <alignment horizontal="right"/>
    </xf>
  </cellXfs>
  <cellStyles count="2">
    <cellStyle name="Normal" xfId="0" builtinId="0"/>
    <cellStyle name="Normal 2" xfId="1" xr:uid="{FC2E7DB6-F989-461E-B7E2-5EAE4C41797D}"/>
  </cellStyles>
  <dxfs count="4">
    <dxf>
      <font>
        <color theme="0"/>
      </font>
      <fill>
        <patternFill>
          <fgColor theme="0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'hist lloc'!$B$1</c:f>
              <c:strCache>
                <c:ptCount val="1"/>
                <c:pt idx="0">
                  <c:v>Freqüência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'hist lloc'!$A$2:$A$36</c:f>
              <c:strCache>
                <c:ptCount val="35"/>
                <c:pt idx="0">
                  <c:v>72</c:v>
                </c:pt>
                <c:pt idx="1">
                  <c:v>103191</c:v>
                </c:pt>
                <c:pt idx="2">
                  <c:v>206310</c:v>
                </c:pt>
                <c:pt idx="3">
                  <c:v>309428</c:v>
                </c:pt>
                <c:pt idx="4">
                  <c:v>412547</c:v>
                </c:pt>
                <c:pt idx="5">
                  <c:v>515666</c:v>
                </c:pt>
                <c:pt idx="6">
                  <c:v>618785</c:v>
                </c:pt>
                <c:pt idx="7">
                  <c:v>721904</c:v>
                </c:pt>
                <c:pt idx="8">
                  <c:v>825023</c:v>
                </c:pt>
                <c:pt idx="9">
                  <c:v>928141</c:v>
                </c:pt>
                <c:pt idx="10">
                  <c:v>1031260</c:v>
                </c:pt>
                <c:pt idx="11">
                  <c:v>1134379</c:v>
                </c:pt>
                <c:pt idx="12">
                  <c:v>1237498</c:v>
                </c:pt>
                <c:pt idx="13">
                  <c:v>1340617</c:v>
                </c:pt>
                <c:pt idx="14">
                  <c:v>1443736</c:v>
                </c:pt>
                <c:pt idx="15">
                  <c:v>1546854</c:v>
                </c:pt>
                <c:pt idx="16">
                  <c:v>1649973</c:v>
                </c:pt>
                <c:pt idx="17">
                  <c:v>1753092</c:v>
                </c:pt>
                <c:pt idx="18">
                  <c:v>1856211</c:v>
                </c:pt>
                <c:pt idx="19">
                  <c:v>1959330</c:v>
                </c:pt>
                <c:pt idx="20">
                  <c:v>2062448</c:v>
                </c:pt>
                <c:pt idx="21">
                  <c:v>2165567</c:v>
                </c:pt>
                <c:pt idx="22">
                  <c:v>2268686</c:v>
                </c:pt>
                <c:pt idx="23">
                  <c:v>2371805</c:v>
                </c:pt>
                <c:pt idx="24">
                  <c:v>2474924</c:v>
                </c:pt>
                <c:pt idx="25">
                  <c:v>2578043</c:v>
                </c:pt>
                <c:pt idx="26">
                  <c:v>2681161</c:v>
                </c:pt>
                <c:pt idx="27">
                  <c:v>2784280</c:v>
                </c:pt>
                <c:pt idx="28">
                  <c:v>2887399</c:v>
                </c:pt>
                <c:pt idx="29">
                  <c:v>2990518</c:v>
                </c:pt>
                <c:pt idx="30">
                  <c:v>3093637</c:v>
                </c:pt>
                <c:pt idx="31">
                  <c:v>3196756</c:v>
                </c:pt>
                <c:pt idx="32">
                  <c:v>3299874</c:v>
                </c:pt>
                <c:pt idx="33">
                  <c:v>3402993</c:v>
                </c:pt>
                <c:pt idx="34">
                  <c:v>Mais</c:v>
                </c:pt>
              </c:strCache>
            </c:strRef>
          </c:cat>
          <c:val>
            <c:numRef>
              <c:f>'hist lloc'!$B$2:$B$36</c:f>
              <c:numCache>
                <c:formatCode>General</c:formatCode>
                <c:ptCount val="35"/>
                <c:pt idx="0">
                  <c:v>1</c:v>
                </c:pt>
                <c:pt idx="1">
                  <c:v>1117</c:v>
                </c:pt>
                <c:pt idx="2">
                  <c:v>28</c:v>
                </c:pt>
                <c:pt idx="3">
                  <c:v>13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5-4507-A58C-FF196F8FA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7023"/>
        <c:axId val="513878271"/>
      </c:barChart>
      <c:catAx>
        <c:axId val="51387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3878271"/>
        <c:crosses val="autoZero"/>
        <c:auto val="1"/>
        <c:lblAlgn val="ctr"/>
        <c:lblOffset val="100"/>
        <c:noMultiLvlLbl val="0"/>
      </c:catAx>
      <c:valAx>
        <c:axId val="51387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387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Planilha12!$D$2:$D$18</c:f>
              <c:numCache>
                <c:formatCode>0.0000</c:formatCode>
                <c:ptCount val="17"/>
                <c:pt idx="0">
                  <c:v>3.3866859688130874E-3</c:v>
                </c:pt>
                <c:pt idx="1">
                  <c:v>3.99856028644227E-3</c:v>
                </c:pt>
                <c:pt idx="2">
                  <c:v>2.4805078629466632E-3</c:v>
                </c:pt>
                <c:pt idx="3">
                  <c:v>3.2102728731942212E-2</c:v>
                </c:pt>
                <c:pt idx="4">
                  <c:v>4.3650793650793648E-2</c:v>
                </c:pt>
                <c:pt idx="5">
                  <c:v>3.4319707593580655E-3</c:v>
                </c:pt>
                <c:pt idx="6">
                  <c:v>3.7010153808558458E-3</c:v>
                </c:pt>
                <c:pt idx="7">
                  <c:v>7.6702029345005023E-3</c:v>
                </c:pt>
                <c:pt idx="8">
                  <c:v>6.154379371024702E-3</c:v>
                </c:pt>
                <c:pt idx="9">
                  <c:v>5.3402570072111346E-3</c:v>
                </c:pt>
                <c:pt idx="10">
                  <c:v>9.9076606031783769E-5</c:v>
                </c:pt>
                <c:pt idx="11">
                  <c:v>3.6393712324994634E-3</c:v>
                </c:pt>
                <c:pt idx="12">
                  <c:v>7.7308817384036778E-3</c:v>
                </c:pt>
                <c:pt idx="13">
                  <c:v>2.0419424304905522E-3</c:v>
                </c:pt>
                <c:pt idx="14">
                  <c:v>3.5474821466293526E-3</c:v>
                </c:pt>
                <c:pt idx="15">
                  <c:v>2.8451878715447217E-3</c:v>
                </c:pt>
                <c:pt idx="16">
                  <c:v>6.6934404283801872E-4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D42D-4E21-AD52-C861BF7DD915}"/>
            </c:ext>
          </c:extLst>
        </c:ser>
        <c:ser>
          <c:idx val="5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Planilha12!$G$2:$G$18</c:f>
              <c:numCache>
                <c:formatCode>0.0000</c:formatCode>
                <c:ptCount val="17"/>
                <c:pt idx="0">
                  <c:v>5.7050916974722438E-3</c:v>
                </c:pt>
                <c:pt idx="1">
                  <c:v>4.1729836445474301E-3</c:v>
                </c:pt>
                <c:pt idx="2">
                  <c:v>3.8925642557602106E-3</c:v>
                </c:pt>
                <c:pt idx="3">
                  <c:v>0</c:v>
                </c:pt>
                <c:pt idx="4">
                  <c:v>4.9019607843137254E-3</c:v>
                </c:pt>
                <c:pt idx="5">
                  <c:v>7.4548149635160991E-3</c:v>
                </c:pt>
                <c:pt idx="6">
                  <c:v>2.5952627016546628E-3</c:v>
                </c:pt>
                <c:pt idx="7">
                  <c:v>7.8821469537447945E-3</c:v>
                </c:pt>
                <c:pt idx="8">
                  <c:v>6.4997284396604441E-3</c:v>
                </c:pt>
                <c:pt idx="9">
                  <c:v>4.3677535067124535E-3</c:v>
                </c:pt>
                <c:pt idx="10">
                  <c:v>2.3778385447628106E-4</c:v>
                </c:pt>
                <c:pt idx="11">
                  <c:v>6.6556941031717092E-3</c:v>
                </c:pt>
                <c:pt idx="12">
                  <c:v>3.9699122440451312E-3</c:v>
                </c:pt>
                <c:pt idx="13">
                  <c:v>3.9158558439808455E-3</c:v>
                </c:pt>
                <c:pt idx="14">
                  <c:v>1.1453459347380693E-2</c:v>
                </c:pt>
                <c:pt idx="15">
                  <c:v>3.5958332735828813E-3</c:v>
                </c:pt>
                <c:pt idx="16">
                  <c:v>1.9410977242302542E-2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D42D-4E21-AD52-C861BF7DD915}"/>
            </c:ext>
          </c:extLst>
        </c:ser>
        <c:ser>
          <c:idx val="7"/>
          <c:order val="2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Planilha12!$I$2:$I$18</c:f>
              <c:numCache>
                <c:formatCode>0.0000</c:formatCode>
                <c:ptCount val="17"/>
                <c:pt idx="0">
                  <c:v>1.7014664430860173E-3</c:v>
                </c:pt>
                <c:pt idx="1">
                  <c:v>1.878493288255207E-3</c:v>
                </c:pt>
                <c:pt idx="2">
                  <c:v>1.5482067061074012E-3</c:v>
                </c:pt>
                <c:pt idx="3">
                  <c:v>8.8282504012841094E-3</c:v>
                </c:pt>
                <c:pt idx="4">
                  <c:v>2.8711484593837534E-2</c:v>
                </c:pt>
                <c:pt idx="5">
                  <c:v>2.4076553906632499E-3</c:v>
                </c:pt>
                <c:pt idx="6">
                  <c:v>1.9523511685246499E-3</c:v>
                </c:pt>
                <c:pt idx="7">
                  <c:v>2.5267863674404661E-3</c:v>
                </c:pt>
                <c:pt idx="8">
                  <c:v>2.670050493034076E-3</c:v>
                </c:pt>
                <c:pt idx="9">
                  <c:v>1.1155505533208662E-3</c:v>
                </c:pt>
                <c:pt idx="10">
                  <c:v>9.4340829423180157E-5</c:v>
                </c:pt>
                <c:pt idx="11">
                  <c:v>1.6456977335401841E-3</c:v>
                </c:pt>
                <c:pt idx="12">
                  <c:v>2.0894274968658589E-4</c:v>
                </c:pt>
                <c:pt idx="13">
                  <c:v>1.5341711203688097E-3</c:v>
                </c:pt>
                <c:pt idx="14">
                  <c:v>1.4662141012004226E-3</c:v>
                </c:pt>
                <c:pt idx="15">
                  <c:v>1.369901719396443E-3</c:v>
                </c:pt>
                <c:pt idx="16">
                  <c:v>6.6934404283801872E-4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D42D-4E21-AD52-C861BF7DD915}"/>
            </c:ext>
          </c:extLst>
        </c:ser>
        <c:ser>
          <c:idx val="9"/>
          <c:order val="3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Planilha12!$K$2:$K$18</c:f>
              <c:numCache>
                <c:formatCode>0.0000</c:formatCode>
                <c:ptCount val="17"/>
                <c:pt idx="0">
                  <c:v>1.8169858007878411E-3</c:v>
                </c:pt>
                <c:pt idx="1">
                  <c:v>1.8673431586037675E-3</c:v>
                </c:pt>
                <c:pt idx="2">
                  <c:v>1.2589947453482007E-3</c:v>
                </c:pt>
                <c:pt idx="3">
                  <c:v>2.407704654895666E-3</c:v>
                </c:pt>
                <c:pt idx="4">
                  <c:v>1.2371615312791783E-2</c:v>
                </c:pt>
                <c:pt idx="5">
                  <c:v>1.8188027003814319E-3</c:v>
                </c:pt>
                <c:pt idx="6">
                  <c:v>1.5180794738599388E-3</c:v>
                </c:pt>
                <c:pt idx="7">
                  <c:v>4.0672726146004914E-3</c:v>
                </c:pt>
                <c:pt idx="8">
                  <c:v>3.0379606659462605E-3</c:v>
                </c:pt>
                <c:pt idx="9">
                  <c:v>2.3771182455086721E-3</c:v>
                </c:pt>
                <c:pt idx="10">
                  <c:v>1.094203740209333E-4</c:v>
                </c:pt>
                <c:pt idx="11">
                  <c:v>2.1489181967785063E-3</c:v>
                </c:pt>
                <c:pt idx="12">
                  <c:v>0</c:v>
                </c:pt>
                <c:pt idx="13">
                  <c:v>4.7072252532233934E-3</c:v>
                </c:pt>
                <c:pt idx="14">
                  <c:v>2.6850199239658867E-3</c:v>
                </c:pt>
                <c:pt idx="15">
                  <c:v>1.7639453999067892E-3</c:v>
                </c:pt>
                <c:pt idx="16">
                  <c:v>5.3547523427041497E-3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D42D-4E21-AD52-C861BF7DD915}"/>
            </c:ext>
          </c:extLst>
        </c:ser>
        <c:ser>
          <c:idx val="11"/>
          <c:order val="4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Planilha12!$M$2:$M$18</c:f>
              <c:numCache>
                <c:formatCode>0.0000</c:formatCode>
                <c:ptCount val="17"/>
                <c:pt idx="0">
                  <c:v>7.7575746953218626E-5</c:v>
                </c:pt>
                <c:pt idx="1">
                  <c:v>3.1020244485197859E-5</c:v>
                </c:pt>
                <c:pt idx="2">
                  <c:v>2.2660239489481816E-4</c:v>
                </c:pt>
                <c:pt idx="3">
                  <c:v>0</c:v>
                </c:pt>
                <c:pt idx="4">
                  <c:v>0</c:v>
                </c:pt>
                <c:pt idx="5">
                  <c:v>2.262752036354019E-4</c:v>
                </c:pt>
                <c:pt idx="6">
                  <c:v>1.0471745815821809E-4</c:v>
                </c:pt>
                <c:pt idx="7">
                  <c:v>3.8625774377122466E-4</c:v>
                </c:pt>
                <c:pt idx="8">
                  <c:v>0</c:v>
                </c:pt>
                <c:pt idx="9">
                  <c:v>2.2645857635709515E-4</c:v>
                </c:pt>
                <c:pt idx="10">
                  <c:v>1.1976414201008285E-4</c:v>
                </c:pt>
                <c:pt idx="11">
                  <c:v>2.6365999653246637E-4</c:v>
                </c:pt>
                <c:pt idx="12">
                  <c:v>1.0447137484329294E-4</c:v>
                </c:pt>
                <c:pt idx="13">
                  <c:v>6.8441663838370441E-5</c:v>
                </c:pt>
                <c:pt idx="14">
                  <c:v>8.4608654118436839E-5</c:v>
                </c:pt>
                <c:pt idx="15">
                  <c:v>1.2719093903340529E-4</c:v>
                </c:pt>
                <c:pt idx="16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D42D-4E21-AD52-C861BF7DD915}"/>
            </c:ext>
          </c:extLst>
        </c:ser>
        <c:ser>
          <c:idx val="13"/>
          <c:order val="5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Planilha12!$O$2:$O$18</c:f>
              <c:numCache>
                <c:formatCode>0.0000</c:formatCode>
                <c:ptCount val="17"/>
                <c:pt idx="0">
                  <c:v>5.2300554080207087E-4</c:v>
                </c:pt>
                <c:pt idx="1">
                  <c:v>1.2033857286890643E-3</c:v>
                </c:pt>
                <c:pt idx="2">
                  <c:v>5.695551612375188E-4</c:v>
                </c:pt>
                <c:pt idx="3">
                  <c:v>2.247191011235955E-2</c:v>
                </c:pt>
                <c:pt idx="4">
                  <c:v>1.1671335200746965E-3</c:v>
                </c:pt>
                <c:pt idx="5">
                  <c:v>1.1888209844038518E-3</c:v>
                </c:pt>
                <c:pt idx="6">
                  <c:v>1.6148568637875402E-4</c:v>
                </c:pt>
                <c:pt idx="7">
                  <c:v>8.6283526622963681E-4</c:v>
                </c:pt>
                <c:pt idx="8">
                  <c:v>5.0564506385964759E-4</c:v>
                </c:pt>
                <c:pt idx="9">
                  <c:v>1.0015015837572358E-3</c:v>
                </c:pt>
                <c:pt idx="10">
                  <c:v>0</c:v>
                </c:pt>
                <c:pt idx="11">
                  <c:v>6.2817555848319992E-4</c:v>
                </c:pt>
                <c:pt idx="12">
                  <c:v>8.3577099874634355E-4</c:v>
                </c:pt>
                <c:pt idx="13">
                  <c:v>3.3674530095388708E-4</c:v>
                </c:pt>
                <c:pt idx="14">
                  <c:v>6.1396639903111259E-4</c:v>
                </c:pt>
                <c:pt idx="15">
                  <c:v>4.6660641288217756E-4</c:v>
                </c:pt>
                <c:pt idx="16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D-D42D-4E21-AD52-C861BF7DD915}"/>
            </c:ext>
          </c:extLst>
        </c:ser>
        <c:ser>
          <c:idx val="0"/>
          <c:order val="6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0-D42D-4E21-AD52-C861BF7DD915}"/>
            </c:ext>
          </c:extLst>
        </c:ser>
        <c:ser>
          <c:idx val="1"/>
          <c:order val="7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2-D42D-4E21-AD52-C861BF7DD915}"/>
            </c:ext>
          </c:extLst>
        </c:ser>
        <c:ser>
          <c:idx val="3"/>
          <c:order val="8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4-D42D-4E21-AD52-C861BF7DD915}"/>
            </c:ext>
          </c:extLst>
        </c:ser>
        <c:ser>
          <c:idx val="4"/>
          <c:order val="9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6-D42D-4E21-AD52-C861BF7DD915}"/>
            </c:ext>
          </c:extLst>
        </c:ser>
        <c:ser>
          <c:idx val="6"/>
          <c:order val="10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8-D42D-4E21-AD52-C861BF7DD915}"/>
            </c:ext>
          </c:extLst>
        </c:ser>
        <c:ser>
          <c:idx val="8"/>
          <c:order val="11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A-D42D-4E21-AD52-C861BF7DD915}"/>
            </c:ext>
          </c:extLst>
        </c:ser>
        <c:ser>
          <c:idx val="10"/>
          <c:order val="12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C-D42D-4E21-AD52-C861BF7DD915}"/>
            </c:ext>
          </c:extLst>
        </c:ser>
        <c:ser>
          <c:idx val="12"/>
          <c:order val="13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E-D42D-4E21-AD52-C861BF7DD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6514031"/>
        <c:axId val="506526927"/>
      </c:barChart>
      <c:catAx>
        <c:axId val="50651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6526927"/>
        <c:crosses val="autoZero"/>
        <c:auto val="1"/>
        <c:lblAlgn val="ctr"/>
        <c:lblOffset val="100"/>
        <c:noMultiLvlLbl val="0"/>
      </c:catAx>
      <c:valAx>
        <c:axId val="5065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651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9622915683250714E-2"/>
          <c:y val="1.0841510730832799E-2"/>
          <c:w val="0.9640671951381119"/>
          <c:h val="0.782998204860009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Planilha16!$B$1</c:f>
              <c:strCache>
                <c:ptCount val="1"/>
                <c:pt idx="0">
                  <c:v>Freqüência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Planilha16!$A$2:$A$1025</c:f>
              <c:strCache>
                <c:ptCount val="1024"/>
                <c:pt idx="0">
                  <c:v>0</c:v>
                </c:pt>
                <c:pt idx="1">
                  <c:v>0,000181864</c:v>
                </c:pt>
                <c:pt idx="2">
                  <c:v>0,000363727</c:v>
                </c:pt>
                <c:pt idx="3">
                  <c:v>0,000545591</c:v>
                </c:pt>
                <c:pt idx="4">
                  <c:v>0,000727455</c:v>
                </c:pt>
                <c:pt idx="5">
                  <c:v>0,000909318</c:v>
                </c:pt>
                <c:pt idx="6">
                  <c:v>0,001091182</c:v>
                </c:pt>
                <c:pt idx="7">
                  <c:v>0,001273046</c:v>
                </c:pt>
                <c:pt idx="8">
                  <c:v>0,001454909</c:v>
                </c:pt>
                <c:pt idx="9">
                  <c:v>0,001636773</c:v>
                </c:pt>
                <c:pt idx="10">
                  <c:v>0,001818636</c:v>
                </c:pt>
                <c:pt idx="11">
                  <c:v>0,0020005</c:v>
                </c:pt>
                <c:pt idx="12">
                  <c:v>0,002182364</c:v>
                </c:pt>
                <c:pt idx="13">
                  <c:v>0,002364227</c:v>
                </c:pt>
                <c:pt idx="14">
                  <c:v>0,002546091</c:v>
                </c:pt>
                <c:pt idx="15">
                  <c:v>0,002727955</c:v>
                </c:pt>
                <c:pt idx="16">
                  <c:v>0,002909818</c:v>
                </c:pt>
                <c:pt idx="17">
                  <c:v>0,003091682</c:v>
                </c:pt>
                <c:pt idx="18">
                  <c:v>0,003273546</c:v>
                </c:pt>
                <c:pt idx="19">
                  <c:v>0,003455409</c:v>
                </c:pt>
                <c:pt idx="20">
                  <c:v>0,003637273</c:v>
                </c:pt>
                <c:pt idx="21">
                  <c:v>0,003819137</c:v>
                </c:pt>
                <c:pt idx="22">
                  <c:v>0,004001</c:v>
                </c:pt>
                <c:pt idx="23">
                  <c:v>0,004182864</c:v>
                </c:pt>
                <c:pt idx="24">
                  <c:v>0,004364728</c:v>
                </c:pt>
                <c:pt idx="25">
                  <c:v>0,004546591</c:v>
                </c:pt>
                <c:pt idx="26">
                  <c:v>0,004728455</c:v>
                </c:pt>
                <c:pt idx="27">
                  <c:v>0,004910318</c:v>
                </c:pt>
                <c:pt idx="28">
                  <c:v>0,005092182</c:v>
                </c:pt>
                <c:pt idx="29">
                  <c:v>0,005274046</c:v>
                </c:pt>
                <c:pt idx="30">
                  <c:v>0,005455909</c:v>
                </c:pt>
                <c:pt idx="31">
                  <c:v>0,005637773</c:v>
                </c:pt>
                <c:pt idx="32">
                  <c:v>0,005819637</c:v>
                </c:pt>
                <c:pt idx="33">
                  <c:v>0,0060015</c:v>
                </c:pt>
                <c:pt idx="34">
                  <c:v>0,006183364</c:v>
                </c:pt>
                <c:pt idx="35">
                  <c:v>0,006365228</c:v>
                </c:pt>
                <c:pt idx="36">
                  <c:v>0,006547091</c:v>
                </c:pt>
                <c:pt idx="37">
                  <c:v>0,006728955</c:v>
                </c:pt>
                <c:pt idx="38">
                  <c:v>0,006910819</c:v>
                </c:pt>
                <c:pt idx="39">
                  <c:v>0,007092682</c:v>
                </c:pt>
                <c:pt idx="40">
                  <c:v>0,007274546</c:v>
                </c:pt>
                <c:pt idx="41">
                  <c:v>0,00745641</c:v>
                </c:pt>
                <c:pt idx="42">
                  <c:v>0,007638273</c:v>
                </c:pt>
                <c:pt idx="43">
                  <c:v>0,007820137</c:v>
                </c:pt>
                <c:pt idx="44">
                  <c:v>0,008002001</c:v>
                </c:pt>
                <c:pt idx="45">
                  <c:v>0,008183864</c:v>
                </c:pt>
                <c:pt idx="46">
                  <c:v>0,008365728</c:v>
                </c:pt>
                <c:pt idx="47">
                  <c:v>0,008547591</c:v>
                </c:pt>
                <c:pt idx="48">
                  <c:v>0,008729455</c:v>
                </c:pt>
                <c:pt idx="49">
                  <c:v>0,008911319</c:v>
                </c:pt>
                <c:pt idx="50">
                  <c:v>0,009093182</c:v>
                </c:pt>
                <c:pt idx="51">
                  <c:v>0,009275046</c:v>
                </c:pt>
                <c:pt idx="52">
                  <c:v>0,00945691</c:v>
                </c:pt>
                <c:pt idx="53">
                  <c:v>0,009638773</c:v>
                </c:pt>
                <c:pt idx="54">
                  <c:v>0,009820637</c:v>
                </c:pt>
                <c:pt idx="55">
                  <c:v>0,010002501</c:v>
                </c:pt>
                <c:pt idx="56">
                  <c:v>0,010184364</c:v>
                </c:pt>
                <c:pt idx="57">
                  <c:v>0,010366228</c:v>
                </c:pt>
                <c:pt idx="58">
                  <c:v>0,010548092</c:v>
                </c:pt>
                <c:pt idx="59">
                  <c:v>0,010729955</c:v>
                </c:pt>
                <c:pt idx="60">
                  <c:v>0,010911819</c:v>
                </c:pt>
                <c:pt idx="61">
                  <c:v>0,011093683</c:v>
                </c:pt>
                <c:pt idx="62">
                  <c:v>0,011275546</c:v>
                </c:pt>
                <c:pt idx="63">
                  <c:v>0,01145741</c:v>
                </c:pt>
                <c:pt idx="64">
                  <c:v>0,011639273</c:v>
                </c:pt>
                <c:pt idx="65">
                  <c:v>0,011821137</c:v>
                </c:pt>
                <c:pt idx="66">
                  <c:v>0,012003001</c:v>
                </c:pt>
                <c:pt idx="67">
                  <c:v>0,012184864</c:v>
                </c:pt>
                <c:pt idx="68">
                  <c:v>0,012366728</c:v>
                </c:pt>
                <c:pt idx="69">
                  <c:v>0,012548592</c:v>
                </c:pt>
                <c:pt idx="70">
                  <c:v>0,012730455</c:v>
                </c:pt>
                <c:pt idx="71">
                  <c:v>0,012912319</c:v>
                </c:pt>
                <c:pt idx="72">
                  <c:v>0,013094183</c:v>
                </c:pt>
                <c:pt idx="73">
                  <c:v>0,013276046</c:v>
                </c:pt>
                <c:pt idx="74">
                  <c:v>0,01345791</c:v>
                </c:pt>
                <c:pt idx="75">
                  <c:v>0,013639774</c:v>
                </c:pt>
                <c:pt idx="76">
                  <c:v>0,013821637</c:v>
                </c:pt>
                <c:pt idx="77">
                  <c:v>0,014003501</c:v>
                </c:pt>
                <c:pt idx="78">
                  <c:v>0,014185365</c:v>
                </c:pt>
                <c:pt idx="79">
                  <c:v>0,014367228</c:v>
                </c:pt>
                <c:pt idx="80">
                  <c:v>0,014549092</c:v>
                </c:pt>
                <c:pt idx="81">
                  <c:v>0,014730955</c:v>
                </c:pt>
                <c:pt idx="82">
                  <c:v>0,014912819</c:v>
                </c:pt>
                <c:pt idx="83">
                  <c:v>0,015094683</c:v>
                </c:pt>
                <c:pt idx="84">
                  <c:v>0,015276546</c:v>
                </c:pt>
                <c:pt idx="85">
                  <c:v>0,01545841</c:v>
                </c:pt>
                <c:pt idx="86">
                  <c:v>0,015640274</c:v>
                </c:pt>
                <c:pt idx="87">
                  <c:v>0,015822137</c:v>
                </c:pt>
                <c:pt idx="88">
                  <c:v>0,016004001</c:v>
                </c:pt>
                <c:pt idx="89">
                  <c:v>0,016185865</c:v>
                </c:pt>
                <c:pt idx="90">
                  <c:v>0,016367728</c:v>
                </c:pt>
                <c:pt idx="91">
                  <c:v>0,016549592</c:v>
                </c:pt>
                <c:pt idx="92">
                  <c:v>0,016731456</c:v>
                </c:pt>
                <c:pt idx="93">
                  <c:v>0,016913319</c:v>
                </c:pt>
                <c:pt idx="94">
                  <c:v>0,017095183</c:v>
                </c:pt>
                <c:pt idx="95">
                  <c:v>0,017277047</c:v>
                </c:pt>
                <c:pt idx="96">
                  <c:v>0,01745891</c:v>
                </c:pt>
                <c:pt idx="97">
                  <c:v>0,017640774</c:v>
                </c:pt>
                <c:pt idx="98">
                  <c:v>0,017822637</c:v>
                </c:pt>
                <c:pt idx="99">
                  <c:v>0,018004501</c:v>
                </c:pt>
                <c:pt idx="100">
                  <c:v>0,018186365</c:v>
                </c:pt>
                <c:pt idx="101">
                  <c:v>0,018368228</c:v>
                </c:pt>
                <c:pt idx="102">
                  <c:v>0,018550092</c:v>
                </c:pt>
                <c:pt idx="103">
                  <c:v>0,018731956</c:v>
                </c:pt>
                <c:pt idx="104">
                  <c:v>0,018913819</c:v>
                </c:pt>
                <c:pt idx="105">
                  <c:v>0,019095683</c:v>
                </c:pt>
                <c:pt idx="106">
                  <c:v>0,019277547</c:v>
                </c:pt>
                <c:pt idx="107">
                  <c:v>0,01945941</c:v>
                </c:pt>
                <c:pt idx="108">
                  <c:v>0,019641274</c:v>
                </c:pt>
                <c:pt idx="109">
                  <c:v>0,019823138</c:v>
                </c:pt>
                <c:pt idx="110">
                  <c:v>0,020005001</c:v>
                </c:pt>
                <c:pt idx="111">
                  <c:v>0,020186865</c:v>
                </c:pt>
                <c:pt idx="112">
                  <c:v>0,020368729</c:v>
                </c:pt>
                <c:pt idx="113">
                  <c:v>0,020550592</c:v>
                </c:pt>
                <c:pt idx="114">
                  <c:v>0,020732456</c:v>
                </c:pt>
                <c:pt idx="115">
                  <c:v>0,020914319</c:v>
                </c:pt>
                <c:pt idx="116">
                  <c:v>0,021096183</c:v>
                </c:pt>
                <c:pt idx="117">
                  <c:v>0,021278047</c:v>
                </c:pt>
                <c:pt idx="118">
                  <c:v>0,02145991</c:v>
                </c:pt>
                <c:pt idx="119">
                  <c:v>0,021641774</c:v>
                </c:pt>
                <c:pt idx="120">
                  <c:v>0,021823638</c:v>
                </c:pt>
                <c:pt idx="121">
                  <c:v>0,022005501</c:v>
                </c:pt>
                <c:pt idx="122">
                  <c:v>0,022187365</c:v>
                </c:pt>
                <c:pt idx="123">
                  <c:v>0,022369229</c:v>
                </c:pt>
                <c:pt idx="124">
                  <c:v>0,022551092</c:v>
                </c:pt>
                <c:pt idx="125">
                  <c:v>0,022732956</c:v>
                </c:pt>
                <c:pt idx="126">
                  <c:v>0,02291482</c:v>
                </c:pt>
                <c:pt idx="127">
                  <c:v>0,023096683</c:v>
                </c:pt>
                <c:pt idx="128">
                  <c:v>0,023278547</c:v>
                </c:pt>
                <c:pt idx="129">
                  <c:v>0,023460411</c:v>
                </c:pt>
                <c:pt idx="130">
                  <c:v>0,023642274</c:v>
                </c:pt>
                <c:pt idx="131">
                  <c:v>0,023824138</c:v>
                </c:pt>
                <c:pt idx="132">
                  <c:v>0,024006002</c:v>
                </c:pt>
                <c:pt idx="133">
                  <c:v>0,024187865</c:v>
                </c:pt>
                <c:pt idx="134">
                  <c:v>0,024369729</c:v>
                </c:pt>
                <c:pt idx="135">
                  <c:v>0,024551592</c:v>
                </c:pt>
                <c:pt idx="136">
                  <c:v>0,024733456</c:v>
                </c:pt>
                <c:pt idx="137">
                  <c:v>0,02491532</c:v>
                </c:pt>
                <c:pt idx="138">
                  <c:v>0,025097183</c:v>
                </c:pt>
                <c:pt idx="139">
                  <c:v>0,025279047</c:v>
                </c:pt>
                <c:pt idx="140">
                  <c:v>0,025460911</c:v>
                </c:pt>
                <c:pt idx="141">
                  <c:v>0,025642774</c:v>
                </c:pt>
                <c:pt idx="142">
                  <c:v>0,025824638</c:v>
                </c:pt>
                <c:pt idx="143">
                  <c:v>0,026006502</c:v>
                </c:pt>
                <c:pt idx="144">
                  <c:v>0,026188365</c:v>
                </c:pt>
                <c:pt idx="145">
                  <c:v>0,026370229</c:v>
                </c:pt>
                <c:pt idx="146">
                  <c:v>0,026552093</c:v>
                </c:pt>
                <c:pt idx="147">
                  <c:v>0,026733956</c:v>
                </c:pt>
                <c:pt idx="148">
                  <c:v>0,02691582</c:v>
                </c:pt>
                <c:pt idx="149">
                  <c:v>0,027097684</c:v>
                </c:pt>
                <c:pt idx="150">
                  <c:v>0,027279547</c:v>
                </c:pt>
                <c:pt idx="151">
                  <c:v>0,027461411</c:v>
                </c:pt>
                <c:pt idx="152">
                  <c:v>0,027643274</c:v>
                </c:pt>
                <c:pt idx="153">
                  <c:v>0,027825138</c:v>
                </c:pt>
                <c:pt idx="154">
                  <c:v>0,028007002</c:v>
                </c:pt>
                <c:pt idx="155">
                  <c:v>0,028188865</c:v>
                </c:pt>
                <c:pt idx="156">
                  <c:v>0,028370729</c:v>
                </c:pt>
                <c:pt idx="157">
                  <c:v>0,028552593</c:v>
                </c:pt>
                <c:pt idx="158">
                  <c:v>0,028734456</c:v>
                </c:pt>
                <c:pt idx="159">
                  <c:v>0,02891632</c:v>
                </c:pt>
                <c:pt idx="160">
                  <c:v>0,029098184</c:v>
                </c:pt>
                <c:pt idx="161">
                  <c:v>0,029280047</c:v>
                </c:pt>
                <c:pt idx="162">
                  <c:v>0,029461911</c:v>
                </c:pt>
                <c:pt idx="163">
                  <c:v>0,029643775</c:v>
                </c:pt>
                <c:pt idx="164">
                  <c:v>0,029825638</c:v>
                </c:pt>
                <c:pt idx="165">
                  <c:v>0,030007502</c:v>
                </c:pt>
                <c:pt idx="166">
                  <c:v>0,030189366</c:v>
                </c:pt>
                <c:pt idx="167">
                  <c:v>0,030371229</c:v>
                </c:pt>
                <c:pt idx="168">
                  <c:v>0,030553093</c:v>
                </c:pt>
                <c:pt idx="169">
                  <c:v>0,030734956</c:v>
                </c:pt>
                <c:pt idx="170">
                  <c:v>0,03091682</c:v>
                </c:pt>
                <c:pt idx="171">
                  <c:v>0,031098684</c:v>
                </c:pt>
                <c:pt idx="172">
                  <c:v>0,031280547</c:v>
                </c:pt>
                <c:pt idx="173">
                  <c:v>0,031462411</c:v>
                </c:pt>
                <c:pt idx="174">
                  <c:v>0,031644275</c:v>
                </c:pt>
                <c:pt idx="175">
                  <c:v>0,031826138</c:v>
                </c:pt>
                <c:pt idx="176">
                  <c:v>0,032008002</c:v>
                </c:pt>
                <c:pt idx="177">
                  <c:v>0,032189866</c:v>
                </c:pt>
                <c:pt idx="178">
                  <c:v>0,032371729</c:v>
                </c:pt>
                <c:pt idx="179">
                  <c:v>0,032553593</c:v>
                </c:pt>
                <c:pt idx="180">
                  <c:v>0,032735457</c:v>
                </c:pt>
                <c:pt idx="181">
                  <c:v>0,03291732</c:v>
                </c:pt>
                <c:pt idx="182">
                  <c:v>0,033099184</c:v>
                </c:pt>
                <c:pt idx="183">
                  <c:v>0,033281048</c:v>
                </c:pt>
                <c:pt idx="184">
                  <c:v>0,033462911</c:v>
                </c:pt>
                <c:pt idx="185">
                  <c:v>0,033644775</c:v>
                </c:pt>
                <c:pt idx="186">
                  <c:v>0,033826638</c:v>
                </c:pt>
                <c:pt idx="187">
                  <c:v>0,034008502</c:v>
                </c:pt>
                <c:pt idx="188">
                  <c:v>0,034190366</c:v>
                </c:pt>
                <c:pt idx="189">
                  <c:v>0,034372229</c:v>
                </c:pt>
                <c:pt idx="190">
                  <c:v>0,034554093</c:v>
                </c:pt>
                <c:pt idx="191">
                  <c:v>0,034735957</c:v>
                </c:pt>
                <c:pt idx="192">
                  <c:v>0,03491782</c:v>
                </c:pt>
                <c:pt idx="193">
                  <c:v>0,035099684</c:v>
                </c:pt>
                <c:pt idx="194">
                  <c:v>0,035281548</c:v>
                </c:pt>
                <c:pt idx="195">
                  <c:v>0,035463411</c:v>
                </c:pt>
                <c:pt idx="196">
                  <c:v>0,035645275</c:v>
                </c:pt>
                <c:pt idx="197">
                  <c:v>0,035827139</c:v>
                </c:pt>
                <c:pt idx="198">
                  <c:v>0,036009002</c:v>
                </c:pt>
                <c:pt idx="199">
                  <c:v>0,036190866</c:v>
                </c:pt>
                <c:pt idx="200">
                  <c:v>0,03637273</c:v>
                </c:pt>
                <c:pt idx="201">
                  <c:v>0,036554593</c:v>
                </c:pt>
                <c:pt idx="202">
                  <c:v>0,036736457</c:v>
                </c:pt>
                <c:pt idx="203">
                  <c:v>0,03691832</c:v>
                </c:pt>
                <c:pt idx="204">
                  <c:v>0,037100184</c:v>
                </c:pt>
                <c:pt idx="205">
                  <c:v>0,037282048</c:v>
                </c:pt>
                <c:pt idx="206">
                  <c:v>0,037463911</c:v>
                </c:pt>
                <c:pt idx="207">
                  <c:v>0,037645775</c:v>
                </c:pt>
                <c:pt idx="208">
                  <c:v>0,037827639</c:v>
                </c:pt>
                <c:pt idx="209">
                  <c:v>0,038009502</c:v>
                </c:pt>
                <c:pt idx="210">
                  <c:v>0,038191366</c:v>
                </c:pt>
                <c:pt idx="211">
                  <c:v>0,03837323</c:v>
                </c:pt>
                <c:pt idx="212">
                  <c:v>0,038555093</c:v>
                </c:pt>
                <c:pt idx="213">
                  <c:v>0,038736957</c:v>
                </c:pt>
                <c:pt idx="214">
                  <c:v>0,038918821</c:v>
                </c:pt>
                <c:pt idx="215">
                  <c:v>0,039100684</c:v>
                </c:pt>
                <c:pt idx="216">
                  <c:v>0,039282548</c:v>
                </c:pt>
                <c:pt idx="217">
                  <c:v>0,039464412</c:v>
                </c:pt>
                <c:pt idx="218">
                  <c:v>0,039646275</c:v>
                </c:pt>
                <c:pt idx="219">
                  <c:v>0,039828139</c:v>
                </c:pt>
                <c:pt idx="220">
                  <c:v>0,040010003</c:v>
                </c:pt>
                <c:pt idx="221">
                  <c:v>0,040191866</c:v>
                </c:pt>
                <c:pt idx="222">
                  <c:v>0,04037373</c:v>
                </c:pt>
                <c:pt idx="223">
                  <c:v>0,040555593</c:v>
                </c:pt>
                <c:pt idx="224">
                  <c:v>0,040737457</c:v>
                </c:pt>
                <c:pt idx="225">
                  <c:v>0,040919321</c:v>
                </c:pt>
                <c:pt idx="226">
                  <c:v>0,041101184</c:v>
                </c:pt>
                <c:pt idx="227">
                  <c:v>0,041283048</c:v>
                </c:pt>
                <c:pt idx="228">
                  <c:v>0,041464912</c:v>
                </c:pt>
                <c:pt idx="229">
                  <c:v>0,041646775</c:v>
                </c:pt>
                <c:pt idx="230">
                  <c:v>0,041828639</c:v>
                </c:pt>
                <c:pt idx="231">
                  <c:v>0,042010503</c:v>
                </c:pt>
                <c:pt idx="232">
                  <c:v>0,042192366</c:v>
                </c:pt>
                <c:pt idx="233">
                  <c:v>0,04237423</c:v>
                </c:pt>
                <c:pt idx="234">
                  <c:v>0,042556094</c:v>
                </c:pt>
                <c:pt idx="235">
                  <c:v>0,042737957</c:v>
                </c:pt>
                <c:pt idx="236">
                  <c:v>0,042919821</c:v>
                </c:pt>
                <c:pt idx="237">
                  <c:v>0,043101685</c:v>
                </c:pt>
                <c:pt idx="238">
                  <c:v>0,043283548</c:v>
                </c:pt>
                <c:pt idx="239">
                  <c:v>0,043465412</c:v>
                </c:pt>
                <c:pt idx="240">
                  <c:v>0,043647275</c:v>
                </c:pt>
                <c:pt idx="241">
                  <c:v>0,043829139</c:v>
                </c:pt>
                <c:pt idx="242">
                  <c:v>0,044011003</c:v>
                </c:pt>
                <c:pt idx="243">
                  <c:v>0,044192866</c:v>
                </c:pt>
                <c:pt idx="244">
                  <c:v>0,04437473</c:v>
                </c:pt>
                <c:pt idx="245">
                  <c:v>0,044556594</c:v>
                </c:pt>
                <c:pt idx="246">
                  <c:v>0,044738457</c:v>
                </c:pt>
                <c:pt idx="247">
                  <c:v>0,044920321</c:v>
                </c:pt>
                <c:pt idx="248">
                  <c:v>0,045102185</c:v>
                </c:pt>
                <c:pt idx="249">
                  <c:v>0,045284048</c:v>
                </c:pt>
                <c:pt idx="250">
                  <c:v>0,045465912</c:v>
                </c:pt>
                <c:pt idx="251">
                  <c:v>0,045647776</c:v>
                </c:pt>
                <c:pt idx="252">
                  <c:v>0,045829639</c:v>
                </c:pt>
                <c:pt idx="253">
                  <c:v>0,046011503</c:v>
                </c:pt>
                <c:pt idx="254">
                  <c:v>0,046193367</c:v>
                </c:pt>
                <c:pt idx="255">
                  <c:v>0,04637523</c:v>
                </c:pt>
                <c:pt idx="256">
                  <c:v>0,046557094</c:v>
                </c:pt>
                <c:pt idx="257">
                  <c:v>0,046738957</c:v>
                </c:pt>
                <c:pt idx="258">
                  <c:v>0,046920821</c:v>
                </c:pt>
                <c:pt idx="259">
                  <c:v>0,047102685</c:v>
                </c:pt>
                <c:pt idx="260">
                  <c:v>0,047284548</c:v>
                </c:pt>
                <c:pt idx="261">
                  <c:v>0,047466412</c:v>
                </c:pt>
                <c:pt idx="262">
                  <c:v>0,047648276</c:v>
                </c:pt>
                <c:pt idx="263">
                  <c:v>0,047830139</c:v>
                </c:pt>
                <c:pt idx="264">
                  <c:v>0,048012003</c:v>
                </c:pt>
                <c:pt idx="265">
                  <c:v>0,048193867</c:v>
                </c:pt>
                <c:pt idx="266">
                  <c:v>0,04837573</c:v>
                </c:pt>
                <c:pt idx="267">
                  <c:v>0,048557594</c:v>
                </c:pt>
                <c:pt idx="268">
                  <c:v>0,048739458</c:v>
                </c:pt>
                <c:pt idx="269">
                  <c:v>0,048921321</c:v>
                </c:pt>
                <c:pt idx="270">
                  <c:v>0,049103185</c:v>
                </c:pt>
                <c:pt idx="271">
                  <c:v>0,049285049</c:v>
                </c:pt>
                <c:pt idx="272">
                  <c:v>0,049466912</c:v>
                </c:pt>
                <c:pt idx="273">
                  <c:v>0,049648776</c:v>
                </c:pt>
                <c:pt idx="274">
                  <c:v>0,049830639</c:v>
                </c:pt>
                <c:pt idx="275">
                  <c:v>0,050012503</c:v>
                </c:pt>
                <c:pt idx="276">
                  <c:v>0,050194367</c:v>
                </c:pt>
                <c:pt idx="277">
                  <c:v>0,05037623</c:v>
                </c:pt>
                <c:pt idx="278">
                  <c:v>0,050558094</c:v>
                </c:pt>
                <c:pt idx="279">
                  <c:v>0,050739958</c:v>
                </c:pt>
                <c:pt idx="280">
                  <c:v>0,050921821</c:v>
                </c:pt>
                <c:pt idx="281">
                  <c:v>0,051103685</c:v>
                </c:pt>
                <c:pt idx="282">
                  <c:v>0,051285549</c:v>
                </c:pt>
                <c:pt idx="283">
                  <c:v>0,051467412</c:v>
                </c:pt>
                <c:pt idx="284">
                  <c:v>0,051649276</c:v>
                </c:pt>
                <c:pt idx="285">
                  <c:v>0,05183114</c:v>
                </c:pt>
                <c:pt idx="286">
                  <c:v>0,052013003</c:v>
                </c:pt>
                <c:pt idx="287">
                  <c:v>0,052194867</c:v>
                </c:pt>
                <c:pt idx="288">
                  <c:v>0,052376731</c:v>
                </c:pt>
                <c:pt idx="289">
                  <c:v>0,052558594</c:v>
                </c:pt>
                <c:pt idx="290">
                  <c:v>0,052740458</c:v>
                </c:pt>
                <c:pt idx="291">
                  <c:v>0,052922321</c:v>
                </c:pt>
                <c:pt idx="292">
                  <c:v>0,053104185</c:v>
                </c:pt>
                <c:pt idx="293">
                  <c:v>0,053286049</c:v>
                </c:pt>
                <c:pt idx="294">
                  <c:v>0,053467912</c:v>
                </c:pt>
                <c:pt idx="295">
                  <c:v>0,053649776</c:v>
                </c:pt>
                <c:pt idx="296">
                  <c:v>0,05383164</c:v>
                </c:pt>
                <c:pt idx="297">
                  <c:v>0,054013503</c:v>
                </c:pt>
                <c:pt idx="298">
                  <c:v>0,054195367</c:v>
                </c:pt>
                <c:pt idx="299">
                  <c:v>0,054377231</c:v>
                </c:pt>
                <c:pt idx="300">
                  <c:v>0,054559094</c:v>
                </c:pt>
                <c:pt idx="301">
                  <c:v>0,054740958</c:v>
                </c:pt>
                <c:pt idx="302">
                  <c:v>0,054922822</c:v>
                </c:pt>
                <c:pt idx="303">
                  <c:v>0,055104685</c:v>
                </c:pt>
                <c:pt idx="304">
                  <c:v>0,055286549</c:v>
                </c:pt>
                <c:pt idx="305">
                  <c:v>0,055468413</c:v>
                </c:pt>
                <c:pt idx="306">
                  <c:v>0,055650276</c:v>
                </c:pt>
                <c:pt idx="307">
                  <c:v>0,05583214</c:v>
                </c:pt>
                <c:pt idx="308">
                  <c:v>0,056014004</c:v>
                </c:pt>
                <c:pt idx="309">
                  <c:v>0,056195867</c:v>
                </c:pt>
                <c:pt idx="310">
                  <c:v>0,056377731</c:v>
                </c:pt>
                <c:pt idx="311">
                  <c:v>0,056559594</c:v>
                </c:pt>
                <c:pt idx="312">
                  <c:v>0,056741458</c:v>
                </c:pt>
                <c:pt idx="313">
                  <c:v>0,056923322</c:v>
                </c:pt>
                <c:pt idx="314">
                  <c:v>0,057105185</c:v>
                </c:pt>
                <c:pt idx="315">
                  <c:v>0,057287049</c:v>
                </c:pt>
                <c:pt idx="316">
                  <c:v>0,057468913</c:v>
                </c:pt>
                <c:pt idx="317">
                  <c:v>0,057650776</c:v>
                </c:pt>
                <c:pt idx="318">
                  <c:v>0,05783264</c:v>
                </c:pt>
                <c:pt idx="319">
                  <c:v>0,058014504</c:v>
                </c:pt>
                <c:pt idx="320">
                  <c:v>0,058196367</c:v>
                </c:pt>
                <c:pt idx="321">
                  <c:v>0,058378231</c:v>
                </c:pt>
                <c:pt idx="322">
                  <c:v>0,058560095</c:v>
                </c:pt>
                <c:pt idx="323">
                  <c:v>0,058741958</c:v>
                </c:pt>
                <c:pt idx="324">
                  <c:v>0,058923822</c:v>
                </c:pt>
                <c:pt idx="325">
                  <c:v>0,059105686</c:v>
                </c:pt>
                <c:pt idx="326">
                  <c:v>0,059287549</c:v>
                </c:pt>
                <c:pt idx="327">
                  <c:v>0,059469413</c:v>
                </c:pt>
                <c:pt idx="328">
                  <c:v>0,059651276</c:v>
                </c:pt>
                <c:pt idx="329">
                  <c:v>0,05983314</c:v>
                </c:pt>
                <c:pt idx="330">
                  <c:v>0,060015004</c:v>
                </c:pt>
                <c:pt idx="331">
                  <c:v>0,060196867</c:v>
                </c:pt>
                <c:pt idx="332">
                  <c:v>0,060378731</c:v>
                </c:pt>
                <c:pt idx="333">
                  <c:v>0,060560595</c:v>
                </c:pt>
                <c:pt idx="334">
                  <c:v>0,060742458</c:v>
                </c:pt>
                <c:pt idx="335">
                  <c:v>0,060924322</c:v>
                </c:pt>
                <c:pt idx="336">
                  <c:v>0,061106186</c:v>
                </c:pt>
                <c:pt idx="337">
                  <c:v>0,061288049</c:v>
                </c:pt>
                <c:pt idx="338">
                  <c:v>0,061469913</c:v>
                </c:pt>
                <c:pt idx="339">
                  <c:v>0,061651777</c:v>
                </c:pt>
                <c:pt idx="340">
                  <c:v>0,06183364</c:v>
                </c:pt>
                <c:pt idx="341">
                  <c:v>0,062015504</c:v>
                </c:pt>
                <c:pt idx="342">
                  <c:v>0,062197368</c:v>
                </c:pt>
                <c:pt idx="343">
                  <c:v>0,062379231</c:v>
                </c:pt>
                <c:pt idx="344">
                  <c:v>0,062561095</c:v>
                </c:pt>
                <c:pt idx="345">
                  <c:v>0,062742958</c:v>
                </c:pt>
                <c:pt idx="346">
                  <c:v>0,062924822</c:v>
                </c:pt>
                <c:pt idx="347">
                  <c:v>0,063106686</c:v>
                </c:pt>
                <c:pt idx="348">
                  <c:v>0,063288549</c:v>
                </c:pt>
                <c:pt idx="349">
                  <c:v>0,063470413</c:v>
                </c:pt>
                <c:pt idx="350">
                  <c:v>0,063652277</c:v>
                </c:pt>
                <c:pt idx="351">
                  <c:v>0,06383414</c:v>
                </c:pt>
                <c:pt idx="352">
                  <c:v>0,064016004</c:v>
                </c:pt>
                <c:pt idx="353">
                  <c:v>0,064197868</c:v>
                </c:pt>
                <c:pt idx="354">
                  <c:v>0,064379731</c:v>
                </c:pt>
                <c:pt idx="355">
                  <c:v>0,064561595</c:v>
                </c:pt>
                <c:pt idx="356">
                  <c:v>0,064743459</c:v>
                </c:pt>
                <c:pt idx="357">
                  <c:v>0,064925322</c:v>
                </c:pt>
                <c:pt idx="358">
                  <c:v>0,065107186</c:v>
                </c:pt>
                <c:pt idx="359">
                  <c:v>0,06528905</c:v>
                </c:pt>
                <c:pt idx="360">
                  <c:v>0,065470913</c:v>
                </c:pt>
                <c:pt idx="361">
                  <c:v>0,065652777</c:v>
                </c:pt>
                <c:pt idx="362">
                  <c:v>0,06583464</c:v>
                </c:pt>
                <c:pt idx="363">
                  <c:v>0,066016504</c:v>
                </c:pt>
                <c:pt idx="364">
                  <c:v>0,066198368</c:v>
                </c:pt>
                <c:pt idx="365">
                  <c:v>0,066380231</c:v>
                </c:pt>
                <c:pt idx="366">
                  <c:v>0,066562095</c:v>
                </c:pt>
                <c:pt idx="367">
                  <c:v>0,066743959</c:v>
                </c:pt>
                <c:pt idx="368">
                  <c:v>0,066925822</c:v>
                </c:pt>
                <c:pt idx="369">
                  <c:v>0,067107686</c:v>
                </c:pt>
                <c:pt idx="370">
                  <c:v>0,06728955</c:v>
                </c:pt>
                <c:pt idx="371">
                  <c:v>0,067471413</c:v>
                </c:pt>
                <c:pt idx="372">
                  <c:v>0,067653277</c:v>
                </c:pt>
                <c:pt idx="373">
                  <c:v>0,067835141</c:v>
                </c:pt>
                <c:pt idx="374">
                  <c:v>0,068017004</c:v>
                </c:pt>
                <c:pt idx="375">
                  <c:v>0,068198868</c:v>
                </c:pt>
                <c:pt idx="376">
                  <c:v>0,068380732</c:v>
                </c:pt>
                <c:pt idx="377">
                  <c:v>0,068562595</c:v>
                </c:pt>
                <c:pt idx="378">
                  <c:v>0,068744459</c:v>
                </c:pt>
                <c:pt idx="379">
                  <c:v>0,068926322</c:v>
                </c:pt>
                <c:pt idx="380">
                  <c:v>0,069108186</c:v>
                </c:pt>
                <c:pt idx="381">
                  <c:v>0,06929005</c:v>
                </c:pt>
                <c:pt idx="382">
                  <c:v>0,069471913</c:v>
                </c:pt>
                <c:pt idx="383">
                  <c:v>0,069653777</c:v>
                </c:pt>
                <c:pt idx="384">
                  <c:v>0,069835641</c:v>
                </c:pt>
                <c:pt idx="385">
                  <c:v>0,070017504</c:v>
                </c:pt>
                <c:pt idx="386">
                  <c:v>0,070199368</c:v>
                </c:pt>
                <c:pt idx="387">
                  <c:v>0,070381232</c:v>
                </c:pt>
                <c:pt idx="388">
                  <c:v>0,070563095</c:v>
                </c:pt>
                <c:pt idx="389">
                  <c:v>0,070744959</c:v>
                </c:pt>
                <c:pt idx="390">
                  <c:v>0,070926823</c:v>
                </c:pt>
                <c:pt idx="391">
                  <c:v>0,071108686</c:v>
                </c:pt>
                <c:pt idx="392">
                  <c:v>0,07129055</c:v>
                </c:pt>
                <c:pt idx="393">
                  <c:v>0,071472414</c:v>
                </c:pt>
                <c:pt idx="394">
                  <c:v>0,071654277</c:v>
                </c:pt>
                <c:pt idx="395">
                  <c:v>0,071836141</c:v>
                </c:pt>
                <c:pt idx="396">
                  <c:v>0,072018005</c:v>
                </c:pt>
                <c:pt idx="397">
                  <c:v>0,072199868</c:v>
                </c:pt>
                <c:pt idx="398">
                  <c:v>0,072381732</c:v>
                </c:pt>
                <c:pt idx="399">
                  <c:v>0,072563595</c:v>
                </c:pt>
                <c:pt idx="400">
                  <c:v>0,072745459</c:v>
                </c:pt>
                <c:pt idx="401">
                  <c:v>0,072927323</c:v>
                </c:pt>
                <c:pt idx="402">
                  <c:v>0,073109186</c:v>
                </c:pt>
                <c:pt idx="403">
                  <c:v>0,07329105</c:v>
                </c:pt>
                <c:pt idx="404">
                  <c:v>0,073472914</c:v>
                </c:pt>
                <c:pt idx="405">
                  <c:v>0,073654777</c:v>
                </c:pt>
                <c:pt idx="406">
                  <c:v>0,073836641</c:v>
                </c:pt>
                <c:pt idx="407">
                  <c:v>0,074018505</c:v>
                </c:pt>
                <c:pt idx="408">
                  <c:v>0,074200368</c:v>
                </c:pt>
                <c:pt idx="409">
                  <c:v>0,074382232</c:v>
                </c:pt>
                <c:pt idx="410">
                  <c:v>0,074564096</c:v>
                </c:pt>
                <c:pt idx="411">
                  <c:v>0,074745959</c:v>
                </c:pt>
                <c:pt idx="412">
                  <c:v>0,074927823</c:v>
                </c:pt>
                <c:pt idx="413">
                  <c:v>0,075109687</c:v>
                </c:pt>
                <c:pt idx="414">
                  <c:v>0,07529155</c:v>
                </c:pt>
                <c:pt idx="415">
                  <c:v>0,075473414</c:v>
                </c:pt>
                <c:pt idx="416">
                  <c:v>0,075655277</c:v>
                </c:pt>
                <c:pt idx="417">
                  <c:v>0,075837141</c:v>
                </c:pt>
                <c:pt idx="418">
                  <c:v>0,076019005</c:v>
                </c:pt>
                <c:pt idx="419">
                  <c:v>0,076200868</c:v>
                </c:pt>
                <c:pt idx="420">
                  <c:v>0,076382732</c:v>
                </c:pt>
                <c:pt idx="421">
                  <c:v>0,076564596</c:v>
                </c:pt>
                <c:pt idx="422">
                  <c:v>0,076746459</c:v>
                </c:pt>
                <c:pt idx="423">
                  <c:v>0,076928323</c:v>
                </c:pt>
                <c:pt idx="424">
                  <c:v>0,077110187</c:v>
                </c:pt>
                <c:pt idx="425">
                  <c:v>0,07729205</c:v>
                </c:pt>
                <c:pt idx="426">
                  <c:v>0,077473914</c:v>
                </c:pt>
                <c:pt idx="427">
                  <c:v>0,077655778</c:v>
                </c:pt>
                <c:pt idx="428">
                  <c:v>0,077837641</c:v>
                </c:pt>
                <c:pt idx="429">
                  <c:v>0,078019505</c:v>
                </c:pt>
                <c:pt idx="430">
                  <c:v>0,078201369</c:v>
                </c:pt>
                <c:pt idx="431">
                  <c:v>0,078383232</c:v>
                </c:pt>
                <c:pt idx="432">
                  <c:v>0,078565096</c:v>
                </c:pt>
                <c:pt idx="433">
                  <c:v>0,078746959</c:v>
                </c:pt>
                <c:pt idx="434">
                  <c:v>0,078928823</c:v>
                </c:pt>
                <c:pt idx="435">
                  <c:v>0,079110687</c:v>
                </c:pt>
                <c:pt idx="436">
                  <c:v>0,07929255</c:v>
                </c:pt>
                <c:pt idx="437">
                  <c:v>0,079474414</c:v>
                </c:pt>
                <c:pt idx="438">
                  <c:v>0,079656278</c:v>
                </c:pt>
                <c:pt idx="439">
                  <c:v>0,079838141</c:v>
                </c:pt>
                <c:pt idx="440">
                  <c:v>0,080020005</c:v>
                </c:pt>
                <c:pt idx="441">
                  <c:v>0,080201869</c:v>
                </c:pt>
                <c:pt idx="442">
                  <c:v>0,080383732</c:v>
                </c:pt>
                <c:pt idx="443">
                  <c:v>0,080565596</c:v>
                </c:pt>
                <c:pt idx="444">
                  <c:v>0,08074746</c:v>
                </c:pt>
                <c:pt idx="445">
                  <c:v>0,080929323</c:v>
                </c:pt>
                <c:pt idx="446">
                  <c:v>0,081111187</c:v>
                </c:pt>
                <c:pt idx="447">
                  <c:v>0,081293051</c:v>
                </c:pt>
                <c:pt idx="448">
                  <c:v>0,081474914</c:v>
                </c:pt>
                <c:pt idx="449">
                  <c:v>0,081656778</c:v>
                </c:pt>
                <c:pt idx="450">
                  <c:v>0,081838641</c:v>
                </c:pt>
                <c:pt idx="451">
                  <c:v>0,082020505</c:v>
                </c:pt>
                <c:pt idx="452">
                  <c:v>0,082202369</c:v>
                </c:pt>
                <c:pt idx="453">
                  <c:v>0,082384232</c:v>
                </c:pt>
                <c:pt idx="454">
                  <c:v>0,082566096</c:v>
                </c:pt>
                <c:pt idx="455">
                  <c:v>0,08274796</c:v>
                </c:pt>
                <c:pt idx="456">
                  <c:v>0,082929823</c:v>
                </c:pt>
                <c:pt idx="457">
                  <c:v>0,083111687</c:v>
                </c:pt>
                <c:pt idx="458">
                  <c:v>0,083293551</c:v>
                </c:pt>
                <c:pt idx="459">
                  <c:v>0,083475414</c:v>
                </c:pt>
                <c:pt idx="460">
                  <c:v>0,083657278</c:v>
                </c:pt>
                <c:pt idx="461">
                  <c:v>0,083839142</c:v>
                </c:pt>
                <c:pt idx="462">
                  <c:v>0,084021005</c:v>
                </c:pt>
                <c:pt idx="463">
                  <c:v>0,084202869</c:v>
                </c:pt>
                <c:pt idx="464">
                  <c:v>0,084384733</c:v>
                </c:pt>
                <c:pt idx="465">
                  <c:v>0,084566596</c:v>
                </c:pt>
                <c:pt idx="466">
                  <c:v>0,08474846</c:v>
                </c:pt>
                <c:pt idx="467">
                  <c:v>0,084930323</c:v>
                </c:pt>
                <c:pt idx="468">
                  <c:v>0,085112187</c:v>
                </c:pt>
                <c:pt idx="469">
                  <c:v>0,085294051</c:v>
                </c:pt>
                <c:pt idx="470">
                  <c:v>0,085475914</c:v>
                </c:pt>
                <c:pt idx="471">
                  <c:v>0,085657778</c:v>
                </c:pt>
                <c:pt idx="472">
                  <c:v>0,085839642</c:v>
                </c:pt>
                <c:pt idx="473">
                  <c:v>0,086021505</c:v>
                </c:pt>
                <c:pt idx="474">
                  <c:v>0,086203369</c:v>
                </c:pt>
                <c:pt idx="475">
                  <c:v>0,086385233</c:v>
                </c:pt>
                <c:pt idx="476">
                  <c:v>0,086567096</c:v>
                </c:pt>
                <c:pt idx="477">
                  <c:v>0,08674896</c:v>
                </c:pt>
                <c:pt idx="478">
                  <c:v>0,086930824</c:v>
                </c:pt>
                <c:pt idx="479">
                  <c:v>0,087112687</c:v>
                </c:pt>
                <c:pt idx="480">
                  <c:v>0,087294551</c:v>
                </c:pt>
                <c:pt idx="481">
                  <c:v>0,087476415</c:v>
                </c:pt>
                <c:pt idx="482">
                  <c:v>0,087658278</c:v>
                </c:pt>
                <c:pt idx="483">
                  <c:v>0,087840142</c:v>
                </c:pt>
                <c:pt idx="484">
                  <c:v>0,088022006</c:v>
                </c:pt>
                <c:pt idx="485">
                  <c:v>0,088203869</c:v>
                </c:pt>
                <c:pt idx="486">
                  <c:v>0,088385733</c:v>
                </c:pt>
                <c:pt idx="487">
                  <c:v>0,088567596</c:v>
                </c:pt>
                <c:pt idx="488">
                  <c:v>0,08874946</c:v>
                </c:pt>
                <c:pt idx="489">
                  <c:v>0,088931324</c:v>
                </c:pt>
                <c:pt idx="490">
                  <c:v>0,089113187</c:v>
                </c:pt>
                <c:pt idx="491">
                  <c:v>0,089295051</c:v>
                </c:pt>
                <c:pt idx="492">
                  <c:v>0,089476915</c:v>
                </c:pt>
                <c:pt idx="493">
                  <c:v>0,089658778</c:v>
                </c:pt>
                <c:pt idx="494">
                  <c:v>0,089840642</c:v>
                </c:pt>
                <c:pt idx="495">
                  <c:v>0,090022506</c:v>
                </c:pt>
                <c:pt idx="496">
                  <c:v>0,090204369</c:v>
                </c:pt>
                <c:pt idx="497">
                  <c:v>0,090386233</c:v>
                </c:pt>
                <c:pt idx="498">
                  <c:v>0,090568097</c:v>
                </c:pt>
                <c:pt idx="499">
                  <c:v>0,09074996</c:v>
                </c:pt>
                <c:pt idx="500">
                  <c:v>0,090931824</c:v>
                </c:pt>
                <c:pt idx="501">
                  <c:v>0,091113688</c:v>
                </c:pt>
                <c:pt idx="502">
                  <c:v>0,091295551</c:v>
                </c:pt>
                <c:pt idx="503">
                  <c:v>0,091477415</c:v>
                </c:pt>
                <c:pt idx="504">
                  <c:v>0,091659278</c:v>
                </c:pt>
                <c:pt idx="505">
                  <c:v>0,091841142</c:v>
                </c:pt>
                <c:pt idx="506">
                  <c:v>0,092023006</c:v>
                </c:pt>
                <c:pt idx="507">
                  <c:v>0,092204869</c:v>
                </c:pt>
                <c:pt idx="508">
                  <c:v>0,092386733</c:v>
                </c:pt>
                <c:pt idx="509">
                  <c:v>0,092568597</c:v>
                </c:pt>
                <c:pt idx="510">
                  <c:v>0,09275046</c:v>
                </c:pt>
                <c:pt idx="511">
                  <c:v>0,092932324</c:v>
                </c:pt>
                <c:pt idx="512">
                  <c:v>0,093114188</c:v>
                </c:pt>
                <c:pt idx="513">
                  <c:v>0,093296051</c:v>
                </c:pt>
                <c:pt idx="514">
                  <c:v>0,093477915</c:v>
                </c:pt>
                <c:pt idx="515">
                  <c:v>0,093659779</c:v>
                </c:pt>
                <c:pt idx="516">
                  <c:v>0,093841642</c:v>
                </c:pt>
                <c:pt idx="517">
                  <c:v>0,094023506</c:v>
                </c:pt>
                <c:pt idx="518">
                  <c:v>0,09420537</c:v>
                </c:pt>
                <c:pt idx="519">
                  <c:v>0,094387233</c:v>
                </c:pt>
                <c:pt idx="520">
                  <c:v>0,094569097</c:v>
                </c:pt>
                <c:pt idx="521">
                  <c:v>0,09475096</c:v>
                </c:pt>
                <c:pt idx="522">
                  <c:v>0,094932824</c:v>
                </c:pt>
                <c:pt idx="523">
                  <c:v>0,095114688</c:v>
                </c:pt>
                <c:pt idx="524">
                  <c:v>0,095296551</c:v>
                </c:pt>
                <c:pt idx="525">
                  <c:v>0,095478415</c:v>
                </c:pt>
                <c:pt idx="526">
                  <c:v>0,095660279</c:v>
                </c:pt>
                <c:pt idx="527">
                  <c:v>0,095842142</c:v>
                </c:pt>
                <c:pt idx="528">
                  <c:v>0,096024006</c:v>
                </c:pt>
                <c:pt idx="529">
                  <c:v>0,09620587</c:v>
                </c:pt>
                <c:pt idx="530">
                  <c:v>0,096387733</c:v>
                </c:pt>
                <c:pt idx="531">
                  <c:v>0,096569597</c:v>
                </c:pt>
                <c:pt idx="532">
                  <c:v>0,096751461</c:v>
                </c:pt>
                <c:pt idx="533">
                  <c:v>0,096933324</c:v>
                </c:pt>
                <c:pt idx="534">
                  <c:v>0,097115188</c:v>
                </c:pt>
                <c:pt idx="535">
                  <c:v>0,097297052</c:v>
                </c:pt>
                <c:pt idx="536">
                  <c:v>0,097478915</c:v>
                </c:pt>
                <c:pt idx="537">
                  <c:v>0,097660779</c:v>
                </c:pt>
                <c:pt idx="538">
                  <c:v>0,097842642</c:v>
                </c:pt>
                <c:pt idx="539">
                  <c:v>0,098024506</c:v>
                </c:pt>
                <c:pt idx="540">
                  <c:v>0,09820637</c:v>
                </c:pt>
                <c:pt idx="541">
                  <c:v>0,098388233</c:v>
                </c:pt>
                <c:pt idx="542">
                  <c:v>0,098570097</c:v>
                </c:pt>
                <c:pt idx="543">
                  <c:v>0,098751961</c:v>
                </c:pt>
                <c:pt idx="544">
                  <c:v>0,098933824</c:v>
                </c:pt>
                <c:pt idx="545">
                  <c:v>0,099115688</c:v>
                </c:pt>
                <c:pt idx="546">
                  <c:v>0,099297552</c:v>
                </c:pt>
                <c:pt idx="547">
                  <c:v>0,099479415</c:v>
                </c:pt>
                <c:pt idx="548">
                  <c:v>0,099661279</c:v>
                </c:pt>
                <c:pt idx="549">
                  <c:v>0,099843143</c:v>
                </c:pt>
                <c:pt idx="550">
                  <c:v>0,100025006</c:v>
                </c:pt>
                <c:pt idx="551">
                  <c:v>0,10020687</c:v>
                </c:pt>
                <c:pt idx="552">
                  <c:v>0,100388734</c:v>
                </c:pt>
                <c:pt idx="553">
                  <c:v>0,100570597</c:v>
                </c:pt>
                <c:pt idx="554">
                  <c:v>0,100752461</c:v>
                </c:pt>
                <c:pt idx="555">
                  <c:v>0,100934324</c:v>
                </c:pt>
                <c:pt idx="556">
                  <c:v>0,101116188</c:v>
                </c:pt>
                <c:pt idx="557">
                  <c:v>0,101298052</c:v>
                </c:pt>
                <c:pt idx="558">
                  <c:v>0,101479915</c:v>
                </c:pt>
                <c:pt idx="559">
                  <c:v>0,101661779</c:v>
                </c:pt>
                <c:pt idx="560">
                  <c:v>0,101843643</c:v>
                </c:pt>
                <c:pt idx="561">
                  <c:v>0,102025506</c:v>
                </c:pt>
                <c:pt idx="562">
                  <c:v>0,10220737</c:v>
                </c:pt>
                <c:pt idx="563">
                  <c:v>0,102389234</c:v>
                </c:pt>
                <c:pt idx="564">
                  <c:v>0,102571097</c:v>
                </c:pt>
                <c:pt idx="565">
                  <c:v>0,102752961</c:v>
                </c:pt>
                <c:pt idx="566">
                  <c:v>0,102934825</c:v>
                </c:pt>
                <c:pt idx="567">
                  <c:v>0,103116688</c:v>
                </c:pt>
                <c:pt idx="568">
                  <c:v>0,103298552</c:v>
                </c:pt>
                <c:pt idx="569">
                  <c:v>0,103480416</c:v>
                </c:pt>
                <c:pt idx="570">
                  <c:v>0,103662279</c:v>
                </c:pt>
                <c:pt idx="571">
                  <c:v>0,103844143</c:v>
                </c:pt>
                <c:pt idx="572">
                  <c:v>0,104026007</c:v>
                </c:pt>
                <c:pt idx="573">
                  <c:v>0,10420787</c:v>
                </c:pt>
                <c:pt idx="574">
                  <c:v>0,104389734</c:v>
                </c:pt>
                <c:pt idx="575">
                  <c:v>0,104571597</c:v>
                </c:pt>
                <c:pt idx="576">
                  <c:v>0,104753461</c:v>
                </c:pt>
                <c:pt idx="577">
                  <c:v>0,104935325</c:v>
                </c:pt>
                <c:pt idx="578">
                  <c:v>0,105117188</c:v>
                </c:pt>
                <c:pt idx="579">
                  <c:v>0,105299052</c:v>
                </c:pt>
                <c:pt idx="580">
                  <c:v>0,105480916</c:v>
                </c:pt>
                <c:pt idx="581">
                  <c:v>0,105662779</c:v>
                </c:pt>
                <c:pt idx="582">
                  <c:v>0,105844643</c:v>
                </c:pt>
                <c:pt idx="583">
                  <c:v>0,106026507</c:v>
                </c:pt>
                <c:pt idx="584">
                  <c:v>0,10620837</c:v>
                </c:pt>
                <c:pt idx="585">
                  <c:v>0,106390234</c:v>
                </c:pt>
                <c:pt idx="586">
                  <c:v>0,106572098</c:v>
                </c:pt>
                <c:pt idx="587">
                  <c:v>0,106753961</c:v>
                </c:pt>
                <c:pt idx="588">
                  <c:v>0,106935825</c:v>
                </c:pt>
                <c:pt idx="589">
                  <c:v>0,107117689</c:v>
                </c:pt>
                <c:pt idx="590">
                  <c:v>0,107299552</c:v>
                </c:pt>
                <c:pt idx="591">
                  <c:v>0,107481416</c:v>
                </c:pt>
                <c:pt idx="592">
                  <c:v>0,107663279</c:v>
                </c:pt>
                <c:pt idx="593">
                  <c:v>0,107845143</c:v>
                </c:pt>
                <c:pt idx="594">
                  <c:v>0,108027007</c:v>
                </c:pt>
                <c:pt idx="595">
                  <c:v>0,10820887</c:v>
                </c:pt>
                <c:pt idx="596">
                  <c:v>0,108390734</c:v>
                </c:pt>
                <c:pt idx="597">
                  <c:v>0,108572598</c:v>
                </c:pt>
                <c:pt idx="598">
                  <c:v>0,108754461</c:v>
                </c:pt>
                <c:pt idx="599">
                  <c:v>0,108936325</c:v>
                </c:pt>
                <c:pt idx="600">
                  <c:v>0,109118189</c:v>
                </c:pt>
                <c:pt idx="601">
                  <c:v>0,109300052</c:v>
                </c:pt>
                <c:pt idx="602">
                  <c:v>0,109481916</c:v>
                </c:pt>
                <c:pt idx="603">
                  <c:v>0,10966378</c:v>
                </c:pt>
                <c:pt idx="604">
                  <c:v>0,109845643</c:v>
                </c:pt>
                <c:pt idx="605">
                  <c:v>0,110027507</c:v>
                </c:pt>
                <c:pt idx="606">
                  <c:v>0,110209371</c:v>
                </c:pt>
                <c:pt idx="607">
                  <c:v>0,110391234</c:v>
                </c:pt>
                <c:pt idx="608">
                  <c:v>0,110573098</c:v>
                </c:pt>
                <c:pt idx="609">
                  <c:v>0,110754961</c:v>
                </c:pt>
                <c:pt idx="610">
                  <c:v>0,110936825</c:v>
                </c:pt>
                <c:pt idx="611">
                  <c:v>0,111118689</c:v>
                </c:pt>
                <c:pt idx="612">
                  <c:v>0,111300552</c:v>
                </c:pt>
                <c:pt idx="613">
                  <c:v>0,111482416</c:v>
                </c:pt>
                <c:pt idx="614">
                  <c:v>0,11166428</c:v>
                </c:pt>
                <c:pt idx="615">
                  <c:v>0,111846143</c:v>
                </c:pt>
                <c:pt idx="616">
                  <c:v>0,112028007</c:v>
                </c:pt>
                <c:pt idx="617">
                  <c:v>0,112209871</c:v>
                </c:pt>
                <c:pt idx="618">
                  <c:v>0,112391734</c:v>
                </c:pt>
                <c:pt idx="619">
                  <c:v>0,112573598</c:v>
                </c:pt>
                <c:pt idx="620">
                  <c:v>0,112755462</c:v>
                </c:pt>
                <c:pt idx="621">
                  <c:v>0,112937325</c:v>
                </c:pt>
                <c:pt idx="622">
                  <c:v>0,113119189</c:v>
                </c:pt>
                <c:pt idx="623">
                  <c:v>0,113301053</c:v>
                </c:pt>
                <c:pt idx="624">
                  <c:v>0,113482916</c:v>
                </c:pt>
                <c:pt idx="625">
                  <c:v>0,11366478</c:v>
                </c:pt>
                <c:pt idx="626">
                  <c:v>0,113846643</c:v>
                </c:pt>
                <c:pt idx="627">
                  <c:v>0,114028507</c:v>
                </c:pt>
                <c:pt idx="628">
                  <c:v>0,114210371</c:v>
                </c:pt>
                <c:pt idx="629">
                  <c:v>0,114392234</c:v>
                </c:pt>
                <c:pt idx="630">
                  <c:v>0,114574098</c:v>
                </c:pt>
                <c:pt idx="631">
                  <c:v>0,114755962</c:v>
                </c:pt>
                <c:pt idx="632">
                  <c:v>0,114937825</c:v>
                </c:pt>
                <c:pt idx="633">
                  <c:v>0,115119689</c:v>
                </c:pt>
                <c:pt idx="634">
                  <c:v>0,115301553</c:v>
                </c:pt>
                <c:pt idx="635">
                  <c:v>0,115483416</c:v>
                </c:pt>
                <c:pt idx="636">
                  <c:v>0,11566528</c:v>
                </c:pt>
                <c:pt idx="637">
                  <c:v>0,115847144</c:v>
                </c:pt>
                <c:pt idx="638">
                  <c:v>0,116029007</c:v>
                </c:pt>
                <c:pt idx="639">
                  <c:v>0,116210871</c:v>
                </c:pt>
                <c:pt idx="640">
                  <c:v>0,116392735</c:v>
                </c:pt>
                <c:pt idx="641">
                  <c:v>0,116574598</c:v>
                </c:pt>
                <c:pt idx="642">
                  <c:v>0,116756462</c:v>
                </c:pt>
                <c:pt idx="643">
                  <c:v>0,116938325</c:v>
                </c:pt>
                <c:pt idx="644">
                  <c:v>0,117120189</c:v>
                </c:pt>
                <c:pt idx="645">
                  <c:v>0,117302053</c:v>
                </c:pt>
                <c:pt idx="646">
                  <c:v>0,117483916</c:v>
                </c:pt>
                <c:pt idx="647">
                  <c:v>0,11766578</c:v>
                </c:pt>
                <c:pt idx="648">
                  <c:v>0,117847644</c:v>
                </c:pt>
                <c:pt idx="649">
                  <c:v>0,118029507</c:v>
                </c:pt>
                <c:pt idx="650">
                  <c:v>0,118211371</c:v>
                </c:pt>
                <c:pt idx="651">
                  <c:v>0,118393235</c:v>
                </c:pt>
                <c:pt idx="652">
                  <c:v>0,118575098</c:v>
                </c:pt>
                <c:pt idx="653">
                  <c:v>0,118756962</c:v>
                </c:pt>
                <c:pt idx="654">
                  <c:v>0,118938826</c:v>
                </c:pt>
                <c:pt idx="655">
                  <c:v>0,119120689</c:v>
                </c:pt>
                <c:pt idx="656">
                  <c:v>0,119302553</c:v>
                </c:pt>
                <c:pt idx="657">
                  <c:v>0,119484417</c:v>
                </c:pt>
                <c:pt idx="658">
                  <c:v>0,11966628</c:v>
                </c:pt>
                <c:pt idx="659">
                  <c:v>0,119848144</c:v>
                </c:pt>
                <c:pt idx="660">
                  <c:v>0,120030008</c:v>
                </c:pt>
                <c:pt idx="661">
                  <c:v>0,120211871</c:v>
                </c:pt>
                <c:pt idx="662">
                  <c:v>0,120393735</c:v>
                </c:pt>
                <c:pt idx="663">
                  <c:v>0,120575598</c:v>
                </c:pt>
                <c:pt idx="664">
                  <c:v>0,120757462</c:v>
                </c:pt>
                <c:pt idx="665">
                  <c:v>0,120939326</c:v>
                </c:pt>
                <c:pt idx="666">
                  <c:v>0,121121189</c:v>
                </c:pt>
                <c:pt idx="667">
                  <c:v>0,121303053</c:v>
                </c:pt>
                <c:pt idx="668">
                  <c:v>0,121484917</c:v>
                </c:pt>
                <c:pt idx="669">
                  <c:v>0,12166678</c:v>
                </c:pt>
                <c:pt idx="670">
                  <c:v>0,121848644</c:v>
                </c:pt>
                <c:pt idx="671">
                  <c:v>0,122030508</c:v>
                </c:pt>
                <c:pt idx="672">
                  <c:v>0,122212371</c:v>
                </c:pt>
                <c:pt idx="673">
                  <c:v>0,122394235</c:v>
                </c:pt>
                <c:pt idx="674">
                  <c:v>0,122576099</c:v>
                </c:pt>
                <c:pt idx="675">
                  <c:v>0,122757962</c:v>
                </c:pt>
                <c:pt idx="676">
                  <c:v>0,122939826</c:v>
                </c:pt>
                <c:pt idx="677">
                  <c:v>0,12312169</c:v>
                </c:pt>
                <c:pt idx="678">
                  <c:v>0,123303553</c:v>
                </c:pt>
                <c:pt idx="679">
                  <c:v>0,123485417</c:v>
                </c:pt>
                <c:pt idx="680">
                  <c:v>0,12366728</c:v>
                </c:pt>
                <c:pt idx="681">
                  <c:v>0,123849144</c:v>
                </c:pt>
                <c:pt idx="682">
                  <c:v>0,124031008</c:v>
                </c:pt>
                <c:pt idx="683">
                  <c:v>0,124212871</c:v>
                </c:pt>
                <c:pt idx="684">
                  <c:v>0,124394735</c:v>
                </c:pt>
                <c:pt idx="685">
                  <c:v>0,124576599</c:v>
                </c:pt>
                <c:pt idx="686">
                  <c:v>0,124758462</c:v>
                </c:pt>
                <c:pt idx="687">
                  <c:v>0,124940326</c:v>
                </c:pt>
                <c:pt idx="688">
                  <c:v>0,12512219</c:v>
                </c:pt>
                <c:pt idx="689">
                  <c:v>0,125304053</c:v>
                </c:pt>
                <c:pt idx="690">
                  <c:v>0,125485917</c:v>
                </c:pt>
                <c:pt idx="691">
                  <c:v>0,125667781</c:v>
                </c:pt>
                <c:pt idx="692">
                  <c:v>0,125849644</c:v>
                </c:pt>
                <c:pt idx="693">
                  <c:v>0,126031508</c:v>
                </c:pt>
                <c:pt idx="694">
                  <c:v>0,126213372</c:v>
                </c:pt>
                <c:pt idx="695">
                  <c:v>0,126395235</c:v>
                </c:pt>
                <c:pt idx="696">
                  <c:v>0,126577099</c:v>
                </c:pt>
                <c:pt idx="697">
                  <c:v>0,126758962</c:v>
                </c:pt>
                <c:pt idx="698">
                  <c:v>0,126940826</c:v>
                </c:pt>
                <c:pt idx="699">
                  <c:v>0,12712269</c:v>
                </c:pt>
                <c:pt idx="700">
                  <c:v>0,127304553</c:v>
                </c:pt>
                <c:pt idx="701">
                  <c:v>0,127486417</c:v>
                </c:pt>
                <c:pt idx="702">
                  <c:v>0,127668281</c:v>
                </c:pt>
                <c:pt idx="703">
                  <c:v>0,127850144</c:v>
                </c:pt>
                <c:pt idx="704">
                  <c:v>0,128032008</c:v>
                </c:pt>
                <c:pt idx="705">
                  <c:v>0,128213872</c:v>
                </c:pt>
                <c:pt idx="706">
                  <c:v>0,128395735</c:v>
                </c:pt>
                <c:pt idx="707">
                  <c:v>0,128577599</c:v>
                </c:pt>
                <c:pt idx="708">
                  <c:v>0,128759463</c:v>
                </c:pt>
                <c:pt idx="709">
                  <c:v>0,128941326</c:v>
                </c:pt>
                <c:pt idx="710">
                  <c:v>0,12912319</c:v>
                </c:pt>
                <c:pt idx="711">
                  <c:v>0,129305054</c:v>
                </c:pt>
                <c:pt idx="712">
                  <c:v>0,129486917</c:v>
                </c:pt>
                <c:pt idx="713">
                  <c:v>0,129668781</c:v>
                </c:pt>
                <c:pt idx="714">
                  <c:v>0,129850644</c:v>
                </c:pt>
                <c:pt idx="715">
                  <c:v>0,130032508</c:v>
                </c:pt>
                <c:pt idx="716">
                  <c:v>0,130214372</c:v>
                </c:pt>
                <c:pt idx="717">
                  <c:v>0,130396235</c:v>
                </c:pt>
                <c:pt idx="718">
                  <c:v>0,130578099</c:v>
                </c:pt>
                <c:pt idx="719">
                  <c:v>0,130759963</c:v>
                </c:pt>
                <c:pt idx="720">
                  <c:v>0,130941826</c:v>
                </c:pt>
                <c:pt idx="721">
                  <c:v>0,13112369</c:v>
                </c:pt>
                <c:pt idx="722">
                  <c:v>0,131305554</c:v>
                </c:pt>
                <c:pt idx="723">
                  <c:v>0,131487417</c:v>
                </c:pt>
                <c:pt idx="724">
                  <c:v>0,131669281</c:v>
                </c:pt>
                <c:pt idx="725">
                  <c:v>0,131851145</c:v>
                </c:pt>
                <c:pt idx="726">
                  <c:v>0,132033008</c:v>
                </c:pt>
                <c:pt idx="727">
                  <c:v>0,132214872</c:v>
                </c:pt>
                <c:pt idx="728">
                  <c:v>0,132396736</c:v>
                </c:pt>
                <c:pt idx="729">
                  <c:v>0,132578599</c:v>
                </c:pt>
                <c:pt idx="730">
                  <c:v>0,132760463</c:v>
                </c:pt>
                <c:pt idx="731">
                  <c:v>0,132942326</c:v>
                </c:pt>
                <c:pt idx="732">
                  <c:v>0,13312419</c:v>
                </c:pt>
                <c:pt idx="733">
                  <c:v>0,133306054</c:v>
                </c:pt>
                <c:pt idx="734">
                  <c:v>0,133487917</c:v>
                </c:pt>
                <c:pt idx="735">
                  <c:v>0,133669781</c:v>
                </c:pt>
                <c:pt idx="736">
                  <c:v>0,133851645</c:v>
                </c:pt>
                <c:pt idx="737">
                  <c:v>0,134033508</c:v>
                </c:pt>
                <c:pt idx="738">
                  <c:v>0,134215372</c:v>
                </c:pt>
                <c:pt idx="739">
                  <c:v>0,134397236</c:v>
                </c:pt>
                <c:pt idx="740">
                  <c:v>0,134579099</c:v>
                </c:pt>
                <c:pt idx="741">
                  <c:v>0,134760963</c:v>
                </c:pt>
                <c:pt idx="742">
                  <c:v>0,134942827</c:v>
                </c:pt>
                <c:pt idx="743">
                  <c:v>0,13512469</c:v>
                </c:pt>
                <c:pt idx="744">
                  <c:v>0,135306554</c:v>
                </c:pt>
                <c:pt idx="745">
                  <c:v>0,135488418</c:v>
                </c:pt>
                <c:pt idx="746">
                  <c:v>0,135670281</c:v>
                </c:pt>
                <c:pt idx="747">
                  <c:v>0,135852145</c:v>
                </c:pt>
                <c:pt idx="748">
                  <c:v>0,136034009</c:v>
                </c:pt>
                <c:pt idx="749">
                  <c:v>0,136215872</c:v>
                </c:pt>
                <c:pt idx="750">
                  <c:v>0,136397736</c:v>
                </c:pt>
                <c:pt idx="751">
                  <c:v>0,136579599</c:v>
                </c:pt>
                <c:pt idx="752">
                  <c:v>0,136761463</c:v>
                </c:pt>
                <c:pt idx="753">
                  <c:v>0,136943327</c:v>
                </c:pt>
                <c:pt idx="754">
                  <c:v>0,13712519</c:v>
                </c:pt>
                <c:pt idx="755">
                  <c:v>0,137307054</c:v>
                </c:pt>
                <c:pt idx="756">
                  <c:v>0,137488918</c:v>
                </c:pt>
                <c:pt idx="757">
                  <c:v>0,137670781</c:v>
                </c:pt>
                <c:pt idx="758">
                  <c:v>0,137852645</c:v>
                </c:pt>
                <c:pt idx="759">
                  <c:v>0,138034509</c:v>
                </c:pt>
                <c:pt idx="760">
                  <c:v>0,138216372</c:v>
                </c:pt>
                <c:pt idx="761">
                  <c:v>0,138398236</c:v>
                </c:pt>
                <c:pt idx="762">
                  <c:v>0,1385801</c:v>
                </c:pt>
                <c:pt idx="763">
                  <c:v>0,138761963</c:v>
                </c:pt>
                <c:pt idx="764">
                  <c:v>0,138943827</c:v>
                </c:pt>
                <c:pt idx="765">
                  <c:v>0,139125691</c:v>
                </c:pt>
                <c:pt idx="766">
                  <c:v>0,139307554</c:v>
                </c:pt>
                <c:pt idx="767">
                  <c:v>0,139489418</c:v>
                </c:pt>
                <c:pt idx="768">
                  <c:v>0,139671281</c:v>
                </c:pt>
                <c:pt idx="769">
                  <c:v>0,139853145</c:v>
                </c:pt>
                <c:pt idx="770">
                  <c:v>0,140035009</c:v>
                </c:pt>
                <c:pt idx="771">
                  <c:v>0,140216872</c:v>
                </c:pt>
                <c:pt idx="772">
                  <c:v>0,140398736</c:v>
                </c:pt>
                <c:pt idx="773">
                  <c:v>0,1405806</c:v>
                </c:pt>
                <c:pt idx="774">
                  <c:v>0,140762463</c:v>
                </c:pt>
                <c:pt idx="775">
                  <c:v>0,140944327</c:v>
                </c:pt>
                <c:pt idx="776">
                  <c:v>0,141126191</c:v>
                </c:pt>
                <c:pt idx="777">
                  <c:v>0,141308054</c:v>
                </c:pt>
                <c:pt idx="778">
                  <c:v>0,141489918</c:v>
                </c:pt>
                <c:pt idx="779">
                  <c:v>0,141671782</c:v>
                </c:pt>
                <c:pt idx="780">
                  <c:v>0,141853645</c:v>
                </c:pt>
                <c:pt idx="781">
                  <c:v>0,142035509</c:v>
                </c:pt>
                <c:pt idx="782">
                  <c:v>0,142217373</c:v>
                </c:pt>
                <c:pt idx="783">
                  <c:v>0,142399236</c:v>
                </c:pt>
                <c:pt idx="784">
                  <c:v>0,1425811</c:v>
                </c:pt>
                <c:pt idx="785">
                  <c:v>0,142762963</c:v>
                </c:pt>
                <c:pt idx="786">
                  <c:v>0,142944827</c:v>
                </c:pt>
                <c:pt idx="787">
                  <c:v>0,143126691</c:v>
                </c:pt>
                <c:pt idx="788">
                  <c:v>0,143308554</c:v>
                </c:pt>
                <c:pt idx="789">
                  <c:v>0,143490418</c:v>
                </c:pt>
                <c:pt idx="790">
                  <c:v>0,143672282</c:v>
                </c:pt>
                <c:pt idx="791">
                  <c:v>0,143854145</c:v>
                </c:pt>
                <c:pt idx="792">
                  <c:v>0,144036009</c:v>
                </c:pt>
                <c:pt idx="793">
                  <c:v>0,144217873</c:v>
                </c:pt>
                <c:pt idx="794">
                  <c:v>0,144399736</c:v>
                </c:pt>
                <c:pt idx="795">
                  <c:v>0,1445816</c:v>
                </c:pt>
                <c:pt idx="796">
                  <c:v>0,144763464</c:v>
                </c:pt>
                <c:pt idx="797">
                  <c:v>0,144945327</c:v>
                </c:pt>
                <c:pt idx="798">
                  <c:v>0,145127191</c:v>
                </c:pt>
                <c:pt idx="799">
                  <c:v>0,145309055</c:v>
                </c:pt>
                <c:pt idx="800">
                  <c:v>0,145490918</c:v>
                </c:pt>
                <c:pt idx="801">
                  <c:v>0,145672782</c:v>
                </c:pt>
                <c:pt idx="802">
                  <c:v>0,145854645</c:v>
                </c:pt>
                <c:pt idx="803">
                  <c:v>0,146036509</c:v>
                </c:pt>
                <c:pt idx="804">
                  <c:v>0,146218373</c:v>
                </c:pt>
                <c:pt idx="805">
                  <c:v>0,146400236</c:v>
                </c:pt>
                <c:pt idx="806">
                  <c:v>0,1465821</c:v>
                </c:pt>
                <c:pt idx="807">
                  <c:v>0,146763964</c:v>
                </c:pt>
                <c:pt idx="808">
                  <c:v>0,146945827</c:v>
                </c:pt>
                <c:pt idx="809">
                  <c:v>0,147127691</c:v>
                </c:pt>
                <c:pt idx="810">
                  <c:v>0,147309555</c:v>
                </c:pt>
                <c:pt idx="811">
                  <c:v>0,147491418</c:v>
                </c:pt>
                <c:pt idx="812">
                  <c:v>0,147673282</c:v>
                </c:pt>
                <c:pt idx="813">
                  <c:v>0,147855146</c:v>
                </c:pt>
                <c:pt idx="814">
                  <c:v>0,148037009</c:v>
                </c:pt>
                <c:pt idx="815">
                  <c:v>0,148218873</c:v>
                </c:pt>
                <c:pt idx="816">
                  <c:v>0,148400737</c:v>
                </c:pt>
                <c:pt idx="817">
                  <c:v>0,1485826</c:v>
                </c:pt>
                <c:pt idx="818">
                  <c:v>0,148764464</c:v>
                </c:pt>
                <c:pt idx="819">
                  <c:v>0,148946327</c:v>
                </c:pt>
                <c:pt idx="820">
                  <c:v>0,149128191</c:v>
                </c:pt>
                <c:pt idx="821">
                  <c:v>0,149310055</c:v>
                </c:pt>
                <c:pt idx="822">
                  <c:v>0,149491918</c:v>
                </c:pt>
                <c:pt idx="823">
                  <c:v>0,149673782</c:v>
                </c:pt>
                <c:pt idx="824">
                  <c:v>0,149855646</c:v>
                </c:pt>
                <c:pt idx="825">
                  <c:v>0,150037509</c:v>
                </c:pt>
                <c:pt idx="826">
                  <c:v>0,150219373</c:v>
                </c:pt>
                <c:pt idx="827">
                  <c:v>0,150401237</c:v>
                </c:pt>
                <c:pt idx="828">
                  <c:v>0,1505831</c:v>
                </c:pt>
                <c:pt idx="829">
                  <c:v>0,150764964</c:v>
                </c:pt>
                <c:pt idx="830">
                  <c:v>0,150946828</c:v>
                </c:pt>
                <c:pt idx="831">
                  <c:v>0,151128691</c:v>
                </c:pt>
                <c:pt idx="832">
                  <c:v>0,151310555</c:v>
                </c:pt>
                <c:pt idx="833">
                  <c:v>0,151492419</c:v>
                </c:pt>
                <c:pt idx="834">
                  <c:v>0,151674282</c:v>
                </c:pt>
                <c:pt idx="835">
                  <c:v>0,151856146</c:v>
                </c:pt>
                <c:pt idx="836">
                  <c:v>0,15203801</c:v>
                </c:pt>
                <c:pt idx="837">
                  <c:v>0,152219873</c:v>
                </c:pt>
                <c:pt idx="838">
                  <c:v>0,152401737</c:v>
                </c:pt>
                <c:pt idx="839">
                  <c:v>0,1525836</c:v>
                </c:pt>
                <c:pt idx="840">
                  <c:v>0,152765464</c:v>
                </c:pt>
                <c:pt idx="841">
                  <c:v>0,152947328</c:v>
                </c:pt>
                <c:pt idx="842">
                  <c:v>0,153129191</c:v>
                </c:pt>
                <c:pt idx="843">
                  <c:v>0,153311055</c:v>
                </c:pt>
                <c:pt idx="844">
                  <c:v>0,153492919</c:v>
                </c:pt>
                <c:pt idx="845">
                  <c:v>0,153674782</c:v>
                </c:pt>
                <c:pt idx="846">
                  <c:v>0,153856646</c:v>
                </c:pt>
                <c:pt idx="847">
                  <c:v>0,15403851</c:v>
                </c:pt>
                <c:pt idx="848">
                  <c:v>0,154220373</c:v>
                </c:pt>
                <c:pt idx="849">
                  <c:v>0,154402237</c:v>
                </c:pt>
                <c:pt idx="850">
                  <c:v>0,154584101</c:v>
                </c:pt>
                <c:pt idx="851">
                  <c:v>0,154765964</c:v>
                </c:pt>
                <c:pt idx="852">
                  <c:v>0,154947828</c:v>
                </c:pt>
                <c:pt idx="853">
                  <c:v>0,155129692</c:v>
                </c:pt>
                <c:pt idx="854">
                  <c:v>0,155311555</c:v>
                </c:pt>
                <c:pt idx="855">
                  <c:v>0,155493419</c:v>
                </c:pt>
                <c:pt idx="856">
                  <c:v>0,155675282</c:v>
                </c:pt>
                <c:pt idx="857">
                  <c:v>0,155857146</c:v>
                </c:pt>
                <c:pt idx="858">
                  <c:v>0,15603901</c:v>
                </c:pt>
                <c:pt idx="859">
                  <c:v>0,156220873</c:v>
                </c:pt>
                <c:pt idx="860">
                  <c:v>0,156402737</c:v>
                </c:pt>
                <c:pt idx="861">
                  <c:v>0,156584601</c:v>
                </c:pt>
                <c:pt idx="862">
                  <c:v>0,156766464</c:v>
                </c:pt>
                <c:pt idx="863">
                  <c:v>0,156948328</c:v>
                </c:pt>
                <c:pt idx="864">
                  <c:v>0,157130192</c:v>
                </c:pt>
                <c:pt idx="865">
                  <c:v>0,157312055</c:v>
                </c:pt>
                <c:pt idx="866">
                  <c:v>0,157493919</c:v>
                </c:pt>
                <c:pt idx="867">
                  <c:v>0,157675783</c:v>
                </c:pt>
                <c:pt idx="868">
                  <c:v>0,157857646</c:v>
                </c:pt>
                <c:pt idx="869">
                  <c:v>0,15803951</c:v>
                </c:pt>
                <c:pt idx="870">
                  <c:v>0,158221374</c:v>
                </c:pt>
                <c:pt idx="871">
                  <c:v>0,158403237</c:v>
                </c:pt>
                <c:pt idx="872">
                  <c:v>0,158585101</c:v>
                </c:pt>
                <c:pt idx="873">
                  <c:v>0,158766964</c:v>
                </c:pt>
                <c:pt idx="874">
                  <c:v>0,158948828</c:v>
                </c:pt>
                <c:pt idx="875">
                  <c:v>0,159130692</c:v>
                </c:pt>
                <c:pt idx="876">
                  <c:v>0,159312555</c:v>
                </c:pt>
                <c:pt idx="877">
                  <c:v>0,159494419</c:v>
                </c:pt>
                <c:pt idx="878">
                  <c:v>0,159676283</c:v>
                </c:pt>
                <c:pt idx="879">
                  <c:v>0,159858146</c:v>
                </c:pt>
                <c:pt idx="880">
                  <c:v>0,16004001</c:v>
                </c:pt>
                <c:pt idx="881">
                  <c:v>0,160221874</c:v>
                </c:pt>
                <c:pt idx="882">
                  <c:v>0,160403737</c:v>
                </c:pt>
                <c:pt idx="883">
                  <c:v>0,160585601</c:v>
                </c:pt>
                <c:pt idx="884">
                  <c:v>0,160767465</c:v>
                </c:pt>
                <c:pt idx="885">
                  <c:v>0,160949328</c:v>
                </c:pt>
                <c:pt idx="886">
                  <c:v>0,161131192</c:v>
                </c:pt>
                <c:pt idx="887">
                  <c:v>0,161313056</c:v>
                </c:pt>
                <c:pt idx="888">
                  <c:v>0,161494919</c:v>
                </c:pt>
                <c:pt idx="889">
                  <c:v>0,161676783</c:v>
                </c:pt>
                <c:pt idx="890">
                  <c:v>0,161858646</c:v>
                </c:pt>
                <c:pt idx="891">
                  <c:v>0,16204051</c:v>
                </c:pt>
                <c:pt idx="892">
                  <c:v>0,162222374</c:v>
                </c:pt>
                <c:pt idx="893">
                  <c:v>0,162404237</c:v>
                </c:pt>
                <c:pt idx="894">
                  <c:v>0,162586101</c:v>
                </c:pt>
                <c:pt idx="895">
                  <c:v>0,162767965</c:v>
                </c:pt>
                <c:pt idx="896">
                  <c:v>0,162949828</c:v>
                </c:pt>
                <c:pt idx="897">
                  <c:v>0,163131692</c:v>
                </c:pt>
                <c:pt idx="898">
                  <c:v>0,163313556</c:v>
                </c:pt>
                <c:pt idx="899">
                  <c:v>0,163495419</c:v>
                </c:pt>
                <c:pt idx="900">
                  <c:v>0,163677283</c:v>
                </c:pt>
                <c:pt idx="901">
                  <c:v>0,163859147</c:v>
                </c:pt>
                <c:pt idx="902">
                  <c:v>0,16404101</c:v>
                </c:pt>
                <c:pt idx="903">
                  <c:v>0,164222874</c:v>
                </c:pt>
                <c:pt idx="904">
                  <c:v>0,164404738</c:v>
                </c:pt>
                <c:pt idx="905">
                  <c:v>0,164586601</c:v>
                </c:pt>
                <c:pt idx="906">
                  <c:v>0,164768465</c:v>
                </c:pt>
                <c:pt idx="907">
                  <c:v>0,164950328</c:v>
                </c:pt>
                <c:pt idx="908">
                  <c:v>0,165132192</c:v>
                </c:pt>
                <c:pt idx="909">
                  <c:v>0,165314056</c:v>
                </c:pt>
                <c:pt idx="910">
                  <c:v>0,165495919</c:v>
                </c:pt>
                <c:pt idx="911">
                  <c:v>0,165677783</c:v>
                </c:pt>
                <c:pt idx="912">
                  <c:v>0,165859647</c:v>
                </c:pt>
                <c:pt idx="913">
                  <c:v>0,16604151</c:v>
                </c:pt>
                <c:pt idx="914">
                  <c:v>0,166223374</c:v>
                </c:pt>
                <c:pt idx="915">
                  <c:v>0,166405238</c:v>
                </c:pt>
                <c:pt idx="916">
                  <c:v>0,166587101</c:v>
                </c:pt>
                <c:pt idx="917">
                  <c:v>0,166768965</c:v>
                </c:pt>
                <c:pt idx="918">
                  <c:v>0,166950829</c:v>
                </c:pt>
                <c:pt idx="919">
                  <c:v>0,167132692</c:v>
                </c:pt>
                <c:pt idx="920">
                  <c:v>0,167314556</c:v>
                </c:pt>
                <c:pt idx="921">
                  <c:v>0,16749642</c:v>
                </c:pt>
                <c:pt idx="922">
                  <c:v>0,167678283</c:v>
                </c:pt>
                <c:pt idx="923">
                  <c:v>0,167860147</c:v>
                </c:pt>
                <c:pt idx="924">
                  <c:v>0,168042011</c:v>
                </c:pt>
                <c:pt idx="925">
                  <c:v>0,168223874</c:v>
                </c:pt>
                <c:pt idx="926">
                  <c:v>0,168405738</c:v>
                </c:pt>
                <c:pt idx="927">
                  <c:v>0,168587601</c:v>
                </c:pt>
                <c:pt idx="928">
                  <c:v>0,168769465</c:v>
                </c:pt>
                <c:pt idx="929">
                  <c:v>0,168951329</c:v>
                </c:pt>
                <c:pt idx="930">
                  <c:v>0,169133192</c:v>
                </c:pt>
                <c:pt idx="931">
                  <c:v>0,169315056</c:v>
                </c:pt>
                <c:pt idx="932">
                  <c:v>0,16949692</c:v>
                </c:pt>
                <c:pt idx="933">
                  <c:v>0,169678783</c:v>
                </c:pt>
                <c:pt idx="934">
                  <c:v>0,169860647</c:v>
                </c:pt>
                <c:pt idx="935">
                  <c:v>0,170042511</c:v>
                </c:pt>
                <c:pt idx="936">
                  <c:v>0,170224374</c:v>
                </c:pt>
                <c:pt idx="937">
                  <c:v>0,170406238</c:v>
                </c:pt>
                <c:pt idx="938">
                  <c:v>0,170588102</c:v>
                </c:pt>
                <c:pt idx="939">
                  <c:v>0,170769965</c:v>
                </c:pt>
                <c:pt idx="940">
                  <c:v>0,170951829</c:v>
                </c:pt>
                <c:pt idx="941">
                  <c:v>0,171133693</c:v>
                </c:pt>
                <c:pt idx="942">
                  <c:v>0,171315556</c:v>
                </c:pt>
                <c:pt idx="943">
                  <c:v>0,17149742</c:v>
                </c:pt>
                <c:pt idx="944">
                  <c:v>0,171679283</c:v>
                </c:pt>
                <c:pt idx="945">
                  <c:v>0,171861147</c:v>
                </c:pt>
                <c:pt idx="946">
                  <c:v>0,172043011</c:v>
                </c:pt>
                <c:pt idx="947">
                  <c:v>0,172224874</c:v>
                </c:pt>
                <c:pt idx="948">
                  <c:v>0,172406738</c:v>
                </c:pt>
                <c:pt idx="949">
                  <c:v>0,172588602</c:v>
                </c:pt>
                <c:pt idx="950">
                  <c:v>0,172770465</c:v>
                </c:pt>
                <c:pt idx="951">
                  <c:v>0,172952329</c:v>
                </c:pt>
                <c:pt idx="952">
                  <c:v>0,173134193</c:v>
                </c:pt>
                <c:pt idx="953">
                  <c:v>0,173316056</c:v>
                </c:pt>
                <c:pt idx="954">
                  <c:v>0,17349792</c:v>
                </c:pt>
                <c:pt idx="955">
                  <c:v>0,173679784</c:v>
                </c:pt>
                <c:pt idx="956">
                  <c:v>0,173861647</c:v>
                </c:pt>
                <c:pt idx="957">
                  <c:v>0,174043511</c:v>
                </c:pt>
                <c:pt idx="958">
                  <c:v>0,174225375</c:v>
                </c:pt>
                <c:pt idx="959">
                  <c:v>0,174407238</c:v>
                </c:pt>
                <c:pt idx="960">
                  <c:v>0,174589102</c:v>
                </c:pt>
                <c:pt idx="961">
                  <c:v>0,174770965</c:v>
                </c:pt>
                <c:pt idx="962">
                  <c:v>0,174952829</c:v>
                </c:pt>
                <c:pt idx="963">
                  <c:v>0,175134693</c:v>
                </c:pt>
                <c:pt idx="964">
                  <c:v>0,175316556</c:v>
                </c:pt>
                <c:pt idx="965">
                  <c:v>0,17549842</c:v>
                </c:pt>
                <c:pt idx="966">
                  <c:v>0,175680284</c:v>
                </c:pt>
                <c:pt idx="967">
                  <c:v>0,175862147</c:v>
                </c:pt>
                <c:pt idx="968">
                  <c:v>0,176044011</c:v>
                </c:pt>
                <c:pt idx="969">
                  <c:v>0,176225875</c:v>
                </c:pt>
                <c:pt idx="970">
                  <c:v>0,176407738</c:v>
                </c:pt>
                <c:pt idx="971">
                  <c:v>0,176589602</c:v>
                </c:pt>
                <c:pt idx="972">
                  <c:v>0,176771466</c:v>
                </c:pt>
                <c:pt idx="973">
                  <c:v>0,176953329</c:v>
                </c:pt>
                <c:pt idx="974">
                  <c:v>0,177135193</c:v>
                </c:pt>
                <c:pt idx="975">
                  <c:v>0,177317057</c:v>
                </c:pt>
                <c:pt idx="976">
                  <c:v>0,17749892</c:v>
                </c:pt>
                <c:pt idx="977">
                  <c:v>0,177680784</c:v>
                </c:pt>
                <c:pt idx="978">
                  <c:v>0,177862647</c:v>
                </c:pt>
                <c:pt idx="979">
                  <c:v>0,178044511</c:v>
                </c:pt>
                <c:pt idx="980">
                  <c:v>0,178226375</c:v>
                </c:pt>
                <c:pt idx="981">
                  <c:v>0,178408238</c:v>
                </c:pt>
                <c:pt idx="982">
                  <c:v>0,178590102</c:v>
                </c:pt>
                <c:pt idx="983">
                  <c:v>0,178771966</c:v>
                </c:pt>
                <c:pt idx="984">
                  <c:v>0,178953829</c:v>
                </c:pt>
                <c:pt idx="985">
                  <c:v>0,179135693</c:v>
                </c:pt>
                <c:pt idx="986">
                  <c:v>0,179317557</c:v>
                </c:pt>
                <c:pt idx="987">
                  <c:v>0,17949942</c:v>
                </c:pt>
                <c:pt idx="988">
                  <c:v>0,179681284</c:v>
                </c:pt>
                <c:pt idx="989">
                  <c:v>0,179863148</c:v>
                </c:pt>
                <c:pt idx="990">
                  <c:v>0,180045011</c:v>
                </c:pt>
                <c:pt idx="991">
                  <c:v>0,180226875</c:v>
                </c:pt>
                <c:pt idx="992">
                  <c:v>0,180408739</c:v>
                </c:pt>
                <c:pt idx="993">
                  <c:v>0,180590602</c:v>
                </c:pt>
                <c:pt idx="994">
                  <c:v>0,180772466</c:v>
                </c:pt>
                <c:pt idx="995">
                  <c:v>0,180954329</c:v>
                </c:pt>
                <c:pt idx="996">
                  <c:v>0,181136193</c:v>
                </c:pt>
                <c:pt idx="997">
                  <c:v>0,181318057</c:v>
                </c:pt>
                <c:pt idx="998">
                  <c:v>0,18149992</c:v>
                </c:pt>
                <c:pt idx="999">
                  <c:v>0,181681784</c:v>
                </c:pt>
                <c:pt idx="1000">
                  <c:v>0,181863648</c:v>
                </c:pt>
                <c:pt idx="1001">
                  <c:v>0,182045511</c:v>
                </c:pt>
                <c:pt idx="1002">
                  <c:v>0,182227375</c:v>
                </c:pt>
                <c:pt idx="1003">
                  <c:v>0,182409239</c:v>
                </c:pt>
                <c:pt idx="1004">
                  <c:v>0,182591102</c:v>
                </c:pt>
                <c:pt idx="1005">
                  <c:v>0,182772966</c:v>
                </c:pt>
                <c:pt idx="1006">
                  <c:v>0,18295483</c:v>
                </c:pt>
                <c:pt idx="1007">
                  <c:v>0,183136693</c:v>
                </c:pt>
                <c:pt idx="1008">
                  <c:v>0,183318557</c:v>
                </c:pt>
                <c:pt idx="1009">
                  <c:v>0,183500421</c:v>
                </c:pt>
                <c:pt idx="1010">
                  <c:v>0,183682284</c:v>
                </c:pt>
                <c:pt idx="1011">
                  <c:v>0,183864148</c:v>
                </c:pt>
                <c:pt idx="1012">
                  <c:v>0,184046012</c:v>
                </c:pt>
                <c:pt idx="1013">
                  <c:v>0,184227875</c:v>
                </c:pt>
                <c:pt idx="1014">
                  <c:v>0,184409739</c:v>
                </c:pt>
                <c:pt idx="1015">
                  <c:v>0,184591602</c:v>
                </c:pt>
                <c:pt idx="1016">
                  <c:v>0,184773466</c:v>
                </c:pt>
                <c:pt idx="1017">
                  <c:v>0,18495533</c:v>
                </c:pt>
                <c:pt idx="1018">
                  <c:v>0,185137193</c:v>
                </c:pt>
                <c:pt idx="1019">
                  <c:v>0,185319057</c:v>
                </c:pt>
                <c:pt idx="1020">
                  <c:v>0,185500921</c:v>
                </c:pt>
                <c:pt idx="1021">
                  <c:v>0,185682784</c:v>
                </c:pt>
                <c:pt idx="1022">
                  <c:v>0,185864648</c:v>
                </c:pt>
                <c:pt idx="1023">
                  <c:v>Mais</c:v>
                </c:pt>
              </c:strCache>
            </c:strRef>
          </c:cat>
          <c:val>
            <c:numRef>
              <c:f>Planilha16!$B$2:$B$1025</c:f>
              <c:numCache>
                <c:formatCode>General</c:formatCode>
                <c:ptCount val="1024"/>
                <c:pt idx="0">
                  <c:v>59</c:v>
                </c:pt>
                <c:pt idx="1">
                  <c:v>18</c:v>
                </c:pt>
                <c:pt idx="2">
                  <c:v>19</c:v>
                </c:pt>
                <c:pt idx="3">
                  <c:v>28</c:v>
                </c:pt>
                <c:pt idx="4">
                  <c:v>18</c:v>
                </c:pt>
                <c:pt idx="5">
                  <c:v>17</c:v>
                </c:pt>
                <c:pt idx="6">
                  <c:v>21</c:v>
                </c:pt>
                <c:pt idx="7">
                  <c:v>16</c:v>
                </c:pt>
                <c:pt idx="8">
                  <c:v>14</c:v>
                </c:pt>
                <c:pt idx="9">
                  <c:v>12</c:v>
                </c:pt>
                <c:pt idx="10">
                  <c:v>18</c:v>
                </c:pt>
                <c:pt idx="11">
                  <c:v>14</c:v>
                </c:pt>
                <c:pt idx="12">
                  <c:v>13</c:v>
                </c:pt>
                <c:pt idx="13">
                  <c:v>9</c:v>
                </c:pt>
                <c:pt idx="14">
                  <c:v>17</c:v>
                </c:pt>
                <c:pt idx="15">
                  <c:v>10</c:v>
                </c:pt>
                <c:pt idx="16">
                  <c:v>9</c:v>
                </c:pt>
                <c:pt idx="17">
                  <c:v>17</c:v>
                </c:pt>
                <c:pt idx="18">
                  <c:v>6</c:v>
                </c:pt>
                <c:pt idx="19">
                  <c:v>17</c:v>
                </c:pt>
                <c:pt idx="20">
                  <c:v>11</c:v>
                </c:pt>
                <c:pt idx="21">
                  <c:v>14</c:v>
                </c:pt>
                <c:pt idx="22">
                  <c:v>9</c:v>
                </c:pt>
                <c:pt idx="23">
                  <c:v>10</c:v>
                </c:pt>
                <c:pt idx="24">
                  <c:v>4</c:v>
                </c:pt>
                <c:pt idx="25">
                  <c:v>7</c:v>
                </c:pt>
                <c:pt idx="26">
                  <c:v>12</c:v>
                </c:pt>
                <c:pt idx="27">
                  <c:v>12</c:v>
                </c:pt>
                <c:pt idx="28">
                  <c:v>8</c:v>
                </c:pt>
                <c:pt idx="29">
                  <c:v>7</c:v>
                </c:pt>
                <c:pt idx="30">
                  <c:v>10</c:v>
                </c:pt>
                <c:pt idx="31">
                  <c:v>11</c:v>
                </c:pt>
                <c:pt idx="32">
                  <c:v>8</c:v>
                </c:pt>
                <c:pt idx="33">
                  <c:v>13</c:v>
                </c:pt>
                <c:pt idx="34">
                  <c:v>6</c:v>
                </c:pt>
                <c:pt idx="35">
                  <c:v>9</c:v>
                </c:pt>
                <c:pt idx="36">
                  <c:v>3</c:v>
                </c:pt>
                <c:pt idx="37">
                  <c:v>12</c:v>
                </c:pt>
                <c:pt idx="38">
                  <c:v>6</c:v>
                </c:pt>
                <c:pt idx="39">
                  <c:v>8</c:v>
                </c:pt>
                <c:pt idx="40">
                  <c:v>9</c:v>
                </c:pt>
                <c:pt idx="41">
                  <c:v>7</c:v>
                </c:pt>
                <c:pt idx="42">
                  <c:v>3</c:v>
                </c:pt>
                <c:pt idx="43">
                  <c:v>10</c:v>
                </c:pt>
                <c:pt idx="44">
                  <c:v>10</c:v>
                </c:pt>
                <c:pt idx="45">
                  <c:v>9</c:v>
                </c:pt>
                <c:pt idx="46">
                  <c:v>4</c:v>
                </c:pt>
                <c:pt idx="47">
                  <c:v>8</c:v>
                </c:pt>
                <c:pt idx="48">
                  <c:v>8</c:v>
                </c:pt>
                <c:pt idx="49">
                  <c:v>13</c:v>
                </c:pt>
                <c:pt idx="50">
                  <c:v>3</c:v>
                </c:pt>
                <c:pt idx="51">
                  <c:v>12</c:v>
                </c:pt>
                <c:pt idx="52">
                  <c:v>8</c:v>
                </c:pt>
                <c:pt idx="53">
                  <c:v>8</c:v>
                </c:pt>
                <c:pt idx="54">
                  <c:v>3</c:v>
                </c:pt>
                <c:pt idx="55">
                  <c:v>8</c:v>
                </c:pt>
                <c:pt idx="56">
                  <c:v>11</c:v>
                </c:pt>
                <c:pt idx="57">
                  <c:v>4</c:v>
                </c:pt>
                <c:pt idx="58">
                  <c:v>10</c:v>
                </c:pt>
                <c:pt idx="59">
                  <c:v>4</c:v>
                </c:pt>
                <c:pt idx="60">
                  <c:v>6</c:v>
                </c:pt>
                <c:pt idx="61">
                  <c:v>7</c:v>
                </c:pt>
                <c:pt idx="62">
                  <c:v>3</c:v>
                </c:pt>
                <c:pt idx="63">
                  <c:v>5</c:v>
                </c:pt>
                <c:pt idx="64">
                  <c:v>5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6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4</c:v>
                </c:pt>
                <c:pt idx="75">
                  <c:v>6</c:v>
                </c:pt>
                <c:pt idx="76">
                  <c:v>7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5</c:v>
                </c:pt>
                <c:pt idx="81">
                  <c:v>3</c:v>
                </c:pt>
                <c:pt idx="82">
                  <c:v>4</c:v>
                </c:pt>
                <c:pt idx="83">
                  <c:v>6</c:v>
                </c:pt>
                <c:pt idx="84">
                  <c:v>3</c:v>
                </c:pt>
                <c:pt idx="85">
                  <c:v>4</c:v>
                </c:pt>
                <c:pt idx="86">
                  <c:v>1</c:v>
                </c:pt>
                <c:pt idx="87">
                  <c:v>5</c:v>
                </c:pt>
                <c:pt idx="88">
                  <c:v>8</c:v>
                </c:pt>
                <c:pt idx="89">
                  <c:v>4</c:v>
                </c:pt>
                <c:pt idx="90">
                  <c:v>2</c:v>
                </c:pt>
                <c:pt idx="91">
                  <c:v>10</c:v>
                </c:pt>
                <c:pt idx="92">
                  <c:v>5</c:v>
                </c:pt>
                <c:pt idx="93">
                  <c:v>8</c:v>
                </c:pt>
                <c:pt idx="94">
                  <c:v>5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6</c:v>
                </c:pt>
                <c:pt idx="102">
                  <c:v>1</c:v>
                </c:pt>
                <c:pt idx="103">
                  <c:v>5</c:v>
                </c:pt>
                <c:pt idx="104">
                  <c:v>3</c:v>
                </c:pt>
                <c:pt idx="105">
                  <c:v>9</c:v>
                </c:pt>
                <c:pt idx="106">
                  <c:v>2</c:v>
                </c:pt>
                <c:pt idx="107">
                  <c:v>0</c:v>
                </c:pt>
                <c:pt idx="108">
                  <c:v>2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4</c:v>
                </c:pt>
                <c:pt idx="116">
                  <c:v>2</c:v>
                </c:pt>
                <c:pt idx="117">
                  <c:v>4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7</c:v>
                </c:pt>
                <c:pt idx="124">
                  <c:v>3</c:v>
                </c:pt>
                <c:pt idx="125">
                  <c:v>0</c:v>
                </c:pt>
                <c:pt idx="126">
                  <c:v>1</c:v>
                </c:pt>
                <c:pt idx="127">
                  <c:v>5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3</c:v>
                </c:pt>
                <c:pt idx="132">
                  <c:v>4</c:v>
                </c:pt>
                <c:pt idx="133">
                  <c:v>3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4</c:v>
                </c:pt>
                <c:pt idx="139">
                  <c:v>1</c:v>
                </c:pt>
                <c:pt idx="140">
                  <c:v>7</c:v>
                </c:pt>
                <c:pt idx="141">
                  <c:v>1</c:v>
                </c:pt>
                <c:pt idx="142">
                  <c:v>1</c:v>
                </c:pt>
                <c:pt idx="143">
                  <c:v>5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0</c:v>
                </c:pt>
                <c:pt idx="149">
                  <c:v>3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0</c:v>
                </c:pt>
                <c:pt idx="155">
                  <c:v>3</c:v>
                </c:pt>
                <c:pt idx="156">
                  <c:v>0</c:v>
                </c:pt>
                <c:pt idx="157">
                  <c:v>1</c:v>
                </c:pt>
                <c:pt idx="158">
                  <c:v>2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0</c:v>
                </c:pt>
                <c:pt idx="177">
                  <c:v>2</c:v>
                </c:pt>
                <c:pt idx="178">
                  <c:v>0</c:v>
                </c:pt>
                <c:pt idx="179">
                  <c:v>1</c:v>
                </c:pt>
                <c:pt idx="180">
                  <c:v>2</c:v>
                </c:pt>
                <c:pt idx="181">
                  <c:v>1</c:v>
                </c:pt>
                <c:pt idx="182">
                  <c:v>0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0</c:v>
                </c:pt>
                <c:pt idx="194">
                  <c:v>1</c:v>
                </c:pt>
                <c:pt idx="195">
                  <c:v>2</c:v>
                </c:pt>
                <c:pt idx="196">
                  <c:v>0</c:v>
                </c:pt>
                <c:pt idx="197">
                  <c:v>3</c:v>
                </c:pt>
                <c:pt idx="198">
                  <c:v>0</c:v>
                </c:pt>
                <c:pt idx="199">
                  <c:v>2</c:v>
                </c:pt>
                <c:pt idx="200">
                  <c:v>0</c:v>
                </c:pt>
                <c:pt idx="201">
                  <c:v>2</c:v>
                </c:pt>
                <c:pt idx="202">
                  <c:v>0</c:v>
                </c:pt>
                <c:pt idx="203">
                  <c:v>3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2</c:v>
                </c:pt>
                <c:pt idx="231">
                  <c:v>3</c:v>
                </c:pt>
                <c:pt idx="232">
                  <c:v>3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2</c:v>
                </c:pt>
                <c:pt idx="273">
                  <c:v>0</c:v>
                </c:pt>
                <c:pt idx="274">
                  <c:v>1</c:v>
                </c:pt>
                <c:pt idx="275">
                  <c:v>2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2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E-45EE-966A-E3E4FB96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259039"/>
        <c:axId val="384250303"/>
      </c:barChart>
      <c:catAx>
        <c:axId val="38425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4250303"/>
        <c:crosses val="autoZero"/>
        <c:auto val="1"/>
        <c:lblAlgn val="ctr"/>
        <c:lblOffset val="100"/>
        <c:noMultiLvlLbl val="0"/>
      </c:catAx>
      <c:valAx>
        <c:axId val="38425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425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Average: logger statements / LLOC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4.7784644173666539E-3"/>
          <c:y val="0.12737545859195337"/>
          <c:w val="0.50006606711549184"/>
          <c:h val="0.80674923879345295"/>
        </c:manualLayout>
      </c:layout>
      <c:pieChart>
        <c:varyColors val="1"/>
        <c:ser>
          <c:idx val="1"/>
          <c:order val="0"/>
          <c:tx>
            <c:strRef>
              <c:f>Planilha12!$C$1</c:f>
              <c:strCache>
                <c:ptCount val="1"/>
                <c:pt idx="0">
                  <c:v>Média de logger/lloc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3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BA-4ADC-B8B2-89F1B592F9D1}"/>
              </c:ext>
            </c:extLst>
          </c:dPt>
          <c:dPt>
            <c:idx val="1"/>
            <c:bubble3D val="0"/>
            <c:spPr>
              <a:solidFill>
                <a:schemeClr val="accent1">
                  <a:shade val="4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BA-4ADC-B8B2-89F1B592F9D1}"/>
              </c:ext>
            </c:extLst>
          </c:dPt>
          <c:dPt>
            <c:idx val="2"/>
            <c:bubble3D val="0"/>
            <c:spPr>
              <a:solidFill>
                <a:schemeClr val="accent1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BA-4ADC-B8B2-89F1B592F9D1}"/>
              </c:ext>
            </c:extLst>
          </c:dPt>
          <c:dPt>
            <c:idx val="3"/>
            <c:bubble3D val="0"/>
            <c:explosion val="6"/>
            <c:spPr>
              <a:solidFill>
                <a:schemeClr val="accent1">
                  <a:shade val="6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4BA-4ADC-B8B2-89F1B592F9D1}"/>
              </c:ext>
            </c:extLst>
          </c:dPt>
          <c:dPt>
            <c:idx val="4"/>
            <c:bubble3D val="0"/>
            <c:explosion val="7"/>
            <c:spPr>
              <a:solidFill>
                <a:schemeClr val="accent1">
                  <a:shade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4BA-4ADC-B8B2-89F1B592F9D1}"/>
              </c:ext>
            </c:extLst>
          </c:dPt>
          <c:dPt>
            <c:idx val="5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4BA-4ADC-B8B2-89F1B592F9D1}"/>
              </c:ext>
            </c:extLst>
          </c:dPt>
          <c:dPt>
            <c:idx val="6"/>
            <c:bubble3D val="0"/>
            <c:spPr>
              <a:solidFill>
                <a:schemeClr val="accent1">
                  <a:shade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4BA-4ADC-B8B2-89F1B592F9D1}"/>
              </c:ext>
            </c:extLst>
          </c:dPt>
          <c:dPt>
            <c:idx val="7"/>
            <c:bubble3D val="0"/>
            <c:spPr>
              <a:solidFill>
                <a:schemeClr val="accent1">
                  <a:shade val="9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4BA-4ADC-B8B2-89F1B592F9D1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4BA-4ADC-B8B2-89F1B592F9D1}"/>
              </c:ext>
            </c:extLst>
          </c:dPt>
          <c:dPt>
            <c:idx val="9"/>
            <c:bubble3D val="0"/>
            <c:spPr>
              <a:solidFill>
                <a:schemeClr val="accent1">
                  <a:tint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4BA-4ADC-B8B2-89F1B592F9D1}"/>
              </c:ext>
            </c:extLst>
          </c:dPt>
          <c:dPt>
            <c:idx val="10"/>
            <c:bubble3D val="0"/>
            <c:spPr>
              <a:solidFill>
                <a:schemeClr val="accent1">
                  <a:tint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4BA-4ADC-B8B2-89F1B592F9D1}"/>
              </c:ext>
            </c:extLst>
          </c:dPt>
          <c:dPt>
            <c:idx val="11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4BA-4ADC-B8B2-89F1B592F9D1}"/>
              </c:ext>
            </c:extLst>
          </c:dPt>
          <c:dPt>
            <c:idx val="12"/>
            <c:bubble3D val="0"/>
            <c:spPr>
              <a:solidFill>
                <a:schemeClr val="accent1">
                  <a:tint val="6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4BA-4ADC-B8B2-89F1B592F9D1}"/>
              </c:ext>
            </c:extLst>
          </c:dPt>
          <c:dPt>
            <c:idx val="13"/>
            <c:bubble3D val="0"/>
            <c:spPr>
              <a:solidFill>
                <a:schemeClr val="accent1">
                  <a:tint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4BA-4ADC-B8B2-89F1B592F9D1}"/>
              </c:ext>
            </c:extLst>
          </c:dPt>
          <c:dPt>
            <c:idx val="14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4BA-4ADC-B8B2-89F1B592F9D1}"/>
              </c:ext>
            </c:extLst>
          </c:dPt>
          <c:dPt>
            <c:idx val="15"/>
            <c:bubble3D val="0"/>
            <c:spPr>
              <a:solidFill>
                <a:schemeClr val="accent1">
                  <a:tint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4BA-4ADC-B8B2-89F1B592F9D1}"/>
              </c:ext>
            </c:extLst>
          </c:dPt>
          <c:dPt>
            <c:idx val="16"/>
            <c:bubble3D val="0"/>
            <c:spPr>
              <a:solidFill>
                <a:schemeClr val="accent1">
                  <a:tint val="3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4BA-4ADC-B8B2-89F1B592F9D1}"/>
              </c:ext>
            </c:extLst>
          </c:dPt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Planilha12!$C$2:$C$18</c:f>
              <c:numCache>
                <c:formatCode>0.0000</c:formatCode>
                <c:ptCount val="17"/>
                <c:pt idx="0">
                  <c:v>1.3210811197914469E-2</c:v>
                </c:pt>
                <c:pt idx="1">
                  <c:v>1.3151786351022937E-2</c:v>
                </c:pt>
                <c:pt idx="2">
                  <c:v>9.9764311262948071E-3</c:v>
                </c:pt>
                <c:pt idx="3">
                  <c:v>6.5810593900481537E-2</c:v>
                </c:pt>
                <c:pt idx="4">
                  <c:v>9.0802987861811388E-2</c:v>
                </c:pt>
                <c:pt idx="5">
                  <c:v>1.6528340001958096E-2</c:v>
                </c:pt>
                <c:pt idx="6">
                  <c:v>1.0032911869432067E-2</c:v>
                </c:pt>
                <c:pt idx="7">
                  <c:v>2.3395501880287103E-2</c:v>
                </c:pt>
                <c:pt idx="8">
                  <c:v>1.8867764033525133E-2</c:v>
                </c:pt>
                <c:pt idx="9">
                  <c:v>1.4428639472867457E-2</c:v>
                </c:pt>
                <c:pt idx="10">
                  <c:v>6.6038580596226122E-4</c:v>
                </c:pt>
                <c:pt idx="11">
                  <c:v>1.4981516821005538E-2</c:v>
                </c:pt>
                <c:pt idx="12">
                  <c:v>1.2849979105725032E-2</c:v>
                </c:pt>
                <c:pt idx="13">
                  <c:v>1.2604381612855859E-2</c:v>
                </c:pt>
                <c:pt idx="14">
                  <c:v>1.9850750572325902E-2</c:v>
                </c:pt>
                <c:pt idx="15">
                  <c:v>1.016866561634642E-2</c:v>
                </c:pt>
                <c:pt idx="16">
                  <c:v>2.6104417670682729E-2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4BA-4ADC-B8B2-89F1B592F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3"/>
        <c:txPr>
          <a:bodyPr rot="0" spcFirstLastPara="1" vertOverflow="ellipsis" vert="horz" wrap="square" anchor="ctr" anchorCtr="1"/>
          <a:lstStyle/>
          <a:p>
            <a:pPr>
              <a:defRPr lang="en-US" sz="2000" b="1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16"/>
        <c:txPr>
          <a:bodyPr rot="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ayout>
        <c:manualLayout>
          <c:xMode val="edge"/>
          <c:yMode val="edge"/>
          <c:x val="0.50238991063200356"/>
          <c:y val="0.11916871155792845"/>
          <c:w val="0.47547003268119981"/>
          <c:h val="0.84209287029861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5644378298725996"/>
          <c:y val="0.10434563241165055"/>
          <c:w val="0.47635130228572642"/>
          <c:h val="0.81105723645754135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Planilha12!$C$1</c:f>
              <c:strCache>
                <c:ptCount val="1"/>
                <c:pt idx="0">
                  <c:v>Média de logger/lloc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-6.8576633596703851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7B-49F5-847D-A88055BC5CA1}"/>
                </c:ext>
              </c:extLst>
            </c:dLbl>
            <c:dLbl>
              <c:idx val="4"/>
              <c:layout>
                <c:manualLayout>
                  <c:x val="-6.975898934837115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F7B-49F5-847D-A88055BC5CA1}"/>
                </c:ext>
              </c:extLst>
            </c:dLbl>
            <c:dLbl>
              <c:idx val="7"/>
              <c:layout>
                <c:manualLayout>
                  <c:x val="-6.8576633596703851E-2"/>
                  <c:y val="7.085260053974470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F7B-49F5-847D-A88055BC5CA1}"/>
                </c:ext>
              </c:extLst>
            </c:dLbl>
            <c:dLbl>
              <c:idx val="16"/>
              <c:layout>
                <c:manualLayout>
                  <c:x val="-6.975898934837124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3F7B-49F5-847D-A88055BC5C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Planilha12!$C$2:$C$18</c:f>
              <c:numCache>
                <c:formatCode>0.0000</c:formatCode>
                <c:ptCount val="17"/>
                <c:pt idx="0">
                  <c:v>1.3210811197914469E-2</c:v>
                </c:pt>
                <c:pt idx="1">
                  <c:v>1.3151786351022937E-2</c:v>
                </c:pt>
                <c:pt idx="2">
                  <c:v>9.9764311262948071E-3</c:v>
                </c:pt>
                <c:pt idx="3">
                  <c:v>6.5810593900481537E-2</c:v>
                </c:pt>
                <c:pt idx="4">
                  <c:v>9.0802987861811388E-2</c:v>
                </c:pt>
                <c:pt idx="5">
                  <c:v>1.6528340001958096E-2</c:v>
                </c:pt>
                <c:pt idx="6">
                  <c:v>1.0032911869432067E-2</c:v>
                </c:pt>
                <c:pt idx="7">
                  <c:v>2.3395501880287103E-2</c:v>
                </c:pt>
                <c:pt idx="8">
                  <c:v>1.8867764033525133E-2</c:v>
                </c:pt>
                <c:pt idx="9">
                  <c:v>1.4428639472867457E-2</c:v>
                </c:pt>
                <c:pt idx="10">
                  <c:v>6.6038580596226122E-4</c:v>
                </c:pt>
                <c:pt idx="11">
                  <c:v>1.4981516821005538E-2</c:v>
                </c:pt>
                <c:pt idx="12">
                  <c:v>1.2849979105725032E-2</c:v>
                </c:pt>
                <c:pt idx="13">
                  <c:v>1.2604381612855859E-2</c:v>
                </c:pt>
                <c:pt idx="14">
                  <c:v>1.9850750572325902E-2</c:v>
                </c:pt>
                <c:pt idx="15">
                  <c:v>1.016866561634642E-2</c:v>
                </c:pt>
                <c:pt idx="16">
                  <c:v>2.6104417670682729E-2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F7B-49F5-847D-A88055BC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614203680"/>
        <c:axId val="1614202016"/>
      </c:barChart>
      <c:valAx>
        <c:axId val="161420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4203680"/>
        <c:crosses val="autoZero"/>
        <c:crossBetween val="between"/>
      </c:valAx>
      <c:catAx>
        <c:axId val="1614203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4202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2"/>
          <c:order val="0"/>
          <c:tx>
            <c:strRef>
              <c:f>Planilha12!$D$1</c:f>
              <c:strCache>
                <c:ptCount val="1"/>
                <c:pt idx="0">
                  <c:v>Média de debug/lloc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Planilha12!$D$2:$D$18</c:f>
              <c:numCache>
                <c:formatCode>0.0000</c:formatCode>
                <c:ptCount val="17"/>
                <c:pt idx="0">
                  <c:v>3.3866859688130874E-3</c:v>
                </c:pt>
                <c:pt idx="1">
                  <c:v>3.99856028644227E-3</c:v>
                </c:pt>
                <c:pt idx="2">
                  <c:v>2.4805078629466632E-3</c:v>
                </c:pt>
                <c:pt idx="3">
                  <c:v>3.2102728731942212E-2</c:v>
                </c:pt>
                <c:pt idx="4">
                  <c:v>4.3650793650793648E-2</c:v>
                </c:pt>
                <c:pt idx="5">
                  <c:v>3.4319707593580655E-3</c:v>
                </c:pt>
                <c:pt idx="6">
                  <c:v>3.7010153808558458E-3</c:v>
                </c:pt>
                <c:pt idx="7">
                  <c:v>7.6702029345005023E-3</c:v>
                </c:pt>
                <c:pt idx="8">
                  <c:v>6.154379371024702E-3</c:v>
                </c:pt>
                <c:pt idx="9">
                  <c:v>5.3402570072111346E-3</c:v>
                </c:pt>
                <c:pt idx="10">
                  <c:v>9.9076606031783769E-5</c:v>
                </c:pt>
                <c:pt idx="11">
                  <c:v>3.6393712324994634E-3</c:v>
                </c:pt>
                <c:pt idx="12">
                  <c:v>7.7308817384036778E-3</c:v>
                </c:pt>
                <c:pt idx="13">
                  <c:v>2.0419424304905522E-3</c:v>
                </c:pt>
                <c:pt idx="14">
                  <c:v>3.5474821466293526E-3</c:v>
                </c:pt>
                <c:pt idx="15">
                  <c:v>2.8451878715447217E-3</c:v>
                </c:pt>
                <c:pt idx="16">
                  <c:v>6.6934404283801872E-4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7-4929-A6EB-C5BB2B42BB8B}"/>
            </c:ext>
          </c:extLst>
        </c:ser>
        <c:ser>
          <c:idx val="5"/>
          <c:order val="1"/>
          <c:tx>
            <c:strRef>
              <c:f>Planilha12!$G$1</c:f>
              <c:strCache>
                <c:ptCount val="1"/>
                <c:pt idx="0">
                  <c:v>Média de info/lloc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Planilha12!$G$2:$G$18</c:f>
              <c:numCache>
                <c:formatCode>0.0000</c:formatCode>
                <c:ptCount val="17"/>
                <c:pt idx="0">
                  <c:v>5.7050916974722438E-3</c:v>
                </c:pt>
                <c:pt idx="1">
                  <c:v>4.1729836445474301E-3</c:v>
                </c:pt>
                <c:pt idx="2">
                  <c:v>3.8925642557602106E-3</c:v>
                </c:pt>
                <c:pt idx="3">
                  <c:v>0</c:v>
                </c:pt>
                <c:pt idx="4">
                  <c:v>4.9019607843137254E-3</c:v>
                </c:pt>
                <c:pt idx="5">
                  <c:v>7.4548149635160991E-3</c:v>
                </c:pt>
                <c:pt idx="6">
                  <c:v>2.5952627016546628E-3</c:v>
                </c:pt>
                <c:pt idx="7">
                  <c:v>7.8821469537447945E-3</c:v>
                </c:pt>
                <c:pt idx="8">
                  <c:v>6.4997284396604441E-3</c:v>
                </c:pt>
                <c:pt idx="9">
                  <c:v>4.3677535067124535E-3</c:v>
                </c:pt>
                <c:pt idx="10">
                  <c:v>2.3778385447628106E-4</c:v>
                </c:pt>
                <c:pt idx="11">
                  <c:v>6.6556941031717092E-3</c:v>
                </c:pt>
                <c:pt idx="12">
                  <c:v>3.9699122440451312E-3</c:v>
                </c:pt>
                <c:pt idx="13">
                  <c:v>3.9158558439808455E-3</c:v>
                </c:pt>
                <c:pt idx="14">
                  <c:v>1.1453459347380693E-2</c:v>
                </c:pt>
                <c:pt idx="15">
                  <c:v>3.5958332735828813E-3</c:v>
                </c:pt>
                <c:pt idx="16">
                  <c:v>1.9410977242302542E-2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97-4929-A6EB-C5BB2B42BB8B}"/>
            </c:ext>
          </c:extLst>
        </c:ser>
        <c:ser>
          <c:idx val="7"/>
          <c:order val="2"/>
          <c:tx>
            <c:strRef>
              <c:f>Planilha12!$I$1</c:f>
              <c:strCache>
                <c:ptCount val="1"/>
                <c:pt idx="0">
                  <c:v>Média de warning/lloc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Planilha12!$I$2:$I$18</c:f>
              <c:numCache>
                <c:formatCode>0.0000</c:formatCode>
                <c:ptCount val="17"/>
                <c:pt idx="0">
                  <c:v>1.7014664430860173E-3</c:v>
                </c:pt>
                <c:pt idx="1">
                  <c:v>1.878493288255207E-3</c:v>
                </c:pt>
                <c:pt idx="2">
                  <c:v>1.5482067061074012E-3</c:v>
                </c:pt>
                <c:pt idx="3">
                  <c:v>8.8282504012841094E-3</c:v>
                </c:pt>
                <c:pt idx="4">
                  <c:v>2.8711484593837534E-2</c:v>
                </c:pt>
                <c:pt idx="5">
                  <c:v>2.4076553906632499E-3</c:v>
                </c:pt>
                <c:pt idx="6">
                  <c:v>1.9523511685246499E-3</c:v>
                </c:pt>
                <c:pt idx="7">
                  <c:v>2.5267863674404661E-3</c:v>
                </c:pt>
                <c:pt idx="8">
                  <c:v>2.670050493034076E-3</c:v>
                </c:pt>
                <c:pt idx="9">
                  <c:v>1.1155505533208662E-3</c:v>
                </c:pt>
                <c:pt idx="10">
                  <c:v>9.4340829423180157E-5</c:v>
                </c:pt>
                <c:pt idx="11">
                  <c:v>1.6456977335401841E-3</c:v>
                </c:pt>
                <c:pt idx="12">
                  <c:v>2.0894274968658589E-4</c:v>
                </c:pt>
                <c:pt idx="13">
                  <c:v>1.5341711203688097E-3</c:v>
                </c:pt>
                <c:pt idx="14">
                  <c:v>1.4662141012004226E-3</c:v>
                </c:pt>
                <c:pt idx="15">
                  <c:v>1.369901719396443E-3</c:v>
                </c:pt>
                <c:pt idx="16">
                  <c:v>6.6934404283801872E-4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97-4929-A6EB-C5BB2B42BB8B}"/>
            </c:ext>
          </c:extLst>
        </c:ser>
        <c:ser>
          <c:idx val="9"/>
          <c:order val="3"/>
          <c:tx>
            <c:strRef>
              <c:f>Planilha12!$K$1</c:f>
              <c:strCache>
                <c:ptCount val="1"/>
                <c:pt idx="0">
                  <c:v>Média de error/lloc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Planilha12!$K$2:$K$18</c:f>
              <c:numCache>
                <c:formatCode>0.0000</c:formatCode>
                <c:ptCount val="17"/>
                <c:pt idx="0">
                  <c:v>1.8169858007878411E-3</c:v>
                </c:pt>
                <c:pt idx="1">
                  <c:v>1.8673431586037675E-3</c:v>
                </c:pt>
                <c:pt idx="2">
                  <c:v>1.2589947453482007E-3</c:v>
                </c:pt>
                <c:pt idx="3">
                  <c:v>2.407704654895666E-3</c:v>
                </c:pt>
                <c:pt idx="4">
                  <c:v>1.2371615312791783E-2</c:v>
                </c:pt>
                <c:pt idx="5">
                  <c:v>1.8188027003814319E-3</c:v>
                </c:pt>
                <c:pt idx="6">
                  <c:v>1.5180794738599388E-3</c:v>
                </c:pt>
                <c:pt idx="7">
                  <c:v>4.0672726146004914E-3</c:v>
                </c:pt>
                <c:pt idx="8">
                  <c:v>3.0379606659462605E-3</c:v>
                </c:pt>
                <c:pt idx="9">
                  <c:v>2.3771182455086721E-3</c:v>
                </c:pt>
                <c:pt idx="10">
                  <c:v>1.094203740209333E-4</c:v>
                </c:pt>
                <c:pt idx="11">
                  <c:v>2.1489181967785063E-3</c:v>
                </c:pt>
                <c:pt idx="12">
                  <c:v>0</c:v>
                </c:pt>
                <c:pt idx="13">
                  <c:v>4.7072252532233934E-3</c:v>
                </c:pt>
                <c:pt idx="14">
                  <c:v>2.6850199239658867E-3</c:v>
                </c:pt>
                <c:pt idx="15">
                  <c:v>1.7639453999067892E-3</c:v>
                </c:pt>
                <c:pt idx="16">
                  <c:v>5.3547523427041497E-3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97-4929-A6EB-C5BB2B42BB8B}"/>
            </c:ext>
          </c:extLst>
        </c:ser>
        <c:ser>
          <c:idx val="11"/>
          <c:order val="4"/>
          <c:tx>
            <c:strRef>
              <c:f>Planilha12!$M$1</c:f>
              <c:strCache>
                <c:ptCount val="1"/>
                <c:pt idx="0">
                  <c:v>Média de critical/lloc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Planilha12!$M$2:$M$18</c:f>
              <c:numCache>
                <c:formatCode>0.0000</c:formatCode>
                <c:ptCount val="17"/>
                <c:pt idx="0">
                  <c:v>7.7575746953218626E-5</c:v>
                </c:pt>
                <c:pt idx="1">
                  <c:v>3.1020244485197859E-5</c:v>
                </c:pt>
                <c:pt idx="2">
                  <c:v>2.2660239489481816E-4</c:v>
                </c:pt>
                <c:pt idx="3">
                  <c:v>0</c:v>
                </c:pt>
                <c:pt idx="4">
                  <c:v>0</c:v>
                </c:pt>
                <c:pt idx="5">
                  <c:v>2.262752036354019E-4</c:v>
                </c:pt>
                <c:pt idx="6">
                  <c:v>1.0471745815821809E-4</c:v>
                </c:pt>
                <c:pt idx="7">
                  <c:v>3.8625774377122466E-4</c:v>
                </c:pt>
                <c:pt idx="8">
                  <c:v>0</c:v>
                </c:pt>
                <c:pt idx="9">
                  <c:v>2.2645857635709515E-4</c:v>
                </c:pt>
                <c:pt idx="10">
                  <c:v>1.1976414201008285E-4</c:v>
                </c:pt>
                <c:pt idx="11">
                  <c:v>2.6365999653246637E-4</c:v>
                </c:pt>
                <c:pt idx="12">
                  <c:v>1.0447137484329294E-4</c:v>
                </c:pt>
                <c:pt idx="13">
                  <c:v>6.8441663838370441E-5</c:v>
                </c:pt>
                <c:pt idx="14">
                  <c:v>8.4608654118436839E-5</c:v>
                </c:pt>
                <c:pt idx="15">
                  <c:v>1.2719093903340529E-4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97-4929-A6EB-C5BB2B42BB8B}"/>
            </c:ext>
          </c:extLst>
        </c:ser>
        <c:ser>
          <c:idx val="13"/>
          <c:order val="5"/>
          <c:tx>
            <c:strRef>
              <c:f>Planilha12!$O$1</c:f>
              <c:strCache>
                <c:ptCount val="1"/>
                <c:pt idx="0">
                  <c:v>Média de exception/lloc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Planilha12!$A$2:$A$18</c:f>
              <c:strCache>
                <c:ptCount val="17"/>
                <c:pt idx="0">
                  <c:v>Apache License 2.0</c:v>
                </c:pt>
                <c:pt idx="1">
                  <c:v>BSD 2-Clause "Simplified" License</c:v>
                </c:pt>
                <c:pt idx="2">
                  <c:v>BSD 3-Clause "New" or "Revised" License</c:v>
                </c:pt>
                <c:pt idx="3">
                  <c:v>Creative Commons Zero v1.0 Universal</c:v>
                </c:pt>
                <c:pt idx="4">
                  <c:v>Eclipse Public License 2.0</c:v>
                </c:pt>
                <c:pt idx="5">
                  <c:v>GNU Affero General Public License v3.0</c:v>
                </c:pt>
                <c:pt idx="6">
                  <c:v>GNU General Public License v2.0</c:v>
                </c:pt>
                <c:pt idx="7">
                  <c:v>GNU General Public License v3.0</c:v>
                </c:pt>
                <c:pt idx="8">
                  <c:v>GNU Lesser General Public License v2.1</c:v>
                </c:pt>
                <c:pt idx="9">
                  <c:v>GNU Lesser General Public License v3.0</c:v>
                </c:pt>
                <c:pt idx="10">
                  <c:v>ISC License</c:v>
                </c:pt>
                <c:pt idx="11">
                  <c:v>MIT License</c:v>
                </c:pt>
                <c:pt idx="12">
                  <c:v>MIT No Attribution</c:v>
                </c:pt>
                <c:pt idx="13">
                  <c:v>Mozilla Public License 2.0</c:v>
                </c:pt>
                <c:pt idx="14">
                  <c:v>N/A</c:v>
                </c:pt>
                <c:pt idx="15">
                  <c:v>Other</c:v>
                </c:pt>
                <c:pt idx="16">
                  <c:v>PostgreSQL License</c:v>
                </c:pt>
              </c:strCache>
            </c:strRef>
          </c:cat>
          <c:val>
            <c:numRef>
              <c:f>Planilha12!$O$2:$O$18</c:f>
              <c:numCache>
                <c:formatCode>0.0000</c:formatCode>
                <c:ptCount val="17"/>
                <c:pt idx="0">
                  <c:v>5.2300554080207087E-4</c:v>
                </c:pt>
                <c:pt idx="1">
                  <c:v>1.2033857286890643E-3</c:v>
                </c:pt>
                <c:pt idx="2">
                  <c:v>5.695551612375188E-4</c:v>
                </c:pt>
                <c:pt idx="3">
                  <c:v>2.247191011235955E-2</c:v>
                </c:pt>
                <c:pt idx="4">
                  <c:v>1.1671335200746965E-3</c:v>
                </c:pt>
                <c:pt idx="5">
                  <c:v>1.1888209844038518E-3</c:v>
                </c:pt>
                <c:pt idx="6">
                  <c:v>1.6148568637875402E-4</c:v>
                </c:pt>
                <c:pt idx="7">
                  <c:v>8.6283526622963681E-4</c:v>
                </c:pt>
                <c:pt idx="8">
                  <c:v>5.0564506385964759E-4</c:v>
                </c:pt>
                <c:pt idx="9">
                  <c:v>1.0015015837572358E-3</c:v>
                </c:pt>
                <c:pt idx="10">
                  <c:v>0</c:v>
                </c:pt>
                <c:pt idx="11">
                  <c:v>6.2817555848319992E-4</c:v>
                </c:pt>
                <c:pt idx="12">
                  <c:v>8.3577099874634355E-4</c:v>
                </c:pt>
                <c:pt idx="13">
                  <c:v>3.3674530095388708E-4</c:v>
                </c:pt>
                <c:pt idx="14">
                  <c:v>6.1396639903111259E-4</c:v>
                </c:pt>
                <c:pt idx="15">
                  <c:v>4.6660641288217756E-4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97-4929-A6EB-C5BB2B42B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6514031"/>
        <c:axId val="506526927"/>
      </c:barChart>
      <c:catAx>
        <c:axId val="506514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6526927"/>
        <c:crosses val="autoZero"/>
        <c:auto val="1"/>
        <c:lblAlgn val="ctr"/>
        <c:lblOffset val="100"/>
        <c:noMultiLvlLbl val="0"/>
      </c:catAx>
      <c:valAx>
        <c:axId val="506526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651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2</xdr:row>
      <xdr:rowOff>47625</xdr:rowOff>
    </xdr:from>
    <xdr:to>
      <xdr:col>12</xdr:col>
      <xdr:colOff>28575</xdr:colOff>
      <xdr:row>19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63F808-9A7E-40A4-A682-7894E1BB0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1862137</xdr:colOff>
      <xdr:row>20</xdr:row>
      <xdr:rowOff>9524</xdr:rowOff>
    </xdr:from>
    <xdr:to>
      <xdr:col>6</xdr:col>
      <xdr:colOff>533400</xdr:colOff>
      <xdr:row>42</xdr:row>
      <xdr:rowOff>19049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532D1F1-A380-4855-B272-A409CC013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3</xdr:row>
      <xdr:rowOff>114300</xdr:rowOff>
    </xdr:from>
    <xdr:to>
      <xdr:col>25</xdr:col>
      <xdr:colOff>352424</xdr:colOff>
      <xdr:row>40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E2DF547-3039-4BAC-8C2B-E8236AE92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9523</xdr:rowOff>
    </xdr:from>
    <xdr:to>
      <xdr:col>19</xdr:col>
      <xdr:colOff>190500</xdr:colOff>
      <xdr:row>43</xdr:row>
      <xdr:rowOff>21981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B46CC4-5ABB-4192-8EFA-542E14F79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124560</xdr:colOff>
      <xdr:row>46</xdr:row>
      <xdr:rowOff>153862</xdr:rowOff>
    </xdr:from>
    <xdr:to>
      <xdr:col>18</xdr:col>
      <xdr:colOff>402981</xdr:colOff>
      <xdr:row>87</xdr:row>
      <xdr:rowOff>117231</xdr:rowOff>
    </xdr:to>
    <xdr:graphicFrame macro="">
      <xdr:nvGraphicFramePr>
        <xdr:cNvPr id="4" name="Gráfico 2">
          <a:extLst>
            <a:ext uri="{FF2B5EF4-FFF2-40B4-BE49-F238E27FC236}">
              <a16:creationId xmlns:a16="http://schemas.microsoft.com/office/drawing/2014/main" id="{63D96506-4FC7-42E4-9F3B-A8FEB7F9C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276224</xdr:colOff>
      <xdr:row>22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E558EA-67B4-4BE3-AE7B-4F80DD002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go de Paula" refreshedDate="44314.915493518522" createdVersion="7" refreshedVersion="7" minRefreshableVersion="3" recordCount="1166" xr:uid="{5CD549DF-3A58-4A6A-977A-B3FAF7F04326}">
  <cacheSource type="worksheet">
    <worksheetSource ref="A1:BB1167" sheet="bulk"/>
  </cacheSource>
  <cacheFields count="54">
    <cacheField name="repo" numFmtId="0">
      <sharedItems/>
    </cacheField>
    <cacheField name="owner" numFmtId="0">
      <sharedItems containsDate="1" containsMixedTypes="1" minDate="2021-03-10T00:00:00" maxDate="2021-03-11T00:00:00"/>
    </cacheField>
    <cacheField name="repo_name" numFmtId="0">
      <sharedItems containsMixedTypes="1" containsNumber="1" containsInteger="1" minValue="12306" maxValue="12306"/>
    </cacheField>
    <cacheField name="url" numFmtId="0">
      <sharedItems/>
    </cacheField>
    <cacheField name="created_at" numFmtId="164">
      <sharedItems containsSemiMixedTypes="0" containsNonDate="0" containsDate="1" containsString="0" minDate="2008-10-21T18:19:57" maxDate="2021-03-15T00:27:22"/>
    </cacheField>
    <cacheField name="updated_at" numFmtId="164">
      <sharedItems containsSemiMixedTypes="0" containsNonDate="0" containsDate="1" containsString="0" minDate="2020-09-09T14:13:54" maxDate="2021-04-09T04:18:26"/>
    </cacheField>
    <cacheField name="repo_age" numFmtId="2">
      <sharedItems containsSemiMixedTypes="0" containsString="0" containsNumber="1" minValue="24.845625000001746" maxValue="4550.4981712962981"/>
    </cacheField>
    <cacheField name="is_fork" numFmtId="0">
      <sharedItems/>
    </cacheField>
    <cacheField name="in_org" numFmtId="0">
      <sharedItems/>
    </cacheField>
    <cacheField name="stars" numFmtId="0">
      <sharedItems containsSemiMixedTypes="0" containsString="0" containsNumber="1" containsInteger="1" minValue="326" maxValue="69409"/>
    </cacheField>
    <cacheField name="watchers" numFmtId="0">
      <sharedItems containsSemiMixedTypes="0" containsString="0" containsNumber="1" containsInteger="1" minValue="2" maxValue="2959"/>
    </cacheField>
    <cacheField name="forks" numFmtId="0">
      <sharedItems containsSemiMixedTypes="0" containsString="0" containsNumber="1" containsInteger="1" minValue="3" maxValue="41646"/>
    </cacheField>
    <cacheField name="releases" numFmtId="0">
      <sharedItems containsSemiMixedTypes="0" containsString="0" containsNumber="1" containsInteger="1" minValue="0" maxValue="1552"/>
    </cacheField>
    <cacheField name="commit_comments" numFmtId="0">
      <sharedItems containsSemiMixedTypes="0" containsString="0" containsNumber="1" containsInteger="1" minValue="0" maxValue="99664"/>
    </cacheField>
    <cacheField name="contributors" numFmtId="0">
      <sharedItems containsSemiMixedTypes="0" containsString="0" containsNumber="1" containsInteger="1" minValue="0" maxValue="2440"/>
    </cacheField>
    <cacheField name="prs" numFmtId="0">
      <sharedItems containsSemiMixedTypes="0" containsString="0" containsNumber="1" containsInteger="1" minValue="0" maxValue="44930"/>
    </cacheField>
    <cacheField name="prs_open" numFmtId="0">
      <sharedItems containsSemiMixedTypes="0" containsString="0" containsNumber="1" containsInteger="1" minValue="0" maxValue="749"/>
    </cacheField>
    <cacheField name="issues" numFmtId="0">
      <sharedItems containsSemiMixedTypes="0" containsString="0" containsNumber="1" containsInteger="1" minValue="0" maxValue="29066"/>
    </cacheField>
    <cacheField name="issues_open" numFmtId="0">
      <sharedItems containsSemiMixedTypes="0" containsString="0" containsNumber="1" containsInteger="1" minValue="0" maxValue="3637"/>
    </cacheField>
    <cacheField name="license" numFmtId="0">
      <sharedItems count="17">
        <s v="GNU General Public License v3.0"/>
        <s v="N/A"/>
        <s v="BSD 3-Clause &quot;New&quot; or &quot;Revised&quot; License"/>
        <s v="GNU General Public License v2.0"/>
        <s v="Apache License 2.0"/>
        <s v="MIT License"/>
        <s v="Mozilla Public License 2.0"/>
        <s v="Other"/>
        <s v="BSD 2-Clause &quot;Simplified&quot; License"/>
        <s v="GNU Lesser General Public License v3.0"/>
        <s v="MIT No Attribution"/>
        <s v="GNU Affero General Public License v3.0"/>
        <s v="Creative Commons Zero v1.0 Universal"/>
        <s v="Eclipse Public License 2.0"/>
        <s v="ISC License"/>
        <s v="GNU Lesser General Public License v2.1"/>
        <s v="PostgreSQL License"/>
      </sharedItems>
    </cacheField>
    <cacheField name="lloc" numFmtId="0">
      <sharedItems containsSemiMixedTypes="0" containsString="0" containsNumber="1" containsInteger="1" minValue="72" maxValue="3506112"/>
    </cacheField>
    <cacheField name="logger_calls" numFmtId="0">
      <sharedItems containsSemiMixedTypes="0" containsString="0" containsNumber="1" containsInteger="1" minValue="0" maxValue="8387"/>
    </cacheField>
    <cacheField name="logger/lloc" numFmtId="166">
      <sharedItems containsSemiMixedTypes="0" containsString="0" containsNumber="1" minValue="0" maxValue="0.18604651162790697"/>
    </cacheField>
    <cacheField name="verbosity_debug" numFmtId="0">
      <sharedItems containsSemiMixedTypes="0" containsString="0" containsNumber="1" containsInteger="1" minValue="0" maxValue="3194"/>
    </cacheField>
    <cacheField name="debug/loggers" numFmtId="166">
      <sharedItems containsSemiMixedTypes="0" containsString="0" containsNumber="1" minValue="0" maxValue="1"/>
    </cacheField>
    <cacheField name="debug/lloc" numFmtId="166">
      <sharedItems containsSemiMixedTypes="0" containsString="0" containsNumber="1" minValue="0" maxValue="6.9890692282212646E-2"/>
    </cacheField>
    <cacheField name="verbosity_info" numFmtId="0">
      <sharedItems containsSemiMixedTypes="0" containsString="0" containsNumber="1" containsInteger="1" minValue="0" maxValue="1518"/>
    </cacheField>
    <cacheField name="info/loggers" numFmtId="166">
      <sharedItems containsSemiMixedTypes="0" containsString="0" containsNumber="1" minValue="0" maxValue="1"/>
    </cacheField>
    <cacheField name="info/lloc" numFmtId="166">
      <sharedItems containsSemiMixedTypes="0" containsString="0" containsNumber="1" minValue="0" maxValue="0.15697674418604651"/>
    </cacheField>
    <cacheField name="verbosity_warning" numFmtId="0">
      <sharedItems containsSemiMixedTypes="0" containsString="0" containsNumber="1" containsInteger="1" minValue="0" maxValue="951"/>
    </cacheField>
    <cacheField name="warning/loggers" numFmtId="166">
      <sharedItems containsSemiMixedTypes="0" containsString="0" containsNumber="1" minValue="0" maxValue="1"/>
    </cacheField>
    <cacheField name="warning/lloc" numFmtId="166">
      <sharedItems containsSemiMixedTypes="0" containsString="0" containsNumber="1" minValue="0" maxValue="4.3728309370352006E-2"/>
    </cacheField>
    <cacheField name="verbosity_error" numFmtId="0">
      <sharedItems containsSemiMixedTypes="0" containsString="0" containsNumber="1" containsInteger="1" minValue="0" maxValue="2525"/>
    </cacheField>
    <cacheField name="error/loggers" numFmtId="166">
      <sharedItems containsSemiMixedTypes="0" containsString="0" containsNumber="1" minValue="0" maxValue="1"/>
    </cacheField>
    <cacheField name="error/lloc" numFmtId="166">
      <sharedItems containsSemiMixedTypes="0" containsString="0" containsNumber="1" minValue="0" maxValue="3.4037558685446008E-2"/>
    </cacheField>
    <cacheField name="verbosity_critical" numFmtId="0">
      <sharedItems containsSemiMixedTypes="0" containsString="0" containsNumber="1" containsInteger="1" minValue="0" maxValue="265"/>
    </cacheField>
    <cacheField name="critical/loggers" numFmtId="166">
      <sharedItems containsSemiMixedTypes="0" containsString="0" containsNumber="1" minValue="0" maxValue="1"/>
    </cacheField>
    <cacheField name="critical/lloc" numFmtId="166">
      <sharedItems containsSemiMixedTypes="0" containsString="0" containsNumber="1" minValue="0" maxValue="9.7196261682242994E-3"/>
    </cacheField>
    <cacheField name="verbosity_exception" numFmtId="0">
      <sharedItems containsSemiMixedTypes="0" containsString="0" containsNumber="1" containsInteger="1" minValue="0" maxValue="588"/>
    </cacheField>
    <cacheField name="exception/loggers" numFmtId="166">
      <sharedItems containsSemiMixedTypes="0" containsString="0" containsNumber="1" minValue="0" maxValue="1"/>
    </cacheField>
    <cacheField name="exception/lloc" numFmtId="166">
      <sharedItems containsSemiMixedTypes="0" containsString="0" containsNumber="1" minValue="0" maxValue="2.7002700270027002E-2"/>
    </cacheField>
    <cacheField name="dockerfile" numFmtId="0">
      <sharedItems/>
    </cacheField>
    <cacheField name="docker-compose" numFmtId="0">
      <sharedItems/>
    </cacheField>
    <cacheField name=".kube" numFmtId="0">
      <sharedItems/>
    </cacheField>
    <cacheField name="configmap" numFmtId="0">
      <sharedItems/>
    </cacheField>
    <cacheField name="logging" numFmtId="0">
      <sharedItems/>
    </cacheField>
    <cacheField name="daiquiri" numFmtId="0">
      <sharedItems/>
    </cacheField>
    <cacheField name="eliot" numFmtId="0">
      <sharedItems/>
    </cacheField>
    <cacheField name="logbook" numFmtId="0">
      <sharedItems/>
    </cacheField>
    <cacheField name="loguru" numFmtId="0">
      <sharedItems/>
    </cacheField>
    <cacheField name="logzero" numFmtId="0">
      <sharedItems/>
    </cacheField>
    <cacheField name="pysimplelog" numFmtId="0">
      <sharedItems/>
    </cacheField>
    <cacheField name="structlog" numFmtId="0">
      <sharedItems/>
    </cacheField>
    <cacheField name="twigg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6">
  <r>
    <s v="0Kee-Team/WatchAD"/>
    <s v="0Kee-Team"/>
    <s v="WatchAD"/>
    <s v="https://github.com/0Kee-Team/WatchAD"/>
    <d v="2019-10-24T09:46:33"/>
    <d v="2021-04-06T09:18:39"/>
    <n v="529.98062500000378"/>
    <b v="0"/>
    <b v="1"/>
    <n v="810"/>
    <n v="37"/>
    <n v="205"/>
    <n v="0"/>
    <n v="1"/>
    <n v="0"/>
    <n v="3"/>
    <n v="0"/>
    <n v="35"/>
    <n v="17"/>
    <x v="0"/>
    <n v="7517"/>
    <n v="57"/>
    <n v="7.5828122921378213E-3"/>
    <n v="1"/>
    <n v="1.7543859649122806E-2"/>
    <n v="1.3303179459890914E-4"/>
    <n v="37"/>
    <n v="0.64912280701754388"/>
    <n v="4.9221764001596384E-3"/>
    <n v="1"/>
    <n v="1.7543859649122806E-2"/>
    <n v="1.3303179459890914E-4"/>
    <n v="18"/>
    <n v="0.31578947368421051"/>
    <n v="2.3945723027803643E-3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0vercl0k/stuffz"/>
    <s v="0vercl0k"/>
    <s v="stuffz"/>
    <s v="https://github.com/0vercl0k/stuffz"/>
    <d v="2012-04-07T13:21:31"/>
    <d v="2021-03-26T16:28:45"/>
    <n v="3275.1300231481509"/>
    <b v="0"/>
    <b v="0"/>
    <n v="538"/>
    <n v="60"/>
    <n v="114"/>
    <n v="0"/>
    <n v="1"/>
    <n v="2"/>
    <n v="2"/>
    <n v="0"/>
    <n v="7"/>
    <n v="0"/>
    <x v="1"/>
    <n v="9073"/>
    <n v="61"/>
    <n v="6.7232447922407146E-3"/>
    <n v="3"/>
    <n v="4.9180327868852458E-2"/>
    <n v="3.3065138322495318E-4"/>
    <n v="39"/>
    <n v="0.63934426229508201"/>
    <n v="4.298467981924391E-3"/>
    <n v="16"/>
    <n v="0.26229508196721313"/>
    <n v="1.7634740438664169E-3"/>
    <n v="3"/>
    <n v="4.9180327868852458E-2"/>
    <n v="3.306513832249531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0xInfection/TIDoS-Framework"/>
    <s v="0xInfection"/>
    <s v="TIDoS-Framework"/>
    <s v="https://github.com/0xInfection/TIDoS-Framework"/>
    <d v="2018-06-08T07:05:39"/>
    <d v="2021-04-08T15:04:27"/>
    <n v="1035.3325000000041"/>
    <b v="0"/>
    <b v="0"/>
    <n v="1310"/>
    <n v="117"/>
    <n v="319"/>
    <n v="20"/>
    <n v="3"/>
    <n v="8"/>
    <n v="28"/>
    <n v="2"/>
    <n v="107"/>
    <n v="11"/>
    <x v="0"/>
    <n v="24868"/>
    <n v="10"/>
    <n v="4.0212321055171305E-4"/>
    <n v="0"/>
    <n v="0"/>
    <n v="0"/>
    <n v="4"/>
    <n v="0.4"/>
    <n v="1.6084928422068523E-4"/>
    <n v="3"/>
    <n v="0.3"/>
    <n v="1.2063696316551391E-4"/>
    <n v="1"/>
    <n v="0.1"/>
    <n v="4.0212321055171307E-5"/>
    <n v="0"/>
    <n v="0"/>
    <n v="0"/>
    <n v="2"/>
    <n v="0.2"/>
    <n v="8.0424642110342613E-5"/>
    <b v="1"/>
    <b v="0"/>
    <b v="0"/>
    <b v="0"/>
    <b v="1"/>
    <b v="0"/>
    <b v="0"/>
    <b v="0"/>
    <b v="0"/>
    <b v="0"/>
    <b v="0"/>
    <b v="0"/>
    <b v="0"/>
  </r>
  <r>
    <s v="1adrianb/face-alignment"/>
    <s v="1adrianb"/>
    <s v="face-alignment"/>
    <s v="https://github.com/1adrianb/face-alignment"/>
    <d v="2017-09-15T20:32:44"/>
    <d v="2021-04-09T03:19:40"/>
    <n v="1301.2825925925936"/>
    <b v="0"/>
    <b v="0"/>
    <n v="4822"/>
    <n v="164"/>
    <n v="1010"/>
    <n v="9"/>
    <n v="0"/>
    <n v="20"/>
    <n v="34"/>
    <n v="5"/>
    <n v="229"/>
    <n v="31"/>
    <x v="2"/>
    <n v="1228"/>
    <n v="9"/>
    <n v="7.3289902280130291E-3"/>
    <n v="0"/>
    <n v="0"/>
    <n v="0"/>
    <n v="5"/>
    <n v="0.55555555555555558"/>
    <n v="4.0716612377850164E-3"/>
    <n v="2"/>
    <n v="0.22222222222222221"/>
    <n v="1.6286644951140066E-3"/>
    <n v="2"/>
    <n v="0.22222222222222221"/>
    <n v="1.628664495114006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1tayH/noisy"/>
    <s v="1tayH"/>
    <s v="noisy"/>
    <s v="https://github.com/1tayH/noisy"/>
    <d v="2018-06-29T16:09:58"/>
    <d v="2021-04-02T12:20:45"/>
    <n v="1007.8408217592587"/>
    <b v="0"/>
    <b v="0"/>
    <n v="1214"/>
    <n v="64"/>
    <n v="162"/>
    <n v="0"/>
    <n v="0"/>
    <n v="6"/>
    <n v="25"/>
    <n v="9"/>
    <n v="14"/>
    <n v="9"/>
    <x v="0"/>
    <n v="143"/>
    <n v="8"/>
    <n v="5.5944055944055944E-2"/>
    <n v="3"/>
    <n v="0.375"/>
    <n v="2.097902097902098E-2"/>
    <n v="2"/>
    <n v="0.25"/>
    <n v="1.3986013986013986E-2"/>
    <n v="3"/>
    <n v="0.375"/>
    <n v="2.097902097902098E-2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5hirish/adam_qas"/>
    <s v="5hirish"/>
    <s v="adam_qas"/>
    <s v="https://github.com/5hirish/adam_qas"/>
    <d v="2016-02-09T15:18:46"/>
    <d v="2021-03-23T18:19:25"/>
    <n v="1869.1254513888925"/>
    <b v="0"/>
    <b v="0"/>
    <n v="331"/>
    <n v="30"/>
    <n v="94"/>
    <n v="0"/>
    <n v="0"/>
    <n v="10"/>
    <n v="27"/>
    <n v="0"/>
    <n v="26"/>
    <n v="9"/>
    <x v="0"/>
    <n v="1892"/>
    <n v="78"/>
    <n v="4.1226215644820298E-2"/>
    <n v="36"/>
    <n v="0.46153846153846156"/>
    <n v="1.9027484143763214E-2"/>
    <n v="26"/>
    <n v="0.33333333333333331"/>
    <n v="1.3742071881606765E-2"/>
    <n v="3"/>
    <n v="3.8461538461538464E-2"/>
    <n v="1.5856236786469344E-3"/>
    <n v="13"/>
    <n v="0.16666666666666666"/>
    <n v="6.8710359408033824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aancw/Belati"/>
    <s v="aancw"/>
    <s v="Belati"/>
    <s v="https://github.com/aancw/Belati"/>
    <d v="2016-12-22T10:54:32"/>
    <d v="2021-04-07T22:35:45"/>
    <n v="1567.486956018518"/>
    <b v="0"/>
    <b v="0"/>
    <n v="397"/>
    <n v="34"/>
    <n v="98"/>
    <n v="4"/>
    <n v="0"/>
    <n v="6"/>
    <n v="14"/>
    <n v="2"/>
    <n v="28"/>
    <n v="7"/>
    <x v="3"/>
    <n v="2307"/>
    <n v="2"/>
    <n v="8.6692674469007367E-4"/>
    <n v="0"/>
    <n v="0"/>
    <n v="0"/>
    <n v="0"/>
    <n v="0"/>
    <n v="0"/>
    <n v="2"/>
    <n v="1"/>
    <n v="8.6692674469007367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bhinavsingh/proxy.py"/>
    <s v="abhinavsingh"/>
    <s v="proxy.py"/>
    <s v="https://github.com/abhinavsingh/proxy.py"/>
    <d v="2013-08-19T21:33:51"/>
    <d v="2021-04-08T10:31:55"/>
    <n v="2788.5403240740707"/>
    <b v="0"/>
    <b v="0"/>
    <n v="1313"/>
    <n v="51"/>
    <n v="325"/>
    <n v="0"/>
    <n v="5"/>
    <n v="11"/>
    <n v="360"/>
    <n v="2"/>
    <n v="167"/>
    <n v="42"/>
    <x v="2"/>
    <n v="5514"/>
    <n v="79"/>
    <n v="1.4327167210736307E-2"/>
    <n v="32"/>
    <n v="0.4050632911392405"/>
    <n v="5.8034095030830611E-3"/>
    <n v="20"/>
    <n v="0.25316455696202533"/>
    <n v="3.6271309394269131E-3"/>
    <n v="9"/>
    <n v="0.11392405063291139"/>
    <n v="1.632208922742111E-3"/>
    <n v="8"/>
    <n v="0.10126582278481013"/>
    <n v="1.4508523757707653E-3"/>
    <n v="0"/>
    <n v="0"/>
    <n v="0"/>
    <n v="10"/>
    <n v="0.12658227848101267"/>
    <n v="1.8135654697134566E-3"/>
    <b v="1"/>
    <b v="0"/>
    <b v="0"/>
    <b v="0"/>
    <b v="1"/>
    <b v="0"/>
    <b v="0"/>
    <b v="0"/>
    <b v="0"/>
    <b v="0"/>
    <b v="0"/>
    <b v="0"/>
    <b v="0"/>
  </r>
  <r>
    <s v="AcademySoftwareFoundation/OpenCue"/>
    <s v="AcademySoftwareFoundation"/>
    <s v="OpenCue"/>
    <s v="https://github.com/AcademySoftwareFoundation/OpenCue"/>
    <d v="2018-05-16T23:58:12"/>
    <d v="2021-04-08T15:25:41"/>
    <n v="1057.6440856481495"/>
    <b v="0"/>
    <b v="1"/>
    <n v="585"/>
    <n v="62"/>
    <n v="134"/>
    <n v="20"/>
    <n v="2"/>
    <n v="30"/>
    <n v="603"/>
    <n v="28"/>
    <n v="353"/>
    <n v="117"/>
    <x v="4"/>
    <n v="31052"/>
    <n v="301"/>
    <n v="9.6934174932371501E-3"/>
    <n v="74"/>
    <n v="0.24584717607973422"/>
    <n v="2.3830993172742495E-3"/>
    <n v="93"/>
    <n v="0.30897009966777411"/>
    <n v="2.9949761690068271E-3"/>
    <n v="104"/>
    <n v="0.34551495016611294"/>
    <n v="3.3492206621151617E-3"/>
    <n v="0"/>
    <n v="0"/>
    <n v="0"/>
    <n v="26"/>
    <n v="8.6378737541528236E-2"/>
    <n v="8.3730516552879043E-4"/>
    <n v="4"/>
    <n v="1.3289036544850499E-2"/>
    <n v="1.288161793121216E-4"/>
    <b v="1"/>
    <b v="1"/>
    <b v="0"/>
    <b v="0"/>
    <b v="1"/>
    <b v="0"/>
    <b v="0"/>
    <b v="0"/>
    <b v="0"/>
    <b v="0"/>
    <b v="0"/>
    <b v="0"/>
    <b v="0"/>
  </r>
  <r>
    <s v="achillesrasquinha/pipupgrade"/>
    <s v="achillesrasquinha"/>
    <s v="pipupgrade"/>
    <s v="https://github.com/achillesrasquinha/pipupgrade"/>
    <d v="2018-08-29T21:13:12"/>
    <d v="2021-04-07T08:56:38"/>
    <n v="951.48849537037313"/>
    <b v="0"/>
    <b v="0"/>
    <n v="399"/>
    <n v="4"/>
    <n v="19"/>
    <n v="15"/>
    <n v="0"/>
    <n v="8"/>
    <n v="17"/>
    <n v="2"/>
    <n v="81"/>
    <n v="26"/>
    <x v="5"/>
    <n v="2755"/>
    <n v="57"/>
    <n v="2.0689655172413793E-2"/>
    <n v="0"/>
    <n v="0"/>
    <n v="0"/>
    <n v="50"/>
    <n v="0.8771929824561403"/>
    <n v="1.8148820326678767E-2"/>
    <n v="6"/>
    <n v="0.10526315789473684"/>
    <n v="2.1778584392014521E-3"/>
    <n v="1"/>
    <n v="1.7543859649122806E-2"/>
    <n v="3.6297640653357529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ctiveloopai/Hub"/>
    <s v="activeloopai"/>
    <s v="Hub"/>
    <s v="https://github.com/activeloopai/Hub"/>
    <d v="2019-08-09T06:17:59"/>
    <d v="2021-04-09T03:57:45"/>
    <n v="608.90261574074248"/>
    <b v="0"/>
    <b v="1"/>
    <n v="2949"/>
    <n v="54"/>
    <n v="224"/>
    <n v="12"/>
    <n v="2"/>
    <n v="59"/>
    <n v="495"/>
    <n v="14"/>
    <n v="240"/>
    <n v="13"/>
    <x v="6"/>
    <n v="10790"/>
    <n v="42"/>
    <n v="3.8924930491195551E-3"/>
    <n v="15"/>
    <n v="0.35714285714285715"/>
    <n v="1.3901760889712697E-3"/>
    <n v="9"/>
    <n v="0.21428571428571427"/>
    <n v="8.3410565338276176E-4"/>
    <n v="3"/>
    <n v="7.1428571428571425E-2"/>
    <n v="2.7803521779425392E-4"/>
    <n v="15"/>
    <n v="0.35714285714285715"/>
    <n v="1.3901760889712697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adamrehn/ue4-docker"/>
    <s v="adamrehn"/>
    <s v="ue4-docker"/>
    <s v="https://github.com/adamrehn/ue4-docker"/>
    <d v="2018-04-28T02:15:39"/>
    <d v="2021-04-08T09:09:50"/>
    <n v="1076.2876273148213"/>
    <b v="0"/>
    <b v="0"/>
    <n v="395"/>
    <n v="25"/>
    <n v="78"/>
    <n v="0"/>
    <n v="11"/>
    <n v="5"/>
    <n v="23"/>
    <n v="7"/>
    <n v="129"/>
    <n v="18"/>
    <x v="5"/>
    <n v="1942"/>
    <n v="88"/>
    <n v="4.5314109165808442E-2"/>
    <n v="1"/>
    <n v="1.1363636363636364E-2"/>
    <n v="5.1493305870236867E-4"/>
    <n v="40"/>
    <n v="0.45454545454545453"/>
    <n v="2.0597322348094749E-2"/>
    <n v="0"/>
    <n v="0"/>
    <n v="0"/>
    <n v="47"/>
    <n v="0.53409090909090906"/>
    <n v="2.4201853759011328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dapter-Hub/adapter-transformers"/>
    <s v="Adapter-Hub"/>
    <s v="adapter-transformers"/>
    <s v="https://github.com/Adapter-Hub/adapter-transformers"/>
    <d v="2020-04-21T16:21:43"/>
    <d v="2021-04-08T23:11:23"/>
    <n v="352.2844907407416"/>
    <b v="0"/>
    <b v="1"/>
    <n v="364"/>
    <n v="12"/>
    <n v="48"/>
    <n v="4"/>
    <n v="0"/>
    <n v="342"/>
    <n v="78"/>
    <n v="7"/>
    <n v="67"/>
    <n v="24"/>
    <x v="4"/>
    <n v="97853"/>
    <n v="1182"/>
    <n v="1.2079343505053498E-2"/>
    <n v="10"/>
    <n v="8.4602368866328256E-3"/>
    <n v="1.0219410748776225E-4"/>
    <n v="810"/>
    <n v="0.68527918781725883"/>
    <n v="8.2777227065087434E-3"/>
    <n v="280"/>
    <n v="0.23688663282571912"/>
    <n v="2.8614350096573433E-3"/>
    <n v="82"/>
    <n v="6.9373942470389166E-2"/>
    <n v="8.3799168139965052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dferrand/dnsrobocert"/>
    <s v="adferrand"/>
    <s v="dnsrobocert"/>
    <s v="https://github.com/adferrand/dnsrobocert"/>
    <d v="2017-06-15T20:19:05"/>
    <d v="2021-04-07T18:02:58"/>
    <n v="1391.9054745370377"/>
    <b v="0"/>
    <b v="0"/>
    <n v="425"/>
    <n v="13"/>
    <n v="71"/>
    <n v="70"/>
    <n v="3"/>
    <n v="17"/>
    <n v="252"/>
    <n v="8"/>
    <n v="100"/>
    <n v="13"/>
    <x v="5"/>
    <n v="1303"/>
    <n v="29"/>
    <n v="2.2256331542594012E-2"/>
    <n v="0"/>
    <n v="0"/>
    <n v="0"/>
    <n v="11"/>
    <n v="0.37931034482758619"/>
    <n v="8.4420567920184195E-3"/>
    <n v="6"/>
    <n v="0.20689655172413793"/>
    <n v="4.6047582501918651E-3"/>
    <n v="12"/>
    <n v="0.41379310344827586"/>
    <n v="9.2095165003837302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agconti/cookiecutter-django-rest"/>
    <s v="agconti"/>
    <s v="cookiecutter-django-rest"/>
    <s v="https://github.com/agconti/cookiecutter-django-rest"/>
    <d v="2015-06-04T16:46:49"/>
    <d v="2021-04-08T12:27:34"/>
    <n v="2134.8199652777766"/>
    <b v="0"/>
    <b v="0"/>
    <n v="1124"/>
    <n v="22"/>
    <n v="172"/>
    <n v="8"/>
    <n v="0"/>
    <n v="19"/>
    <n v="960"/>
    <n v="4"/>
    <n v="233"/>
    <n v="1"/>
    <x v="5"/>
    <n v="285"/>
    <n v="3"/>
    <n v="1.0526315789473684E-2"/>
    <n v="0"/>
    <n v="0"/>
    <n v="0"/>
    <n v="2"/>
    <n v="0.66666666666666663"/>
    <n v="7.0175438596491229E-3"/>
    <n v="0"/>
    <n v="0"/>
    <n v="0"/>
    <n v="1"/>
    <n v="0.33333333333333331"/>
    <n v="3.5087719298245615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agronholm/apscheduler"/>
    <s v="agronholm"/>
    <s v="apscheduler"/>
    <s v="https://github.com/agronholm/apscheduler"/>
    <d v="2016-03-27T12:51:50"/>
    <d v="2021-04-08T21:29:25"/>
    <n v="1838.3594328703693"/>
    <b v="0"/>
    <b v="0"/>
    <n v="3329"/>
    <n v="109"/>
    <n v="472"/>
    <n v="0"/>
    <n v="12"/>
    <n v="30"/>
    <n v="86"/>
    <n v="7"/>
    <n v="419"/>
    <n v="40"/>
    <x v="5"/>
    <n v="3044"/>
    <n v="12"/>
    <n v="3.9421813403416554E-3"/>
    <n v="1"/>
    <n v="8.3333333333333329E-2"/>
    <n v="3.2851511169513798E-4"/>
    <n v="4"/>
    <n v="0.33333333333333331"/>
    <n v="1.3140604467805519E-3"/>
    <n v="2"/>
    <n v="0.16666666666666666"/>
    <n v="6.5703022339027597E-4"/>
    <n v="1"/>
    <n v="8.3333333333333329E-2"/>
    <n v="3.2851511169513798E-4"/>
    <n v="0"/>
    <n v="0"/>
    <n v="0"/>
    <n v="4"/>
    <n v="0.33333333333333331"/>
    <n v="1.3140604467805519E-3"/>
    <b v="0"/>
    <b v="1"/>
    <b v="0"/>
    <b v="0"/>
    <b v="1"/>
    <b v="0"/>
    <b v="0"/>
    <b v="0"/>
    <b v="0"/>
    <b v="0"/>
    <b v="0"/>
    <b v="0"/>
    <b v="0"/>
  </r>
  <r>
    <s v="ahmetozlu/vehicle_counting_tensorflow"/>
    <s v="ahmetozlu"/>
    <s v="vehicle_counting_tensorflow"/>
    <s v="https://github.com/ahmetozlu/vehicle_counting_tensorflow"/>
    <d v="2018-01-25T07:01:53"/>
    <d v="2021-04-08T02:16:19"/>
    <n v="1168.8016898148198"/>
    <b v="0"/>
    <b v="0"/>
    <n v="592"/>
    <n v="43"/>
    <n v="281"/>
    <n v="0"/>
    <n v="0"/>
    <n v="3"/>
    <n v="5"/>
    <n v="1"/>
    <n v="71"/>
    <n v="25"/>
    <x v="5"/>
    <n v="605"/>
    <n v="1"/>
    <n v="1.652892561983471E-3"/>
    <n v="0"/>
    <n v="0"/>
    <n v="0"/>
    <n v="1"/>
    <n v="1"/>
    <n v="1.652892561983471E-3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AIChallenger/AI_Challenger_2018"/>
    <s v="AIChallenger"/>
    <s v="AI_Challenger_2018"/>
    <s v="https://github.com/AIChallenger/AI_Challenger_2018"/>
    <d v="2018-03-21T03:22:31"/>
    <d v="2021-04-06T07:37:51"/>
    <n v="1112.1773148148131"/>
    <b v="0"/>
    <b v="0"/>
    <n v="648"/>
    <n v="40"/>
    <n v="290"/>
    <n v="0"/>
    <n v="0"/>
    <n v="2"/>
    <n v="3"/>
    <n v="1"/>
    <n v="30"/>
    <n v="17"/>
    <x v="1"/>
    <n v="13352"/>
    <n v="72"/>
    <n v="5.3924505692031152E-3"/>
    <n v="5"/>
    <n v="6.9444444444444448E-2"/>
    <n v="3.7447573397243858E-4"/>
    <n v="52"/>
    <n v="0.72222222222222221"/>
    <n v="3.8945476333133613E-3"/>
    <n v="12"/>
    <n v="0.16666666666666666"/>
    <n v="8.9874176153385257E-4"/>
    <n v="2"/>
    <n v="2.7777777777777776E-2"/>
    <n v="1.4979029358897544E-4"/>
    <n v="0"/>
    <n v="0"/>
    <n v="0"/>
    <n v="1"/>
    <n v="1.3888888888888888E-2"/>
    <n v="7.4895146794487719E-5"/>
    <b v="1"/>
    <b v="0"/>
    <b v="0"/>
    <b v="0"/>
    <b v="1"/>
    <b v="0"/>
    <b v="0"/>
    <b v="0"/>
    <b v="0"/>
    <b v="0"/>
    <b v="0"/>
    <b v="0"/>
    <b v="0"/>
  </r>
  <r>
    <s v="aim-uofa/AdelaiDet"/>
    <s v="aim-uofa"/>
    <s v="AdelaiDet"/>
    <s v="https://github.com/aim-uofa/AdelaiDet"/>
    <d v="2020-01-23T03:48:55"/>
    <d v="2021-04-08T10:30:58"/>
    <n v="441.27920138888294"/>
    <b v="0"/>
    <b v="1"/>
    <n v="1978"/>
    <n v="83"/>
    <n v="371"/>
    <n v="0"/>
    <n v="3"/>
    <n v="19"/>
    <n v="53"/>
    <n v="4"/>
    <n v="291"/>
    <n v="138"/>
    <x v="7"/>
    <n v="8023"/>
    <n v="24"/>
    <n v="2.9913997257883583E-3"/>
    <n v="0"/>
    <n v="0"/>
    <n v="0"/>
    <n v="21"/>
    <n v="0.875"/>
    <n v="2.6174747600648134E-3"/>
    <n v="3"/>
    <n v="0.125"/>
    <n v="3.7392496572354479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io-libs/aiocache"/>
    <s v="aio-libs"/>
    <s v="aiocache"/>
    <s v="https://github.com/aio-libs/aiocache"/>
    <d v="2016-09-30T09:25:51"/>
    <d v="2021-04-08T23:49:12"/>
    <n v="1651.5995486111133"/>
    <b v="0"/>
    <b v="1"/>
    <n v="510"/>
    <n v="17"/>
    <n v="74"/>
    <n v="18"/>
    <n v="6"/>
    <n v="28"/>
    <n v="311"/>
    <n v="13"/>
    <n v="226"/>
    <n v="25"/>
    <x v="2"/>
    <n v="4660"/>
    <n v="32"/>
    <n v="6.8669527896995704E-3"/>
    <n v="15"/>
    <n v="0.46875"/>
    <n v="3.2188841201716738E-3"/>
    <n v="8"/>
    <n v="0.25"/>
    <n v="1.7167381974248926E-3"/>
    <n v="4"/>
    <n v="0.125"/>
    <n v="8.5836909871244631E-4"/>
    <n v="0"/>
    <n v="0"/>
    <n v="0"/>
    <n v="0"/>
    <n v="0"/>
    <n v="0"/>
    <n v="5"/>
    <n v="0.15625"/>
    <n v="1.0729613733905579E-3"/>
    <b v="0"/>
    <b v="1"/>
    <b v="0"/>
    <b v="0"/>
    <b v="1"/>
    <b v="0"/>
    <b v="0"/>
    <b v="0"/>
    <b v="0"/>
    <b v="0"/>
    <b v="0"/>
    <b v="0"/>
    <b v="0"/>
  </r>
  <r>
    <s v="aio-libs/aiokafka"/>
    <s v="aio-libs"/>
    <s v="aiokafka"/>
    <s v="https://github.com/aio-libs/aiokafka"/>
    <d v="2014-11-01T09:42:10"/>
    <d v="2021-04-05T20:43:34"/>
    <n v="2347.4593055555597"/>
    <b v="0"/>
    <b v="1"/>
    <n v="553"/>
    <n v="26"/>
    <n v="129"/>
    <n v="21"/>
    <n v="9"/>
    <n v="44"/>
    <n v="528"/>
    <n v="14"/>
    <n v="207"/>
    <n v="61"/>
    <x v="4"/>
    <n v="12596"/>
    <n v="169"/>
    <n v="1.3416957764369641E-2"/>
    <n v="74"/>
    <n v="0.43786982248520712"/>
    <n v="5.8748809145760562E-3"/>
    <n v="27"/>
    <n v="0.15976331360946747"/>
    <n v="2.1435376309939663E-3"/>
    <n v="27"/>
    <n v="0.15976331360946747"/>
    <n v="2.1435376309939663E-3"/>
    <n v="36"/>
    <n v="0.21301775147928995"/>
    <n v="2.8580501746586218E-3"/>
    <n v="0"/>
    <n v="0"/>
    <n v="0"/>
    <n v="5"/>
    <n v="2.9585798816568046E-2"/>
    <n v="3.9695141314703079E-4"/>
    <b v="1"/>
    <b v="0"/>
    <b v="0"/>
    <b v="0"/>
    <b v="1"/>
    <b v="0"/>
    <b v="0"/>
    <b v="0"/>
    <b v="0"/>
    <b v="0"/>
    <b v="0"/>
    <b v="0"/>
    <b v="0"/>
  </r>
  <r>
    <s v="aio-libs/aiomysql"/>
    <s v="aio-libs"/>
    <s v="aiomysql"/>
    <s v="https://github.com/aio-libs/aiomysql"/>
    <d v="2015-01-07T20:14:48"/>
    <d v="2021-04-08T13:51:58"/>
    <n v="2282.7341435185226"/>
    <b v="0"/>
    <b v="1"/>
    <n v="1259"/>
    <n v="46"/>
    <n v="194"/>
    <n v="19"/>
    <n v="11"/>
    <n v="77"/>
    <n v="389"/>
    <n v="24"/>
    <n v="185"/>
    <n v="71"/>
    <x v="5"/>
    <n v="6014"/>
    <n v="20"/>
    <n v="3.3255736614566014E-3"/>
    <n v="8"/>
    <n v="0.4"/>
    <n v="1.3302294645826404E-3"/>
    <n v="6"/>
    <n v="0.3"/>
    <n v="9.9767209843698037E-4"/>
    <n v="6"/>
    <n v="0.3"/>
    <n v="9.9767209843698037E-4"/>
    <n v="0"/>
    <n v="0"/>
    <n v="0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airnotifier/airnotifier"/>
    <s v="airnotifier"/>
    <s v="airnotifier"/>
    <s v="https://github.com/airnotifier/airnotifier"/>
    <d v="2012-03-02T13:10:07"/>
    <d v="2021-04-03T14:28:17"/>
    <n v="3319.0542824074073"/>
    <b v="0"/>
    <b v="1"/>
    <n v="522"/>
    <n v="36"/>
    <n v="137"/>
    <n v="0"/>
    <n v="9"/>
    <n v="19"/>
    <n v="42"/>
    <n v="3"/>
    <n v="191"/>
    <n v="10"/>
    <x v="7"/>
    <n v="2657"/>
    <n v="43"/>
    <n v="1.6183665788483251E-2"/>
    <n v="0"/>
    <n v="0"/>
    <n v="0"/>
    <n v="22"/>
    <n v="0.51162790697674421"/>
    <n v="8.2800150545728271E-3"/>
    <n v="1"/>
    <n v="2.3255813953488372E-2"/>
    <n v="3.7636432066240122E-4"/>
    <n v="20"/>
    <n v="0.46511627906976744"/>
    <n v="7.5272864132480237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akirasosa/mobile-semantic-segmentation"/>
    <s v="akirasosa"/>
    <s v="mobile-semantic-segmentation"/>
    <s v="https://github.com/akirasosa/mobile-semantic-segmentation"/>
    <d v="2017-11-01T06:59:39"/>
    <d v="2021-04-07T14:35:48"/>
    <n v="1253.3167708333349"/>
    <b v="0"/>
    <b v="0"/>
    <n v="635"/>
    <n v="40"/>
    <n v="129"/>
    <n v="0"/>
    <n v="0"/>
    <n v="2"/>
    <n v="9"/>
    <n v="3"/>
    <n v="44"/>
    <n v="4"/>
    <x v="5"/>
    <n v="1655"/>
    <n v="1"/>
    <n v="6.0422960725075529E-4"/>
    <n v="0"/>
    <n v="0"/>
    <n v="0"/>
    <n v="1"/>
    <n v="1"/>
    <n v="6.0422960725075529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KSHAYUBHAT/DeepVideoAnalytics"/>
    <s v="AKSHAYUBHAT"/>
    <s v="DeepVideoAnalytics"/>
    <s v="https://github.com/AKSHAYUBHAT/DeepVideoAnalytics"/>
    <d v="2017-01-17T06:41:45"/>
    <d v="2021-04-08T06:27:21"/>
    <n v="1541.989999999998"/>
    <b v="0"/>
    <b v="0"/>
    <n v="2977"/>
    <n v="226"/>
    <n v="731"/>
    <n v="1"/>
    <n v="4"/>
    <n v="2"/>
    <n v="44"/>
    <n v="0"/>
    <n v="208"/>
    <n v="1"/>
    <x v="1"/>
    <n v="16441"/>
    <n v="157"/>
    <n v="9.5492974879873484E-3"/>
    <n v="0"/>
    <n v="0"/>
    <n v="0"/>
    <n v="111"/>
    <n v="0.70700636942675155"/>
    <n v="6.7514141475579345E-3"/>
    <n v="31"/>
    <n v="0.19745222929936307"/>
    <n v="1.8855300772459096E-3"/>
    <n v="7"/>
    <n v="4.4585987261146494E-2"/>
    <n v="4.2576485615230218E-4"/>
    <n v="0"/>
    <n v="0"/>
    <n v="0"/>
    <n v="8"/>
    <n v="5.0955414012738856E-2"/>
    <n v="4.8658840703120245E-4"/>
    <b v="1"/>
    <b v="1"/>
    <b v="0"/>
    <b v="0"/>
    <b v="1"/>
    <b v="0"/>
    <b v="0"/>
    <b v="0"/>
    <b v="0"/>
    <b v="0"/>
    <b v="0"/>
    <b v="0"/>
    <b v="0"/>
  </r>
  <r>
    <s v="alan-turing-institute/sktime"/>
    <s v="alan-turing-institute"/>
    <s v="sktime"/>
    <s v="https://github.com/alan-turing-institute/sktime"/>
    <d v="2018-11-06T15:08:24"/>
    <d v="2021-04-08T21:09:26"/>
    <n v="884.25071759259299"/>
    <b v="0"/>
    <b v="1"/>
    <n v="3814"/>
    <n v="115"/>
    <n v="494"/>
    <n v="11"/>
    <n v="3"/>
    <n v="79"/>
    <n v="381"/>
    <n v="34"/>
    <n v="374"/>
    <n v="91"/>
    <x v="2"/>
    <n v="18634"/>
    <n v="9"/>
    <n v="4.8298808629387141E-4"/>
    <n v="0"/>
    <n v="0"/>
    <n v="0"/>
    <n v="0"/>
    <n v="0"/>
    <n v="0"/>
    <n v="9"/>
    <n v="1"/>
    <n v="4.8298808629387141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lectrocute/flaskSaaS"/>
    <s v="alectrocute"/>
    <s v="flaskSaaS"/>
    <s v="https://github.com/alectrocute/flaskSaaS"/>
    <d v="2019-02-13T23:03:34"/>
    <d v="2021-04-05T18:19:26"/>
    <n v="781.80268518518278"/>
    <b v="0"/>
    <b v="0"/>
    <n v="418"/>
    <n v="19"/>
    <n v="192"/>
    <n v="0"/>
    <n v="0"/>
    <n v="7"/>
    <n v="10"/>
    <n v="4"/>
    <n v="7"/>
    <n v="6"/>
    <x v="5"/>
    <n v="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1"/>
    <b v="0"/>
  </r>
  <r>
    <s v="alerta/alerta"/>
    <s v="alerta"/>
    <s v="alerta"/>
    <s v="https://github.com/alerta/alerta"/>
    <d v="2012-03-30T14:19:34"/>
    <d v="2021-04-08T18:07:36"/>
    <n v="3296.1583564814791"/>
    <b v="0"/>
    <b v="1"/>
    <n v="1899"/>
    <n v="84"/>
    <n v="284"/>
    <n v="80"/>
    <n v="7"/>
    <n v="61"/>
    <n v="928"/>
    <n v="9"/>
    <n v="535"/>
    <n v="27"/>
    <x v="4"/>
    <n v="14836"/>
    <n v="58"/>
    <n v="3.9094095443515777E-3"/>
    <n v="14"/>
    <n v="0.2413793103448276"/>
    <n v="9.4365057967107035E-4"/>
    <n v="15"/>
    <n v="0.25862068965517243"/>
    <n v="1.0110541925047183E-3"/>
    <n v="16"/>
    <n v="0.27586206896551724"/>
    <n v="1.0784578053383662E-3"/>
    <n v="10"/>
    <n v="0.17241379310344829"/>
    <n v="6.7403612833647885E-4"/>
    <n v="0"/>
    <n v="0"/>
    <n v="0"/>
    <n v="3"/>
    <n v="5.1724137931034482E-2"/>
    <n v="2.0221083850094365E-4"/>
    <b v="1"/>
    <b v="1"/>
    <b v="0"/>
    <b v="0"/>
    <b v="1"/>
    <b v="0"/>
    <b v="0"/>
    <b v="0"/>
    <b v="0"/>
    <b v="0"/>
    <b v="0"/>
    <b v="0"/>
    <b v="0"/>
  </r>
  <r>
    <s v="alexander-akhmetov/python-shortcuts"/>
    <s v="alexander-akhmetov"/>
    <s v="python-shortcuts"/>
    <s v="https://github.com/alexander-akhmetov/python-shortcuts"/>
    <d v="2018-09-23T20:35:50"/>
    <d v="2021-04-05T13:42:48"/>
    <n v="924.7131712962946"/>
    <b v="0"/>
    <b v="0"/>
    <n v="530"/>
    <n v="20"/>
    <n v="29"/>
    <n v="6"/>
    <n v="0"/>
    <n v="3"/>
    <n v="87"/>
    <n v="0"/>
    <n v="8"/>
    <n v="0"/>
    <x v="5"/>
    <n v="2263"/>
    <n v="4"/>
    <n v="1.7675651789659744E-3"/>
    <n v="3"/>
    <n v="0.75"/>
    <n v="1.3256738842244808E-3"/>
    <n v="0"/>
    <n v="0"/>
    <n v="0"/>
    <n v="0"/>
    <n v="0"/>
    <n v="0"/>
    <n v="1"/>
    <n v="0.25"/>
    <n v="4.418912947414936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lexmojaki/futurecoder"/>
    <s v="alexmojaki"/>
    <s v="futurecoder"/>
    <s v="https://github.com/alexmojaki/futurecoder"/>
    <d v="2020-01-03T19:59:26"/>
    <d v="2021-04-08T21:35:08"/>
    <n v="461.06645833333459"/>
    <b v="0"/>
    <b v="0"/>
    <n v="366"/>
    <n v="14"/>
    <n v="24"/>
    <n v="0"/>
    <n v="0"/>
    <n v="9"/>
    <n v="75"/>
    <n v="0"/>
    <n v="80"/>
    <n v="36"/>
    <x v="5"/>
    <n v="4296"/>
    <n v="8"/>
    <n v="1.8621973929236499E-3"/>
    <n v="0"/>
    <n v="0"/>
    <n v="0"/>
    <n v="3"/>
    <n v="0.375"/>
    <n v="6.9832402234636874E-4"/>
    <n v="1"/>
    <n v="0.125"/>
    <n v="2.3277467411545624E-4"/>
    <n v="0"/>
    <n v="0"/>
    <n v="0"/>
    <n v="0"/>
    <n v="0"/>
    <n v="0"/>
    <n v="4"/>
    <n v="0.5"/>
    <n v="9.3109869646182495E-4"/>
    <b v="1"/>
    <b v="1"/>
    <b v="0"/>
    <b v="0"/>
    <b v="1"/>
    <b v="0"/>
    <b v="0"/>
    <b v="0"/>
    <b v="0"/>
    <b v="0"/>
    <b v="0"/>
    <b v="0"/>
    <b v="0"/>
  </r>
  <r>
    <s v="alfredfrancis/ai-chatbot-framework"/>
    <s v="alfredfrancis"/>
    <s v="ai-chatbot-framework"/>
    <s v="https://github.com/alfredfrancis/ai-chatbot-framework"/>
    <d v="2016-12-16T19:10:56"/>
    <d v="2021-04-07T14:26:15"/>
    <n v="1572.8023032407436"/>
    <b v="0"/>
    <b v="0"/>
    <n v="1469"/>
    <n v="130"/>
    <n v="602"/>
    <n v="6"/>
    <n v="8"/>
    <n v="21"/>
    <n v="43"/>
    <n v="1"/>
    <n v="106"/>
    <n v="17"/>
    <x v="5"/>
    <n v="1318"/>
    <n v="20"/>
    <n v="1.5174506828528073E-2"/>
    <n v="1"/>
    <n v="0.05"/>
    <n v="7.5872534142640367E-4"/>
    <n v="11"/>
    <n v="0.55000000000000004"/>
    <n v="8.3459787556904395E-3"/>
    <n v="4"/>
    <n v="0.2"/>
    <n v="3.0349013657056147E-3"/>
    <n v="4"/>
    <n v="0.2"/>
    <n v="3.0349013657056147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alibaba/flink-ai-extended"/>
    <s v="alibaba"/>
    <s v="flink-ai-extended"/>
    <s v="https://github.com/alibaba/flink-ai-extended"/>
    <d v="2019-06-17T07:44:14"/>
    <d v="2021-04-09T03:55:54"/>
    <n v="661.84143518518977"/>
    <b v="0"/>
    <b v="1"/>
    <n v="391"/>
    <n v="33"/>
    <n v="131"/>
    <n v="5"/>
    <n v="0"/>
    <n v="11"/>
    <n v="129"/>
    <n v="9"/>
    <n v="55"/>
    <n v="19"/>
    <x v="4"/>
    <n v="172482"/>
    <n v="2937"/>
    <n v="1.7027863777089782E-2"/>
    <n v="334"/>
    <n v="0.11372148450800136"/>
    <n v="1.9364339467306734E-3"/>
    <n v="1518"/>
    <n v="0.5168539325842697"/>
    <n v="8.8009183566980908E-3"/>
    <n v="781"/>
    <n v="0.26591760299625467"/>
    <n v="4.5280087197504667E-3"/>
    <n v="221"/>
    <n v="7.5246850527749404E-2"/>
    <n v="1.2812931204415534E-3"/>
    <n v="2"/>
    <n v="6.8096697310180451E-4"/>
    <n v="1.1595412854674691E-5"/>
    <n v="81"/>
    <n v="2.7579162410623085E-2"/>
    <n v="4.6961422061432497E-4"/>
    <b v="1"/>
    <b v="0"/>
    <b v="0"/>
    <b v="0"/>
    <b v="1"/>
    <b v="0"/>
    <b v="0"/>
    <b v="0"/>
    <b v="0"/>
    <b v="0"/>
    <b v="0"/>
    <b v="0"/>
    <b v="0"/>
  </r>
  <r>
    <s v="aliparlakci/bulk-downloader-for-reddit"/>
    <s v="aliparlakci"/>
    <s v="bulk-downloader-for-reddit"/>
    <s v="https://github.com/aliparlakci/bulk-downloader-for-reddit"/>
    <d v="2018-06-14T20:00:37"/>
    <d v="2021-04-08T06:43:59"/>
    <n v="1028.446782407409"/>
    <b v="0"/>
    <b v="0"/>
    <n v="778"/>
    <n v="20"/>
    <n v="106"/>
    <n v="30"/>
    <n v="2"/>
    <n v="14"/>
    <n v="109"/>
    <n v="2"/>
    <n v="149"/>
    <n v="45"/>
    <x v="0"/>
    <n v="1733"/>
    <n v="3"/>
    <n v="1.7311021350259665E-3"/>
    <n v="0"/>
    <n v="0"/>
    <n v="0"/>
    <n v="0"/>
    <n v="0"/>
    <n v="0"/>
    <n v="0"/>
    <n v="0"/>
    <n v="0"/>
    <n v="3"/>
    <n v="1"/>
    <n v="1.7311021350259665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alisaifee/flask-limiter"/>
    <s v="alisaifee"/>
    <s v="flask-limiter"/>
    <s v="https://github.com/alisaifee/flask-limiter"/>
    <d v="2014-02-12T03:37:41"/>
    <d v="2021-04-07T08:07:45"/>
    <n v="2611.1875462962998"/>
    <b v="0"/>
    <b v="0"/>
    <n v="737"/>
    <n v="13"/>
    <n v="91"/>
    <n v="0"/>
    <n v="2"/>
    <n v="28"/>
    <n v="169"/>
    <n v="0"/>
    <n v="110"/>
    <n v="14"/>
    <x v="5"/>
    <n v="2997"/>
    <n v="14"/>
    <n v="4.6713380046713377E-3"/>
    <n v="0"/>
    <n v="0"/>
    <n v="0"/>
    <n v="2"/>
    <n v="0.14285714285714285"/>
    <n v="6.6733400066733403E-4"/>
    <n v="6"/>
    <n v="0.42857142857142855"/>
    <n v="2.002002002002002E-3"/>
    <n v="4"/>
    <n v="0.2857142857142857"/>
    <n v="1.3346680013346681E-3"/>
    <n v="0"/>
    <n v="0"/>
    <n v="0"/>
    <n v="2"/>
    <n v="0.14285714285714285"/>
    <n v="6.6733400066733403E-4"/>
    <b v="0"/>
    <b v="1"/>
    <b v="0"/>
    <b v="0"/>
    <b v="1"/>
    <b v="0"/>
    <b v="0"/>
    <b v="0"/>
    <b v="0"/>
    <b v="0"/>
    <b v="0"/>
    <b v="0"/>
    <b v="0"/>
  </r>
  <r>
    <s v="alisen39/TrWebOCR"/>
    <s v="alisen39"/>
    <s v="TrWebOCR"/>
    <s v="https://github.com/alisen39/TrWebOCR"/>
    <d v="2020-05-01T13:41:13"/>
    <d v="2021-04-09T03:48:47"/>
    <n v="342.58858796296408"/>
    <b v="0"/>
    <b v="0"/>
    <n v="646"/>
    <n v="32"/>
    <n v="179"/>
    <n v="0"/>
    <n v="0"/>
    <n v="3"/>
    <n v="11"/>
    <n v="6"/>
    <n v="45"/>
    <n v="34"/>
    <x v="4"/>
    <n v="434"/>
    <n v="4"/>
    <n v="9.2165898617511521E-3"/>
    <n v="0"/>
    <n v="0"/>
    <n v="0"/>
    <n v="1"/>
    <n v="0.25"/>
    <n v="2.304147465437788E-3"/>
    <n v="0"/>
    <n v="0"/>
    <n v="0"/>
    <n v="3"/>
    <n v="0.75"/>
    <n v="6.9124423963133645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llegro/ralph"/>
    <s v="allegro"/>
    <s v="ralph"/>
    <s v="https://github.com/allegro/ralph"/>
    <d v="2012-05-17T14:04:57"/>
    <d v="2021-04-04T23:08:28"/>
    <n v="3244.377442129633"/>
    <b v="0"/>
    <b v="1"/>
    <n v="1542"/>
    <n v="124"/>
    <n v="406"/>
    <n v="3"/>
    <n v="21"/>
    <n v="50"/>
    <n v="3076"/>
    <n v="13"/>
    <n v="540"/>
    <n v="62"/>
    <x v="4"/>
    <n v="32049"/>
    <n v="230"/>
    <n v="7.1765109675808918E-3"/>
    <n v="29"/>
    <n v="0.12608695652173912"/>
    <n v="9.0486442634715595E-4"/>
    <n v="94"/>
    <n v="0.40869565217391307"/>
    <n v="2.9330088302287121E-3"/>
    <n v="54"/>
    <n v="0.23478260869565218"/>
    <n v="1.6849199663016006E-3"/>
    <n v="42"/>
    <n v="0.18260869565217391"/>
    <n v="1.3104933071234671E-3"/>
    <n v="2"/>
    <n v="8.6956521739130436E-3"/>
    <n v="6.2404443196355586E-5"/>
    <n v="9"/>
    <n v="3.9130434782608699E-2"/>
    <n v="2.8081999438360012E-4"/>
    <b v="0"/>
    <b v="1"/>
    <b v="0"/>
    <b v="0"/>
    <b v="1"/>
    <b v="0"/>
    <b v="0"/>
    <b v="0"/>
    <b v="0"/>
    <b v="0"/>
    <b v="0"/>
    <b v="0"/>
    <b v="0"/>
  </r>
  <r>
    <s v="allenai/allennlp"/>
    <s v="allenai"/>
    <s v="allennlp"/>
    <s v="https://github.com/allenai/allennlp"/>
    <d v="2017-05-15T15:52:41"/>
    <d v="2021-04-09T03:53:29"/>
    <n v="1424.5005555555545"/>
    <b v="0"/>
    <b v="1"/>
    <n v="9904"/>
    <n v="290"/>
    <n v="1980"/>
    <n v="46"/>
    <n v="72"/>
    <n v="230"/>
    <n v="2786"/>
    <n v="17"/>
    <n v="2305"/>
    <n v="89"/>
    <x v="4"/>
    <n v="34817"/>
    <n v="199"/>
    <n v="5.7155987017836118E-3"/>
    <n v="9"/>
    <n v="4.5226130653266333E-2"/>
    <n v="2.5849441364850505E-4"/>
    <n v="121"/>
    <n v="0.60804020100502509"/>
    <n v="3.4753137834965678E-3"/>
    <n v="53"/>
    <n v="0.26633165829145727"/>
    <n v="1.5222448803745296E-3"/>
    <n v="12"/>
    <n v="6.030150753768844E-2"/>
    <n v="3.4465921819800674E-4"/>
    <n v="2"/>
    <n v="1.0050251256281407E-2"/>
    <n v="5.7443203033001123E-5"/>
    <n v="2"/>
    <n v="1.0050251256281407E-2"/>
    <n v="5.7443203033001123E-5"/>
    <b v="1"/>
    <b v="0"/>
    <b v="0"/>
    <b v="0"/>
    <b v="1"/>
    <b v="0"/>
    <b v="0"/>
    <b v="0"/>
    <b v="0"/>
    <b v="0"/>
    <b v="0"/>
    <b v="0"/>
    <b v="0"/>
  </r>
  <r>
    <s v="allenai/scibert"/>
    <s v="allenai"/>
    <s v="scibert"/>
    <s v="https://github.com/allenai/scibert"/>
    <d v="2019-01-30T19:00:00"/>
    <d v="2021-04-06T06:01:08"/>
    <n v="796.45912037037488"/>
    <b v="0"/>
    <b v="1"/>
    <n v="901"/>
    <n v="41"/>
    <n v="146"/>
    <n v="0"/>
    <n v="0"/>
    <n v="6"/>
    <n v="37"/>
    <n v="5"/>
    <n v="75"/>
    <n v="45"/>
    <x v="4"/>
    <n v="1052"/>
    <n v="1"/>
    <n v="9.5057034220532319E-4"/>
    <n v="0"/>
    <n v="0"/>
    <n v="0"/>
    <n v="1"/>
    <n v="1"/>
    <n v="9.5057034220532319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llenai/writing-code-for-nlp-research-emnlp2018"/>
    <s v="allenai"/>
    <s v="writing-code-for-nlp-research-emnlp2018"/>
    <s v="https://github.com/allenai/writing-code-for-nlp-research-emnlp2018"/>
    <d v="2018-10-12T16:15:14"/>
    <d v="2021-03-31T09:01:28"/>
    <n v="900.69877314814948"/>
    <b v="0"/>
    <b v="1"/>
    <n v="535"/>
    <n v="27"/>
    <n v="57"/>
    <n v="0"/>
    <n v="0"/>
    <n v="0"/>
    <n v="0"/>
    <n v="0"/>
    <n v="1"/>
    <n v="1"/>
    <x v="4"/>
    <n v="90"/>
    <n v="4"/>
    <n v="4.4444444444444446E-2"/>
    <n v="0"/>
    <n v="0"/>
    <n v="0"/>
    <n v="4"/>
    <n v="1"/>
    <n v="4.4444444444444446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lmandin/fuxploider"/>
    <s v="almandin"/>
    <s v="fuxploider"/>
    <s v="https://github.com/almandin/fuxploider"/>
    <d v="2017-07-14T09:30:06"/>
    <d v="2021-04-08T13:24:54"/>
    <n v="1364.1630555555603"/>
    <b v="0"/>
    <b v="0"/>
    <n v="1750"/>
    <n v="54"/>
    <n v="293"/>
    <n v="3"/>
    <n v="0"/>
    <n v="15"/>
    <n v="16"/>
    <n v="0"/>
    <n v="26"/>
    <n v="8"/>
    <x v="0"/>
    <n v="640"/>
    <n v="31"/>
    <n v="4.8437500000000001E-2"/>
    <n v="4"/>
    <n v="0.12903225806451613"/>
    <n v="6.2500000000000003E-3"/>
    <n v="10"/>
    <n v="0.32258064516129031"/>
    <n v="1.5625E-2"/>
    <n v="7"/>
    <n v="0.22580645161290322"/>
    <n v="1.0937499999999999E-2"/>
    <n v="5"/>
    <n v="0.16129032258064516"/>
    <n v="7.8125E-3"/>
    <n v="5"/>
    <n v="0.16129032258064516"/>
    <n v="7.8125E-3"/>
    <n v="0"/>
    <n v="0"/>
    <n v="0"/>
    <b v="1"/>
    <b v="0"/>
    <b v="0"/>
    <b v="0"/>
    <b v="1"/>
    <b v="0"/>
    <b v="0"/>
    <b v="0"/>
    <b v="0"/>
    <b v="0"/>
    <b v="0"/>
    <b v="0"/>
    <b v="0"/>
  </r>
  <r>
    <s v="alpacahq/pylivetrader"/>
    <s v="alpacahq"/>
    <s v="pylivetrader"/>
    <s v="https://github.com/alpacahq/pylivetrader"/>
    <d v="2018-08-02T16:26:17"/>
    <d v="2021-04-09T02:15:15"/>
    <n v="980.409004629626"/>
    <b v="0"/>
    <b v="1"/>
    <n v="474"/>
    <n v="45"/>
    <n v="167"/>
    <n v="33"/>
    <n v="0"/>
    <n v="14"/>
    <n v="122"/>
    <n v="3"/>
    <n v="113"/>
    <n v="21"/>
    <x v="4"/>
    <n v="4534"/>
    <n v="23"/>
    <n v="5.0727834142037936E-3"/>
    <n v="2"/>
    <n v="8.6956521739130432E-2"/>
    <n v="4.4111160123511248E-4"/>
    <n v="6"/>
    <n v="0.2608695652173913"/>
    <n v="1.3233348037053375E-3"/>
    <n v="12"/>
    <n v="0.52173913043478259"/>
    <n v="2.6466696074106751E-3"/>
    <n v="2"/>
    <n v="8.6956521739130432E-2"/>
    <n v="4.4111160123511248E-4"/>
    <n v="0"/>
    <n v="0"/>
    <n v="0"/>
    <n v="1"/>
    <n v="4.3478260869565216E-2"/>
    <n v="2.2055580061755624E-4"/>
    <b v="1"/>
    <b v="0"/>
    <b v="0"/>
    <b v="0"/>
    <b v="0"/>
    <b v="0"/>
    <b v="0"/>
    <b v="1"/>
    <b v="0"/>
    <b v="0"/>
    <b v="0"/>
    <b v="0"/>
    <b v="0"/>
  </r>
  <r>
    <s v="altdesktop/i3ipc-python"/>
    <s v="altdesktop"/>
    <s v="i3ipc-python"/>
    <s v="https://github.com/altdesktop/i3ipc-python"/>
    <d v="2014-03-08T19:47:14"/>
    <d v="2021-03-21T23:43:42"/>
    <n v="2570.1642129629618"/>
    <b v="0"/>
    <b v="1"/>
    <n v="635"/>
    <n v="19"/>
    <n v="89"/>
    <n v="15"/>
    <n v="1"/>
    <n v="43"/>
    <n v="84"/>
    <n v="6"/>
    <n v="96"/>
    <n v="11"/>
    <x v="2"/>
    <n v="2935"/>
    <n v="53"/>
    <n v="1.8057921635434411E-2"/>
    <n v="0"/>
    <n v="0"/>
    <n v="0"/>
    <n v="53"/>
    <n v="1"/>
    <n v="1.8057921635434411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mirassov/kaggle-imaterialist"/>
    <s v="amirassov"/>
    <s v="kaggle-imaterialist"/>
    <s v="https://github.com/amirassov/kaggle-imaterialist"/>
    <d v="2019-06-11T15:39:49"/>
    <d v="2021-03-31T00:35:12"/>
    <n v="658.37179398148146"/>
    <b v="0"/>
    <b v="0"/>
    <n v="451"/>
    <n v="15"/>
    <n v="124"/>
    <n v="0"/>
    <n v="0"/>
    <n v="0"/>
    <n v="2"/>
    <n v="0"/>
    <n v="10"/>
    <n v="1"/>
    <x v="5"/>
    <n v="8867"/>
    <n v="5"/>
    <n v="5.6388857561745801E-4"/>
    <n v="0"/>
    <n v="0"/>
    <n v="0"/>
    <n v="3"/>
    <n v="0.6"/>
    <n v="3.3833314537047479E-4"/>
    <n v="2"/>
    <n v="0.4"/>
    <n v="2.255554302469832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mitt001/pygmy"/>
    <s v="amitt001"/>
    <s v="pygmy"/>
    <s v="https://github.com/amitt001/pygmy"/>
    <d v="2017-11-16T18:06:14"/>
    <d v="2021-04-05T17:20:49"/>
    <n v="1235.968460648146"/>
    <b v="0"/>
    <b v="0"/>
    <n v="572"/>
    <n v="15"/>
    <n v="77"/>
    <n v="3"/>
    <n v="0"/>
    <n v="7"/>
    <n v="27"/>
    <n v="5"/>
    <n v="21"/>
    <n v="8"/>
    <x v="5"/>
    <n v="2358"/>
    <n v="10"/>
    <n v="4.2408821034775231E-3"/>
    <n v="1"/>
    <n v="0.1"/>
    <n v="4.2408821034775233E-4"/>
    <n v="8"/>
    <n v="0.8"/>
    <n v="3.3927056827820186E-3"/>
    <n v="0"/>
    <n v="0"/>
    <n v="0"/>
    <n v="1"/>
    <n v="0.1"/>
    <n v="4.2408821034775233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amoffat/sh"/>
    <s v="amoffat"/>
    <s v="sh"/>
    <s v="https://github.com/amoffat/sh"/>
    <d v="2012-01-15T05:52:06"/>
    <d v="2021-04-08T07:51:57"/>
    <n v="3371.0832291666666"/>
    <b v="0"/>
    <b v="0"/>
    <n v="5665"/>
    <n v="143"/>
    <n v="426"/>
    <n v="0"/>
    <n v="19"/>
    <n v="76"/>
    <n v="176"/>
    <n v="0"/>
    <n v="387"/>
    <n v="19"/>
    <x v="5"/>
    <n v="3925"/>
    <n v="42"/>
    <n v="1.070063694267516E-2"/>
    <n v="37"/>
    <n v="0.88095238095238093"/>
    <n v="9.4267515923566886E-3"/>
    <n v="2"/>
    <n v="4.7619047619047616E-2"/>
    <n v="5.0955414012738849E-4"/>
    <n v="1"/>
    <n v="2.3809523809523808E-2"/>
    <n v="2.5477707006369424E-4"/>
    <n v="1"/>
    <n v="2.3809523809523808E-2"/>
    <n v="2.5477707006369424E-4"/>
    <n v="0"/>
    <n v="0"/>
    <n v="0"/>
    <n v="1"/>
    <n v="2.3809523809523808E-2"/>
    <n v="2.5477707006369424E-4"/>
    <b v="1"/>
    <b v="0"/>
    <b v="0"/>
    <b v="0"/>
    <b v="1"/>
    <b v="0"/>
    <b v="0"/>
    <b v="0"/>
    <b v="0"/>
    <b v="0"/>
    <b v="0"/>
    <b v="0"/>
    <b v="0"/>
  </r>
  <r>
    <s v="AnalogJ/lexicon"/>
    <s v="AnalogJ"/>
    <s v="lexicon"/>
    <s v="https://github.com/AnalogJ/lexicon"/>
    <d v="2016-02-02T07:53:04"/>
    <d v="2021-04-06T17:30:54"/>
    <n v="1890.4012731481489"/>
    <b v="0"/>
    <b v="0"/>
    <n v="1039"/>
    <n v="30"/>
    <n v="230"/>
    <n v="179"/>
    <n v="2"/>
    <n v="121"/>
    <n v="575"/>
    <n v="8"/>
    <n v="207"/>
    <n v="48"/>
    <x v="5"/>
    <n v="11643"/>
    <n v="429"/>
    <n v="3.684617366658078E-2"/>
    <n v="372"/>
    <n v="0.86713286713286708"/>
    <n v="3.1950528214377737E-2"/>
    <n v="15"/>
    <n v="3.4965034965034968E-2"/>
    <n v="1.2883277505797476E-3"/>
    <n v="29"/>
    <n v="6.75990675990676E-2"/>
    <n v="2.4907669844541785E-3"/>
    <n v="13"/>
    <n v="3.0303030303030304E-2"/>
    <n v="1.1165507171691145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nchore/anchore-engine"/>
    <s v="anchore"/>
    <s v="anchore-engine"/>
    <s v="https://github.com/anchore/anchore-engine"/>
    <d v="2017-09-06T18:47:20"/>
    <d v="2021-04-09T02:44:53"/>
    <n v="1310.3316319444421"/>
    <b v="0"/>
    <b v="1"/>
    <n v="1214"/>
    <n v="54"/>
    <n v="198"/>
    <n v="0"/>
    <n v="1"/>
    <n v="39"/>
    <n v="373"/>
    <n v="12"/>
    <n v="587"/>
    <n v="181"/>
    <x v="4"/>
    <n v="44743"/>
    <n v="1644"/>
    <n v="3.6743177703774894E-2"/>
    <n v="450"/>
    <n v="0.27372262773722628"/>
    <n v="1.0057439152493127E-2"/>
    <n v="654"/>
    <n v="0.3978102189781022"/>
    <n v="1.4616811568290013E-2"/>
    <n v="213"/>
    <n v="0.12956204379562045"/>
    <n v="4.7605211988467466E-3"/>
    <n v="100"/>
    <n v="6.0827250608272508E-2"/>
    <n v="2.234986478331806E-3"/>
    <n v="0"/>
    <n v="0"/>
    <n v="0"/>
    <n v="227"/>
    <n v="0.13807785888077859"/>
    <n v="5.0734193058131994E-3"/>
    <b v="1"/>
    <b v="1"/>
    <b v="0"/>
    <b v="0"/>
    <b v="1"/>
    <b v="0"/>
    <b v="0"/>
    <b v="0"/>
    <b v="0"/>
    <b v="0"/>
    <b v="0"/>
    <b v="0"/>
    <b v="0"/>
  </r>
  <r>
    <s v="andresriancho/w3af"/>
    <s v="andresriancho"/>
    <s v="w3af"/>
    <s v="https://github.com/andresriancho/w3af"/>
    <d v="2011-08-31T23:20:34"/>
    <d v="2021-04-09T01:03:15"/>
    <n v="3508.0713078703702"/>
    <b v="0"/>
    <b v="0"/>
    <n v="3549"/>
    <n v="192"/>
    <n v="1037"/>
    <n v="4"/>
    <n v="13"/>
    <n v="64"/>
    <n v="242"/>
    <n v="30"/>
    <n v="18520"/>
    <n v="1856"/>
    <x v="1"/>
    <n v="140758"/>
    <n v="1637"/>
    <n v="1.1629889597749328E-2"/>
    <n v="743"/>
    <n v="0.45387904703726328"/>
    <n v="5.2785632077750463E-3"/>
    <n v="320"/>
    <n v="0.19547953573610263"/>
    <n v="2.273405419230168E-3"/>
    <n v="310"/>
    <n v="0.18937080024434941"/>
    <n v="2.2023614998792252E-3"/>
    <n v="217"/>
    <n v="0.13255956017104459"/>
    <n v="1.5416530499154577E-3"/>
    <n v="47"/>
    <n v="2.8711056811240074E-2"/>
    <n v="3.3390642094943094E-4"/>
    <n v="0"/>
    <n v="0"/>
    <n v="0"/>
    <b v="1"/>
    <b v="1"/>
    <b v="0"/>
    <b v="0"/>
    <b v="1"/>
    <b v="0"/>
    <b v="0"/>
    <b v="0"/>
    <b v="0"/>
    <b v="0"/>
    <b v="0"/>
    <b v="0"/>
    <b v="0"/>
  </r>
  <r>
    <s v="angr/angr"/>
    <s v="angr"/>
    <s v="angr"/>
    <s v="https://github.com/angr/angr"/>
    <d v="2015-08-06T21:46:55"/>
    <d v="2021-04-08T22:20:30"/>
    <n v="2072.0233217592613"/>
    <b v="0"/>
    <b v="1"/>
    <n v="4969"/>
    <n v="198"/>
    <n v="774"/>
    <n v="0"/>
    <n v="37"/>
    <n v="157"/>
    <n v="1296"/>
    <n v="70"/>
    <n v="1291"/>
    <n v="512"/>
    <x v="8"/>
    <n v="81676"/>
    <n v="1517"/>
    <n v="1.8573387531220922E-2"/>
    <n v="755"/>
    <n v="0.49769281476598548"/>
    <n v="9.2438415201527985E-3"/>
    <n v="207"/>
    <n v="0.13645352669742913"/>
    <n v="2.5344042313531516E-3"/>
    <n v="390"/>
    <n v="0.25708635464733026"/>
    <n v="4.7749644938537639E-3"/>
    <n v="137"/>
    <n v="9.0309822017139094E-2"/>
    <n v="1.6773593221999119E-3"/>
    <n v="24"/>
    <n v="1.5820698747528016E-2"/>
    <n v="2.9384396885253928E-4"/>
    <n v="4"/>
    <n v="2.6367831245880024E-3"/>
    <n v="4.8973994808756551E-5"/>
    <b v="1"/>
    <b v="0"/>
    <b v="0"/>
    <b v="0"/>
    <b v="1"/>
    <b v="0"/>
    <b v="0"/>
    <b v="0"/>
    <b v="0"/>
    <b v="0"/>
    <b v="0"/>
    <b v="0"/>
    <b v="0"/>
  </r>
  <r>
    <s v="angr/rex"/>
    <s v="angr"/>
    <s v="rex"/>
    <s v="https://github.com/angr/rex"/>
    <d v="2016-08-20T19:15:25"/>
    <d v="2021-04-08T05:09:52"/>
    <n v="1691.4128125000061"/>
    <b v="0"/>
    <b v="1"/>
    <n v="514"/>
    <n v="55"/>
    <n v="93"/>
    <n v="0"/>
    <n v="1"/>
    <n v="20"/>
    <n v="35"/>
    <n v="2"/>
    <n v="39"/>
    <n v="19"/>
    <x v="8"/>
    <n v="5326"/>
    <n v="154"/>
    <n v="2.8914757791963952E-2"/>
    <n v="80"/>
    <n v="0.51948051948051943"/>
    <n v="1.5020653398422831E-2"/>
    <n v="37"/>
    <n v="0.24025974025974026"/>
    <n v="6.9470521967705595E-3"/>
    <n v="35"/>
    <n v="0.22727272727272727"/>
    <n v="6.5715358618099887E-3"/>
    <n v="2"/>
    <n v="1.2987012987012988E-2"/>
    <n v="3.755163349605707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nsible/ansible"/>
    <s v="ansible"/>
    <s v="ansible"/>
    <s v="https://github.com/ansible/ansible"/>
    <d v="2012-03-06T14:58:02"/>
    <d v="2021-04-09T03:05:59"/>
    <n v="3320.505520833336"/>
    <b v="0"/>
    <b v="1"/>
    <n v="47684"/>
    <n v="2020"/>
    <n v="19657"/>
    <n v="3"/>
    <n v="833"/>
    <n v="0"/>
    <n v="44930"/>
    <n v="563"/>
    <n v="29066"/>
    <n v="1303"/>
    <x v="0"/>
    <n v="118874"/>
    <n v="913"/>
    <n v="7.6804010969598064E-3"/>
    <n v="250"/>
    <n v="0.2738225629791895"/>
    <n v="2.1030671130777127E-3"/>
    <n v="155"/>
    <n v="0.16976998904709747"/>
    <n v="1.3039016101081817E-3"/>
    <n v="358"/>
    <n v="0.39211391018619934"/>
    <n v="3.0115921059272843E-3"/>
    <n v="150"/>
    <n v="0.16429353778751368"/>
    <n v="1.261840267846627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nsible/ansible-container"/>
    <s v="ansible"/>
    <s v="ansible-container"/>
    <s v="https://github.com/ansible/ansible-container"/>
    <d v="2016-05-05T18:40:29"/>
    <d v="2021-03-25T09:55:14"/>
    <n v="1784.6352430555562"/>
    <b v="0"/>
    <b v="1"/>
    <n v="2255"/>
    <n v="141"/>
    <n v="399"/>
    <n v="0"/>
    <n v="14"/>
    <n v="68"/>
    <n v="466"/>
    <n v="9"/>
    <n v="510"/>
    <n v="191"/>
    <x v="9"/>
    <n v="5065"/>
    <n v="185"/>
    <n v="3.6525172754195458E-2"/>
    <n v="84"/>
    <n v="0.45405405405405408"/>
    <n v="1.6584402764067127E-2"/>
    <n v="66"/>
    <n v="0.35675675675675678"/>
    <n v="1.3030602171767028E-2"/>
    <n v="5"/>
    <n v="2.7027027027027029E-2"/>
    <n v="9.871668311944718E-4"/>
    <n v="24"/>
    <n v="0.12972972972972974"/>
    <n v="4.7384007897334646E-3"/>
    <n v="0"/>
    <n v="0"/>
    <n v="0"/>
    <n v="6"/>
    <n v="3.2432432432432434E-2"/>
    <n v="1.1846001974333662E-3"/>
    <b v="1"/>
    <b v="0"/>
    <b v="0"/>
    <b v="0"/>
    <b v="1"/>
    <b v="0"/>
    <b v="0"/>
    <b v="0"/>
    <b v="0"/>
    <b v="0"/>
    <b v="0"/>
    <b v="1"/>
    <b v="0"/>
  </r>
  <r>
    <s v="ansible/ansible-jupyter-kernel"/>
    <s v="ansible"/>
    <s v="ansible-jupyter-kernel"/>
    <s v="https://github.com/ansible/ansible-jupyter-kernel"/>
    <d v="2018-06-26T14:28:02"/>
    <d v="2021-03-30T05:14:55"/>
    <n v="1007.6158912037063"/>
    <b v="0"/>
    <b v="1"/>
    <n v="457"/>
    <n v="19"/>
    <n v="45"/>
    <n v="0"/>
    <n v="0"/>
    <n v="9"/>
    <n v="50"/>
    <n v="1"/>
    <n v="41"/>
    <n v="12"/>
    <x v="4"/>
    <n v="1544"/>
    <n v="127"/>
    <n v="8.2253886010362695E-2"/>
    <n v="77"/>
    <n v="0.60629921259842523"/>
    <n v="4.987046632124352E-2"/>
    <n v="45"/>
    <n v="0.3543307086614173"/>
    <n v="2.9145077720207253E-2"/>
    <n v="1"/>
    <n v="7.874015748031496E-3"/>
    <n v="6.4766839378238344E-4"/>
    <n v="4"/>
    <n v="3.1496062992125984E-2"/>
    <n v="2.590673575129533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nsible/ansible-runner"/>
    <s v="ansible"/>
    <s v="ansible-runner"/>
    <s v="https://github.com/ansible/ansible-runner"/>
    <d v="2018-02-02T15:17:40"/>
    <d v="2021-04-08T00:57:52"/>
    <n v="1160.402916666666"/>
    <b v="0"/>
    <b v="1"/>
    <n v="501"/>
    <n v="45"/>
    <n v="162"/>
    <n v="1"/>
    <n v="2"/>
    <n v="60"/>
    <n v="441"/>
    <n v="10"/>
    <n v="223"/>
    <n v="54"/>
    <x v="7"/>
    <n v="4690"/>
    <n v="23"/>
    <n v="4.9040511727078892E-3"/>
    <n v="16"/>
    <n v="0.69565217391304346"/>
    <n v="3.4115138592750532E-3"/>
    <n v="3"/>
    <n v="0.13043478260869565"/>
    <n v="6.3965884861407255E-4"/>
    <n v="1"/>
    <n v="4.3478260869565216E-2"/>
    <n v="2.1321961620469082E-4"/>
    <n v="2"/>
    <n v="8.6956521739130432E-2"/>
    <n v="4.2643923240938164E-4"/>
    <n v="0"/>
    <n v="0"/>
    <n v="0"/>
    <n v="1"/>
    <n v="4.3478260869565216E-2"/>
    <n v="2.1321961620469082E-4"/>
    <b v="1"/>
    <b v="1"/>
    <b v="0"/>
    <b v="0"/>
    <b v="1"/>
    <b v="0"/>
    <b v="0"/>
    <b v="0"/>
    <b v="0"/>
    <b v="0"/>
    <b v="0"/>
    <b v="0"/>
    <b v="0"/>
  </r>
  <r>
    <s v="ansible/awx"/>
    <s v="ansible"/>
    <s v="awx"/>
    <s v="https://github.com/ansible/awx"/>
    <d v="2017-05-17T15:50:14"/>
    <d v="2021-04-09T01:24:03"/>
    <n v="1422.3984837962998"/>
    <b v="0"/>
    <b v="1"/>
    <n v="9496"/>
    <n v="370"/>
    <n v="2352"/>
    <n v="6"/>
    <n v="88"/>
    <n v="324"/>
    <n v="4173"/>
    <n v="58"/>
    <n v="5679"/>
    <n v="1334"/>
    <x v="7"/>
    <n v="67761"/>
    <n v="600"/>
    <n v="8.8546509053880548E-3"/>
    <n v="229"/>
    <n v="0.38166666666666665"/>
    <n v="3.3795250955564412E-3"/>
    <n v="82"/>
    <n v="0.13666666666666666"/>
    <n v="1.2101356237363674E-3"/>
    <n v="122"/>
    <n v="0.20333333333333334"/>
    <n v="1.8004456840955711E-3"/>
    <n v="96"/>
    <n v="0.16"/>
    <n v="1.4167441448620889E-3"/>
    <n v="1"/>
    <n v="1.6666666666666668E-3"/>
    <n v="1.4757751508980091E-5"/>
    <n v="70"/>
    <n v="0.11666666666666667"/>
    <n v="1.0330426056286064E-3"/>
    <b v="1"/>
    <b v="1"/>
    <b v="0"/>
    <b v="0"/>
    <b v="1"/>
    <b v="0"/>
    <b v="0"/>
    <b v="0"/>
    <b v="0"/>
    <b v="0"/>
    <b v="0"/>
    <b v="0"/>
    <b v="0"/>
  </r>
  <r>
    <s v="ansible/galaxy"/>
    <s v="ansible"/>
    <s v="galaxy"/>
    <s v="https://github.com/ansible/galaxy"/>
    <d v="2014-09-22T15:04:57"/>
    <d v="2021-03-30T11:49:50"/>
    <n v="2380.8645023148129"/>
    <b v="0"/>
    <b v="1"/>
    <n v="744"/>
    <n v="92"/>
    <n v="248"/>
    <n v="3"/>
    <n v="0"/>
    <n v="50"/>
    <n v="1224"/>
    <n v="8"/>
    <n v="1439"/>
    <n v="223"/>
    <x v="4"/>
    <n v="12429"/>
    <n v="119"/>
    <n v="9.5743824925577283E-3"/>
    <n v="8"/>
    <n v="6.7226890756302518E-2"/>
    <n v="6.4365596588623376E-4"/>
    <n v="53"/>
    <n v="0.44537815126050423"/>
    <n v="4.2642207739962993E-3"/>
    <n v="23"/>
    <n v="0.19327731092436976"/>
    <n v="1.8505109019229223E-3"/>
    <n v="29"/>
    <n v="0.24369747899159663"/>
    <n v="2.3332528763375976E-3"/>
    <n v="0"/>
    <n v="0"/>
    <n v="0"/>
    <n v="6"/>
    <n v="5.0420168067226892E-2"/>
    <n v="4.8274197441467538E-4"/>
    <b v="1"/>
    <b v="0"/>
    <b v="0"/>
    <b v="0"/>
    <b v="1"/>
    <b v="0"/>
    <b v="0"/>
    <b v="0"/>
    <b v="0"/>
    <b v="0"/>
    <b v="0"/>
    <b v="0"/>
    <b v="0"/>
  </r>
  <r>
    <s v="anyant/rssant"/>
    <s v="anyant"/>
    <s v="rssant"/>
    <s v="https://github.com/anyant/rssant"/>
    <d v="2019-12-23T14:05:07"/>
    <d v="2021-04-08T14:51:48"/>
    <n v="472.03241898147826"/>
    <b v="0"/>
    <b v="1"/>
    <n v="834"/>
    <n v="21"/>
    <n v="79"/>
    <n v="0"/>
    <n v="0"/>
    <n v="3"/>
    <n v="81"/>
    <n v="2"/>
    <n v="15"/>
    <n v="6"/>
    <x v="2"/>
    <n v="15423"/>
    <n v="228"/>
    <n v="1.4783116125267459E-2"/>
    <n v="20"/>
    <n v="8.771929824561403E-2"/>
    <n v="1.2967645723918823E-3"/>
    <n v="117"/>
    <n v="0.51315789473684215"/>
    <n v="7.5860727484925112E-3"/>
    <n v="61"/>
    <n v="0.26754385964912281"/>
    <n v="3.9551319457952405E-3"/>
    <n v="20"/>
    <n v="8.771929824561403E-2"/>
    <n v="1.2967645723918823E-3"/>
    <n v="0"/>
    <n v="0"/>
    <n v="0"/>
    <n v="10"/>
    <n v="4.3859649122807015E-2"/>
    <n v="6.4838228619594116E-4"/>
    <b v="1"/>
    <b v="0"/>
    <b v="0"/>
    <b v="0"/>
    <b v="1"/>
    <b v="0"/>
    <b v="0"/>
    <b v="0"/>
    <b v="1"/>
    <b v="0"/>
    <b v="0"/>
    <b v="0"/>
    <b v="0"/>
  </r>
  <r>
    <s v="aosp-mirror/platform_development"/>
    <s v="aosp-mirror"/>
    <s v="platform_development"/>
    <s v="https://github.com/aosp-mirror/platform_development"/>
    <d v="2008-10-21T18:19:57"/>
    <d v="2021-04-07T06:17:19"/>
    <n v="4550.4981712962981"/>
    <b v="0"/>
    <b v="1"/>
    <n v="2575"/>
    <n v="304"/>
    <n v="2584"/>
    <n v="0"/>
    <n v="11"/>
    <n v="145"/>
    <n v="24"/>
    <n v="0"/>
    <n v="0"/>
    <n v="0"/>
    <x v="1"/>
    <n v="22311"/>
    <n v="195"/>
    <n v="8.740083366949038E-3"/>
    <n v="86"/>
    <n v="0.44102564102564101"/>
    <n v="3.8546008695262428E-3"/>
    <n v="82"/>
    <n v="0.42051282051282052"/>
    <n v="3.6753171081529289E-3"/>
    <n v="10"/>
    <n v="5.128205128205128E-2"/>
    <n v="4.4820940343328404E-4"/>
    <n v="16"/>
    <n v="8.2051282051282051E-2"/>
    <n v="7.1713504549325449E-4"/>
    <n v="0"/>
    <n v="0"/>
    <n v="0"/>
    <n v="1"/>
    <n v="5.1282051282051282E-3"/>
    <n v="4.4820940343328406E-5"/>
    <b v="1"/>
    <b v="0"/>
    <b v="0"/>
    <b v="0"/>
    <b v="1"/>
    <b v="0"/>
    <b v="0"/>
    <b v="0"/>
    <b v="0"/>
    <b v="0"/>
    <b v="0"/>
    <b v="0"/>
    <b v="0"/>
  </r>
  <r>
    <s v="apache/airflow"/>
    <s v="apache"/>
    <s v="airflow"/>
    <s v="https://github.com/apache/airflow"/>
    <d v="2015-04-13T18:04:58"/>
    <d v="2021-04-09T03:58:32"/>
    <n v="2187.412199074075"/>
    <b v="0"/>
    <b v="1"/>
    <n v="21086"/>
    <n v="744"/>
    <n v="7999"/>
    <n v="26"/>
    <n v="413"/>
    <n v="1547"/>
    <n v="11893"/>
    <n v="153"/>
    <n v="3110"/>
    <n v="802"/>
    <x v="4"/>
    <n v="150860"/>
    <n v="2893"/>
    <n v="1.9176720137876177E-2"/>
    <n v="314"/>
    <n v="0.1085378499827169"/>
    <n v="2.0813999734853508E-3"/>
    <n v="1503"/>
    <n v="0.51952989975803665"/>
    <n v="9.9628794909187319E-3"/>
    <n v="802"/>
    <n v="0.27722087798133427"/>
    <n v="5.3161871934243668E-3"/>
    <n v="200"/>
    <n v="6.9132388524023508E-2"/>
    <n v="1.3257324671881213E-3"/>
    <n v="2"/>
    <n v="6.9132388524023505E-4"/>
    <n v="1.3257324671881214E-5"/>
    <n v="72"/>
    <n v="2.4887659868648462E-2"/>
    <n v="4.7726368818772373E-4"/>
    <b v="1"/>
    <b v="1"/>
    <b v="0"/>
    <b v="0"/>
    <b v="1"/>
    <b v="0"/>
    <b v="0"/>
    <b v="0"/>
    <b v="0"/>
    <b v="0"/>
    <b v="0"/>
    <b v="0"/>
    <b v="0"/>
  </r>
  <r>
    <s v="apache/libcloud"/>
    <s v="apache"/>
    <s v="libcloud"/>
    <s v="https://github.com/apache/libcloud"/>
    <d v="2009-12-11T09:00:14"/>
    <d v="2021-04-07T09:41:04"/>
    <n v="4135.0283564814818"/>
    <b v="0"/>
    <b v="1"/>
    <n v="1749"/>
    <n v="90"/>
    <n v="807"/>
    <n v="0"/>
    <n v="110"/>
    <n v="327"/>
    <n v="1465"/>
    <n v="17"/>
    <n v="106"/>
    <n v="34"/>
    <x v="4"/>
    <n v="104599"/>
    <n v="43"/>
    <n v="4.1109379630780411E-4"/>
    <n v="8"/>
    <n v="0.18604651162790697"/>
    <n v="7.6482566754940292E-5"/>
    <n v="2"/>
    <n v="4.6511627906976744E-2"/>
    <n v="1.9120641688735073E-5"/>
    <n v="28"/>
    <n v="0.65116279069767447"/>
    <n v="2.6768898364229102E-4"/>
    <n v="5"/>
    <n v="0.11627906976744186"/>
    <n v="4.7801604221837682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pache/superset"/>
    <s v="apache"/>
    <s v="superset"/>
    <s v="https://github.com/apache/superset"/>
    <d v="2015-07-21T18:55:34"/>
    <d v="2021-04-09T04:04:28"/>
    <n v="2088.3811805555597"/>
    <b v="0"/>
    <b v="1"/>
    <n v="36539"/>
    <n v="1418"/>
    <n v="6856"/>
    <n v="22"/>
    <n v="126"/>
    <n v="570"/>
    <n v="7743"/>
    <n v="129"/>
    <n v="6059"/>
    <n v="758"/>
    <x v="4"/>
    <n v="53517"/>
    <n v="446"/>
    <n v="8.3338004746155419E-3"/>
    <n v="35"/>
    <n v="7.847533632286996E-2"/>
    <n v="6.5399779509314802E-4"/>
    <n v="167"/>
    <n v="0.3744394618834081"/>
    <n v="3.1205037651587347E-3"/>
    <n v="72"/>
    <n v="0.16143497757847533"/>
    <n v="1.3453668927630473E-3"/>
    <n v="68"/>
    <n v="0.15246636771300448"/>
    <n v="1.2706242876095446E-3"/>
    <n v="0"/>
    <n v="0"/>
    <n v="0"/>
    <n v="104"/>
    <n v="0.23318385650224216"/>
    <n v="1.9433077339910682E-3"/>
    <b v="1"/>
    <b v="1"/>
    <b v="0"/>
    <b v="0"/>
    <b v="1"/>
    <b v="0"/>
    <b v="0"/>
    <b v="0"/>
    <b v="0"/>
    <b v="0"/>
    <b v="0"/>
    <b v="0"/>
    <b v="0"/>
  </r>
  <r>
    <s v="AppDaemon/appdaemon"/>
    <s v="AppDaemon"/>
    <s v="appdaemon"/>
    <s v="https://github.com/AppDaemon/appdaemon"/>
    <d v="2016-07-13T17:43:46"/>
    <d v="2021-04-07T20:54:03"/>
    <n v="1729.1321412037069"/>
    <b v="0"/>
    <b v="1"/>
    <n v="525"/>
    <n v="35"/>
    <n v="343"/>
    <n v="1"/>
    <n v="5"/>
    <n v="115"/>
    <n v="670"/>
    <n v="17"/>
    <n v="573"/>
    <n v="104"/>
    <x v="7"/>
    <n v="10085"/>
    <n v="865"/>
    <n v="8.5770946950917207E-2"/>
    <n v="224"/>
    <n v="0.25895953757225432"/>
    <n v="2.2211204759543877E-2"/>
    <n v="148"/>
    <n v="0.17109826589595376"/>
    <n v="1.4675260287555775E-2"/>
    <n v="441"/>
    <n v="0.50982658959537575"/>
    <n v="4.3728309370352006E-2"/>
    <n v="38"/>
    <n v="4.3930635838150288E-2"/>
    <n v="3.7679722359940508E-3"/>
    <n v="14"/>
    <n v="1.6184971098265895E-2"/>
    <n v="1.3882002974714923E-3"/>
    <n v="0"/>
    <n v="0"/>
    <n v="0"/>
    <b v="1"/>
    <b v="0"/>
    <b v="0"/>
    <b v="0"/>
    <b v="1"/>
    <b v="0"/>
    <b v="0"/>
    <b v="0"/>
    <b v="0"/>
    <b v="0"/>
    <b v="0"/>
    <b v="0"/>
    <b v="0"/>
  </r>
  <r>
    <s v="apple/coremltools"/>
    <s v="apple"/>
    <s v="coremltools"/>
    <s v="https://github.com/apple/coremltools"/>
    <d v="2017-06-30T07:39:02"/>
    <d v="2021-04-08T08:02:32"/>
    <n v="1378.0163194444467"/>
    <b v="0"/>
    <b v="1"/>
    <n v="2166"/>
    <n v="108"/>
    <n v="338"/>
    <n v="18"/>
    <n v="2"/>
    <n v="91"/>
    <n v="471"/>
    <n v="9"/>
    <n v="684"/>
    <n v="336"/>
    <x v="2"/>
    <n v="82989"/>
    <n v="127"/>
    <n v="1.5303232958584873E-3"/>
    <n v="23"/>
    <n v="0.18110236220472442"/>
    <n v="2.7714516381689138E-4"/>
    <n v="40"/>
    <n v="0.31496062992125984"/>
    <n v="4.8199158924676762E-4"/>
    <n v="51"/>
    <n v="0.40157480314960631"/>
    <n v="6.1453927628962875E-4"/>
    <n v="10"/>
    <n v="7.874015748031496E-2"/>
    <n v="1.204978973116919E-4"/>
    <n v="0"/>
    <n v="0"/>
    <n v="0"/>
    <n v="3"/>
    <n v="2.3622047244094488E-2"/>
    <n v="3.6149369193507575E-5"/>
    <b v="1"/>
    <b v="0"/>
    <b v="0"/>
    <b v="0"/>
    <b v="1"/>
    <b v="0"/>
    <b v="0"/>
    <b v="0"/>
    <b v="0"/>
    <b v="0"/>
    <b v="0"/>
    <b v="0"/>
    <b v="0"/>
  </r>
  <r>
    <s v="appu1232/Discord-Selfbot"/>
    <s v="appu1232"/>
    <s v="Discord-Selfbot"/>
    <s v="https://github.com/appu1232/Discord-Selfbot"/>
    <d v="2017-01-09T06:34:09"/>
    <d v="2021-04-08T11:39:53"/>
    <n v="1550.2123148148166"/>
    <b v="0"/>
    <b v="0"/>
    <n v="388"/>
    <n v="63"/>
    <n v="490"/>
    <n v="9"/>
    <n v="7"/>
    <n v="26"/>
    <n v="210"/>
    <n v="0"/>
    <n v="243"/>
    <n v="23"/>
    <x v="0"/>
    <n v="7498"/>
    <n v="1"/>
    <n v="1.3336889837289943E-4"/>
    <n v="0"/>
    <n v="0"/>
    <n v="0"/>
    <n v="0"/>
    <n v="0"/>
    <n v="0"/>
    <n v="1"/>
    <n v="1"/>
    <n v="1.3336889837289943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quasecurity/kube-hunter"/>
    <s v="aquasecurity"/>
    <s v="kube-hunter"/>
    <s v="https://github.com/aquasecurity/kube-hunter"/>
    <d v="2018-07-18T14:39:06"/>
    <d v="2021-04-09T02:49:11"/>
    <n v="995.5070023148146"/>
    <b v="0"/>
    <b v="1"/>
    <n v="2787"/>
    <n v="74"/>
    <n v="381"/>
    <n v="7"/>
    <n v="4"/>
    <n v="66"/>
    <n v="284"/>
    <n v="5"/>
    <n v="155"/>
    <n v="33"/>
    <x v="4"/>
    <n v="3701"/>
    <n v="100"/>
    <n v="2.7019724398811132E-2"/>
    <n v="78"/>
    <n v="0.78"/>
    <n v="2.1075385031072685E-2"/>
    <n v="6"/>
    <n v="0.06"/>
    <n v="1.6211834639286678E-3"/>
    <n v="9"/>
    <n v="0.09"/>
    <n v="2.4317751958930021E-3"/>
    <n v="5"/>
    <n v="0.05"/>
    <n v="1.3509862199405566E-3"/>
    <n v="0"/>
    <n v="0"/>
    <n v="0"/>
    <n v="2"/>
    <n v="0.02"/>
    <n v="5.4039448797622261E-4"/>
    <b v="1"/>
    <b v="0"/>
    <b v="0"/>
    <b v="0"/>
    <b v="1"/>
    <b v="0"/>
    <b v="0"/>
    <b v="0"/>
    <b v="0"/>
    <b v="0"/>
    <b v="0"/>
    <b v="0"/>
    <b v="0"/>
  </r>
  <r>
    <s v="AragonSnow/qiandao"/>
    <s v="AragonSnow"/>
    <s v="qiandao"/>
    <s v="https://github.com/AragonSnow/qiandao"/>
    <d v="2020-05-11T07:51:12"/>
    <d v="2021-04-09T04:01:49"/>
    <n v="332.84070601852"/>
    <b v="0"/>
    <b v="0"/>
    <n v="457"/>
    <n v="8"/>
    <n v="122"/>
    <n v="18"/>
    <n v="0"/>
    <n v="4"/>
    <n v="14"/>
    <n v="0"/>
    <n v="60"/>
    <n v="5"/>
    <x v="5"/>
    <n v="4096"/>
    <n v="32"/>
    <n v="7.8125E-3"/>
    <n v="8"/>
    <n v="0.25"/>
    <n v="1.953125E-3"/>
    <n v="9"/>
    <n v="0.28125"/>
    <n v="2.197265625E-3"/>
    <n v="1"/>
    <n v="3.125E-2"/>
    <n v="2.44140625E-4"/>
    <n v="12"/>
    <n v="0.375"/>
    <n v="2.9296875E-3"/>
    <n v="0"/>
    <n v="0"/>
    <n v="0"/>
    <n v="2"/>
    <n v="6.25E-2"/>
    <n v="4.8828125E-4"/>
    <b v="1"/>
    <b v="0"/>
    <b v="0"/>
    <b v="0"/>
    <b v="1"/>
    <b v="0"/>
    <b v="0"/>
    <b v="0"/>
    <b v="0"/>
    <b v="0"/>
    <b v="0"/>
    <b v="0"/>
    <b v="0"/>
  </r>
  <r>
    <s v="arviz-devs/arviz"/>
    <s v="arviz-devs"/>
    <s v="arviz"/>
    <s v="https://github.com/arviz-devs/arviz"/>
    <d v="2015-07-29T11:51:10"/>
    <d v="2021-04-08T21:15:56"/>
    <n v="2080.3921990740782"/>
    <b v="0"/>
    <b v="1"/>
    <n v="976"/>
    <n v="47"/>
    <n v="196"/>
    <n v="22"/>
    <n v="5"/>
    <n v="76"/>
    <n v="1081"/>
    <n v="11"/>
    <n v="572"/>
    <n v="111"/>
    <x v="4"/>
    <n v="20016"/>
    <n v="86"/>
    <n v="4.2965627498001598E-3"/>
    <n v="0"/>
    <n v="0"/>
    <n v="0"/>
    <n v="9"/>
    <n v="0.10465116279069768"/>
    <n v="4.496402877697842E-4"/>
    <n v="77"/>
    <n v="0.89534883720930236"/>
    <n v="3.8469224620303758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rxiv-vanity/arxiv-vanity"/>
    <s v="arxiv-vanity"/>
    <s v="arxiv-vanity"/>
    <s v="https://github.com/arxiv-vanity/arxiv-vanity"/>
    <d v="2017-08-12T14:41:41"/>
    <d v="2021-04-06T02:13:20"/>
    <n v="1332.4803124999962"/>
    <b v="0"/>
    <b v="1"/>
    <n v="1193"/>
    <n v="22"/>
    <n v="65"/>
    <n v="0"/>
    <n v="0"/>
    <n v="8"/>
    <n v="489"/>
    <n v="11"/>
    <n v="123"/>
    <n v="40"/>
    <x v="4"/>
    <n v="2260"/>
    <n v="1"/>
    <n v="4.4247787610619468E-4"/>
    <n v="0"/>
    <n v="0"/>
    <n v="0"/>
    <n v="1"/>
    <n v="1"/>
    <n v="4.4247787610619468E-4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asyml/texar-pytorch"/>
    <s v="asyml"/>
    <s v="texar-pytorch"/>
    <s v="https://github.com/asyml/texar-pytorch"/>
    <d v="2019-03-08T01:04:09"/>
    <d v="2021-04-06T06:40:10"/>
    <n v="760.23334490740672"/>
    <b v="0"/>
    <b v="1"/>
    <n v="648"/>
    <n v="23"/>
    <n v="101"/>
    <n v="4"/>
    <n v="15"/>
    <n v="17"/>
    <n v="203"/>
    <n v="7"/>
    <n v="131"/>
    <n v="31"/>
    <x v="4"/>
    <n v="22965"/>
    <n v="48"/>
    <n v="2.0901371652514698E-3"/>
    <n v="0"/>
    <n v="0"/>
    <n v="0"/>
    <n v="28"/>
    <n v="0.58333333333333337"/>
    <n v="1.219246679730024E-3"/>
    <n v="20"/>
    <n v="0.41666666666666669"/>
    <n v="8.7089048552144567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utoml/auto-sklearn"/>
    <s v="automl"/>
    <s v="auto-sklearn"/>
    <s v="https://github.com/automl/auto-sklearn"/>
    <d v="2015-07-02T15:38:10"/>
    <d v="2021-04-08T21:53:41"/>
    <n v="2107.2607754629644"/>
    <b v="0"/>
    <b v="1"/>
    <n v="5336"/>
    <n v="217"/>
    <n v="976"/>
    <n v="24"/>
    <n v="7"/>
    <n v="55"/>
    <n v="421"/>
    <n v="11"/>
    <n v="699"/>
    <n v="98"/>
    <x v="7"/>
    <n v="21858"/>
    <n v="192"/>
    <n v="8.783969256107603E-3"/>
    <n v="73"/>
    <n v="0.38020833333333331"/>
    <n v="3.3397383109159116E-3"/>
    <n v="59"/>
    <n v="0.30729166666666669"/>
    <n v="2.6992405526580659E-3"/>
    <n v="38"/>
    <n v="0.19791666666666666"/>
    <n v="1.7384939152712965E-3"/>
    <n v="17"/>
    <n v="8.8541666666666671E-2"/>
    <n v="7.7774727788452742E-4"/>
    <n v="3"/>
    <n v="1.5625E-2"/>
    <n v="1.372495196266813E-4"/>
    <n v="2"/>
    <n v="1.0416666666666666E-2"/>
    <n v="9.1499679751120869E-5"/>
    <b v="1"/>
    <b v="0"/>
    <b v="0"/>
    <b v="0"/>
    <b v="1"/>
    <b v="0"/>
    <b v="0"/>
    <b v="0"/>
    <b v="0"/>
    <b v="0"/>
    <b v="0"/>
    <b v="0"/>
    <b v="0"/>
  </r>
  <r>
    <s v="autorope/donkeycar"/>
    <s v="autorope"/>
    <s v="donkeycar"/>
    <s v="https://github.com/autorope/donkeycar"/>
    <d v="2016-12-10T06:35:09"/>
    <d v="2021-04-08T11:34:55"/>
    <n v="1580.2081712962972"/>
    <b v="0"/>
    <b v="1"/>
    <n v="2070"/>
    <n v="148"/>
    <n v="970"/>
    <n v="8"/>
    <n v="19"/>
    <n v="109"/>
    <n v="568"/>
    <n v="12"/>
    <n v="265"/>
    <n v="52"/>
    <x v="5"/>
    <n v="12940"/>
    <n v="40"/>
    <n v="3.0911901081916537E-3"/>
    <n v="8"/>
    <n v="0.2"/>
    <n v="6.1823802163833079E-4"/>
    <n v="25"/>
    <n v="0.625"/>
    <n v="1.9319938176197836E-3"/>
    <n v="0"/>
    <n v="0"/>
    <n v="0"/>
    <n v="7"/>
    <n v="0.17499999999999999"/>
    <n v="5.409582689335394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vatartwo/avatar2"/>
    <s v="avatartwo"/>
    <s v="avatar2"/>
    <s v="https://github.com/avatartwo/avatar2"/>
    <d v="2017-06-13T16:31:51"/>
    <d v="2021-04-07T18:45:15"/>
    <n v="1394.0926388888838"/>
    <b v="0"/>
    <b v="1"/>
    <n v="337"/>
    <n v="25"/>
    <n v="75"/>
    <n v="0"/>
    <n v="0"/>
    <n v="21"/>
    <n v="53"/>
    <n v="0"/>
    <n v="32"/>
    <n v="5"/>
    <x v="4"/>
    <n v="5975"/>
    <n v="232"/>
    <n v="3.8828451882845186E-2"/>
    <n v="92"/>
    <n v="0.39655172413793105"/>
    <n v="1.5397489539748954E-2"/>
    <n v="50"/>
    <n v="0.21551724137931033"/>
    <n v="8.368200836820083E-3"/>
    <n v="37"/>
    <n v="0.15948275862068967"/>
    <n v="6.1924686192468617E-3"/>
    <n v="15"/>
    <n v="6.4655172413793108E-2"/>
    <n v="2.5104602510460251E-3"/>
    <n v="21"/>
    <n v="9.0517241379310345E-2"/>
    <n v="3.5146443514644352E-3"/>
    <n v="17"/>
    <n v="7.3275862068965511E-2"/>
    <n v="2.8451882845188284E-3"/>
    <b v="1"/>
    <b v="0"/>
    <b v="0"/>
    <b v="0"/>
    <b v="1"/>
    <b v="0"/>
    <b v="0"/>
    <b v="0"/>
    <b v="0"/>
    <b v="0"/>
    <b v="0"/>
    <b v="0"/>
    <b v="0"/>
  </r>
  <r>
    <s v="awolfly9/IPProxyTool"/>
    <s v="awolfly9"/>
    <s v="IPProxyTool"/>
    <s v="https://github.com/awolfly9/IPProxyTool"/>
    <d v="2016-12-05T12:52:21"/>
    <d v="2021-04-08T06:15:09"/>
    <n v="1584.7241666666669"/>
    <b v="0"/>
    <b v="0"/>
    <n v="1750"/>
    <n v="71"/>
    <n v="365"/>
    <n v="0"/>
    <n v="0"/>
    <n v="9"/>
    <n v="29"/>
    <n v="5"/>
    <n v="24"/>
    <n v="0"/>
    <x v="5"/>
    <n v="1450"/>
    <n v="35"/>
    <n v="2.4137931034482758E-2"/>
    <n v="15"/>
    <n v="0.42857142857142855"/>
    <n v="1.0344827586206896E-2"/>
    <n v="1"/>
    <n v="2.8571428571428571E-2"/>
    <n v="6.8965517241379305E-4"/>
    <n v="0"/>
    <n v="0"/>
    <n v="0"/>
    <n v="0"/>
    <n v="0"/>
    <n v="0"/>
    <n v="0"/>
    <n v="0"/>
    <n v="0"/>
    <n v="19"/>
    <n v="0.54285714285714282"/>
    <n v="1.3103448275862069E-2"/>
    <b v="1"/>
    <b v="0"/>
    <b v="0"/>
    <b v="0"/>
    <b v="1"/>
    <b v="0"/>
    <b v="0"/>
    <b v="0"/>
    <b v="0"/>
    <b v="0"/>
    <b v="0"/>
    <b v="0"/>
    <b v="0"/>
  </r>
  <r>
    <s v="aws-cloudformation/cfn-python-lint"/>
    <s v="aws-cloudformation"/>
    <s v="cfn-python-lint"/>
    <s v="https://github.com/aws-cloudformation/cfn-python-lint"/>
    <d v="2018-04-10T23:16:16"/>
    <d v="2021-04-08T15:23:40"/>
    <n v="1093.6718055555539"/>
    <b v="0"/>
    <b v="1"/>
    <n v="1494"/>
    <n v="47"/>
    <n v="312"/>
    <n v="150"/>
    <n v="0"/>
    <n v="111"/>
    <n v="1282"/>
    <n v="12"/>
    <n v="692"/>
    <n v="73"/>
    <x v="7"/>
    <n v="16241"/>
    <n v="143"/>
    <n v="8.8048765470106517E-3"/>
    <n v="103"/>
    <n v="0.72027972027972031"/>
    <n v="6.3419740163783017E-3"/>
    <n v="20"/>
    <n v="0.13986013986013987"/>
    <n v="1.231451265316175E-3"/>
    <n v="4"/>
    <n v="2.7972027972027972E-2"/>
    <n v="2.46290253063235E-4"/>
    <n v="16"/>
    <n v="0.11188811188811189"/>
    <n v="9.851610122529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ws-quickstart/taskcat"/>
    <s v="aws-quickstart"/>
    <s v="taskcat"/>
    <s v="https://github.com/aws-quickstart/taskcat"/>
    <d v="2016-11-15T00:29:01"/>
    <d v="2021-04-07T04:21:45"/>
    <n v="1604.161620370367"/>
    <b v="0"/>
    <b v="1"/>
    <n v="809"/>
    <n v="41"/>
    <n v="160"/>
    <n v="45"/>
    <n v="2"/>
    <n v="32"/>
    <n v="373"/>
    <n v="5"/>
    <n v="283"/>
    <n v="50"/>
    <x v="4"/>
    <n v="6934"/>
    <n v="132"/>
    <n v="1.9036631093164121E-2"/>
    <n v="17"/>
    <n v="0.12878787878787878"/>
    <n v="2.4516873377559852E-3"/>
    <n v="50"/>
    <n v="0.37878787878787878"/>
    <n v="7.2108451110470149E-3"/>
    <n v="33"/>
    <n v="0.25"/>
    <n v="4.7591577732910301E-3"/>
    <n v="32"/>
    <n v="0.24242424242424243"/>
    <n v="4.61494087107008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ws-samples/aws-cdk-examples"/>
    <s v="aws-samples"/>
    <s v="aws-cdk-examples"/>
    <s v="https://github.com/aws-samples/aws-cdk-examples"/>
    <d v="2019-02-01T23:16:42"/>
    <d v="2021-04-09T02:34:04"/>
    <n v="797.1370601851886"/>
    <b v="0"/>
    <b v="1"/>
    <n v="1859"/>
    <n v="66"/>
    <n v="757"/>
    <n v="0"/>
    <n v="8"/>
    <n v="90"/>
    <n v="275"/>
    <n v="38"/>
    <n v="139"/>
    <n v="54"/>
    <x v="4"/>
    <n v="1608"/>
    <n v="24"/>
    <n v="1.4925373134328358E-2"/>
    <n v="1"/>
    <n v="4.1666666666666664E-2"/>
    <n v="6.2189054726368158E-4"/>
    <n v="15"/>
    <n v="0.625"/>
    <n v="9.3283582089552231E-3"/>
    <n v="0"/>
    <n v="0"/>
    <n v="0"/>
    <n v="5"/>
    <n v="0.20833333333333334"/>
    <n v="3.1094527363184081E-3"/>
    <n v="0"/>
    <n v="0"/>
    <n v="0"/>
    <n v="3"/>
    <n v="0.125"/>
    <n v="1.8656716417910447E-3"/>
    <b v="1"/>
    <b v="0"/>
    <b v="0"/>
    <b v="0"/>
    <b v="1"/>
    <b v="0"/>
    <b v="0"/>
    <b v="0"/>
    <b v="0"/>
    <b v="0"/>
    <b v="0"/>
    <b v="0"/>
    <b v="0"/>
  </r>
  <r>
    <s v="aws-samples/aws-glue-samples"/>
    <s v="aws-samples"/>
    <s v="aws-glue-samples"/>
    <s v="https://github.com/aws-samples/aws-glue-samples"/>
    <d v="2017-05-21T04:45:43"/>
    <d v="2021-04-08T01:15:07"/>
    <n v="1417.853750000002"/>
    <b v="0"/>
    <b v="1"/>
    <n v="841"/>
    <n v="78"/>
    <n v="436"/>
    <n v="0"/>
    <n v="0"/>
    <n v="17"/>
    <n v="25"/>
    <n v="5"/>
    <n v="61"/>
    <n v="23"/>
    <x v="7"/>
    <n v="1212"/>
    <n v="2"/>
    <n v="1.6501650165016502E-3"/>
    <n v="0"/>
    <n v="0"/>
    <n v="0"/>
    <n v="0"/>
    <n v="0"/>
    <n v="0"/>
    <n v="1"/>
    <n v="0.5"/>
    <n v="8.2508250825082509E-4"/>
    <n v="1"/>
    <n v="0.5"/>
    <n v="8.2508250825082509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ws/aws-parallelcluster"/>
    <s v="aws"/>
    <s v="aws-parallelcluster"/>
    <s v="https://github.com/aws/aws-parallelcluster"/>
    <d v="2014-05-12T22:42:19"/>
    <d v="2021-04-08T20:44:54"/>
    <n v="2522.9184606481504"/>
    <b v="0"/>
    <b v="1"/>
    <n v="607"/>
    <n v="104"/>
    <n v="217"/>
    <n v="49"/>
    <n v="11"/>
    <n v="51"/>
    <n v="1797"/>
    <n v="14"/>
    <n v="824"/>
    <n v="69"/>
    <x v="4"/>
    <n v="19592"/>
    <n v="767"/>
    <n v="3.9148632094732544E-2"/>
    <n v="93"/>
    <n v="0.121251629726206"/>
    <n v="4.7468354430379748E-3"/>
    <n v="460"/>
    <n v="0.59973924380704047"/>
    <n v="2.347897100857493E-2"/>
    <n v="37"/>
    <n v="4.8239895697522815E-2"/>
    <n v="1.8885259289505921E-3"/>
    <n v="148"/>
    <n v="0.19295958279009126"/>
    <n v="7.5541037158023683E-3"/>
    <n v="25"/>
    <n v="3.259452411994785E-2"/>
    <n v="1.2760310330747243E-3"/>
    <n v="4"/>
    <n v="5.2151238591916557E-3"/>
    <n v="2.0416496529195591E-4"/>
    <b v="1"/>
    <b v="0"/>
    <b v="0"/>
    <b v="0"/>
    <b v="1"/>
    <b v="0"/>
    <b v="0"/>
    <b v="0"/>
    <b v="0"/>
    <b v="0"/>
    <b v="0"/>
    <b v="0"/>
    <b v="0"/>
  </r>
  <r>
    <s v="aws/aws-sam-cli"/>
    <s v="aws"/>
    <s v="aws-sam-cli"/>
    <s v="https://github.com/aws/aws-sam-cli"/>
    <d v="2017-05-23T18:16:23"/>
    <d v="2021-04-08T02:38:46"/>
    <n v="1415.3488773148201"/>
    <b v="0"/>
    <b v="1"/>
    <n v="5482"/>
    <n v="162"/>
    <n v="828"/>
    <n v="98"/>
    <n v="6"/>
    <n v="197"/>
    <n v="1200"/>
    <n v="25"/>
    <n v="1550"/>
    <n v="332"/>
    <x v="4"/>
    <n v="35953"/>
    <n v="402"/>
    <n v="1.1181264428559509E-2"/>
    <n v="216"/>
    <n v="0.53731343283582089"/>
    <n v="6.0078435735543625E-3"/>
    <n v="132"/>
    <n v="0.32835820895522388"/>
    <n v="3.6714599616165548E-3"/>
    <n v="16"/>
    <n v="3.9800995024875621E-2"/>
    <n v="4.4502544989291577E-4"/>
    <n v="20"/>
    <n v="4.975124378109453E-2"/>
    <n v="5.5628181236614467E-4"/>
    <n v="0"/>
    <n v="0"/>
    <n v="0"/>
    <n v="18"/>
    <n v="4.4776119402985072E-2"/>
    <n v="5.0065363112953025E-4"/>
    <b v="1"/>
    <b v="0"/>
    <b v="0"/>
    <b v="0"/>
    <b v="1"/>
    <b v="0"/>
    <b v="0"/>
    <b v="0"/>
    <b v="0"/>
    <b v="0"/>
    <b v="0"/>
    <b v="0"/>
    <b v="0"/>
  </r>
  <r>
    <s v="aws/sagemaker-python-sdk"/>
    <s v="aws"/>
    <s v="sagemaker-python-sdk"/>
    <s v="https://github.com/aws/sagemaker-python-sdk"/>
    <d v="2017-11-14T01:03:33"/>
    <d v="2021-04-08T23:32:32"/>
    <n v="1241.9367939814838"/>
    <b v="0"/>
    <b v="1"/>
    <n v="1357"/>
    <n v="103"/>
    <n v="591"/>
    <n v="329"/>
    <n v="21"/>
    <n v="188"/>
    <n v="1486"/>
    <n v="11"/>
    <n v="781"/>
    <n v="240"/>
    <x v="4"/>
    <n v="44713"/>
    <n v="218"/>
    <n v="4.8755395522554965E-3"/>
    <n v="34"/>
    <n v="0.15596330275229359"/>
    <n v="7.6040525126920588E-4"/>
    <n v="92"/>
    <n v="0.42201834862385323"/>
    <n v="2.057567150493145E-3"/>
    <n v="57"/>
    <n v="0.26146788990825687"/>
    <n v="1.2747970388924921E-3"/>
    <n v="17"/>
    <n v="7.7981651376146793E-2"/>
    <n v="3.8020262563460294E-4"/>
    <n v="0"/>
    <n v="0"/>
    <n v="0"/>
    <n v="18"/>
    <n v="8.2568807339449546E-2"/>
    <n v="4.0256748596605017E-4"/>
    <b v="1"/>
    <b v="0"/>
    <b v="0"/>
    <b v="0"/>
    <b v="1"/>
    <b v="0"/>
    <b v="0"/>
    <b v="0"/>
    <b v="0"/>
    <b v="0"/>
    <b v="0"/>
    <b v="0"/>
    <b v="0"/>
  </r>
  <r>
    <s v="awslabs/amazon-redshift-utils"/>
    <s v="awslabs"/>
    <s v="amazon-redshift-utils"/>
    <s v="https://github.com/awslabs/amazon-redshift-utils"/>
    <d v="2014-12-09T09:29:49"/>
    <d v="2021-04-08T21:14:33"/>
    <n v="2312.4893981481437"/>
    <b v="0"/>
    <b v="1"/>
    <n v="2083"/>
    <n v="231"/>
    <n v="981"/>
    <n v="0"/>
    <n v="12"/>
    <n v="123"/>
    <n v="351"/>
    <n v="9"/>
    <n v="189"/>
    <n v="80"/>
    <x v="7"/>
    <n v="6664"/>
    <n v="204"/>
    <n v="3.0612244897959183E-2"/>
    <n v="62"/>
    <n v="0.30392156862745096"/>
    <n v="9.3037214885954376E-3"/>
    <n v="74"/>
    <n v="0.36274509803921567"/>
    <n v="1.1104441776710685E-2"/>
    <n v="12"/>
    <n v="5.8823529411764705E-2"/>
    <n v="1.8007202881152461E-3"/>
    <n v="56"/>
    <n v="0.27450980392156865"/>
    <n v="8.403361344537814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wslabs/aws-data-wrangler"/>
    <s v="awslabs"/>
    <s v="aws-data-wrangler"/>
    <s v="https://github.com/awslabs/aws-data-wrangler"/>
    <d v="2019-02-26T01:39:02"/>
    <d v="2021-04-09T02:48:14"/>
    <n v="773.04805555556231"/>
    <b v="0"/>
    <b v="1"/>
    <n v="1634"/>
    <n v="54"/>
    <n v="251"/>
    <n v="77"/>
    <n v="0"/>
    <n v="63"/>
    <n v="273"/>
    <n v="2"/>
    <n v="365"/>
    <n v="27"/>
    <x v="4"/>
    <n v="11277"/>
    <n v="195"/>
    <n v="1.7291832934291033E-2"/>
    <n v="178"/>
    <n v="0.9128205128205128"/>
    <n v="1.5784339806686174E-2"/>
    <n v="3"/>
    <n v="1.5384615384615385E-2"/>
    <n v="2.6602819898909286E-4"/>
    <n v="3"/>
    <n v="1.5384615384615385E-2"/>
    <n v="2.6602819898909286E-4"/>
    <n v="8"/>
    <n v="4.1025641025641026E-2"/>
    <n v="7.0940853063758088E-4"/>
    <n v="0"/>
    <n v="0"/>
    <n v="0"/>
    <n v="3"/>
    <n v="1.5384615384615385E-2"/>
    <n v="2.6602819898909286E-4"/>
    <b v="1"/>
    <b v="0"/>
    <b v="0"/>
    <b v="0"/>
    <b v="1"/>
    <b v="0"/>
    <b v="0"/>
    <b v="0"/>
    <b v="0"/>
    <b v="0"/>
    <b v="0"/>
    <b v="0"/>
    <b v="0"/>
  </r>
  <r>
    <s v="awslabs/aws-deployment-framework"/>
    <s v="awslabs"/>
    <s v="aws-deployment-framework"/>
    <s v="https://github.com/awslabs/aws-deployment-framework"/>
    <d v="2019-02-20T18:16:35"/>
    <d v="2021-04-07T15:34:22"/>
    <n v="776.88734953703533"/>
    <b v="0"/>
    <b v="1"/>
    <n v="381"/>
    <n v="40"/>
    <n v="129"/>
    <n v="28"/>
    <n v="0"/>
    <n v="27"/>
    <n v="158"/>
    <n v="10"/>
    <n v="189"/>
    <n v="46"/>
    <x v="4"/>
    <n v="5503"/>
    <n v="166"/>
    <n v="3.0165364346719972E-2"/>
    <n v="32"/>
    <n v="0.19277108433734941"/>
    <n v="5.8150099945484283E-3"/>
    <n v="113"/>
    <n v="0.68072289156626509"/>
    <n v="2.0534254043249135E-2"/>
    <n v="7"/>
    <n v="4.2168674698795178E-2"/>
    <n v="1.2720334363074686E-3"/>
    <n v="12"/>
    <n v="7.2289156626506021E-2"/>
    <n v="2.1806287479556605E-3"/>
    <n v="0"/>
    <n v="0"/>
    <n v="0"/>
    <n v="2"/>
    <n v="1.2048192771084338E-2"/>
    <n v="3.6343812465927677E-4"/>
    <b v="1"/>
    <b v="0"/>
    <b v="0"/>
    <b v="0"/>
    <b v="1"/>
    <b v="0"/>
    <b v="0"/>
    <b v="0"/>
    <b v="0"/>
    <b v="0"/>
    <b v="0"/>
    <b v="0"/>
    <b v="0"/>
  </r>
  <r>
    <s v="awslabs/aws-lambda-powertools-python"/>
    <s v="awslabs"/>
    <s v="aws-lambda-powertools-python"/>
    <s v="https://github.com/awslabs/aws-lambda-powertools-python"/>
    <d v="2019-11-15T12:26:12"/>
    <d v="2021-04-08T19:10:50"/>
    <n v="510.28099537037633"/>
    <b v="0"/>
    <b v="1"/>
    <n v="820"/>
    <n v="70"/>
    <n v="88"/>
    <n v="30"/>
    <n v="5"/>
    <n v="25"/>
    <n v="233"/>
    <n v="2"/>
    <n v="138"/>
    <n v="15"/>
    <x v="10"/>
    <n v="9572"/>
    <n v="123"/>
    <n v="1.2849979105725032E-2"/>
    <n v="74"/>
    <n v="0.60162601626016265"/>
    <n v="7.7308817384036778E-3"/>
    <n v="38"/>
    <n v="0.30894308943089432"/>
    <n v="3.9699122440451312E-3"/>
    <n v="2"/>
    <n v="1.6260162601626018E-2"/>
    <n v="2.0894274968658589E-4"/>
    <n v="0"/>
    <n v="0"/>
    <n v="0"/>
    <n v="1"/>
    <n v="8.130081300813009E-3"/>
    <n v="1.0447137484329294E-4"/>
    <n v="8"/>
    <n v="6.5040650406504072E-2"/>
    <n v="8.3577099874634355E-4"/>
    <b v="1"/>
    <b v="0"/>
    <b v="0"/>
    <b v="0"/>
    <b v="1"/>
    <b v="0"/>
    <b v="0"/>
    <b v="0"/>
    <b v="0"/>
    <b v="0"/>
    <b v="0"/>
    <b v="0"/>
    <b v="0"/>
  </r>
  <r>
    <s v="awslabs/aws-servicebroker"/>
    <s v="awslabs"/>
    <s v="aws-servicebroker"/>
    <s v="https://github.com/awslabs/aws-servicebroker"/>
    <d v="2018-03-15T17:36:28"/>
    <d v="2021-03-30T12:33:14"/>
    <n v="1110.7894212963001"/>
    <b v="0"/>
    <b v="1"/>
    <n v="433"/>
    <n v="22"/>
    <n v="122"/>
    <n v="8"/>
    <n v="2"/>
    <n v="38"/>
    <n v="84"/>
    <n v="6"/>
    <n v="147"/>
    <n v="48"/>
    <x v="4"/>
    <n v="10320"/>
    <n v="28"/>
    <n v="2.7131782945736434E-3"/>
    <n v="0"/>
    <n v="0"/>
    <n v="0"/>
    <n v="0"/>
    <n v="0"/>
    <n v="0"/>
    <n v="6"/>
    <n v="0.21428571428571427"/>
    <n v="5.8139534883720929E-4"/>
    <n v="22"/>
    <n v="0.7857142857142857"/>
    <n v="2.131782945736434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wslabs/gluon-ts"/>
    <s v="awslabs"/>
    <s v="gluon-ts"/>
    <s v="https://github.com/awslabs/gluon-ts"/>
    <d v="2019-05-15T17:17:29"/>
    <d v="2021-04-09T03:43:36"/>
    <n v="694.43480324073607"/>
    <b v="0"/>
    <b v="1"/>
    <n v="1828"/>
    <n v="66"/>
    <n v="384"/>
    <n v="28"/>
    <n v="8"/>
    <n v="66"/>
    <n v="805"/>
    <n v="50"/>
    <n v="535"/>
    <n v="166"/>
    <x v="4"/>
    <n v="24614"/>
    <n v="89"/>
    <n v="3.6158283903469572E-3"/>
    <n v="1"/>
    <n v="1.1235955056179775E-2"/>
    <n v="4.0627285284797267E-5"/>
    <n v="65"/>
    <n v="0.7303370786516854"/>
    <n v="2.6407735435118227E-3"/>
    <n v="21"/>
    <n v="0.23595505617977527"/>
    <n v="8.5317299098074269E-4"/>
    <n v="2"/>
    <n v="2.247191011235955E-2"/>
    <n v="8.1254570569594533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wslabs/sockeye"/>
    <s v="awslabs"/>
    <s v="sockeye"/>
    <s v="https://github.com/awslabs/sockeye"/>
    <d v="2017-06-08T07:44:30"/>
    <d v="2021-04-09T03:38:56"/>
    <n v="1400.8294675925936"/>
    <b v="0"/>
    <b v="1"/>
    <n v="993"/>
    <n v="54"/>
    <n v="272"/>
    <n v="54"/>
    <n v="20"/>
    <n v="47"/>
    <n v="698"/>
    <n v="3"/>
    <n v="244"/>
    <n v="16"/>
    <x v="4"/>
    <n v="10889"/>
    <n v="276"/>
    <n v="2.5346680135916979E-2"/>
    <n v="19"/>
    <n v="6.8840579710144928E-2"/>
    <n v="1.74488015428414E-3"/>
    <n v="205"/>
    <n v="0.74275362318840576"/>
    <n v="1.8826338506749932E-2"/>
    <n v="36"/>
    <n v="0.13043478260869565"/>
    <n v="3.3060887133804758E-3"/>
    <n v="12"/>
    <n v="4.3478260869565216E-2"/>
    <n v="1.1020295711268253E-3"/>
    <n v="0"/>
    <n v="0"/>
    <n v="0"/>
    <n v="4"/>
    <n v="1.4492753623188406E-2"/>
    <n v="3.6734319037560841E-4"/>
    <b v="1"/>
    <b v="0"/>
    <b v="0"/>
    <b v="0"/>
    <b v="1"/>
    <b v="0"/>
    <b v="0"/>
    <b v="0"/>
    <b v="0"/>
    <b v="0"/>
    <b v="0"/>
    <b v="0"/>
    <b v="0"/>
  </r>
  <r>
    <s v="azavea/raster-vision"/>
    <s v="azavea"/>
    <s v="raster-vision"/>
    <s v="https://github.com/azavea/raster-vision"/>
    <d v="2017-02-02T14:31:54"/>
    <d v="2021-04-08T19:38:10"/>
    <n v="1526.2126851851863"/>
    <b v="0"/>
    <b v="1"/>
    <n v="1263"/>
    <n v="92"/>
    <n v="273"/>
    <n v="11"/>
    <n v="6"/>
    <n v="20"/>
    <n v="610"/>
    <n v="33"/>
    <n v="538"/>
    <n v="73"/>
    <x v="7"/>
    <n v="13523"/>
    <n v="80"/>
    <n v="5.9158470753531023E-3"/>
    <n v="8"/>
    <n v="0.1"/>
    <n v="5.9158470753531021E-4"/>
    <n v="63"/>
    <n v="0.78749999999999998"/>
    <n v="4.6587295718405683E-3"/>
    <n v="9"/>
    <n v="0.1125"/>
    <n v="6.6553279597722395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Azure/azure-cli"/>
    <s v="Azure"/>
    <s v="azure-cli"/>
    <s v="https://github.com/Azure/azure-cli"/>
    <d v="2016-02-04T00:21:51"/>
    <d v="2021-04-09T03:07:29"/>
    <n v="1891.1150231481442"/>
    <b v="0"/>
    <b v="1"/>
    <n v="2332"/>
    <n v="157"/>
    <n v="1529"/>
    <n v="121"/>
    <n v="43"/>
    <n v="612"/>
    <n v="7823"/>
    <n v="108"/>
    <n v="9629"/>
    <n v="1663"/>
    <x v="5"/>
    <n v="172416"/>
    <n v="1572"/>
    <n v="9.1174832962138078E-3"/>
    <n v="318"/>
    <n v="0.20229007633587787"/>
    <n v="1.8443763919821826E-3"/>
    <n v="360"/>
    <n v="0.22900763358778625"/>
    <n v="2.0879732739420937E-3"/>
    <n v="823"/>
    <n v="0.52353689567430028"/>
    <n v="4.7733389012620635E-3"/>
    <n v="69"/>
    <n v="4.3893129770992363E-2"/>
    <n v="4.0019487750556792E-4"/>
    <n v="0"/>
    <n v="0"/>
    <n v="0"/>
    <n v="2"/>
    <n v="1.2722646310432571E-3"/>
    <n v="1.1599851521900519E-5"/>
    <b v="1"/>
    <b v="0"/>
    <b v="0"/>
    <b v="0"/>
    <b v="1"/>
    <b v="0"/>
    <b v="0"/>
    <b v="0"/>
    <b v="0"/>
    <b v="0"/>
    <b v="0"/>
    <b v="0"/>
    <b v="0"/>
  </r>
  <r>
    <s v="Azure/azure-sdk-for-python"/>
    <s v="Azure"/>
    <s v="azure-sdk-for-python"/>
    <s v="https://github.com/Azure/azure-sdk-for-python"/>
    <d v="2012-04-24T16:46:12"/>
    <d v="2021-04-09T01:53:29"/>
    <n v="3271.3800578703667"/>
    <b v="0"/>
    <b v="1"/>
    <n v="1894"/>
    <n v="287"/>
    <n v="1211"/>
    <n v="1552"/>
    <n v="55"/>
    <n v="287"/>
    <n v="13292"/>
    <n v="134"/>
    <n v="4614"/>
    <n v="746"/>
    <x v="5"/>
    <n v="3506112"/>
    <n v="883"/>
    <n v="2.5184591935454431E-4"/>
    <n v="251"/>
    <n v="0.28425821064552659"/>
    <n v="7.1589270394100361E-5"/>
    <n v="399"/>
    <n v="0.45186862967157415"/>
    <n v="1.1380127046711571E-4"/>
    <n v="143"/>
    <n v="0.16194790486976218"/>
    <n v="4.0785918989467536E-5"/>
    <n v="73"/>
    <n v="8.2672706681766711E-2"/>
    <n v="2.0820783819798113E-5"/>
    <n v="8"/>
    <n v="9.0600226500566258E-3"/>
    <n v="2.2817297336765056E-6"/>
    <n v="9"/>
    <n v="1.0192525481313703E-2"/>
    <n v="2.5669459503860687E-6"/>
    <b v="1"/>
    <b v="0"/>
    <b v="0"/>
    <b v="0"/>
    <b v="1"/>
    <b v="0"/>
    <b v="0"/>
    <b v="0"/>
    <b v="0"/>
    <b v="0"/>
    <b v="0"/>
    <b v="0"/>
    <b v="0"/>
  </r>
  <r>
    <s v="Azure/Stormspotter"/>
    <s v="Azure"/>
    <s v="Stormspotter"/>
    <s v="https://github.com/Azure/Stormspotter"/>
    <d v="2020-04-22T22:29:16"/>
    <d v="2021-04-05T04:10:32"/>
    <n v="347.23699074074102"/>
    <b v="0"/>
    <b v="1"/>
    <n v="699"/>
    <n v="44"/>
    <n v="79"/>
    <n v="7"/>
    <n v="0"/>
    <n v="8"/>
    <n v="23"/>
    <n v="3"/>
    <n v="16"/>
    <n v="3"/>
    <x v="7"/>
    <n v="1116"/>
    <n v="47"/>
    <n v="4.2114695340501794E-2"/>
    <n v="0"/>
    <n v="0"/>
    <n v="0"/>
    <n v="31"/>
    <n v="0.65957446808510634"/>
    <n v="2.7777777777777776E-2"/>
    <n v="6"/>
    <n v="0.1276595744680851"/>
    <n v="5.3763440860215058E-3"/>
    <n v="10"/>
    <n v="0.21276595744680851"/>
    <n v="8.9605734767025085E-3"/>
    <n v="0"/>
    <n v="0"/>
    <n v="0"/>
    <n v="0"/>
    <n v="0"/>
    <n v="0"/>
    <b v="1"/>
    <b v="1"/>
    <b v="0"/>
    <b v="0"/>
    <b v="1"/>
    <b v="0"/>
    <b v="0"/>
    <b v="0"/>
    <b v="1"/>
    <b v="0"/>
    <b v="0"/>
    <b v="0"/>
    <b v="0"/>
  </r>
  <r>
    <s v="baabaaox/ScrapyDouban"/>
    <s v="baabaaox"/>
    <s v="ScrapyDouban"/>
    <s v="https://github.com/baabaaox/ScrapyDouban"/>
    <d v="2016-09-11T22:33:52"/>
    <d v="2021-04-08T19:14:40"/>
    <n v="1669.861666666664"/>
    <b v="0"/>
    <b v="0"/>
    <n v="411"/>
    <n v="19"/>
    <n v="140"/>
    <n v="0"/>
    <n v="1"/>
    <n v="2"/>
    <n v="4"/>
    <n v="1"/>
    <n v="14"/>
    <n v="1"/>
    <x v="1"/>
    <n v="733"/>
    <n v="4"/>
    <n v="5.4570259208731242E-3"/>
    <n v="0"/>
    <n v="0"/>
    <n v="0"/>
    <n v="2"/>
    <n v="0.5"/>
    <n v="2.7285129604365621E-3"/>
    <n v="1"/>
    <n v="0.25"/>
    <n v="1.364256480218281E-3"/>
    <n v="1"/>
    <n v="0.25"/>
    <n v="1.364256480218281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bbc/brave"/>
    <s v="bbc"/>
    <s v="brave"/>
    <s v="https://github.com/bbc/brave"/>
    <d v="2018-10-24T17:50:17"/>
    <d v="2021-04-01T03:30:34"/>
    <n v="889.40297453703533"/>
    <b v="0"/>
    <b v="1"/>
    <n v="478"/>
    <n v="37"/>
    <n v="91"/>
    <n v="5"/>
    <n v="0"/>
    <n v="11"/>
    <n v="50"/>
    <n v="4"/>
    <n v="32"/>
    <n v="15"/>
    <x v="4"/>
    <n v="4592"/>
    <n v="109"/>
    <n v="2.3736933797909407E-2"/>
    <n v="43"/>
    <n v="0.39449541284403672"/>
    <n v="9.3641114982578391E-3"/>
    <n v="12"/>
    <n v="0.11009174311926606"/>
    <n v="2.6132404181184671E-3"/>
    <n v="37"/>
    <n v="0.33944954128440369"/>
    <n v="8.057491289198606E-3"/>
    <n v="17"/>
    <n v="0.15596330275229359"/>
    <n v="3.702090592334494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chew/dynamodump"/>
    <s v="bchew"/>
    <s v="dynamodump"/>
    <s v="https://github.com/bchew/dynamodump"/>
    <d v="2013-11-15T05:00:00"/>
    <d v="2021-03-30T21:26:15"/>
    <n v="2692.6848958333285"/>
    <b v="0"/>
    <b v="0"/>
    <n v="670"/>
    <n v="24"/>
    <n v="240"/>
    <n v="6"/>
    <n v="9"/>
    <n v="21"/>
    <n v="61"/>
    <n v="15"/>
    <n v="0"/>
    <n v="0"/>
    <x v="5"/>
    <n v="692"/>
    <n v="81"/>
    <n v="0.11705202312138728"/>
    <n v="4"/>
    <n v="4.9382716049382713E-2"/>
    <n v="5.7803468208092483E-3"/>
    <n v="58"/>
    <n v="0.71604938271604934"/>
    <n v="8.3815028901734104E-2"/>
    <n v="0"/>
    <n v="0"/>
    <n v="0"/>
    <n v="3"/>
    <n v="3.7037037037037035E-2"/>
    <n v="4.335260115606936E-3"/>
    <n v="0"/>
    <n v="0"/>
    <n v="0"/>
    <n v="16"/>
    <n v="0.19753086419753085"/>
    <n v="2.3121387283236993E-2"/>
    <b v="1"/>
    <b v="0"/>
    <b v="0"/>
    <b v="0"/>
    <b v="1"/>
    <b v="0"/>
    <b v="0"/>
    <b v="0"/>
    <b v="0"/>
    <b v="0"/>
    <b v="0"/>
    <b v="0"/>
    <b v="0"/>
  </r>
  <r>
    <s v="beancount/fava"/>
    <s v="beancount"/>
    <s v="fava"/>
    <s v="https://github.com/beancount/fava"/>
    <d v="2015-12-04T15:12:55"/>
    <d v="2021-04-08T05:14:27"/>
    <n v="1951.5843981481448"/>
    <b v="0"/>
    <b v="1"/>
    <n v="973"/>
    <n v="30"/>
    <n v="154"/>
    <n v="0"/>
    <n v="118"/>
    <n v="65"/>
    <n v="520"/>
    <n v="4"/>
    <n v="729"/>
    <n v="53"/>
    <x v="5"/>
    <n v="4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ear/python-twitter"/>
    <s v="bear"/>
    <s v="python-twitter"/>
    <s v="https://github.com/bear/python-twitter"/>
    <d v="2012-09-12T06:51:02"/>
    <d v="2021-04-08T11:20:11"/>
    <n v="3130.1869097222225"/>
    <b v="0"/>
    <b v="0"/>
    <n v="3150"/>
    <n v="174"/>
    <n v="925"/>
    <n v="12"/>
    <n v="27"/>
    <n v="133"/>
    <n v="302"/>
    <n v="18"/>
    <n v="389"/>
    <n v="81"/>
    <x v="7"/>
    <n v="4820"/>
    <n v="5"/>
    <n v="1.037344398340249E-3"/>
    <n v="1"/>
    <n v="0.2"/>
    <n v="2.0746887966804979E-4"/>
    <n v="0"/>
    <n v="0"/>
    <n v="0"/>
    <n v="4"/>
    <n v="0.8"/>
    <n v="8.2987551867219915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entoml/BentoML"/>
    <s v="bentoml"/>
    <s v="BentoML"/>
    <s v="https://github.com/bentoml/BentoML"/>
    <d v="2019-04-02T01:39:27"/>
    <d v="2021-04-08T20:47:10"/>
    <n v="737.79702546296176"/>
    <b v="0"/>
    <b v="1"/>
    <n v="2310"/>
    <n v="50"/>
    <n v="263"/>
    <n v="53"/>
    <n v="0"/>
    <n v="74"/>
    <n v="1104"/>
    <n v="12"/>
    <n v="394"/>
    <n v="89"/>
    <x v="4"/>
    <n v="19127"/>
    <n v="358"/>
    <n v="1.8716996915355257E-2"/>
    <n v="123"/>
    <n v="0.34357541899441341"/>
    <n v="6.4307000575103256E-3"/>
    <n v="145"/>
    <n v="0.40502793296089384"/>
    <n v="7.5809065718617664E-3"/>
    <n v="49"/>
    <n v="0.13687150837988826"/>
    <n v="2.56182360014639E-3"/>
    <n v="41"/>
    <n v="0.11452513966480447"/>
    <n v="2.143566685836775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hoov/exbert"/>
    <s v="bhoov"/>
    <s v="exbert"/>
    <s v="https://github.com/bhoov/exbert"/>
    <d v="2019-10-14T02:01:13"/>
    <d v="2021-04-08T06:46:46"/>
    <n v="542.19829861111066"/>
    <b v="0"/>
    <b v="0"/>
    <n v="392"/>
    <n v="11"/>
    <n v="36"/>
    <n v="0"/>
    <n v="0"/>
    <n v="4"/>
    <n v="6"/>
    <n v="0"/>
    <n v="15"/>
    <n v="3"/>
    <x v="4"/>
    <n v="42661"/>
    <n v="670"/>
    <n v="1.5705210848315793E-2"/>
    <n v="0"/>
    <n v="0"/>
    <n v="0"/>
    <n v="553"/>
    <n v="0.82537313432835824"/>
    <n v="1.2962659103162138E-2"/>
    <n v="67"/>
    <n v="0.1"/>
    <n v="1.5705210848315791E-3"/>
    <n v="50"/>
    <n v="7.4626865671641784E-2"/>
    <n v="1.17203066032207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igbaser/TcloudServer"/>
    <s v="bigbaser"/>
    <s v="TcloudServer"/>
    <s v="https://github.com/bigbaser/TcloudServer"/>
    <d v="2019-09-09T03:09:15"/>
    <d v="2021-03-03T07:41:03"/>
    <n v="541.18874999999389"/>
    <b v="0"/>
    <b v="1"/>
    <n v="526"/>
    <n v="23"/>
    <n v="195"/>
    <n v="2"/>
    <n v="0"/>
    <n v="7"/>
    <n v="44"/>
    <n v="0"/>
    <n v="13"/>
    <n v="4"/>
    <x v="7"/>
    <n v="16817"/>
    <n v="369"/>
    <n v="2.1942082416602247E-2"/>
    <n v="1"/>
    <n v="2.7100271002710027E-3"/>
    <n v="5.9463637985371946E-5"/>
    <n v="143"/>
    <n v="0.38753387533875339"/>
    <n v="8.5033002319081889E-3"/>
    <n v="18"/>
    <n v="4.878048780487805E-2"/>
    <n v="1.0703454837366949E-3"/>
    <n v="205"/>
    <n v="0.55555555555555558"/>
    <n v="1.2190045787001249E-2"/>
    <n v="0"/>
    <n v="0"/>
    <n v="0"/>
    <n v="2"/>
    <n v="5.4200542005420054E-3"/>
    <n v="1.1892727597074389E-4"/>
    <b v="1"/>
    <b v="1"/>
    <b v="0"/>
    <b v="0"/>
    <b v="1"/>
    <b v="0"/>
    <b v="0"/>
    <b v="0"/>
    <b v="0"/>
    <b v="0"/>
    <b v="0"/>
    <b v="0"/>
    <b v="0"/>
  </r>
  <r>
    <s v="bigchaindb/bigchaindb"/>
    <s v="bigchaindb"/>
    <s v="bigchaindb"/>
    <s v="https://github.com/bigchaindb/bigchaindb"/>
    <d v="2016-02-08T10:12:58"/>
    <d v="2021-04-08T23:36:16"/>
    <n v="1886.557847222226"/>
    <b v="0"/>
    <b v="1"/>
    <n v="3598"/>
    <n v="229"/>
    <n v="700"/>
    <n v="51"/>
    <n v="45"/>
    <n v="70"/>
    <n v="1524"/>
    <n v="2"/>
    <n v="1194"/>
    <n v="146"/>
    <x v="4"/>
    <n v="9262"/>
    <n v="56"/>
    <n v="6.0462103217447634E-3"/>
    <n v="20"/>
    <n v="0.35714285714285715"/>
    <n v="2.1593608291945584E-3"/>
    <n v="17"/>
    <n v="0.30357142857142855"/>
    <n v="1.8354567048153748E-3"/>
    <n v="6"/>
    <n v="0.10714285714285714"/>
    <n v="6.4780824875836757E-4"/>
    <n v="11"/>
    <n v="0.19642857142857142"/>
    <n v="1.1876484560570072E-3"/>
    <n v="2"/>
    <n v="3.5714285714285712E-2"/>
    <n v="2.1593608291945585E-4"/>
    <n v="0"/>
    <n v="0"/>
    <n v="0"/>
    <b v="1"/>
    <b v="1"/>
    <b v="0"/>
    <b v="0"/>
    <b v="1"/>
    <b v="0"/>
    <b v="0"/>
    <b v="0"/>
    <b v="0"/>
    <b v="0"/>
    <b v="0"/>
    <b v="0"/>
    <b v="0"/>
  </r>
  <r>
    <s v="binux/pyspider"/>
    <s v="binux"/>
    <s v="pyspider"/>
    <s v="https://github.com/binux/pyspider"/>
    <d v="2014-02-21T19:18:47"/>
    <d v="2021-04-09T00:59:03"/>
    <n v="2603.2362962963016"/>
    <b v="0"/>
    <b v="0"/>
    <n v="14945"/>
    <n v="908"/>
    <n v="3468"/>
    <n v="13"/>
    <n v="31"/>
    <n v="51"/>
    <n v="161"/>
    <n v="20"/>
    <n v="804"/>
    <n v="261"/>
    <x v="4"/>
    <n v="11364"/>
    <n v="132"/>
    <n v="1.1615628299894404E-2"/>
    <n v="14"/>
    <n v="0.10606060606060606"/>
    <n v="1.2319605772615277E-3"/>
    <n v="54"/>
    <n v="0.40909090909090912"/>
    <n v="4.7518479408658922E-3"/>
    <n v="22"/>
    <n v="0.16666666666666666"/>
    <n v="1.9359380499824005E-3"/>
    <n v="26"/>
    <n v="0.19696969696969696"/>
    <n v="2.2879267863428372E-3"/>
    <n v="0"/>
    <n v="0"/>
    <n v="0"/>
    <n v="16"/>
    <n v="0.12121212121212122"/>
    <n v="1.4079549454417458E-3"/>
    <b v="1"/>
    <b v="1"/>
    <b v="0"/>
    <b v="0"/>
    <b v="1"/>
    <b v="0"/>
    <b v="0"/>
    <b v="0"/>
    <b v="0"/>
    <b v="0"/>
    <b v="0"/>
    <b v="0"/>
    <b v="0"/>
  </r>
  <r>
    <s v="Bitmessage/PyBitmessage"/>
    <s v="Bitmessage"/>
    <s v="PyBitmessage"/>
    <s v="https://github.com/Bitmessage/PyBitmessage"/>
    <d v="2012-11-12T03:36:43"/>
    <d v="2021-04-09T02:38:42"/>
    <n v="3069.9597106481451"/>
    <b v="0"/>
    <b v="1"/>
    <n v="2592"/>
    <n v="178"/>
    <n v="528"/>
    <n v="5"/>
    <n v="145"/>
    <n v="109"/>
    <n v="1144"/>
    <n v="45"/>
    <n v="598"/>
    <n v="151"/>
    <x v="7"/>
    <n v="22863"/>
    <n v="456"/>
    <n v="1.9944889122162447E-2"/>
    <n v="158"/>
    <n v="0.34649122807017546"/>
    <n v="6.9107291256615489E-3"/>
    <n v="161"/>
    <n v="0.35307017543859648"/>
    <n v="7.0419455014652495E-3"/>
    <n v="33"/>
    <n v="7.2368421052631582E-2"/>
    <n v="1.4433801338407032E-3"/>
    <n v="83"/>
    <n v="0.18201754385964913"/>
    <n v="3.6303197305690418E-3"/>
    <n v="10"/>
    <n v="2.1929824561403508E-2"/>
    <n v="4.3738791934566765E-4"/>
    <n v="11"/>
    <n v="2.4122807017543858E-2"/>
    <n v="4.8112671128023443E-4"/>
    <b v="1"/>
    <b v="0"/>
    <b v="0"/>
    <b v="0"/>
    <b v="1"/>
    <b v="0"/>
    <b v="0"/>
    <b v="0"/>
    <b v="0"/>
    <b v="0"/>
    <b v="0"/>
    <b v="0"/>
    <b v="0"/>
  </r>
  <r>
    <s v="blackholll/loonflow"/>
    <s v="blackholll"/>
    <s v="loonflow"/>
    <s v="https://github.com/blackholll/loonflow"/>
    <d v="2018-02-08T06:26:53"/>
    <d v="2021-04-08T08:20:40"/>
    <n v="1155.0790162037083"/>
    <b v="0"/>
    <b v="0"/>
    <n v="1182"/>
    <n v="74"/>
    <n v="484"/>
    <n v="67"/>
    <n v="4"/>
    <n v="13"/>
    <n v="46"/>
    <n v="2"/>
    <n v="202"/>
    <n v="3"/>
    <x v="5"/>
    <n v="6147"/>
    <n v="5"/>
    <n v="8.134049129656743E-4"/>
    <n v="0"/>
    <n v="0"/>
    <n v="0"/>
    <n v="3"/>
    <n v="0.6"/>
    <n v="4.880429477794046E-4"/>
    <n v="0"/>
    <n v="0"/>
    <n v="0"/>
    <n v="2"/>
    <n v="0.4"/>
    <n v="3.253619651862697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blacklanternsecurity/writehat"/>
    <s v="blacklanternsecurity"/>
    <s v="writehat"/>
    <s v="https://github.com/blacklanternsecurity/writehat"/>
    <d v="2020-11-30T19:11:20"/>
    <d v="2021-04-02T18:34:24"/>
    <n v="122.97435185185168"/>
    <b v="0"/>
    <b v="1"/>
    <n v="516"/>
    <n v="16"/>
    <n v="94"/>
    <n v="0"/>
    <n v="0"/>
    <n v="0"/>
    <n v="3"/>
    <n v="3"/>
    <n v="26"/>
    <n v="14"/>
    <x v="0"/>
    <n v="4876"/>
    <n v="252"/>
    <n v="5.1681706316652996E-2"/>
    <n v="232"/>
    <n v="0.92063492063492058"/>
    <n v="4.7579983593109103E-2"/>
    <n v="5"/>
    <n v="1.984126984126984E-2"/>
    <n v="1.0254306808859721E-3"/>
    <n v="5"/>
    <n v="1.984126984126984E-2"/>
    <n v="1.0254306808859721E-3"/>
    <n v="10"/>
    <n v="3.968253968253968E-2"/>
    <n v="2.0508613617719442E-3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Blazemeter/taurus"/>
    <s v="Blazemeter"/>
    <s v="taurus"/>
    <s v="https://github.com/Blazemeter/taurus"/>
    <d v="2015-02-17T22:05:08"/>
    <d v="2021-04-07T07:37:51"/>
    <n v="2240.397719907407"/>
    <b v="0"/>
    <b v="1"/>
    <n v="1415"/>
    <n v="107"/>
    <n v="371"/>
    <n v="0"/>
    <n v="22"/>
    <n v="52"/>
    <n v="1474"/>
    <n v="4"/>
    <n v="0"/>
    <n v="0"/>
    <x v="4"/>
    <n v="34332"/>
    <n v="874"/>
    <n v="2.5457299312594665E-2"/>
    <n v="435"/>
    <n v="0.49771167048054921"/>
    <n v="1.2670394966794826E-2"/>
    <n v="169"/>
    <n v="0.19336384439359267"/>
    <n v="4.9225212629616681E-3"/>
    <n v="251"/>
    <n v="0.28718535469107553"/>
    <n v="7.3109635325643713E-3"/>
    <n v="19"/>
    <n v="2.1739130434782608E-2"/>
    <n v="5.53419550273797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lockchain-certificates/cert-issuer"/>
    <s v="blockchain-certificates"/>
    <s v="cert-issuer"/>
    <s v="https://github.com/blockchain-certificates/cert-issuer"/>
    <d v="2016-01-23T22:28:58"/>
    <d v="2021-04-04T12:53:53"/>
    <n v="1897.6006365740759"/>
    <b v="0"/>
    <b v="1"/>
    <n v="332"/>
    <n v="66"/>
    <n v="167"/>
    <n v="0"/>
    <n v="5"/>
    <n v="16"/>
    <n v="105"/>
    <n v="4"/>
    <n v="92"/>
    <n v="26"/>
    <x v="5"/>
    <n v="1643"/>
    <n v="81"/>
    <n v="4.9300060864272674E-2"/>
    <n v="6"/>
    <n v="7.407407407407407E-2"/>
    <n v="3.6518563603164943E-3"/>
    <n v="41"/>
    <n v="0.50617283950617287"/>
    <n v="2.4954351795496044E-2"/>
    <n v="14"/>
    <n v="0.1728395061728395"/>
    <n v="8.5209981740718196E-3"/>
    <n v="20"/>
    <n v="0.24691358024691357"/>
    <n v="1.2172854534388313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lockchain-etl/ethereum-etl"/>
    <s v="blockchain-etl"/>
    <s v="ethereum-etl"/>
    <s v="https://github.com/blockchain-etl/ethereum-etl"/>
    <d v="2018-05-02T08:55:38"/>
    <d v="2021-04-08T16:20:37"/>
    <n v="1072.3090162037042"/>
    <b v="0"/>
    <b v="1"/>
    <n v="976"/>
    <n v="59"/>
    <n v="231"/>
    <n v="7"/>
    <n v="0"/>
    <n v="14"/>
    <n v="123"/>
    <n v="4"/>
    <n v="122"/>
    <n v="37"/>
    <x v="5"/>
    <n v="3827"/>
    <n v="51"/>
    <n v="1.3326365299189966E-2"/>
    <n v="4"/>
    <n v="7.8431372549019607E-2"/>
    <n v="1.0452051215050953E-3"/>
    <n v="29"/>
    <n v="0.56862745098039214"/>
    <n v="7.5777371309119412E-3"/>
    <n v="8"/>
    <n v="0.15686274509803921"/>
    <n v="2.0904102430101905E-3"/>
    <n v="6"/>
    <n v="0.11764705882352941"/>
    <n v="1.567807682257643E-3"/>
    <n v="0"/>
    <n v="0"/>
    <n v="0"/>
    <n v="4"/>
    <n v="7.8431372549019607E-2"/>
    <n v="1.0452051215050953E-3"/>
    <b v="1"/>
    <b v="0"/>
    <b v="0"/>
    <b v="0"/>
    <b v="1"/>
    <b v="0"/>
    <b v="0"/>
    <b v="0"/>
    <b v="0"/>
    <b v="0"/>
    <b v="0"/>
    <b v="0"/>
    <b v="0"/>
  </r>
  <r>
    <s v="BMW-InnovationLab/BMW-TensorFlow-Training-GUI"/>
    <s v="BMW-InnovationLab"/>
    <s v="BMW-TensorFlow-Training-GUI"/>
    <s v="https://github.com/BMW-InnovationLab/BMW-TensorFlow-Training-GUI"/>
    <d v="2019-12-11T18:06:11"/>
    <d v="2021-04-07T00:17:48"/>
    <n v="482.25806712963094"/>
    <b v="0"/>
    <b v="1"/>
    <n v="740"/>
    <n v="48"/>
    <n v="130"/>
    <n v="1"/>
    <n v="0"/>
    <n v="6"/>
    <n v="20"/>
    <n v="5"/>
    <n v="10"/>
    <n v="2"/>
    <x v="4"/>
    <n v="40369"/>
    <n v="104"/>
    <n v="2.5762342391438976E-3"/>
    <n v="0"/>
    <n v="0"/>
    <n v="0"/>
    <n v="75"/>
    <n v="0.72115384615384615"/>
    <n v="1.8578612301518491E-3"/>
    <n v="24"/>
    <n v="0.23076923076923078"/>
    <n v="5.9451559364859176E-4"/>
    <n v="5"/>
    <n v="4.807692307692308E-2"/>
    <n v="1.238574153434566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MW-InnovationLab/BMW-YOLOv4-Training-Automation"/>
    <s v="BMW-InnovationLab"/>
    <s v="BMW-YOLOv4-Training-Automation"/>
    <s v="https://github.com/BMW-InnovationLab/BMW-YOLOv4-Training-Automation"/>
    <d v="2019-12-11T16:48:38"/>
    <d v="2021-04-08T10:17:51"/>
    <n v="483.72862268518656"/>
    <b v="0"/>
    <b v="1"/>
    <n v="540"/>
    <n v="39"/>
    <n v="110"/>
    <n v="2"/>
    <n v="0"/>
    <n v="4"/>
    <n v="6"/>
    <n v="3"/>
    <n v="16"/>
    <n v="0"/>
    <x v="2"/>
    <n v="1256"/>
    <n v="41"/>
    <n v="3.2643312101910828E-2"/>
    <n v="0"/>
    <n v="0"/>
    <n v="0"/>
    <n v="41"/>
    <n v="1"/>
    <n v="3.2643312101910828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oerderij/Varken"/>
    <s v="Boerderij"/>
    <s v="Varken"/>
    <s v="https://github.com/Boerderij/Varken"/>
    <d v="2018-02-10T06:33:30"/>
    <d v="2021-04-08T23:43:04"/>
    <n v="1153.7149768518502"/>
    <b v="0"/>
    <b v="1"/>
    <n v="837"/>
    <n v="32"/>
    <n v="76"/>
    <n v="27"/>
    <n v="5"/>
    <n v="9"/>
    <n v="53"/>
    <n v="2"/>
    <n v="145"/>
    <n v="9"/>
    <x v="5"/>
    <n v="2293"/>
    <n v="110"/>
    <n v="4.7972088966419538E-2"/>
    <n v="28"/>
    <n v="0.25454545454545452"/>
    <n v="1.2211077191452245E-2"/>
    <n v="18"/>
    <n v="0.16363636363636364"/>
    <n v="7.849978194505015E-3"/>
    <n v="2"/>
    <n v="1.8181818181818181E-2"/>
    <n v="8.7221979938944616E-4"/>
    <n v="60"/>
    <n v="0.54545454545454541"/>
    <n v="2.6166593981683386E-2"/>
    <n v="2"/>
    <n v="1.8181818181818181E-2"/>
    <n v="8.7221979938944616E-4"/>
    <n v="0"/>
    <n v="0"/>
    <n v="0"/>
    <b v="1"/>
    <b v="1"/>
    <b v="0"/>
    <b v="0"/>
    <b v="1"/>
    <b v="0"/>
    <b v="0"/>
    <b v="0"/>
    <b v="0"/>
    <b v="0"/>
    <b v="0"/>
    <b v="0"/>
    <b v="0"/>
  </r>
  <r>
    <s v="bokeh/bokeh"/>
    <s v="bokeh"/>
    <s v="bokeh"/>
    <s v="https://github.com/bokeh/bokeh"/>
    <d v="2012-03-26T15:40:01"/>
    <d v="2021-04-09T02:26:29"/>
    <n v="3300.448935185188"/>
    <b v="0"/>
    <b v="1"/>
    <n v="14955"/>
    <n v="471"/>
    <n v="3619"/>
    <n v="0"/>
    <n v="275"/>
    <n v="498"/>
    <n v="4658"/>
    <n v="24"/>
    <n v="6491"/>
    <n v="645"/>
    <x v="2"/>
    <n v="57608"/>
    <n v="139"/>
    <n v="2.4128593250937369E-3"/>
    <n v="48"/>
    <n v="0.34532374100719426"/>
    <n v="8.3321760866546311E-4"/>
    <n v="32"/>
    <n v="0.23021582733812951"/>
    <n v="5.5547840577697537E-4"/>
    <n v="32"/>
    <n v="0.23021582733812951"/>
    <n v="5.5547840577697537E-4"/>
    <n v="23"/>
    <n v="0.16546762589928057"/>
    <n v="3.9925010415220111E-4"/>
    <n v="3"/>
    <n v="2.1582733812949641E-2"/>
    <n v="5.2076100541591444E-5"/>
    <n v="1"/>
    <n v="7.1942446043165471E-3"/>
    <n v="1.735870018053048E-5"/>
    <b v="1"/>
    <b v="0"/>
    <b v="0"/>
    <b v="0"/>
    <b v="1"/>
    <b v="0"/>
    <b v="0"/>
    <b v="0"/>
    <b v="0"/>
    <b v="0"/>
    <b v="0"/>
    <b v="0"/>
    <b v="0"/>
  </r>
  <r>
    <s v="bootphon/phonemizer"/>
    <s v="bootphon"/>
    <s v="phonemizer"/>
    <s v="https://github.com/bootphon/phonemizer"/>
    <d v="2016-04-20T23:43:08"/>
    <d v="2021-04-08T10:34:53"/>
    <n v="1813.4526041666686"/>
    <b v="0"/>
    <b v="1"/>
    <n v="422"/>
    <n v="22"/>
    <n v="80"/>
    <n v="11"/>
    <n v="0"/>
    <n v="9"/>
    <n v="11"/>
    <n v="0"/>
    <n v="54"/>
    <n v="4"/>
    <x v="0"/>
    <n v="1520"/>
    <n v="24"/>
    <n v="1.5789473684210527E-2"/>
    <n v="9"/>
    <n v="0.375"/>
    <n v="5.9210526315789476E-3"/>
    <n v="5"/>
    <n v="0.20833333333333334"/>
    <n v="3.2894736842105261E-3"/>
    <n v="8"/>
    <n v="0.33333333333333331"/>
    <n v="5.263157894736842E-3"/>
    <n v="2"/>
    <n v="8.3333333333333329E-2"/>
    <n v="1.3157894736842105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oston-dynamics/spot-sdk"/>
    <s v="boston-dynamics"/>
    <s v="spot-sdk"/>
    <s v="https://github.com/boston-dynamics/spot-sdk"/>
    <d v="2020-01-16T19:32:50"/>
    <d v="2021-04-08T14:09:10"/>
    <n v="447.77523148147884"/>
    <b v="0"/>
    <b v="1"/>
    <n v="1444"/>
    <n v="163"/>
    <n v="305"/>
    <n v="0"/>
    <n v="1"/>
    <n v="0"/>
    <n v="13"/>
    <n v="6"/>
    <n v="0"/>
    <n v="0"/>
    <x v="7"/>
    <n v="28875"/>
    <n v="491"/>
    <n v="1.7004329004329004E-2"/>
    <n v="46"/>
    <n v="9.368635437881874E-2"/>
    <n v="1.593073593073593E-3"/>
    <n v="286"/>
    <n v="0.58248472505091653"/>
    <n v="9.9047619047619041E-3"/>
    <n v="39"/>
    <n v="7.9429735234215884E-2"/>
    <n v="1.3506493506493507E-3"/>
    <n v="93"/>
    <n v="0.18940936863543789"/>
    <n v="3.2207792207792209E-3"/>
    <n v="0"/>
    <n v="0"/>
    <n v="0"/>
    <n v="27"/>
    <n v="5.4989816700610997E-2"/>
    <n v="9.3506493506493509E-4"/>
    <b v="1"/>
    <b v="0"/>
    <b v="0"/>
    <b v="0"/>
    <b v="1"/>
    <b v="0"/>
    <b v="0"/>
    <b v="0"/>
    <b v="0"/>
    <b v="0"/>
    <b v="0"/>
    <b v="0"/>
    <b v="0"/>
  </r>
  <r>
    <s v="brettkromkamp/contextualise"/>
    <s v="brettkromkamp"/>
    <s v="contextualise"/>
    <s v="https://github.com/brettkromkamp/contextualise"/>
    <d v="2019-04-22T09:12:27"/>
    <d v="2021-03-31T05:58:33"/>
    <n v="708.86534722222132"/>
    <b v="0"/>
    <b v="0"/>
    <n v="901"/>
    <n v="25"/>
    <n v="42"/>
    <n v="0"/>
    <n v="0"/>
    <n v="6"/>
    <n v="5"/>
    <n v="0"/>
    <n v="102"/>
    <n v="43"/>
    <x v="5"/>
    <n v="2869"/>
    <n v="30"/>
    <n v="1.0456605088881143E-2"/>
    <n v="0"/>
    <n v="0"/>
    <n v="0"/>
    <n v="2"/>
    <n v="6.6666666666666666E-2"/>
    <n v="6.9710700592540956E-4"/>
    <n v="28"/>
    <n v="0.93333333333333335"/>
    <n v="9.7594980829557344E-3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briancappello/flask-react-spa"/>
    <s v="briancappello"/>
    <s v="flask-react-spa"/>
    <s v="https://github.com/briancappello/flask-react-spa"/>
    <d v="2017-09-05T03:17:41"/>
    <d v="2021-04-08T01:47:38"/>
    <n v="1310.9374652777842"/>
    <b v="0"/>
    <b v="0"/>
    <n v="456"/>
    <n v="21"/>
    <n v="84"/>
    <n v="0"/>
    <n v="1"/>
    <n v="3"/>
    <n v="9"/>
    <n v="0"/>
    <n v="15"/>
    <n v="6"/>
    <x v="5"/>
    <n v="4679"/>
    <n v="1"/>
    <n v="2.1372088053002778E-4"/>
    <n v="0"/>
    <n v="0"/>
    <n v="0"/>
    <n v="0"/>
    <n v="0"/>
    <n v="0"/>
    <n v="0"/>
    <n v="0"/>
    <n v="0"/>
    <n v="1"/>
    <n v="1"/>
    <n v="2.1372088053002778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bridgecrewio/checkov"/>
    <s v="bridgecrewio"/>
    <s v="checkov"/>
    <s v="https://github.com/bridgecrewio/checkov"/>
    <d v="2019-11-27T08:55:14"/>
    <d v="2021-04-08T20:44:44"/>
    <n v="498.49270833333867"/>
    <b v="0"/>
    <b v="1"/>
    <n v="2316"/>
    <n v="51"/>
    <n v="265"/>
    <n v="142"/>
    <n v="19"/>
    <n v="84"/>
    <n v="678"/>
    <n v="9"/>
    <n v="361"/>
    <n v="82"/>
    <x v="4"/>
    <n v="25437"/>
    <n v="126"/>
    <n v="4.9534143177261472E-3"/>
    <n v="71"/>
    <n v="0.56349206349206349"/>
    <n v="2.7912096552266384E-3"/>
    <n v="15"/>
    <n v="0.11904761904761904"/>
    <n v="5.8969218068168419E-4"/>
    <n v="3"/>
    <n v="2.3809523809523808E-2"/>
    <n v="1.1793843613633684E-4"/>
    <n v="37"/>
    <n v="0.29365079365079366"/>
    <n v="1.454574045681487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rndnmtthws/thetagang"/>
    <s v="brndnmtthws"/>
    <s v="thetagang"/>
    <s v="https://github.com/brndnmtthws/thetagang"/>
    <d v="2020-12-03T20:17:09"/>
    <d v="2021-04-08T20:06:35"/>
    <n v="125.99266203703883"/>
    <b v="0"/>
    <b v="0"/>
    <n v="1241"/>
    <n v="61"/>
    <n v="165"/>
    <n v="19"/>
    <n v="0"/>
    <n v="2"/>
    <n v="1"/>
    <n v="0"/>
    <n v="16"/>
    <n v="4"/>
    <x v="7"/>
    <n v="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rutasse/graphite-api"/>
    <s v="brutasse"/>
    <s v="graphite-api"/>
    <s v="https://github.com/brutasse/graphite-api"/>
    <d v="2014-03-05T23:44:30"/>
    <d v="2021-03-29T23:55:14"/>
    <n v="2581.0074537036999"/>
    <b v="0"/>
    <b v="0"/>
    <n v="494"/>
    <n v="34"/>
    <n v="129"/>
    <n v="3"/>
    <n v="4"/>
    <n v="35"/>
    <n v="118"/>
    <n v="13"/>
    <n v="131"/>
    <n v="34"/>
    <x v="4"/>
    <n v="9411"/>
    <n v="32"/>
    <n v="3.4002762724471363E-3"/>
    <n v="18"/>
    <n v="0.5625"/>
    <n v="1.9126554032515141E-3"/>
    <n v="9"/>
    <n v="0.28125"/>
    <n v="9.5632770162575704E-4"/>
    <n v="4"/>
    <n v="0.125"/>
    <n v="4.2503453405589204E-4"/>
    <n v="1"/>
    <n v="3.125E-2"/>
    <n v="1.0625863351397301E-4"/>
    <n v="0"/>
    <n v="0"/>
    <n v="0"/>
    <n v="0"/>
    <n v="0"/>
    <n v="0"/>
    <b v="1"/>
    <b v="0"/>
    <b v="0"/>
    <b v="0"/>
    <b v="1"/>
    <b v="0"/>
    <b v="0"/>
    <b v="0"/>
    <b v="0"/>
    <b v="0"/>
    <b v="0"/>
    <b v="1"/>
    <b v="0"/>
  </r>
  <r>
    <s v="buffer/thug"/>
    <s v="buffer"/>
    <s v="thug"/>
    <s v="https://github.com/buffer/thug"/>
    <d v="2012-02-20T11:56:54"/>
    <d v="2021-04-08T12:51:36"/>
    <n v="3335.0379861111142"/>
    <b v="0"/>
    <b v="0"/>
    <n v="822"/>
    <n v="78"/>
    <n v="180"/>
    <n v="9"/>
    <n v="8"/>
    <n v="31"/>
    <n v="172"/>
    <n v="0"/>
    <n v="145"/>
    <n v="0"/>
    <x v="3"/>
    <n v="19158"/>
    <n v="200"/>
    <n v="1.0439503079653408E-2"/>
    <n v="9"/>
    <n v="4.4999999999999998E-2"/>
    <n v="4.697776385844034E-4"/>
    <n v="43"/>
    <n v="0.215"/>
    <n v="2.2444931621254829E-3"/>
    <n v="144"/>
    <n v="0.72"/>
    <n v="7.5164422173504544E-3"/>
    <n v="0"/>
    <n v="0"/>
    <n v="0"/>
    <n v="4"/>
    <n v="0.02"/>
    <n v="2.0879006159306817E-4"/>
    <n v="0"/>
    <n v="0"/>
    <n v="0"/>
    <b v="1"/>
    <b v="0"/>
    <b v="0"/>
    <b v="0"/>
    <b v="1"/>
    <b v="0"/>
    <b v="0"/>
    <b v="0"/>
    <b v="0"/>
    <b v="0"/>
    <b v="0"/>
    <b v="0"/>
    <b v="0"/>
  </r>
  <r>
    <s v="bugy/script-server"/>
    <s v="bugy"/>
    <s v="script-server"/>
    <s v="https://github.com/bugy/script-server"/>
    <d v="2016-05-02T18:27:43"/>
    <d v="2021-04-09T00:36:28"/>
    <n v="1802.2560763888832"/>
    <b v="0"/>
    <b v="0"/>
    <n v="521"/>
    <n v="31"/>
    <n v="133"/>
    <n v="13"/>
    <n v="6"/>
    <n v="15"/>
    <n v="39"/>
    <n v="5"/>
    <n v="388"/>
    <n v="101"/>
    <x v="7"/>
    <n v="15123"/>
    <n v="137"/>
    <n v="9.0590491304635319E-3"/>
    <n v="1"/>
    <n v="7.2992700729927005E-3"/>
    <n v="6.6124446207763005E-5"/>
    <n v="35"/>
    <n v="0.25547445255474455"/>
    <n v="2.3143556172717052E-3"/>
    <n v="53"/>
    <n v="0.38686131386861317"/>
    <n v="3.5045956490114393E-3"/>
    <n v="14"/>
    <n v="0.10218978102189781"/>
    <n v="9.257422469086821E-4"/>
    <n v="0"/>
    <n v="0"/>
    <n v="0"/>
    <n v="34"/>
    <n v="0.24817518248175183"/>
    <n v="2.2482311710639424E-3"/>
    <b v="1"/>
    <b v="0"/>
    <b v="0"/>
    <b v="0"/>
    <b v="1"/>
    <b v="0"/>
    <b v="0"/>
    <b v="0"/>
    <b v="0"/>
    <b v="0"/>
    <b v="0"/>
    <b v="0"/>
    <b v="0"/>
  </r>
  <r>
    <s v="buildbot/buildbot"/>
    <s v="buildbot"/>
    <s v="buildbot"/>
    <s v="https://github.com/buildbot/buildbot"/>
    <d v="2010-07-06T17:56:53"/>
    <d v="2021-04-08T14:09:48"/>
    <n v="3928.8423032407372"/>
    <b v="0"/>
    <b v="1"/>
    <n v="4592"/>
    <n v="204"/>
    <n v="1384"/>
    <n v="48"/>
    <n v="318"/>
    <n v="566"/>
    <n v="4663"/>
    <n v="11"/>
    <n v="1298"/>
    <n v="629"/>
    <x v="3"/>
    <n v="99059"/>
    <n v="280"/>
    <n v="2.8265982899080347E-3"/>
    <n v="6"/>
    <n v="2.1428571428571429E-2"/>
    <n v="6.0569963355172173E-5"/>
    <n v="7"/>
    <n v="2.5000000000000001E-2"/>
    <n v="7.0664957247700865E-5"/>
    <n v="58"/>
    <n v="0.20714285714285716"/>
    <n v="5.8550964576666433E-4"/>
    <n v="209"/>
    <n v="0.74642857142857144"/>
    <n v="2.109853723538497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uildout/buildout"/>
    <s v="buildout"/>
    <s v="buildout"/>
    <s v="https://github.com/buildout/buildout"/>
    <d v="2012-03-25T21:47:18"/>
    <d v="2021-04-06T05:46:05"/>
    <n v="3298.33248842592"/>
    <b v="0"/>
    <b v="1"/>
    <n v="510"/>
    <n v="54"/>
    <n v="163"/>
    <n v="0"/>
    <n v="61"/>
    <n v="78"/>
    <n v="249"/>
    <n v="13"/>
    <n v="316"/>
    <n v="113"/>
    <x v="7"/>
    <n v="4442"/>
    <n v="72"/>
    <n v="1.6208914903196758E-2"/>
    <n v="30"/>
    <n v="0.41666666666666669"/>
    <n v="6.7537145429986496E-3"/>
    <n v="19"/>
    <n v="0.2638888888888889"/>
    <n v="4.2773525438991444E-3"/>
    <n v="21"/>
    <n v="0.29166666666666669"/>
    <n v="4.7276001800990548E-3"/>
    <n v="2"/>
    <n v="2.7777777777777776E-2"/>
    <n v="4.502476361999099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uriburisuri/sugartensor"/>
    <s v="buriburisuri"/>
    <s v="sugartensor"/>
    <s v="https://github.com/buriburisuri/sugartensor"/>
    <d v="2016-09-05T07:46:06"/>
    <d v="2021-04-08T03:18:57"/>
    <n v="1675.8144791666637"/>
    <b v="0"/>
    <b v="0"/>
    <n v="375"/>
    <n v="19"/>
    <n v="62"/>
    <n v="0"/>
    <n v="1"/>
    <n v="3"/>
    <n v="12"/>
    <n v="4"/>
    <n v="33"/>
    <n v="22"/>
    <x v="5"/>
    <n v="1740"/>
    <n v="5"/>
    <n v="2.8735632183908046E-3"/>
    <n v="1"/>
    <n v="0.2"/>
    <n v="5.7471264367816091E-4"/>
    <n v="1"/>
    <n v="0.2"/>
    <n v="5.7471264367816091E-4"/>
    <n v="1"/>
    <n v="0.2"/>
    <n v="5.7471264367816091E-4"/>
    <n v="2"/>
    <n v="0.4"/>
    <n v="1.149425287356321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urnettk/delete-docker-registry-image"/>
    <s v="burnettk"/>
    <s v="delete-docker-registry-image"/>
    <s v="https://github.com/burnettk/delete-docker-registry-image"/>
    <d v="2015-09-02T19:39:40"/>
    <d v="2021-03-26T17:21:31"/>
    <n v="2031.9040625000052"/>
    <b v="0"/>
    <b v="0"/>
    <n v="673"/>
    <n v="47"/>
    <n v="178"/>
    <n v="0"/>
    <n v="0"/>
    <n v="8"/>
    <n v="17"/>
    <n v="0"/>
    <n v="21"/>
    <n v="0"/>
    <x v="5"/>
    <n v="420"/>
    <n v="21"/>
    <n v="0.05"/>
    <n v="12"/>
    <n v="0.5714285714285714"/>
    <n v="2.8571428571428571E-2"/>
    <n v="4"/>
    <n v="0.19047619047619047"/>
    <n v="9.5238095238095247E-3"/>
    <n v="1"/>
    <n v="4.7619047619047616E-2"/>
    <n v="2.3809523809523812E-3"/>
    <n v="0"/>
    <n v="0"/>
    <n v="0"/>
    <n v="4"/>
    <n v="0.19047619047619047"/>
    <n v="9.5238095238095247E-3"/>
    <n v="0"/>
    <n v="0"/>
    <n v="0"/>
    <b v="1"/>
    <b v="1"/>
    <b v="0"/>
    <b v="0"/>
    <b v="1"/>
    <b v="0"/>
    <b v="0"/>
    <b v="0"/>
    <b v="0"/>
    <b v="0"/>
    <b v="0"/>
    <b v="0"/>
    <b v="0"/>
  </r>
  <r>
    <s v="Buuntu/fastapi-react"/>
    <s v="Buuntu"/>
    <s v="fastapi-react"/>
    <s v="https://github.com/Buuntu/fastapi-react"/>
    <d v="2020-03-21T19:48:47"/>
    <d v="2021-04-08T20:33:01"/>
    <n v="383.03071759259183"/>
    <b v="0"/>
    <b v="0"/>
    <n v="524"/>
    <n v="22"/>
    <n v="74"/>
    <n v="2"/>
    <n v="0"/>
    <n v="9"/>
    <n v="110"/>
    <n v="1"/>
    <n v="44"/>
    <n v="12"/>
    <x v="5"/>
    <n v="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byt3bl33d3r/CrackMapExec"/>
    <s v="byt3bl33d3r"/>
    <s v="CrackMapExec"/>
    <s v="https://github.com/byt3bl33d3r/CrackMapExec"/>
    <d v="2015-08-14T14:11:55"/>
    <d v="2021-04-08T09:38:36"/>
    <n v="2063.8101967592593"/>
    <b v="0"/>
    <b v="0"/>
    <n v="4649"/>
    <n v="292"/>
    <n v="994"/>
    <n v="25"/>
    <n v="17"/>
    <n v="30"/>
    <n v="86"/>
    <n v="18"/>
    <n v="371"/>
    <n v="44"/>
    <x v="8"/>
    <n v="7010"/>
    <n v="300"/>
    <n v="4.2796005706134094E-2"/>
    <n v="118"/>
    <n v="0.39333333333333331"/>
    <n v="1.6833095577746076E-2"/>
    <n v="68"/>
    <n v="0.22666666666666666"/>
    <n v="9.7004279600570609E-3"/>
    <n v="0"/>
    <n v="0"/>
    <n v="0"/>
    <n v="114"/>
    <n v="0.38"/>
    <n v="1.6262482168330955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yt3bl33d3r/DeathStar"/>
    <s v="byt3bl33d3r"/>
    <s v="DeathStar"/>
    <s v="https://github.com/byt3bl33d3r/DeathStar"/>
    <d v="2017-05-21T07:34:57"/>
    <d v="2021-04-06T14:12:44"/>
    <n v="1416.2762384259258"/>
    <b v="0"/>
    <b v="0"/>
    <n v="1230"/>
    <n v="79"/>
    <n v="280"/>
    <n v="0"/>
    <n v="0"/>
    <n v="6"/>
    <n v="17"/>
    <n v="2"/>
    <n v="59"/>
    <n v="4"/>
    <x v="0"/>
    <n v="908"/>
    <n v="61"/>
    <n v="6.71806167400881E-2"/>
    <n v="41"/>
    <n v="0.67213114754098358"/>
    <n v="4.5154185022026429E-2"/>
    <n v="11"/>
    <n v="0.18032786885245902"/>
    <n v="1.2114537444933921E-2"/>
    <n v="0"/>
    <n v="0"/>
    <n v="0"/>
    <n v="9"/>
    <n v="0.14754098360655737"/>
    <n v="9.91189427312775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yt3bl33d3r/WitnessMe"/>
    <s v="byt3bl33d3r"/>
    <s v="WitnessMe"/>
    <s v="https://github.com/byt3bl33d3r/WitnessMe"/>
    <d v="2019-07-06T05:25:10"/>
    <d v="2021-03-30T17:13:20"/>
    <n v="633.4917824074073"/>
    <b v="0"/>
    <b v="0"/>
    <n v="440"/>
    <n v="21"/>
    <n v="69"/>
    <n v="0"/>
    <n v="0"/>
    <n v="2"/>
    <n v="8"/>
    <n v="3"/>
    <n v="22"/>
    <n v="7"/>
    <x v="0"/>
    <n v="1207"/>
    <n v="40"/>
    <n v="3.3140016570008285E-2"/>
    <n v="17"/>
    <n v="0.42499999999999999"/>
    <n v="1.4084507042253521E-2"/>
    <n v="16"/>
    <n v="0.4"/>
    <n v="1.3256006628003313E-2"/>
    <n v="2"/>
    <n v="0.05"/>
    <n v="1.6570008285004142E-3"/>
    <n v="5"/>
    <n v="0.125"/>
    <n v="4.142502071251035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ytedance/byteps"/>
    <s v="bytedance"/>
    <s v="byteps"/>
    <s v="https://github.com/bytedance/byteps"/>
    <d v="2019-06-25T07:00:13"/>
    <d v="2021-04-08T01:47:31"/>
    <n v="652.78284722222452"/>
    <b v="0"/>
    <b v="1"/>
    <n v="2762"/>
    <n v="78"/>
    <n v="379"/>
    <n v="1"/>
    <n v="2"/>
    <n v="21"/>
    <n v="154"/>
    <n v="4"/>
    <n v="229"/>
    <n v="82"/>
    <x v="7"/>
    <n v="8516"/>
    <n v="60"/>
    <n v="7.0455612963832787E-3"/>
    <n v="14"/>
    <n v="0.23333333333333334"/>
    <n v="1.6439643024894317E-3"/>
    <n v="34"/>
    <n v="0.56666666666666665"/>
    <n v="3.992484734617191E-3"/>
    <n v="12"/>
    <n v="0.2"/>
    <n v="1.4091122592766556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bytedance/fedlearner"/>
    <s v="bytedance"/>
    <s v="fedlearner"/>
    <s v="https://github.com/bytedance/fedlearner"/>
    <d v="2020-01-21T13:26:35"/>
    <d v="2021-04-09T02:25:01"/>
    <n v="443.54057870370889"/>
    <b v="0"/>
    <b v="1"/>
    <n v="565"/>
    <n v="26"/>
    <n v="116"/>
    <n v="4"/>
    <n v="0"/>
    <n v="31"/>
    <n v="760"/>
    <n v="13"/>
    <n v="20"/>
    <n v="5"/>
    <x v="4"/>
    <n v="23056"/>
    <n v="381"/>
    <n v="1.652498265093685E-2"/>
    <n v="67"/>
    <n v="0.17585301837270342"/>
    <n v="2.9059680777238027E-3"/>
    <n v="180"/>
    <n v="0.47244094488188976"/>
    <n v="7.8070784177654406E-3"/>
    <n v="101"/>
    <n v="0.26509186351706038"/>
    <n v="4.3806384455239416E-3"/>
    <n v="33"/>
    <n v="8.6614173228346455E-2"/>
    <n v="1.431297709923664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4urself/bump2version"/>
    <s v="c4urself"/>
    <s v="bump2version"/>
    <s v="https://github.com/c4urself/bump2version"/>
    <d v="2017-03-27T17:48:58"/>
    <d v="2021-04-08T16:14:53"/>
    <n v="1472.9346643518511"/>
    <b v="0"/>
    <b v="0"/>
    <n v="606"/>
    <n v="12"/>
    <n v="91"/>
    <n v="0"/>
    <n v="3"/>
    <n v="44"/>
    <n v="83"/>
    <n v="14"/>
    <n v="128"/>
    <n v="64"/>
    <x v="5"/>
    <n v="1745"/>
    <n v="39"/>
    <n v="2.2349570200573064E-2"/>
    <n v="7"/>
    <n v="0.17948717948717949"/>
    <n v="4.0114613180515755E-3"/>
    <n v="25"/>
    <n v="0.64102564102564108"/>
    <n v="1.4326647564469915E-2"/>
    <n v="5"/>
    <n v="0.12820512820512819"/>
    <n v="2.8653295128939827E-3"/>
    <n v="1"/>
    <n v="2.564102564102564E-2"/>
    <n v="5.7306590257879652E-4"/>
    <n v="0"/>
    <n v="0"/>
    <n v="0"/>
    <n v="1"/>
    <n v="2.564102564102564E-2"/>
    <n v="5.7306590257879652E-4"/>
    <b v="1"/>
    <b v="1"/>
    <b v="0"/>
    <b v="0"/>
    <b v="1"/>
    <b v="0"/>
    <b v="0"/>
    <b v="0"/>
    <b v="0"/>
    <b v="0"/>
    <b v="0"/>
    <b v="0"/>
    <b v="0"/>
  </r>
  <r>
    <s v="calebstewart/pwncat"/>
    <s v="calebstewart"/>
    <s v="pwncat"/>
    <s v="https://github.com/calebstewart/pwncat"/>
    <d v="2020-05-07T02:02:40"/>
    <d v="2021-04-08T22:15:55"/>
    <n v="336.8425347222219"/>
    <b v="0"/>
    <b v="0"/>
    <n v="720"/>
    <n v="34"/>
    <n v="72"/>
    <n v="0"/>
    <n v="0"/>
    <n v="9"/>
    <n v="17"/>
    <n v="4"/>
    <n v="74"/>
    <n v="13"/>
    <x v="1"/>
    <n v="6849"/>
    <n v="7"/>
    <n v="1.0220470141626514E-3"/>
    <n v="0"/>
    <n v="0"/>
    <n v="0"/>
    <n v="0"/>
    <n v="0"/>
    <n v="0"/>
    <n v="0"/>
    <n v="0"/>
    <n v="0"/>
    <n v="7"/>
    <n v="1"/>
    <n v="1.022047014162651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anopyTax/asyncpgsa"/>
    <s v="CanopyTax"/>
    <s v="asyncpgsa"/>
    <s v="https://github.com/CanopyTax/asyncpgsa"/>
    <d v="2016-07-22T20:04:02"/>
    <d v="2021-04-08T06:55:22"/>
    <n v="1720.4523148148146"/>
    <b v="0"/>
    <b v="1"/>
    <n v="375"/>
    <n v="26"/>
    <n v="43"/>
    <n v="16"/>
    <n v="1"/>
    <n v="32"/>
    <n v="60"/>
    <n v="0"/>
    <n v="54"/>
    <n v="13"/>
    <x v="4"/>
    <n v="848"/>
    <n v="3"/>
    <n v="3.5377358490566039E-3"/>
    <n v="3"/>
    <n v="1"/>
    <n v="3.5377358490566039E-3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atalyst-team/catalyst"/>
    <s v="catalyst-team"/>
    <s v="catalyst"/>
    <s v="https://github.com/catalyst-team/catalyst"/>
    <d v="2018-08-20T07:56:13"/>
    <d v="2021-04-08T15:50:13"/>
    <n v="962.32916666667006"/>
    <b v="0"/>
    <b v="1"/>
    <n v="2515"/>
    <n v="45"/>
    <n v="301"/>
    <n v="24"/>
    <n v="1"/>
    <n v="90"/>
    <n v="881"/>
    <n v="4"/>
    <n v="289"/>
    <n v="8"/>
    <x v="4"/>
    <n v="17976"/>
    <n v="18"/>
    <n v="1.0013351134846463E-3"/>
    <n v="3"/>
    <n v="0.16666666666666666"/>
    <n v="1.6688918558077436E-4"/>
    <n v="0"/>
    <n v="0"/>
    <n v="0"/>
    <n v="13"/>
    <n v="0.72222222222222221"/>
    <n v="7.2318647085002229E-4"/>
    <n v="0"/>
    <n v="0"/>
    <n v="0"/>
    <n v="0"/>
    <n v="0"/>
    <n v="0"/>
    <n v="2"/>
    <n v="0.1111111111111111"/>
    <n v="1.1125945705384957E-4"/>
    <b v="1"/>
    <b v="0"/>
    <b v="0"/>
    <b v="0"/>
    <b v="1"/>
    <b v="0"/>
    <b v="0"/>
    <b v="0"/>
    <b v="0"/>
    <b v="0"/>
    <b v="0"/>
    <b v="0"/>
    <b v="0"/>
  </r>
  <r>
    <s v="cbfinn/maml_rl"/>
    <s v="cbfinn"/>
    <s v="maml_rl"/>
    <s v="https://github.com/cbfinn/maml_rl"/>
    <d v="2017-07-19T00:48:38"/>
    <d v="2021-04-04T13:36:56"/>
    <n v="1355.533541666664"/>
    <b v="0"/>
    <b v="0"/>
    <n v="450"/>
    <n v="16"/>
    <n v="145"/>
    <n v="0"/>
    <n v="0"/>
    <n v="10"/>
    <n v="2"/>
    <n v="1"/>
    <n v="13"/>
    <n v="10"/>
    <x v="7"/>
    <n v="28737"/>
    <n v="2"/>
    <n v="6.9596687197689394E-5"/>
    <n v="0"/>
    <n v="0"/>
    <n v="0"/>
    <n v="1"/>
    <n v="0.5"/>
    <n v="3.4798343598844697E-5"/>
    <n v="0"/>
    <n v="0"/>
    <n v="0"/>
    <n v="1"/>
    <n v="0.5"/>
    <n v="3.4798343598844697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burmeister/flask-bones"/>
    <s v="cburmeister"/>
    <s v="flask-bones"/>
    <s v="https://github.com/cburmeister/flask-bones"/>
    <d v="2013-05-26T06:47:04"/>
    <d v="2021-04-08T03:51:40"/>
    <n v="2873.8781944444418"/>
    <b v="0"/>
    <b v="0"/>
    <n v="853"/>
    <n v="26"/>
    <n v="99"/>
    <n v="0"/>
    <n v="0"/>
    <n v="10"/>
    <n v="183"/>
    <n v="15"/>
    <n v="18"/>
    <n v="0"/>
    <x v="5"/>
    <n v="543"/>
    <n v="1"/>
    <n v="1.841620626151013E-3"/>
    <n v="0"/>
    <n v="0"/>
    <n v="0"/>
    <n v="1"/>
    <n v="1"/>
    <n v="1.841620626151013E-3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crisan/motioneye"/>
    <s v="ccrisan"/>
    <s v="motioneye"/>
    <s v="https://github.com/ccrisan/motioneye"/>
    <d v="2015-08-30T13:21:17"/>
    <d v="2021-04-08T09:33:55"/>
    <n v="2047.8421064814829"/>
    <b v="0"/>
    <b v="0"/>
    <n v="2394"/>
    <n v="160"/>
    <n v="440"/>
    <n v="49"/>
    <n v="88"/>
    <n v="47"/>
    <n v="145"/>
    <n v="21"/>
    <n v="1945"/>
    <n v="642"/>
    <x v="0"/>
    <n v="7548"/>
    <n v="461"/>
    <n v="6.1075781664016955E-2"/>
    <n v="257"/>
    <n v="0.55748373101952275"/>
    <n v="3.4048754636989934E-2"/>
    <n v="36"/>
    <n v="7.8091106290672452E-2"/>
    <n v="4.7694753577106515E-3"/>
    <n v="20"/>
    <n v="4.3383947939262472E-2"/>
    <n v="2.6497085320614732E-3"/>
    <n v="148"/>
    <n v="0.32104121475054231"/>
    <n v="1.9607843137254902E-2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drx/rancher-gitlab-deploy"/>
    <s v="cdrx"/>
    <s v="rancher-gitlab-deploy"/>
    <s v="https://github.com/cdrx/rancher-gitlab-deploy"/>
    <d v="2016-09-14T16:18:51"/>
    <d v="2021-03-29T00:20:56"/>
    <n v="1656.3347800925912"/>
    <b v="0"/>
    <b v="0"/>
    <n v="411"/>
    <n v="25"/>
    <n v="82"/>
    <n v="2"/>
    <n v="0"/>
    <n v="14"/>
    <n v="22"/>
    <n v="0"/>
    <n v="47"/>
    <n v="5"/>
    <x v="5"/>
    <n v="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ea-sec/ivre"/>
    <s v="cea-sec"/>
    <s v="ivre"/>
    <s v="https://github.com/cea-sec/ivre"/>
    <d v="2014-09-12T13:34:56"/>
    <d v="2021-04-08T23:27:12"/>
    <n v="2400.4112962962972"/>
    <b v="0"/>
    <b v="1"/>
    <n v="2062"/>
    <n v="156"/>
    <n v="489"/>
    <n v="0"/>
    <n v="1"/>
    <n v="35"/>
    <n v="869"/>
    <n v="4"/>
    <n v="231"/>
    <n v="26"/>
    <x v="0"/>
    <n v="24800"/>
    <n v="256"/>
    <n v="1.032258064516129E-2"/>
    <n v="51"/>
    <n v="0.19921875"/>
    <n v="2.0564516129032259E-3"/>
    <n v="33"/>
    <n v="0.12890625"/>
    <n v="1.3306451612903226E-3"/>
    <n v="153"/>
    <n v="0.59765625"/>
    <n v="6.1693548387096774E-3"/>
    <n v="12"/>
    <n v="4.6875E-2"/>
    <n v="4.8387096774193548E-4"/>
    <n v="7"/>
    <n v="2.734375E-2"/>
    <n v="2.8225806451612906E-4"/>
    <n v="0"/>
    <n v="0"/>
    <n v="0"/>
    <b v="1"/>
    <b v="1"/>
    <b v="0"/>
    <b v="0"/>
    <b v="1"/>
    <b v="0"/>
    <b v="0"/>
    <b v="0"/>
    <b v="0"/>
    <b v="0"/>
    <b v="0"/>
    <b v="0"/>
    <b v="0"/>
  </r>
  <r>
    <s v="cea-sec/miasm"/>
    <s v="cea-sec"/>
    <s v="miasm"/>
    <s v="https://github.com/cea-sec/miasm"/>
    <d v="2014-10-28T15:05:47"/>
    <d v="2021-04-08T02:52:48"/>
    <n v="2353.4909837962987"/>
    <b v="0"/>
    <b v="1"/>
    <n v="2406"/>
    <n v="137"/>
    <n v="358"/>
    <n v="5"/>
    <n v="2"/>
    <n v="61"/>
    <n v="1063"/>
    <n v="37"/>
    <n v="300"/>
    <n v="92"/>
    <x v="3"/>
    <n v="63236"/>
    <n v="381"/>
    <n v="6.0250490227085835E-3"/>
    <n v="178"/>
    <n v="0.46719160104986879"/>
    <n v="2.8148522993231705E-3"/>
    <n v="64"/>
    <n v="0.16797900262467191"/>
    <n v="1.0120817255993421E-3"/>
    <n v="128"/>
    <n v="0.33595800524934383"/>
    <n v="2.0241634511986841E-3"/>
    <n v="11"/>
    <n v="2.8871391076115485E-2"/>
    <n v="1.739515465873869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ea-sec/Sibyl"/>
    <s v="cea-sec"/>
    <s v="Sibyl"/>
    <s v="https://github.com/cea-sec/Sibyl"/>
    <d v="2014-09-05T16:26:33"/>
    <d v="2021-03-22T07:34:24"/>
    <n v="2389.6304513888899"/>
    <b v="0"/>
    <b v="1"/>
    <n v="445"/>
    <n v="36"/>
    <n v="48"/>
    <n v="2"/>
    <n v="0"/>
    <n v="6"/>
    <n v="79"/>
    <n v="3"/>
    <n v="23"/>
    <n v="4"/>
    <x v="0"/>
    <n v="4079"/>
    <n v="24"/>
    <n v="5.8837950478058346E-3"/>
    <n v="5"/>
    <n v="0.20833333333333334"/>
    <n v="1.225790634959549E-3"/>
    <n v="13"/>
    <n v="0.54166666666666663"/>
    <n v="3.187055650894827E-3"/>
    <n v="2"/>
    <n v="8.3333333333333329E-2"/>
    <n v="4.9031625398381952E-4"/>
    <n v="1"/>
    <n v="4.1666666666666664E-2"/>
    <n v="2.4515812699190976E-4"/>
    <n v="1"/>
    <n v="4.1666666666666664E-2"/>
    <n v="2.4515812699190976E-4"/>
    <n v="2"/>
    <n v="8.3333333333333329E-2"/>
    <n v="4.9031625398381952E-4"/>
    <b v="1"/>
    <b v="0"/>
    <b v="0"/>
    <b v="0"/>
    <b v="1"/>
    <b v="0"/>
    <b v="0"/>
    <b v="0"/>
    <b v="0"/>
    <b v="0"/>
    <b v="0"/>
    <b v="0"/>
    <b v="0"/>
  </r>
  <r>
    <s v="celery/celery"/>
    <s v="celery"/>
    <s v="celery"/>
    <s v="https://github.com/celery/celery"/>
    <d v="2009-04-24T11:31:24"/>
    <d v="2021-04-09T01:08:51"/>
    <n v="4367.5676736111127"/>
    <b v="0"/>
    <b v="1"/>
    <n v="17028"/>
    <n v="493"/>
    <n v="3825"/>
    <n v="17"/>
    <n v="255"/>
    <n v="929"/>
    <n v="2254"/>
    <n v="54"/>
    <n v="4414"/>
    <n v="444"/>
    <x v="7"/>
    <n v="43738"/>
    <n v="129"/>
    <n v="2.9493804014815491E-3"/>
    <n v="29"/>
    <n v="0.22480620155038761"/>
    <n v="6.6303900498422422E-4"/>
    <n v="22"/>
    <n v="0.17054263565891473"/>
    <n v="5.0299510722941144E-4"/>
    <n v="31"/>
    <n v="0.24031007751937986"/>
    <n v="7.0876583291417077E-4"/>
    <n v="26"/>
    <n v="0.20155038759689922"/>
    <n v="5.9444876308930444E-4"/>
    <n v="4"/>
    <n v="3.1007751937984496E-2"/>
    <n v="9.1453655859893E-5"/>
    <n v="17"/>
    <n v="0.13178294573643412"/>
    <n v="3.8867803740454522E-4"/>
    <b v="1"/>
    <b v="1"/>
    <b v="0"/>
    <b v="0"/>
    <b v="1"/>
    <b v="0"/>
    <b v="0"/>
    <b v="0"/>
    <b v="0"/>
    <b v="0"/>
    <b v="0"/>
    <b v="0"/>
    <b v="0"/>
  </r>
  <r>
    <s v="celery/django-celery-beat"/>
    <s v="celery"/>
    <s v="django-celery-beat"/>
    <s v="https://github.com/celery/django-celery-beat"/>
    <d v="2016-08-03T22:34:19"/>
    <d v="2021-04-08T06:41:19"/>
    <n v="1708.3381944444409"/>
    <b v="0"/>
    <b v="1"/>
    <n v="897"/>
    <n v="48"/>
    <n v="246"/>
    <n v="10"/>
    <n v="13"/>
    <n v="73"/>
    <n v="142"/>
    <n v="7"/>
    <n v="254"/>
    <n v="64"/>
    <x v="7"/>
    <n v="2077"/>
    <n v="5"/>
    <n v="2.4073182474723159E-3"/>
    <n v="0"/>
    <n v="0"/>
    <n v="0"/>
    <n v="0"/>
    <n v="0"/>
    <n v="0"/>
    <n v="0"/>
    <n v="0"/>
    <n v="0"/>
    <n v="1"/>
    <n v="0.2"/>
    <n v="4.8146364949446316E-4"/>
    <n v="0"/>
    <n v="0"/>
    <n v="0"/>
    <n v="4"/>
    <n v="0.8"/>
    <n v="1.9258545979778526E-3"/>
    <b v="1"/>
    <b v="1"/>
    <b v="0"/>
    <b v="0"/>
    <b v="1"/>
    <b v="0"/>
    <b v="0"/>
    <b v="0"/>
    <b v="0"/>
    <b v="0"/>
    <b v="0"/>
    <b v="0"/>
    <b v="0"/>
  </r>
  <r>
    <s v="CenterForOpenScience/osf.io"/>
    <s v="CenterForOpenScience"/>
    <s v="osf.io"/>
    <s v="https://github.com/CenterForOpenScience/osf.io"/>
    <d v="2013-05-21T15:53:37"/>
    <d v="2021-04-07T13:34:39"/>
    <n v="2877.9034953703667"/>
    <b v="0"/>
    <b v="1"/>
    <n v="569"/>
    <n v="53"/>
    <n v="268"/>
    <n v="21"/>
    <n v="84"/>
    <n v="134"/>
    <n v="7123"/>
    <n v="84"/>
    <n v="2541"/>
    <n v="211"/>
    <x v="4"/>
    <n v="155776"/>
    <n v="789"/>
    <n v="5.0649650780608055E-3"/>
    <n v="57"/>
    <n v="7.2243346007604556E-2"/>
    <n v="3.659100246507806E-4"/>
    <n v="526"/>
    <n v="0.66666666666666663"/>
    <n v="3.3766433853738703E-3"/>
    <n v="101"/>
    <n v="0.12801013941698353"/>
    <n v="6.4836688578471656E-4"/>
    <n v="77"/>
    <n v="9.7591888466413187E-2"/>
    <n v="4.9429950698438787E-4"/>
    <n v="0"/>
    <n v="0"/>
    <n v="0"/>
    <n v="28"/>
    <n v="3.5487959442332066E-2"/>
    <n v="1.7974527526705013E-4"/>
    <b v="1"/>
    <b v="1"/>
    <b v="0"/>
    <b v="0"/>
    <b v="1"/>
    <b v="0"/>
    <b v="0"/>
    <b v="0"/>
    <b v="0"/>
    <b v="0"/>
    <b v="0"/>
    <b v="0"/>
    <b v="0"/>
  </r>
  <r>
    <s v="certbot/certbot"/>
    <s v="certbot"/>
    <s v="certbot"/>
    <s v="https://github.com/certbot/certbot"/>
    <d v="2014-11-12T02:52:20"/>
    <d v="2021-04-09T02:36:25"/>
    <n v="2339.9889467592584"/>
    <b v="0"/>
    <b v="1"/>
    <n v="27879"/>
    <n v="826"/>
    <n v="2927"/>
    <n v="17"/>
    <n v="241"/>
    <n v="427"/>
    <n v="3988"/>
    <n v="69"/>
    <n v="4772"/>
    <n v="517"/>
    <x v="7"/>
    <n v="37742"/>
    <n v="460"/>
    <n v="1.2188013353823328E-2"/>
    <n v="223"/>
    <n v="0.48478260869565215"/>
    <n v="5.9085369084839173E-3"/>
    <n v="71"/>
    <n v="0.15434782608695652"/>
    <n v="1.8811933654814266E-3"/>
    <n v="76"/>
    <n v="0.16521739130434782"/>
    <n v="2.0136717715012451E-3"/>
    <n v="75"/>
    <n v="0.16304347826086957"/>
    <n v="1.9871760902972816E-3"/>
    <n v="11"/>
    <n v="2.391304347826087E-2"/>
    <n v="2.9145249324360128E-4"/>
    <n v="4"/>
    <n v="8.6956521739130436E-3"/>
    <n v="1.0598272481585502E-4"/>
    <b v="1"/>
    <b v="1"/>
    <b v="0"/>
    <b v="0"/>
    <b v="1"/>
    <b v="0"/>
    <b v="0"/>
    <b v="0"/>
    <b v="0"/>
    <b v="0"/>
    <b v="0"/>
    <b v="0"/>
    <b v="0"/>
  </r>
  <r>
    <s v="Ceruleanacg/Personae"/>
    <s v="Ceruleanacg"/>
    <s v="Personae"/>
    <s v="https://github.com/Ceruleanacg/Personae"/>
    <d v="2018-03-10T11:22:00"/>
    <d v="2021-04-09T02:31:46"/>
    <n v="1125.6317824074067"/>
    <b v="0"/>
    <b v="0"/>
    <n v="1144"/>
    <n v="128"/>
    <n v="322"/>
    <n v="0"/>
    <n v="1"/>
    <n v="2"/>
    <n v="9"/>
    <n v="0"/>
    <n v="23"/>
    <n v="8"/>
    <x v="5"/>
    <n v="2303"/>
    <n v="30"/>
    <n v="1.3026487190620929E-2"/>
    <n v="0"/>
    <n v="0"/>
    <n v="0"/>
    <n v="17"/>
    <n v="0.56666666666666665"/>
    <n v="7.3816760746851931E-3"/>
    <n v="13"/>
    <n v="0.43333333333333335"/>
    <n v="5.6448111159357363E-3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esium-ml/cesium"/>
    <s v="cesium-ml"/>
    <s v="cesium"/>
    <s v="https://github.com/cesium-ml/cesium"/>
    <d v="2014-10-29T16:00:02"/>
    <d v="2021-04-06T18:54:03"/>
    <n v="2351.1208449074038"/>
    <b v="0"/>
    <b v="1"/>
    <n v="530"/>
    <n v="38"/>
    <n v="74"/>
    <n v="0"/>
    <n v="6"/>
    <n v="9"/>
    <n v="192"/>
    <n v="5"/>
    <n v="102"/>
    <n v="23"/>
    <x v="7"/>
    <n v="2639"/>
    <n v="4"/>
    <n v="1.5157256536566881E-3"/>
    <n v="0"/>
    <n v="0"/>
    <n v="0"/>
    <n v="0"/>
    <n v="0"/>
    <n v="0"/>
    <n v="4"/>
    <n v="1"/>
    <n v="1.5157256536566881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evoaustralia/aws-google-auth"/>
    <s v="cevoaustralia"/>
    <s v="aws-google-auth"/>
    <s v="https://github.com/cevoaustralia/aws-google-auth"/>
    <d v="2017-06-13T09:30:29"/>
    <d v="2021-04-08T19:39:00"/>
    <n v="1395.4225810185162"/>
    <b v="0"/>
    <b v="1"/>
    <n v="434"/>
    <n v="20"/>
    <n v="117"/>
    <n v="8"/>
    <n v="0"/>
    <n v="34"/>
    <n v="109"/>
    <n v="17"/>
    <n v="119"/>
    <n v="44"/>
    <x v="5"/>
    <n v="2316"/>
    <n v="25"/>
    <n v="1.079447322970639E-2"/>
    <n v="5"/>
    <n v="0.2"/>
    <n v="2.1588946459412781E-3"/>
    <n v="4"/>
    <n v="0.16"/>
    <n v="1.7271157167530224E-3"/>
    <n v="0"/>
    <n v="0"/>
    <n v="0"/>
    <n v="4"/>
    <n v="0.16"/>
    <n v="1.7271157167530224E-3"/>
    <n v="3"/>
    <n v="0.12"/>
    <n v="1.2953367875647669E-3"/>
    <n v="9"/>
    <n v="0.36"/>
    <n v="3.8860103626943004E-3"/>
    <b v="1"/>
    <b v="0"/>
    <b v="0"/>
    <b v="0"/>
    <b v="1"/>
    <b v="0"/>
    <b v="0"/>
    <b v="0"/>
    <b v="0"/>
    <b v="0"/>
    <b v="0"/>
    <b v="0"/>
    <b v="0"/>
  </r>
  <r>
    <s v="cgre-aachen/gempy"/>
    <s v="cgre-aachen"/>
    <s v="gempy"/>
    <s v="https://github.com/cgre-aachen/gempy"/>
    <d v="2017-07-04T11:32:12"/>
    <d v="2021-04-08T20:29:08"/>
    <n v="1374.3728703703746"/>
    <b v="0"/>
    <b v="1"/>
    <n v="404"/>
    <n v="33"/>
    <n v="126"/>
    <n v="17"/>
    <n v="7"/>
    <n v="22"/>
    <n v="161"/>
    <n v="10"/>
    <n v="407"/>
    <n v="96"/>
    <x v="9"/>
    <n v="21363"/>
    <n v="40"/>
    <n v="1.872396199035716E-3"/>
    <n v="0"/>
    <n v="0"/>
    <n v="0"/>
    <n v="0"/>
    <n v="0"/>
    <n v="0"/>
    <n v="40"/>
    <n v="1"/>
    <n v="1.872396199035716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hainer/chainer-chemistry"/>
    <s v="chainer"/>
    <s v="chainer-chemistry"/>
    <s v="https://github.com/chainer/chainer-chemistry"/>
    <d v="2017-11-28T10:35:09"/>
    <d v="2021-03-22T18:52:16"/>
    <n v="1210.345219907409"/>
    <b v="0"/>
    <b v="1"/>
    <n v="463"/>
    <n v="54"/>
    <n v="114"/>
    <n v="8"/>
    <n v="0"/>
    <n v="21"/>
    <n v="334"/>
    <n v="3"/>
    <n v="92"/>
    <n v="26"/>
    <x v="5"/>
    <n v="16242"/>
    <n v="57"/>
    <n v="3.509420022164758E-3"/>
    <n v="3"/>
    <n v="5.2631578947368418E-2"/>
    <n v="1.8470631695603989E-4"/>
    <n v="10"/>
    <n v="0.17543859649122806"/>
    <n v="6.1568772318679969E-4"/>
    <n v="42"/>
    <n v="0.73684210526315785"/>
    <n v="2.5858884373845584E-3"/>
    <n v="2"/>
    <n v="3.5087719298245612E-2"/>
    <n v="1.2313754463735992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haosthebot/Chaos"/>
    <s v="Chaosthebot"/>
    <s v="Chaos"/>
    <s v="https://github.com/Chaosthebot/Chaos"/>
    <d v="2017-05-22T19:29:47"/>
    <d v="2021-03-15T14:59:18"/>
    <n v="1392.8121643518534"/>
    <b v="0"/>
    <b v="1"/>
    <n v="2475"/>
    <n v="106"/>
    <n v="221"/>
    <n v="0"/>
    <n v="11"/>
    <n v="82"/>
    <n v="437"/>
    <n v="3"/>
    <n v="137"/>
    <n v="22"/>
    <x v="5"/>
    <n v="1686"/>
    <n v="35"/>
    <n v="2.0759193357058125E-2"/>
    <n v="2"/>
    <n v="5.7142857142857141E-2"/>
    <n v="1.1862396204033216E-3"/>
    <n v="23"/>
    <n v="0.65714285714285714"/>
    <n v="1.3641755634638196E-2"/>
    <n v="1"/>
    <n v="2.8571428571428571E-2"/>
    <n v="5.9311981020166078E-4"/>
    <n v="1"/>
    <n v="2.8571428571428571E-2"/>
    <n v="5.9311981020166078E-4"/>
    <n v="0"/>
    <n v="0"/>
    <n v="0"/>
    <n v="8"/>
    <n v="0.22857142857142856"/>
    <n v="4.7449584816132862E-3"/>
    <b v="1"/>
    <b v="1"/>
    <b v="0"/>
    <b v="0"/>
    <b v="1"/>
    <b v="0"/>
    <b v="0"/>
    <b v="0"/>
    <b v="0"/>
    <b v="0"/>
    <b v="0"/>
    <b v="0"/>
    <b v="0"/>
  </r>
  <r>
    <s v="chaostoolkit/chaostoolkit"/>
    <s v="chaostoolkit"/>
    <s v="chaostoolkit"/>
    <s v="https://github.com/chaostoolkit/chaostoolkit"/>
    <d v="2017-09-24T15:49:05"/>
    <d v="2021-04-08T13:40:13"/>
    <n v="1291.9105092592581"/>
    <b v="0"/>
    <b v="1"/>
    <n v="1221"/>
    <n v="39"/>
    <n v="114"/>
    <n v="39"/>
    <n v="0"/>
    <n v="11"/>
    <n v="62"/>
    <n v="4"/>
    <n v="141"/>
    <n v="65"/>
    <x v="4"/>
    <n v="861"/>
    <n v="16"/>
    <n v="1.8583042973286876E-2"/>
    <n v="8"/>
    <n v="0.5"/>
    <n v="9.2915214866434379E-3"/>
    <n v="2"/>
    <n v="0.125"/>
    <n v="2.3228803716608595E-3"/>
    <n v="2"/>
    <n v="0.125"/>
    <n v="2.3228803716608595E-3"/>
    <n v="4"/>
    <n v="0.25"/>
    <n v="4.6457607433217189E-3"/>
    <n v="0"/>
    <n v="0"/>
    <n v="0"/>
    <n v="0"/>
    <n v="0"/>
    <n v="0"/>
    <b v="1"/>
    <b v="0"/>
    <b v="0"/>
    <b v="0"/>
    <b v="1"/>
    <b v="0"/>
    <b v="0"/>
    <b v="0"/>
    <b v="0"/>
    <b v="1"/>
    <b v="0"/>
    <b v="0"/>
    <b v="0"/>
  </r>
  <r>
    <s v="Charcoal-SE/SmokeDetector"/>
    <s v="Charcoal-SE"/>
    <s v="SmokeDetector"/>
    <s v="https://github.com/Charcoal-SE/SmokeDetector"/>
    <d v="2014-01-30T20:29:37"/>
    <d v="2021-04-09T03:52:13"/>
    <n v="2625.3073611111104"/>
    <b v="0"/>
    <b v="1"/>
    <n v="380"/>
    <n v="22"/>
    <n v="147"/>
    <n v="0"/>
    <n v="132"/>
    <n v="90"/>
    <n v="5867"/>
    <n v="13"/>
    <n v="349"/>
    <n v="17"/>
    <x v="7"/>
    <n v="7581"/>
    <n v="3"/>
    <n v="3.9572615749901069E-4"/>
    <n v="0"/>
    <n v="0"/>
    <n v="0"/>
    <n v="1"/>
    <n v="0.33333333333333331"/>
    <n v="1.3190871916633689E-4"/>
    <n v="1"/>
    <n v="0.33333333333333331"/>
    <n v="1.3190871916633689E-4"/>
    <n v="1"/>
    <n v="0.33333333333333331"/>
    <n v="1.3190871916633689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hdsbd/kodiak"/>
    <s v="chdsbd"/>
    <s v="kodiak"/>
    <s v="https://github.com/chdsbd/kodiak"/>
    <d v="2019-04-18T16:10:10"/>
    <d v="2021-04-06T15:46:45"/>
    <n v="718.98373842592264"/>
    <b v="0"/>
    <b v="0"/>
    <n v="659"/>
    <n v="5"/>
    <n v="34"/>
    <n v="41"/>
    <n v="4"/>
    <n v="20"/>
    <n v="511"/>
    <n v="4"/>
    <n v="134"/>
    <n v="19"/>
    <x v="11"/>
    <n v="8572"/>
    <n v="116"/>
    <n v="1.3532431171255249E-2"/>
    <n v="0"/>
    <n v="0"/>
    <n v="0"/>
    <n v="65"/>
    <n v="0.56034482758620685"/>
    <n v="7.5828278114792348E-3"/>
    <n v="33"/>
    <n v="0.28448275862068967"/>
    <n v="3.8497433504433038E-3"/>
    <n v="3"/>
    <n v="2.5862068965517241E-2"/>
    <n v="3.4997666822211853E-4"/>
    <n v="0"/>
    <n v="0"/>
    <n v="0"/>
    <n v="15"/>
    <n v="0.12931034482758622"/>
    <n v="1.7498833411105927E-3"/>
    <b v="1"/>
    <b v="1"/>
    <b v="0"/>
    <b v="0"/>
    <b v="1"/>
    <b v="0"/>
    <b v="0"/>
    <b v="0"/>
    <b v="0"/>
    <b v="0"/>
    <b v="0"/>
    <b v="1"/>
    <b v="0"/>
  </r>
  <r>
    <s v="cheind/py-motmetrics"/>
    <s v="cheind"/>
    <s v="py-motmetrics"/>
    <s v="https://github.com/cheind/py-motmetrics"/>
    <d v="2017-04-07T15:16:59"/>
    <d v="2021-04-08T21:14:15"/>
    <n v="1462.248101851852"/>
    <b v="0"/>
    <b v="0"/>
    <n v="781"/>
    <n v="19"/>
    <n v="188"/>
    <n v="0"/>
    <n v="3"/>
    <n v="10"/>
    <n v="32"/>
    <n v="5"/>
    <n v="111"/>
    <n v="22"/>
    <x v="5"/>
    <n v="2200"/>
    <n v="35"/>
    <n v="1.5909090909090907E-2"/>
    <n v="0"/>
    <n v="0"/>
    <n v="0"/>
    <n v="26"/>
    <n v="0.74285714285714288"/>
    <n v="1.1818181818181818E-2"/>
    <n v="7"/>
    <n v="0.2"/>
    <n v="3.1818181818181819E-3"/>
    <n v="2"/>
    <n v="5.7142857142857141E-2"/>
    <n v="9.0909090909090909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hemprop/chemprop"/>
    <s v="chemprop"/>
    <s v="chemprop"/>
    <s v="https://github.com/chemprop/chemprop"/>
    <d v="2019-01-25T23:33:22"/>
    <d v="2021-04-05T21:40:13"/>
    <n v="800.92142361111473"/>
    <b v="0"/>
    <b v="1"/>
    <n v="509"/>
    <n v="29"/>
    <n v="211"/>
    <n v="6"/>
    <n v="2"/>
    <n v="21"/>
    <n v="62"/>
    <n v="7"/>
    <n v="97"/>
    <n v="15"/>
    <x v="5"/>
    <n v="5044"/>
    <n v="12"/>
    <n v="2.3790642347343376E-3"/>
    <n v="5"/>
    <n v="0.41666666666666669"/>
    <n v="9.9127676447264071E-4"/>
    <n v="7"/>
    <n v="0.58333333333333337"/>
    <n v="1.3877874702616971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hengyumeng/spider163"/>
    <s v="chengyumeng"/>
    <s v="spider163"/>
    <s v="https://github.com/chengyumeng/spider163"/>
    <d v="2017-03-22T03:57:19"/>
    <d v="2021-04-08T11:07:57"/>
    <n v="1478.2990509259253"/>
    <b v="0"/>
    <b v="0"/>
    <n v="568"/>
    <n v="41"/>
    <n v="167"/>
    <n v="2"/>
    <n v="1"/>
    <n v="3"/>
    <n v="22"/>
    <n v="2"/>
    <n v="34"/>
    <n v="10"/>
    <x v="5"/>
    <n v="1479"/>
    <n v="14"/>
    <n v="9.4658553076402974E-3"/>
    <n v="0"/>
    <n v="0"/>
    <n v="0"/>
    <n v="2"/>
    <n v="0.14285714285714285"/>
    <n v="1.3522650439486139E-3"/>
    <n v="5"/>
    <n v="0.35714285714285715"/>
    <n v="3.3806626098715348E-3"/>
    <n v="7"/>
    <n v="0.5"/>
    <n v="4.7329276538201487E-3"/>
    <n v="0"/>
    <n v="0"/>
    <n v="0"/>
    <n v="0"/>
    <n v="0"/>
    <n v="0"/>
    <b v="1"/>
    <b v="1"/>
    <b v="0"/>
    <b v="0"/>
    <b v="1"/>
    <b v="0"/>
    <b v="0"/>
    <b v="1"/>
    <b v="0"/>
    <b v="0"/>
    <b v="0"/>
    <b v="0"/>
    <b v="0"/>
  </r>
  <r>
    <s v="ChenRocks/UNITER"/>
    <s v="ChenRocks"/>
    <s v="UNITER"/>
    <s v="https://github.com/ChenRocks/UNITER"/>
    <d v="2020-01-28T00:09:59"/>
    <d v="2021-04-08T06:50:10"/>
    <n v="436.27790509259648"/>
    <b v="0"/>
    <b v="0"/>
    <n v="372"/>
    <n v="17"/>
    <n v="49"/>
    <n v="0"/>
    <n v="0"/>
    <n v="0"/>
    <n v="1"/>
    <n v="0"/>
    <n v="72"/>
    <n v="28"/>
    <x v="1"/>
    <n v="6788"/>
    <n v="181"/>
    <n v="2.6664702416028287E-2"/>
    <n v="0"/>
    <n v="0"/>
    <n v="0"/>
    <n v="178"/>
    <n v="0.98342541436464093"/>
    <n v="2.6222746022392458E-2"/>
    <n v="2"/>
    <n v="1.1049723756906077E-2"/>
    <n v="2.9463759575721861E-4"/>
    <n v="0"/>
    <n v="0"/>
    <n v="0"/>
    <n v="0"/>
    <n v="0"/>
    <n v="0"/>
    <n v="1"/>
    <n v="5.5248618784530384E-3"/>
    <n v="1.4731879787860931E-4"/>
    <b v="1"/>
    <b v="0"/>
    <b v="0"/>
    <b v="0"/>
    <b v="1"/>
    <b v="0"/>
    <b v="0"/>
    <b v="0"/>
    <b v="0"/>
    <b v="0"/>
    <b v="0"/>
    <b v="0"/>
    <b v="0"/>
  </r>
  <r>
    <s v="cholcombe973/autodock"/>
    <s v="cholcombe973"/>
    <s v="autodock"/>
    <s v="https://github.com/cholcombe973/autodock"/>
    <d v="2013-11-10T19:37:35"/>
    <d v="2021-01-17T08:39:14"/>
    <n v="2624.5428124999962"/>
    <b v="0"/>
    <b v="0"/>
    <n v="372"/>
    <n v="21"/>
    <n v="37"/>
    <n v="0"/>
    <n v="0"/>
    <n v="0"/>
    <n v="0"/>
    <n v="0"/>
    <n v="2"/>
    <n v="0"/>
    <x v="5"/>
    <n v="721"/>
    <n v="67"/>
    <n v="9.2926490984743412E-2"/>
    <n v="17"/>
    <n v="0.2537313432835821"/>
    <n v="2.3578363384188627E-2"/>
    <n v="35"/>
    <n v="0.52238805970149249"/>
    <n v="4.8543689320388349E-2"/>
    <n v="0"/>
    <n v="0"/>
    <n v="0"/>
    <n v="15"/>
    <n v="0.22388059701492538"/>
    <n v="2.0804438280166437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hubin/cheat.sh"/>
    <s v="chubin"/>
    <s v="cheat.sh"/>
    <s v="https://github.com/chubin/cheat.sh"/>
    <d v="2017-05-07T21:40:56"/>
    <d v="2021-04-08T22:18:40"/>
    <n v="1432.0262037037028"/>
    <b v="0"/>
    <b v="0"/>
    <n v="23931"/>
    <n v="528"/>
    <n v="1182"/>
    <n v="0"/>
    <n v="21"/>
    <n v="46"/>
    <n v="125"/>
    <n v="4"/>
    <n v="166"/>
    <n v="79"/>
    <x v="5"/>
    <n v="3412"/>
    <n v="3"/>
    <n v="8.7924970691676441E-4"/>
    <n v="0"/>
    <n v="0"/>
    <n v="0"/>
    <n v="2"/>
    <n v="0.66666666666666663"/>
    <n v="5.8616647127784287E-4"/>
    <n v="0"/>
    <n v="0"/>
    <n v="0"/>
    <n v="1"/>
    <n v="0.33333333333333331"/>
    <n v="2.9308323563892143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hubin/wttr.in"/>
    <s v="chubin"/>
    <s v="wttr.in"/>
    <s v="https://github.com/chubin/wttr.in"/>
    <d v="2015-12-26T21:03:43"/>
    <d v="2021-04-08T19:32:36"/>
    <n v="1929.9367245370377"/>
    <b v="0"/>
    <b v="0"/>
    <n v="14127"/>
    <n v="203"/>
    <n v="681"/>
    <n v="0"/>
    <n v="10"/>
    <n v="118"/>
    <n v="208"/>
    <n v="0"/>
    <n v="380"/>
    <n v="142"/>
    <x v="4"/>
    <n v="2500"/>
    <n v="24"/>
    <n v="9.5999999999999992E-3"/>
    <n v="17"/>
    <n v="0.70833333333333337"/>
    <n v="6.7999999999999996E-3"/>
    <n v="1"/>
    <n v="4.1666666666666664E-2"/>
    <n v="4.0000000000000002E-4"/>
    <n v="0"/>
    <n v="0"/>
    <n v="0"/>
    <n v="6"/>
    <n v="0.25"/>
    <n v="2.399999999999999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IRCL/AIL-framework"/>
    <s v="CIRCL"/>
    <s v="AIL-framework"/>
    <s v="https://github.com/CIRCL/AIL-framework"/>
    <d v="2014-08-05T12:18:22"/>
    <d v="2021-04-09T02:36:44"/>
    <n v="2438.5960879629638"/>
    <b v="0"/>
    <b v="1"/>
    <n v="1098"/>
    <n v="90"/>
    <n v="234"/>
    <n v="22"/>
    <n v="6"/>
    <n v="41"/>
    <n v="189"/>
    <n v="6"/>
    <n v="363"/>
    <n v="180"/>
    <x v="11"/>
    <n v="19812"/>
    <n v="158"/>
    <n v="7.9749646678780543E-3"/>
    <n v="52"/>
    <n v="0.32911392405063289"/>
    <n v="2.6246719160104987E-3"/>
    <n v="55"/>
    <n v="0.34810126582278483"/>
    <n v="2.7760952957803352E-3"/>
    <n v="38"/>
    <n v="0.24050632911392406"/>
    <n v="1.9180294770845953E-3"/>
    <n v="13"/>
    <n v="8.2278481012658222E-2"/>
    <n v="6.5616797900262466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isagov/Malcolm"/>
    <s v="cisagov"/>
    <s v="Malcolm"/>
    <s v="https://github.com/cisagov/Malcolm"/>
    <d v="2019-05-13T18:35:51"/>
    <d v="2021-04-08T22:05:31"/>
    <n v="696.1456018518511"/>
    <b v="0"/>
    <b v="1"/>
    <n v="704"/>
    <n v="20"/>
    <n v="105"/>
    <n v="37"/>
    <n v="0"/>
    <n v="6"/>
    <n v="62"/>
    <n v="1"/>
    <n v="101"/>
    <n v="0"/>
    <x v="7"/>
    <n v="10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isagov/pshtt"/>
    <s v="cisagov"/>
    <s v="pshtt"/>
    <s v="https://github.com/cisagov/pshtt"/>
    <d v="2016-07-05T17:02:18"/>
    <d v="2021-04-09T01:42:39"/>
    <n v="1738.3613541666709"/>
    <b v="0"/>
    <b v="1"/>
    <n v="612"/>
    <n v="45"/>
    <n v="67"/>
    <n v="4"/>
    <n v="9"/>
    <n v="22"/>
    <n v="135"/>
    <n v="3"/>
    <n v="83"/>
    <n v="30"/>
    <x v="12"/>
    <n v="1246"/>
    <n v="82"/>
    <n v="6.5810593900481537E-2"/>
    <n v="40"/>
    <n v="0.48780487804878048"/>
    <n v="3.2102728731942212E-2"/>
    <n v="0"/>
    <n v="0"/>
    <n v="0"/>
    <n v="11"/>
    <n v="0.13414634146341464"/>
    <n v="8.8282504012841094E-3"/>
    <n v="3"/>
    <n v="3.6585365853658534E-2"/>
    <n v="2.407704654895666E-3"/>
    <n v="0"/>
    <n v="0"/>
    <n v="0"/>
    <n v="28"/>
    <n v="0.34146341463414637"/>
    <n v="2.247191011235955E-2"/>
    <b v="1"/>
    <b v="0"/>
    <b v="0"/>
    <b v="0"/>
    <b v="1"/>
    <b v="0"/>
    <b v="0"/>
    <b v="0"/>
    <b v="0"/>
    <b v="0"/>
    <b v="0"/>
    <b v="0"/>
    <b v="0"/>
  </r>
  <r>
    <s v="cisco/mindmeld"/>
    <s v="cisco"/>
    <s v="mindmeld"/>
    <s v="https://github.com/cisco/mindmeld"/>
    <d v="2019-03-24T13:05:00"/>
    <d v="2021-04-07T05:44:40"/>
    <n v="744.69421296296059"/>
    <b v="0"/>
    <b v="1"/>
    <n v="451"/>
    <n v="34"/>
    <n v="118"/>
    <n v="0"/>
    <n v="0"/>
    <n v="32"/>
    <n v="217"/>
    <n v="11"/>
    <n v="73"/>
    <n v="18"/>
    <x v="4"/>
    <n v="17157"/>
    <n v="292"/>
    <n v="1.7019292417089233E-2"/>
    <n v="41"/>
    <n v="0.1404109589041096"/>
    <n v="2.3896951681529406E-3"/>
    <n v="100"/>
    <n v="0.34246575342465752"/>
    <n v="5.8285248003730255E-3"/>
    <n v="67"/>
    <n v="0.22945205479452055"/>
    <n v="3.9051116162499271E-3"/>
    <n v="84"/>
    <n v="0.28767123287671231"/>
    <n v="4.895960832313341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itusdata/django-multitenant"/>
    <s v="citusdata"/>
    <s v="django-multitenant"/>
    <s v="https://github.com/citusdata/django-multitenant"/>
    <d v="2017-05-19T05:23:40"/>
    <d v="2021-04-06T21:41:02"/>
    <n v="1418.6787268518528"/>
    <b v="0"/>
    <b v="1"/>
    <n v="395"/>
    <n v="27"/>
    <n v="52"/>
    <n v="8"/>
    <n v="0"/>
    <n v="10"/>
    <n v="46"/>
    <n v="3"/>
    <n v="55"/>
    <n v="16"/>
    <x v="5"/>
    <n v="1410"/>
    <n v="2"/>
    <n v="1.4184397163120568E-3"/>
    <n v="0"/>
    <n v="0"/>
    <n v="0"/>
    <n v="0"/>
    <n v="0"/>
    <n v="0"/>
    <n v="2"/>
    <n v="1"/>
    <n v="1.4184397163120568E-3"/>
    <n v="0"/>
    <n v="0"/>
    <n v="0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ciur/papermerge"/>
    <s v="ciur"/>
    <s v="papermerge"/>
    <s v="https://github.com/ciur/papermerge"/>
    <d v="2020-01-06T17:34:15"/>
    <d v="2021-04-08T22:35:26"/>
    <n v="458.20915509259066"/>
    <b v="0"/>
    <b v="0"/>
    <n v="1209"/>
    <n v="53"/>
    <n v="131"/>
    <n v="24"/>
    <n v="7"/>
    <n v="21"/>
    <n v="56"/>
    <n v="1"/>
    <n v="286"/>
    <n v="70"/>
    <x v="4"/>
    <n v="3608"/>
    <n v="6"/>
    <n v="1.6629711751662971E-3"/>
    <n v="1"/>
    <n v="0.16666666666666666"/>
    <n v="2.7716186252771619E-4"/>
    <n v="0"/>
    <n v="0"/>
    <n v="0"/>
    <n v="2"/>
    <n v="0.33333333333333331"/>
    <n v="5.5432372505543237E-4"/>
    <n v="3"/>
    <n v="0.5"/>
    <n v="8.3148558758314856E-4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ckan/ckan"/>
    <s v="ckan"/>
    <s v="ckan"/>
    <s v="https://github.com/ckan/ckan"/>
    <d v="2011-11-10T18:42:17"/>
    <d v="2021-04-07T14:15:57"/>
    <n v="3435.8150462962949"/>
    <b v="0"/>
    <b v="1"/>
    <n v="2932"/>
    <n v="201"/>
    <n v="1385"/>
    <n v="0"/>
    <n v="412"/>
    <n v="267"/>
    <n v="3334"/>
    <n v="130"/>
    <n v="2658"/>
    <n v="398"/>
    <x v="7"/>
    <n v="58366"/>
    <n v="195"/>
    <n v="3.3409861905904122E-3"/>
    <n v="63"/>
    <n v="0.32307692307692309"/>
    <n v="1.0793955384984409E-3"/>
    <n v="67"/>
    <n v="0.34358974358974359"/>
    <n v="1.1479285885618339E-3"/>
    <n v="29"/>
    <n v="0.14871794871794872"/>
    <n v="4.9686461295959982E-4"/>
    <n v="14"/>
    <n v="7.179487179487179E-2"/>
    <n v="2.3986567522187575E-4"/>
    <n v="8"/>
    <n v="4.1025641025641026E-2"/>
    <n v="1.3706610012678615E-4"/>
    <n v="14"/>
    <n v="7.179487179487179E-2"/>
    <n v="2.3986567522187575E-4"/>
    <b v="1"/>
    <b v="1"/>
    <b v="0"/>
    <b v="0"/>
    <b v="1"/>
    <b v="0"/>
    <b v="0"/>
    <b v="0"/>
    <b v="0"/>
    <b v="0"/>
    <b v="0"/>
    <b v="0"/>
    <b v="0"/>
  </r>
  <r>
    <s v="Cl0udG0d/SZhe_Scan"/>
    <s v="Cl0udG0d"/>
    <s v="SZhe_Scan"/>
    <s v="https://github.com/Cl0udG0d/SZhe_Scan"/>
    <d v="2020-03-30T15:13:51"/>
    <d v="2021-04-07T09:31:39"/>
    <n v="372.76236111111211"/>
    <b v="0"/>
    <b v="0"/>
    <n v="457"/>
    <n v="9"/>
    <n v="99"/>
    <n v="0"/>
    <n v="0"/>
    <n v="4"/>
    <n v="6"/>
    <n v="2"/>
    <n v="20"/>
    <n v="13"/>
    <x v="1"/>
    <n v="11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laudiuGeorgiu/Obfuscapk"/>
    <s v="ClaudiuGeorgiu"/>
    <s v="Obfuscapk"/>
    <s v="https://github.com/ClaudiuGeorgiu/Obfuscapk"/>
    <d v="2019-08-15T12:13:29"/>
    <d v="2021-04-06T09:15:45"/>
    <n v="599.87657407407823"/>
    <b v="0"/>
    <b v="0"/>
    <n v="469"/>
    <n v="30"/>
    <n v="129"/>
    <n v="4"/>
    <n v="0"/>
    <n v="4"/>
    <n v="6"/>
    <n v="0"/>
    <n v="72"/>
    <n v="24"/>
    <x v="5"/>
    <n v="3061"/>
    <n v="102"/>
    <n v="3.3322443645867367E-2"/>
    <n v="23"/>
    <n v="0.22549019607843138"/>
    <n v="7.5138843515191117E-3"/>
    <n v="30"/>
    <n v="0.29411764705882354"/>
    <n v="9.800718719372754E-3"/>
    <n v="1"/>
    <n v="9.8039215686274508E-3"/>
    <n v="3.2669062397909179E-4"/>
    <n v="46"/>
    <n v="0.45098039215686275"/>
    <n v="1.5027768703038223E-2"/>
    <n v="2"/>
    <n v="1.9607843137254902E-2"/>
    <n v="6.5338124795818358E-4"/>
    <n v="0"/>
    <n v="0"/>
    <n v="0"/>
    <b v="1"/>
    <b v="0"/>
    <b v="0"/>
    <b v="0"/>
    <b v="1"/>
    <b v="0"/>
    <b v="0"/>
    <b v="0"/>
    <b v="0"/>
    <b v="0"/>
    <b v="0"/>
    <b v="0"/>
    <b v="0"/>
  </r>
  <r>
    <s v="ClaudiuGeorgiu/PlaystoreDownloader"/>
    <s v="ClaudiuGeorgiu"/>
    <s v="PlaystoreDownloader"/>
    <s v="https://github.com/ClaudiuGeorgiu/PlaystoreDownloader"/>
    <d v="2017-08-13T22:22:37"/>
    <d v="2021-04-08T06:41:29"/>
    <n v="1333.3464351851799"/>
    <b v="0"/>
    <b v="0"/>
    <n v="678"/>
    <n v="36"/>
    <n v="112"/>
    <n v="5"/>
    <n v="0"/>
    <n v="6"/>
    <n v="6"/>
    <n v="0"/>
    <n v="48"/>
    <n v="10"/>
    <x v="5"/>
    <n v="1921"/>
    <n v="29"/>
    <n v="1.5096304008328995E-2"/>
    <n v="2"/>
    <n v="6.8965517241379309E-2"/>
    <n v="1.0411244143675169E-3"/>
    <n v="1"/>
    <n v="3.4482758620689655E-2"/>
    <n v="5.2056220718375845E-4"/>
    <n v="3"/>
    <n v="0.10344827586206896"/>
    <n v="1.5616866215512754E-3"/>
    <n v="16"/>
    <n v="0.55172413793103448"/>
    <n v="8.3289953149401352E-3"/>
    <n v="7"/>
    <n v="0.2413793103448276"/>
    <n v="3.6439354502863092E-3"/>
    <n v="0"/>
    <n v="0"/>
    <n v="0"/>
    <b v="1"/>
    <b v="0"/>
    <b v="0"/>
    <b v="0"/>
    <b v="1"/>
    <b v="0"/>
    <b v="0"/>
    <b v="0"/>
    <b v="0"/>
    <b v="0"/>
    <b v="0"/>
    <b v="0"/>
    <b v="0"/>
  </r>
  <r>
    <s v="cleardusk/3DDFA"/>
    <s v="cleardusk"/>
    <s v="3DDFA"/>
    <s v="https://github.com/cleardusk/3DDFA"/>
    <d v="2018-06-29T14:19:21"/>
    <d v="2021-04-08T12:59:02"/>
    <n v="1013.9442245370374"/>
    <b v="0"/>
    <b v="0"/>
    <n v="2965"/>
    <n v="122"/>
    <n v="565"/>
    <n v="1"/>
    <n v="0"/>
    <n v="7"/>
    <n v="11"/>
    <n v="1"/>
    <n v="189"/>
    <n v="41"/>
    <x v="5"/>
    <n v="2129"/>
    <n v="10"/>
    <n v="4.6970408642555191E-3"/>
    <n v="0"/>
    <n v="0"/>
    <n v="0"/>
    <n v="10"/>
    <n v="1"/>
    <n v="4.6970408642555191E-3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loseio/tasktiger"/>
    <s v="closeio"/>
    <s v="tasktiger"/>
    <s v="https://github.com/closeio/tasktiger"/>
    <d v="2015-05-14T00:26:32"/>
    <d v="2021-04-05T00:50:46"/>
    <n v="2153.0168287037013"/>
    <b v="0"/>
    <b v="1"/>
    <n v="1061"/>
    <n v="42"/>
    <n v="56"/>
    <n v="4"/>
    <n v="20"/>
    <n v="20"/>
    <n v="134"/>
    <n v="12"/>
    <n v="56"/>
    <n v="25"/>
    <x v="5"/>
    <n v="3560"/>
    <n v="36"/>
    <n v="1.0112359550561797E-2"/>
    <n v="10"/>
    <n v="0.27777777777777779"/>
    <n v="2.8089887640449437E-3"/>
    <n v="10"/>
    <n v="0.27777777777777779"/>
    <n v="2.8089887640449437E-3"/>
    <n v="4"/>
    <n v="0.1111111111111111"/>
    <n v="1.1235955056179776E-3"/>
    <n v="10"/>
    <n v="0.27777777777777779"/>
    <n v="2.8089887640449437E-3"/>
    <n v="0"/>
    <n v="0"/>
    <n v="0"/>
    <n v="2"/>
    <n v="5.5555555555555552E-2"/>
    <n v="5.6179775280898881E-4"/>
    <b v="1"/>
    <b v="1"/>
    <b v="0"/>
    <b v="0"/>
    <b v="1"/>
    <b v="0"/>
    <b v="0"/>
    <b v="0"/>
    <b v="0"/>
    <b v="0"/>
    <b v="0"/>
    <b v="1"/>
    <b v="0"/>
  </r>
  <r>
    <s v="cloud-custodian/cloud-custodian"/>
    <s v="cloud-custodian"/>
    <s v="cloud-custodian"/>
    <s v="https://github.com/cloud-custodian/cloud-custodian"/>
    <d v="2016-03-01T01:11:20"/>
    <d v="2021-04-08T17:27:48"/>
    <n v="1864.6781018518523"/>
    <b v="0"/>
    <b v="1"/>
    <n v="3522"/>
    <n v="160"/>
    <n v="960"/>
    <n v="44"/>
    <n v="19"/>
    <n v="297"/>
    <n v="3559"/>
    <n v="135"/>
    <n v="3055"/>
    <n v="880"/>
    <x v="4"/>
    <n v="77895"/>
    <n v="926"/>
    <n v="1.1887797676359202E-2"/>
    <n v="233"/>
    <n v="0.25161987041036715"/>
    <n v="2.9912061107901663E-3"/>
    <n v="288"/>
    <n v="0.31101511879049676"/>
    <n v="3.6972848064702486E-3"/>
    <n v="203"/>
    <n v="0.21922246220302377"/>
    <n v="2.6060722767828489E-3"/>
    <n v="144"/>
    <n v="0.15550755939524838"/>
    <n v="1.8486424032351243E-3"/>
    <n v="0"/>
    <n v="0"/>
    <n v="0"/>
    <n v="58"/>
    <n v="6.2634989200863925E-2"/>
    <n v="7.4459207908081392E-4"/>
    <b v="1"/>
    <b v="0"/>
    <b v="0"/>
    <b v="0"/>
    <b v="1"/>
    <b v="0"/>
    <b v="0"/>
    <b v="0"/>
    <b v="0"/>
    <b v="0"/>
    <b v="0"/>
    <b v="0"/>
    <b v="0"/>
  </r>
  <r>
    <s v="Cloud-CV/EvalAI"/>
    <s v="Cloud-CV"/>
    <s v="EvalAI"/>
    <s v="https://github.com/Cloud-CV/EvalAI"/>
    <d v="2016-10-21T00:51:45"/>
    <d v="2021-04-08T09:46:15"/>
    <n v="1630.3711805555577"/>
    <b v="0"/>
    <b v="1"/>
    <n v="1102"/>
    <n v="50"/>
    <n v="538"/>
    <n v="2"/>
    <n v="29"/>
    <n v="131"/>
    <n v="2312"/>
    <n v="76"/>
    <n v="1068"/>
    <n v="114"/>
    <x v="7"/>
    <n v="14984"/>
    <n v="127"/>
    <n v="8.475707421249333E-3"/>
    <n v="0"/>
    <n v="0"/>
    <n v="0"/>
    <n v="49"/>
    <n v="0.38582677165354329"/>
    <n v="3.2701548318206089E-3"/>
    <n v="3"/>
    <n v="2.3622047244094488E-2"/>
    <n v="2.0021356113187399E-4"/>
    <n v="14"/>
    <n v="0.11023622047244094"/>
    <n v="9.3432995194874533E-4"/>
    <n v="2"/>
    <n v="1.5748031496062992E-2"/>
    <n v="1.3347570742124932E-4"/>
    <n v="59"/>
    <n v="0.46456692913385828"/>
    <n v="3.9375333689268552E-3"/>
    <b v="1"/>
    <b v="1"/>
    <b v="0"/>
    <b v="0"/>
    <b v="1"/>
    <b v="0"/>
    <b v="0"/>
    <b v="0"/>
    <b v="0"/>
    <b v="0"/>
    <b v="0"/>
    <b v="0"/>
    <b v="0"/>
  </r>
  <r>
    <s v="cloudtools/stacker"/>
    <s v="cloudtools"/>
    <s v="stacker"/>
    <s v="https://github.com/cloudtools/stacker"/>
    <d v="2015-01-06T21:46:05"/>
    <d v="2021-04-02T14:16:59"/>
    <n v="2277.6881250000006"/>
    <b v="0"/>
    <b v="1"/>
    <n v="658"/>
    <n v="76"/>
    <n v="157"/>
    <n v="38"/>
    <n v="6"/>
    <n v="53"/>
    <n v="516"/>
    <n v="12"/>
    <n v="252"/>
    <n v="64"/>
    <x v="8"/>
    <n v="9049"/>
    <n v="156"/>
    <n v="1.7239473975024865E-2"/>
    <n v="91"/>
    <n v="0.58333333333333337"/>
    <n v="1.0056359818764505E-2"/>
    <n v="35"/>
    <n v="0.22435897435897437"/>
    <n v="3.8678306995248092E-3"/>
    <n v="15"/>
    <n v="9.6153846153846159E-2"/>
    <n v="1.6576417283677754E-3"/>
    <n v="9"/>
    <n v="5.7692307692307696E-2"/>
    <n v="9.9458503702066527E-4"/>
    <n v="0"/>
    <n v="0"/>
    <n v="0"/>
    <n v="6"/>
    <n v="3.8461538461538464E-2"/>
    <n v="6.6305669134711018E-4"/>
    <b v="1"/>
    <b v="0"/>
    <b v="0"/>
    <b v="0"/>
    <b v="1"/>
    <b v="0"/>
    <b v="0"/>
    <b v="0"/>
    <b v="0"/>
    <b v="0"/>
    <b v="0"/>
    <b v="0"/>
    <b v="0"/>
  </r>
  <r>
    <s v="ClusterHQ/flocker"/>
    <s v="ClusterHQ"/>
    <s v="flocker"/>
    <s v="https://github.com/ClusterHQ/flocker"/>
    <d v="2014-04-28T18:02:14"/>
    <d v="2021-04-07T05:17:21"/>
    <n v="2535.4688310185229"/>
    <b v="0"/>
    <b v="1"/>
    <n v="3305"/>
    <n v="175"/>
    <n v="277"/>
    <n v="0"/>
    <n v="174"/>
    <n v="37"/>
    <n v="2189"/>
    <n v="20"/>
    <n v="828"/>
    <n v="62"/>
    <x v="4"/>
    <n v="44346"/>
    <n v="1"/>
    <n v="2.2549948135119289E-5"/>
    <n v="0"/>
    <n v="0"/>
    <n v="0"/>
    <n v="1"/>
    <n v="1"/>
    <n v="2.2549948135119289E-5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1"/>
    <b v="0"/>
    <b v="0"/>
    <b v="0"/>
    <b v="0"/>
    <b v="0"/>
    <b v="0"/>
  </r>
  <r>
    <s v="cobbler/cobbler"/>
    <s v="cobbler"/>
    <s v="cobbler"/>
    <s v="https://github.com/cobbler/cobbler"/>
    <d v="2011-11-08T15:01:00"/>
    <d v="2021-04-07T13:13:06"/>
    <n v="3437.9250694444418"/>
    <b v="0"/>
    <b v="1"/>
    <n v="2074"/>
    <n v="137"/>
    <n v="566"/>
    <n v="34"/>
    <n v="74"/>
    <n v="208"/>
    <n v="1526"/>
    <n v="7"/>
    <n v="1060"/>
    <n v="173"/>
    <x v="3"/>
    <n v="17056"/>
    <n v="283"/>
    <n v="1.6592401500938086E-2"/>
    <n v="50"/>
    <n v="0.17667844522968199"/>
    <n v="2.9315196998123826E-3"/>
    <n v="147"/>
    <n v="0.51943462897526504"/>
    <n v="8.6186679174484054E-3"/>
    <n v="46"/>
    <n v="0.16254416961130741"/>
    <n v="2.6969981238273923E-3"/>
    <n v="35"/>
    <n v="0.12367491166077739"/>
    <n v="2.0520637898686681E-3"/>
    <n v="1"/>
    <n v="3.5335689045936395E-3"/>
    <n v="5.8630393996247655E-5"/>
    <n v="4"/>
    <n v="1.4134275618374558E-2"/>
    <n v="2.3452157598499062E-4"/>
    <b v="0"/>
    <b v="1"/>
    <b v="0"/>
    <b v="0"/>
    <b v="1"/>
    <b v="0"/>
    <b v="0"/>
    <b v="0"/>
    <b v="0"/>
    <b v="0"/>
    <b v="0"/>
    <b v="0"/>
    <b v="0"/>
  </r>
  <r>
    <s v="coddingtonbear/inthe.am"/>
    <s v="coddingtonbear"/>
    <s v="inthe.am"/>
    <s v="https://github.com/coddingtonbear/inthe.am"/>
    <d v="2013-12-30T06:20:44"/>
    <d v="2021-04-07T12:17:32"/>
    <n v="2655.2477777777822"/>
    <b v="0"/>
    <b v="0"/>
    <n v="443"/>
    <n v="23"/>
    <n v="44"/>
    <n v="0"/>
    <n v="5"/>
    <n v="13"/>
    <n v="20"/>
    <n v="2"/>
    <n v="334"/>
    <n v="19"/>
    <x v="11"/>
    <n v="4712"/>
    <n v="70"/>
    <n v="1.4855687606112054E-2"/>
    <n v="11"/>
    <n v="0.15714285714285714"/>
    <n v="2.3344651952461799E-3"/>
    <n v="14"/>
    <n v="0.2"/>
    <n v="2.9711375212224107E-3"/>
    <n v="21"/>
    <n v="0.3"/>
    <n v="4.4567062818336167E-3"/>
    <n v="4"/>
    <n v="5.7142857142857141E-2"/>
    <n v="8.4889643463497452E-4"/>
    <n v="0"/>
    <n v="0"/>
    <n v="0"/>
    <n v="20"/>
    <n v="0.2857142857142857"/>
    <n v="4.2444821731748728E-3"/>
    <b v="1"/>
    <b v="1"/>
    <b v="0"/>
    <b v="0"/>
    <b v="1"/>
    <b v="0"/>
    <b v="0"/>
    <b v="0"/>
    <b v="0"/>
    <b v="0"/>
    <b v="0"/>
    <b v="0"/>
    <b v="0"/>
  </r>
  <r>
    <s v="CoinAlpha/hummingbot"/>
    <s v="CoinAlpha"/>
    <s v="hummingbot"/>
    <s v="https://github.com/CoinAlpha/hummingbot"/>
    <d v="2019-04-02T21:41:52"/>
    <d v="2021-04-09T02:20:30"/>
    <n v="737.1934953703676"/>
    <b v="0"/>
    <b v="1"/>
    <n v="1559"/>
    <n v="84"/>
    <n v="624"/>
    <n v="50"/>
    <n v="6"/>
    <n v="80"/>
    <n v="1966"/>
    <n v="36"/>
    <n v="1226"/>
    <n v="322"/>
    <x v="4"/>
    <n v="50042"/>
    <n v="21"/>
    <n v="4.1964749610327325E-4"/>
    <n v="3"/>
    <n v="0.14285714285714285"/>
    <n v="5.9949642300467605E-5"/>
    <n v="15"/>
    <n v="0.7142857142857143"/>
    <n v="2.9974821150233801E-4"/>
    <n v="1"/>
    <n v="4.7619047619047616E-2"/>
    <n v="1.998321410015587E-5"/>
    <n v="2"/>
    <n v="9.5238095238095233E-2"/>
    <n v="3.9966428200311739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omplianceAsCode/content"/>
    <s v="ComplianceAsCode"/>
    <s v="content"/>
    <s v="https://github.com/ComplianceAsCode/content"/>
    <d v="2014-04-29T14:32:02"/>
    <d v="2021-04-08T18:29:07"/>
    <n v="2536.1646412037007"/>
    <b v="0"/>
    <b v="1"/>
    <n v="1242"/>
    <n v="135"/>
    <n v="452"/>
    <n v="33"/>
    <n v="44"/>
    <n v="165"/>
    <n v="4651"/>
    <n v="22"/>
    <n v="2064"/>
    <n v="327"/>
    <x v="7"/>
    <n v="14777"/>
    <n v="94"/>
    <n v="6.361237057589497E-3"/>
    <n v="36"/>
    <n v="0.38297872340425532"/>
    <n v="2.4362184475874671E-3"/>
    <n v="19"/>
    <n v="0.20212765957446807"/>
    <n v="1.2857819584489408E-3"/>
    <n v="10"/>
    <n v="0.10638297872340426"/>
    <n v="6.7672734655207416E-4"/>
    <n v="29"/>
    <n v="0.30851063829787234"/>
    <n v="1.962509305001015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onchylicultor/DeepQA"/>
    <s v="Conchylicultor"/>
    <s v="DeepQA"/>
    <s v="https://github.com/Conchylicultor/DeepQA"/>
    <d v="2016-07-07T17:17:20"/>
    <d v="2021-04-08T10:43:06"/>
    <n v="1735.7262268518534"/>
    <b v="0"/>
    <b v="0"/>
    <n v="2776"/>
    <n v="213"/>
    <n v="1088"/>
    <n v="0"/>
    <n v="14"/>
    <n v="13"/>
    <n v="37"/>
    <n v="4"/>
    <n v="180"/>
    <n v="90"/>
    <x v="4"/>
    <n v="1291"/>
    <n v="8"/>
    <n v="6.1967467079783118E-3"/>
    <n v="0"/>
    <n v="0"/>
    <n v="0"/>
    <n v="5"/>
    <n v="0.625"/>
    <n v="3.8729666924864447E-3"/>
    <n v="0"/>
    <n v="0"/>
    <n v="0"/>
    <n v="3"/>
    <n v="0.375"/>
    <n v="2.323780015491866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onfluentinc/confluent-kafka-python"/>
    <s v="confluentinc"/>
    <s v="confluent-kafka-python"/>
    <s v="https://github.com/confluentinc/confluent-kafka-python"/>
    <d v="2016-04-14T07:40:41"/>
    <d v="2021-04-08T23:30:16"/>
    <n v="1820.659432870365"/>
    <b v="0"/>
    <b v="1"/>
    <n v="2211"/>
    <n v="248"/>
    <n v="582"/>
    <n v="17"/>
    <n v="42"/>
    <n v="78"/>
    <n v="336"/>
    <n v="8"/>
    <n v="745"/>
    <n v="131"/>
    <x v="4"/>
    <n v="8196"/>
    <n v="37"/>
    <n v="4.5143972669594926E-3"/>
    <n v="1"/>
    <n v="2.7027027027027029E-2"/>
    <n v="1.2201073694485115E-4"/>
    <n v="15"/>
    <n v="0.40540540540540543"/>
    <n v="1.8301610541727673E-3"/>
    <n v="6"/>
    <n v="0.16216216216216217"/>
    <n v="7.320644216691069E-4"/>
    <n v="15"/>
    <n v="0.40540540540540543"/>
    <n v="1.8301610541727673E-3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ConsenSys/mythril"/>
    <s v="ConsenSys"/>
    <s v="mythril"/>
    <s v="https://github.com/ConsenSys/mythril"/>
    <d v="2017-09-18T04:14:20"/>
    <d v="2021-04-08T14:19:01"/>
    <n v="1298.4199189814753"/>
    <b v="0"/>
    <b v="1"/>
    <n v="1587"/>
    <n v="59"/>
    <n v="339"/>
    <n v="76"/>
    <n v="4"/>
    <n v="58"/>
    <n v="787"/>
    <n v="1"/>
    <n v="682"/>
    <n v="79"/>
    <x v="5"/>
    <n v="10168"/>
    <n v="129"/>
    <n v="1.2686860739575138E-2"/>
    <n v="82"/>
    <n v="0.63565891472868219"/>
    <n v="8.0645161290322578E-3"/>
    <n v="38"/>
    <n v="0.29457364341085274"/>
    <n v="3.737214791502754E-3"/>
    <n v="3"/>
    <n v="2.3255813953488372E-2"/>
    <n v="2.9504327301337529E-4"/>
    <n v="3"/>
    <n v="2.3255813953488372E-2"/>
    <n v="2.9504327301337529E-4"/>
    <n v="3"/>
    <n v="2.3255813953488372E-2"/>
    <n v="2.9504327301337529E-4"/>
    <n v="0"/>
    <n v="0"/>
    <n v="0"/>
    <b v="1"/>
    <b v="0"/>
    <b v="0"/>
    <b v="0"/>
    <b v="1"/>
    <b v="0"/>
    <b v="0"/>
    <b v="0"/>
    <b v="0"/>
    <b v="0"/>
    <b v="0"/>
    <b v="0"/>
    <b v="0"/>
  </r>
  <r>
    <s v="controlscanmdr/cyphon"/>
    <s v="controlscanmdr"/>
    <s v="cyphon"/>
    <s v="https://github.com/controlscanmdr/cyphon"/>
    <d v="2017-03-20T18:19:37"/>
    <d v="2021-04-06T17:39:52"/>
    <n v="1477.9723958333343"/>
    <b v="0"/>
    <b v="1"/>
    <n v="546"/>
    <n v="52"/>
    <n v="104"/>
    <n v="25"/>
    <n v="0"/>
    <n v="8"/>
    <n v="634"/>
    <n v="19"/>
    <n v="87"/>
    <n v="2"/>
    <x v="7"/>
    <n v="26002"/>
    <n v="82"/>
    <n v="3.1536035689562342E-3"/>
    <n v="0"/>
    <n v="0"/>
    <n v="0"/>
    <n v="3"/>
    <n v="3.6585365853658534E-2"/>
    <n v="1.153757403276671E-4"/>
    <n v="19"/>
    <n v="0.23170731707317074"/>
    <n v="7.3071302207522503E-4"/>
    <n v="56"/>
    <n v="0.68292682926829273"/>
    <n v="2.1536804861164525E-3"/>
    <n v="0"/>
    <n v="0"/>
    <n v="0"/>
    <n v="4"/>
    <n v="4.878048780487805E-2"/>
    <n v="1.5383432043688947E-4"/>
    <b v="1"/>
    <b v="0"/>
    <b v="0"/>
    <b v="0"/>
    <b v="1"/>
    <b v="0"/>
    <b v="0"/>
    <b v="0"/>
    <b v="0"/>
    <b v="0"/>
    <b v="0"/>
    <b v="0"/>
    <b v="0"/>
  </r>
  <r>
    <s v="ConvLab/ConvLab"/>
    <s v="ConvLab"/>
    <s v="ConvLab"/>
    <s v="https://github.com/ConvLab/ConvLab"/>
    <d v="2019-03-29T20:21:13"/>
    <d v="2021-04-01T13:29:18"/>
    <n v="733.71394675926422"/>
    <b v="0"/>
    <b v="0"/>
    <n v="344"/>
    <n v="25"/>
    <n v="107"/>
    <n v="1"/>
    <n v="2"/>
    <n v="16"/>
    <n v="77"/>
    <n v="6"/>
    <n v="51"/>
    <n v="4"/>
    <x v="5"/>
    <n v="35498"/>
    <n v="308"/>
    <n v="8.6765451574736599E-3"/>
    <n v="42"/>
    <n v="0.13636363636363635"/>
    <n v="1.1831652487464081E-3"/>
    <n v="255"/>
    <n v="0.82792207792207795"/>
    <n v="7.183503295960336E-3"/>
    <n v="8"/>
    <n v="2.5974025974025976E-2"/>
    <n v="2.2536480928503014E-4"/>
    <n v="1"/>
    <n v="3.246753246753247E-3"/>
    <n v="2.8170601160628767E-5"/>
    <n v="0"/>
    <n v="0"/>
    <n v="0"/>
    <n v="2"/>
    <n v="6.4935064935064939E-3"/>
    <n v="5.6341202321257534E-5"/>
    <b v="1"/>
    <b v="0"/>
    <b v="0"/>
    <b v="0"/>
    <b v="1"/>
    <b v="0"/>
    <b v="0"/>
    <b v="0"/>
    <b v="0"/>
    <b v="0"/>
    <b v="0"/>
    <b v="0"/>
    <b v="0"/>
  </r>
  <r>
    <s v="cookiecutter-flask/cookiecutter-flask"/>
    <s v="cookiecutter-flask"/>
    <s v="cookiecutter-flask"/>
    <s v="https://github.com/cookiecutter-flask/cookiecutter-flask"/>
    <d v="2013-08-16T07:27:55"/>
    <d v="2021-04-08T21:06:36"/>
    <n v="2792.5685300925979"/>
    <b v="0"/>
    <b v="1"/>
    <n v="3704"/>
    <n v="99"/>
    <n v="643"/>
    <n v="0"/>
    <n v="6"/>
    <n v="59"/>
    <n v="898"/>
    <n v="3"/>
    <n v="159"/>
    <n v="5"/>
    <x v="5"/>
    <n v="771"/>
    <n v="5"/>
    <n v="6.4850843060959796E-3"/>
    <n v="0"/>
    <n v="0"/>
    <n v="0"/>
    <n v="1"/>
    <n v="0.2"/>
    <n v="1.2970168612191958E-3"/>
    <n v="4"/>
    <n v="0.8"/>
    <n v="5.1880674448767832E-3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orralPeltzer/newTrackon"/>
    <s v="CorralPeltzer"/>
    <s v="newTrackon"/>
    <s v="https://github.com/CorralPeltzer/newTrackon"/>
    <d v="2016-11-01T12:34:13"/>
    <d v="2021-04-06T12:25:38"/>
    <n v="1616.9940393518482"/>
    <b v="0"/>
    <b v="0"/>
    <n v="326"/>
    <n v="21"/>
    <n v="37"/>
    <n v="0"/>
    <n v="1"/>
    <n v="16"/>
    <n v="84"/>
    <n v="1"/>
    <n v="47"/>
    <n v="6"/>
    <x v="5"/>
    <n v="930"/>
    <n v="27"/>
    <n v="2.903225806451613E-2"/>
    <n v="0"/>
    <n v="0"/>
    <n v="0"/>
    <n v="27"/>
    <n v="1"/>
    <n v="2.903225806451613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osmicpython/code"/>
    <s v="cosmicpython"/>
    <s v="code"/>
    <s v="https://github.com/cosmicpython/code"/>
    <d v="2019-02-05T10:12:34"/>
    <d v="2021-04-08T21:34:24"/>
    <n v="793.47349537036644"/>
    <b v="0"/>
    <b v="1"/>
    <n v="476"/>
    <n v="31"/>
    <n v="223"/>
    <n v="0"/>
    <n v="0"/>
    <n v="3"/>
    <n v="12"/>
    <n v="2"/>
    <n v="18"/>
    <n v="7"/>
    <x v="7"/>
    <n v="924"/>
    <n v="8"/>
    <n v="8.658008658008658E-3"/>
    <n v="2"/>
    <n v="0.25"/>
    <n v="2.1645021645021645E-3"/>
    <n v="4"/>
    <n v="0.5"/>
    <n v="4.329004329004329E-3"/>
    <n v="0"/>
    <n v="0"/>
    <n v="0"/>
    <n v="0"/>
    <n v="0"/>
    <n v="0"/>
    <n v="0"/>
    <n v="0"/>
    <n v="0"/>
    <n v="2"/>
    <n v="0.25"/>
    <n v="2.1645021645021645E-3"/>
    <b v="1"/>
    <b v="1"/>
    <b v="0"/>
    <b v="0"/>
    <b v="1"/>
    <b v="0"/>
    <b v="0"/>
    <b v="0"/>
    <b v="0"/>
    <b v="0"/>
    <b v="0"/>
    <b v="0"/>
    <b v="0"/>
  </r>
  <r>
    <s v="coursera-dl/coursera-dl"/>
    <s v="coursera-dl"/>
    <s v="coursera-dl"/>
    <s v="https://github.com/coursera-dl/coursera-dl"/>
    <d v="2012-03-21T21:07:15"/>
    <d v="2021-04-08T17:12:26"/>
    <n v="3304.8369328703702"/>
    <b v="0"/>
    <b v="1"/>
    <n v="8352"/>
    <n v="342"/>
    <n v="1710"/>
    <n v="0"/>
    <n v="55"/>
    <n v="77"/>
    <n v="205"/>
    <n v="21"/>
    <n v="587"/>
    <n v="139"/>
    <x v="9"/>
    <n v="2988"/>
    <n v="131"/>
    <n v="4.3842034805890225E-2"/>
    <n v="31"/>
    <n v="0.23664122137404581"/>
    <n v="1.0374832663989291E-2"/>
    <n v="53"/>
    <n v="0.40458015267175573"/>
    <n v="1.7737617135207495E-2"/>
    <n v="10"/>
    <n v="7.6335877862595422E-2"/>
    <n v="3.3467202141900937E-3"/>
    <n v="26"/>
    <n v="0.19847328244274809"/>
    <n v="8.7014725568942443E-3"/>
    <n v="0"/>
    <n v="0"/>
    <n v="0"/>
    <n v="11"/>
    <n v="8.3969465648854963E-2"/>
    <n v="3.6813922356091029E-3"/>
    <b v="1"/>
    <b v="0"/>
    <b v="0"/>
    <b v="0"/>
    <b v="1"/>
    <b v="0"/>
    <b v="0"/>
    <b v="0"/>
    <b v="0"/>
    <b v="0"/>
    <b v="0"/>
    <b v="0"/>
    <b v="0"/>
  </r>
  <r>
    <s v="cr0hn/aiotasks"/>
    <s v="cr0hn"/>
    <s v="aiotasks"/>
    <s v="https://github.com/cr0hn/aiotasks"/>
    <d v="2017-01-17T14:51:57"/>
    <d v="2021-03-31T02:48:46"/>
    <n v="1533.4977893518517"/>
    <b v="0"/>
    <b v="0"/>
    <n v="375"/>
    <n v="23"/>
    <n v="29"/>
    <n v="1"/>
    <n v="0"/>
    <n v="8"/>
    <n v="6"/>
    <n v="0"/>
    <n v="8"/>
    <n v="5"/>
    <x v="7"/>
    <n v="2095"/>
    <n v="16"/>
    <n v="7.6372315035799524E-3"/>
    <n v="3"/>
    <n v="0.1875"/>
    <n v="1.431980906921241E-3"/>
    <n v="0"/>
    <n v="0"/>
    <n v="0"/>
    <n v="3"/>
    <n v="0.1875"/>
    <n v="1.431980906921241E-3"/>
    <n v="8"/>
    <n v="0.5"/>
    <n v="3.8186157517899762E-3"/>
    <n v="1"/>
    <n v="6.25E-2"/>
    <n v="4.7732696897374703E-4"/>
    <n v="1"/>
    <n v="6.25E-2"/>
    <n v="4.7732696897374703E-4"/>
    <b v="1"/>
    <b v="0"/>
    <b v="0"/>
    <b v="0"/>
    <b v="1"/>
    <b v="0"/>
    <b v="0"/>
    <b v="0"/>
    <b v="0"/>
    <b v="0"/>
    <b v="0"/>
    <b v="0"/>
    <b v="0"/>
  </r>
  <r>
    <s v="crccheck/django-object-actions"/>
    <s v="crccheck"/>
    <s v="django-object-actions"/>
    <s v="https://github.com/crccheck/django-object-actions"/>
    <d v="2012-10-20T18:55:21"/>
    <d v="2021-04-07T06:05:45"/>
    <n v="3090.4655555555582"/>
    <b v="0"/>
    <b v="0"/>
    <n v="375"/>
    <n v="19"/>
    <n v="58"/>
    <n v="17"/>
    <n v="1"/>
    <n v="21"/>
    <n v="69"/>
    <n v="2"/>
    <n v="48"/>
    <n v="21"/>
    <x v="4"/>
    <n v="580"/>
    <n v="1"/>
    <n v="1.7241379310344827E-3"/>
    <n v="0"/>
    <n v="0"/>
    <n v="0"/>
    <n v="1"/>
    <n v="1"/>
    <n v="1.7241379310344827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ryptoSignal/Crypto-Signal"/>
    <s v="CryptoSignal"/>
    <s v="Crypto-Signal"/>
    <s v="https://github.com/CryptoSignal/Crypto-Signal"/>
    <d v="2017-09-16T23:49:24"/>
    <d v="2021-04-09T01:08:50"/>
    <n v="1300.0551620370388"/>
    <b v="0"/>
    <b v="1"/>
    <n v="2840"/>
    <n v="282"/>
    <n v="740"/>
    <n v="0"/>
    <n v="5"/>
    <n v="20"/>
    <n v="192"/>
    <n v="5"/>
    <n v="228"/>
    <n v="36"/>
    <x v="5"/>
    <n v="1059"/>
    <n v="31"/>
    <n v="2.9272898961284231E-2"/>
    <n v="5"/>
    <n v="0.16129032258064516"/>
    <n v="4.721435316336166E-3"/>
    <n v="12"/>
    <n v="0.38709677419354838"/>
    <n v="1.1331444759206799E-2"/>
    <n v="6"/>
    <n v="0.19354838709677419"/>
    <n v="5.6657223796033997E-3"/>
    <n v="8"/>
    <n v="0.25806451612903225"/>
    <n v="7.5542965061378663E-3"/>
    <n v="0"/>
    <n v="0"/>
    <n v="0"/>
    <n v="0"/>
    <n v="0"/>
    <n v="0"/>
    <b v="1"/>
    <b v="1"/>
    <b v="0"/>
    <b v="0"/>
    <b v="1"/>
    <b v="0"/>
    <b v="0"/>
    <b v="0"/>
    <b v="0"/>
    <b v="0"/>
    <b v="0"/>
    <b v="1"/>
    <b v="0"/>
  </r>
  <r>
    <s v="crytic/slither"/>
    <s v="crytic"/>
    <s v="slither"/>
    <s v="https://github.com/crytic/slither"/>
    <d v="2018-09-05T21:56:35"/>
    <d v="2021-04-08T21:15:06"/>
    <n v="945.97119212962571"/>
    <b v="0"/>
    <b v="1"/>
    <n v="788"/>
    <n v="35"/>
    <n v="178"/>
    <n v="25"/>
    <n v="1"/>
    <n v="51"/>
    <n v="410"/>
    <n v="15"/>
    <n v="411"/>
    <n v="154"/>
    <x v="11"/>
    <n v="23662"/>
    <n v="158"/>
    <n v="6.6773730031273772E-3"/>
    <n v="0"/>
    <n v="0"/>
    <n v="0"/>
    <n v="105"/>
    <n v="0.66455696202531644"/>
    <n v="4.4374947172681938E-3"/>
    <n v="1"/>
    <n v="6.3291139240506328E-3"/>
    <n v="4.2261854450173275E-5"/>
    <n v="52"/>
    <n v="0.32911392405063289"/>
    <n v="2.197616431409010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sxmli2016/DFDNet"/>
    <s v="csxmli2016"/>
    <s v="DFDNet"/>
    <s v="https://github.com/csxmli2016/DFDNet"/>
    <d v="2020-07-06T02:15:25"/>
    <d v="2021-04-09T03:42:43"/>
    <n v="277.06062499999825"/>
    <b v="0"/>
    <b v="0"/>
    <n v="543"/>
    <n v="32"/>
    <n v="130"/>
    <n v="0"/>
    <n v="0"/>
    <n v="2"/>
    <n v="2"/>
    <n v="0"/>
    <n v="69"/>
    <n v="19"/>
    <x v="1"/>
    <n v="3327"/>
    <n v="8"/>
    <n v="2.4045686804929365E-3"/>
    <n v="0"/>
    <n v="0"/>
    <n v="0"/>
    <n v="5"/>
    <n v="0.625"/>
    <n v="1.5028554253080854E-3"/>
    <n v="1"/>
    <n v="0.125"/>
    <n v="3.0057108506161706E-4"/>
    <n v="2"/>
    <n v="0.25"/>
    <n v="6.0114217012323412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tf-wiki/ctf-wiki"/>
    <s v="ctf-wiki"/>
    <s v="ctf-wiki"/>
    <s v="https://github.com/ctf-wiki/ctf-wiki"/>
    <d v="2017-06-04T15:29:18"/>
    <d v="2021-04-09T01:47:03"/>
    <n v="1404.4289930555606"/>
    <b v="0"/>
    <b v="1"/>
    <n v="4411"/>
    <n v="156"/>
    <n v="936"/>
    <n v="0"/>
    <n v="6"/>
    <n v="114"/>
    <n v="610"/>
    <n v="8"/>
    <n v="155"/>
    <n v="49"/>
    <x v="7"/>
    <n v="399"/>
    <n v="6"/>
    <n v="1.5037593984962405E-2"/>
    <n v="0"/>
    <n v="0"/>
    <n v="0"/>
    <n v="3"/>
    <n v="0.5"/>
    <n v="7.5187969924812026E-3"/>
    <n v="0"/>
    <n v="0"/>
    <n v="0"/>
    <n v="3"/>
    <n v="0.5"/>
    <n v="7.518796992481202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TFd/CTFd"/>
    <s v="CTFd"/>
    <s v="CTFd"/>
    <s v="https://github.com/CTFd/CTFd"/>
    <d v="2015-01-01T05:36:55"/>
    <d v="2021-04-09T02:51:53"/>
    <n v="2289.885393518518"/>
    <b v="0"/>
    <b v="1"/>
    <n v="3302"/>
    <n v="111"/>
    <n v="1134"/>
    <n v="46"/>
    <n v="16"/>
    <n v="83"/>
    <n v="954"/>
    <n v="19"/>
    <n v="904"/>
    <n v="169"/>
    <x v="4"/>
    <n v="18310"/>
    <n v="2"/>
    <n v="1.0922992900054615E-4"/>
    <n v="0"/>
    <n v="0"/>
    <n v="0"/>
    <n v="2"/>
    <n v="1"/>
    <n v="1.0922992900054615E-4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cvg/Hierarchical-Localization"/>
    <s v="cvg"/>
    <s v="Hierarchical-Localization"/>
    <s v="https://github.com/cvg/Hierarchical-Localization"/>
    <d v="2020-07-16T07:25:35"/>
    <d v="2021-04-07T20:23:16"/>
    <n v="265.54005787037022"/>
    <b v="0"/>
    <b v="1"/>
    <n v="1033"/>
    <n v="66"/>
    <n v="137"/>
    <n v="0"/>
    <n v="0"/>
    <n v="8"/>
    <n v="19"/>
    <n v="7"/>
    <n v="43"/>
    <n v="9"/>
    <x v="4"/>
    <n v="1738"/>
    <n v="53"/>
    <n v="3.0494821634062141E-2"/>
    <n v="0"/>
    <n v="0"/>
    <n v="0"/>
    <n v="45"/>
    <n v="0.84905660377358494"/>
    <n v="2.5891829689298044E-2"/>
    <n v="7"/>
    <n v="0.13207547169811321"/>
    <n v="4.0276179516685849E-3"/>
    <n v="1"/>
    <n v="1.8867924528301886E-2"/>
    <n v="5.753739930955120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cyrildiagne/basnet-http"/>
    <s v="cyrildiagne"/>
    <s v="basnet-http"/>
    <s v="https://github.com/cyrildiagne/basnet-http"/>
    <d v="2020-05-01T11:02:00"/>
    <d v="2021-04-08T16:35:28"/>
    <n v="342.23157407407416"/>
    <b v="0"/>
    <b v="0"/>
    <n v="423"/>
    <n v="16"/>
    <n v="60"/>
    <n v="0"/>
    <n v="0"/>
    <n v="2"/>
    <n v="2"/>
    <n v="1"/>
    <n v="13"/>
    <n v="0"/>
    <x v="5"/>
    <n v="106"/>
    <n v="1"/>
    <n v="9.433962264150943E-3"/>
    <n v="0"/>
    <n v="0"/>
    <n v="0"/>
    <n v="1"/>
    <n v="1"/>
    <n v="9.433962264150943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0g3-Lab/H1ve"/>
    <s v="D0g3-Lab"/>
    <s v="H1ve"/>
    <s v="https://github.com/D0g3-Lab/H1ve"/>
    <d v="2019-11-22T03:46:11"/>
    <d v="2021-04-06T12:59:15"/>
    <n v="501.38407407407067"/>
    <b v="0"/>
    <b v="1"/>
    <n v="372"/>
    <n v="11"/>
    <n v="89"/>
    <n v="3"/>
    <n v="0"/>
    <n v="3"/>
    <n v="22"/>
    <n v="11"/>
    <n v="47"/>
    <n v="38"/>
    <x v="4"/>
    <n v="9547"/>
    <n v="4"/>
    <n v="4.1897978422541111E-4"/>
    <n v="0"/>
    <n v="0"/>
    <n v="0"/>
    <n v="2"/>
    <n v="0.5"/>
    <n v="2.0948989211270555E-4"/>
    <n v="0"/>
    <n v="0"/>
    <n v="0"/>
    <n v="0"/>
    <n v="0"/>
    <n v="0"/>
    <n v="0"/>
    <n v="0"/>
    <n v="0"/>
    <n v="2"/>
    <n v="0.5"/>
    <n v="2.0948989211270555E-4"/>
    <b v="1"/>
    <b v="1"/>
    <b v="0"/>
    <b v="0"/>
    <b v="1"/>
    <b v="0"/>
    <b v="0"/>
    <b v="0"/>
    <b v="0"/>
    <b v="0"/>
    <b v="0"/>
    <b v="0"/>
    <b v="0"/>
  </r>
  <r>
    <s v="dagster-io/dagster"/>
    <s v="dagster-io"/>
    <s v="dagster"/>
    <s v="https://github.com/dagster-io/dagster"/>
    <d v="2018-04-30T16:30:04"/>
    <d v="2021-04-09T02:39:00"/>
    <n v="1074.4228703703702"/>
    <b v="0"/>
    <b v="1"/>
    <n v="3097"/>
    <n v="64"/>
    <n v="324"/>
    <n v="96"/>
    <n v="387"/>
    <n v="116"/>
    <n v="1152"/>
    <n v="23"/>
    <n v="2771"/>
    <n v="541"/>
    <x v="4"/>
    <n v="96606"/>
    <n v="452"/>
    <n v="4.678798418317703E-3"/>
    <n v="61"/>
    <n v="0.13495575221238937"/>
    <n v="6.314307599942033E-4"/>
    <n v="268"/>
    <n v="0.59292035398230092"/>
    <n v="2.7741548144007617E-3"/>
    <n v="77"/>
    <n v="0.17035398230088494"/>
    <n v="7.9705194294350248E-4"/>
    <n v="32"/>
    <n v="7.0796460176991149E-2"/>
    <n v="3.312423658985984E-4"/>
    <n v="9"/>
    <n v="1.9911504424778761E-2"/>
    <n v="9.3161915408980806E-5"/>
    <n v="5"/>
    <n v="1.1061946902654867E-2"/>
    <n v="5.1756619671656006E-5"/>
    <b v="1"/>
    <b v="1"/>
    <b v="0"/>
    <b v="0"/>
    <b v="1"/>
    <b v="0"/>
    <b v="0"/>
    <b v="0"/>
    <b v="0"/>
    <b v="0"/>
    <b v="0"/>
    <b v="0"/>
    <b v="0"/>
  </r>
  <r>
    <s v="damianmoore/photonix"/>
    <s v="damianmoore"/>
    <s v="photonix"/>
    <s v="https://github.com/damianmoore/photonix"/>
    <d v="2017-03-07T22:30:32"/>
    <d v="2021-04-08T19:03:44"/>
    <n v="1492.8563888888893"/>
    <b v="0"/>
    <b v="0"/>
    <n v="622"/>
    <n v="20"/>
    <n v="56"/>
    <n v="0"/>
    <n v="0"/>
    <n v="13"/>
    <n v="62"/>
    <n v="7"/>
    <n v="159"/>
    <n v="73"/>
    <x v="11"/>
    <n v="4416"/>
    <n v="27"/>
    <n v="6.114130434782609E-3"/>
    <n v="0"/>
    <n v="0"/>
    <n v="0"/>
    <n v="12"/>
    <n v="0.44444444444444442"/>
    <n v="2.717391304347826E-3"/>
    <n v="4"/>
    <n v="0.14814814814814814"/>
    <n v="9.0579710144927537E-4"/>
    <n v="11"/>
    <n v="0.40740740740740738"/>
    <n v="2.490942028985507E-3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danmacnish/cartoonify"/>
    <s v="danmacnish"/>
    <s v="cartoonify"/>
    <s v="https://github.com/danmacnish/cartoonify"/>
    <d v="2017-12-19T11:55:48"/>
    <d v="2021-04-03T05:56:59"/>
    <n v="1200.7508217592549"/>
    <b v="0"/>
    <b v="0"/>
    <n v="1972"/>
    <n v="71"/>
    <n v="194"/>
    <n v="0"/>
    <n v="4"/>
    <n v="4"/>
    <n v="23"/>
    <n v="8"/>
    <n v="20"/>
    <n v="15"/>
    <x v="5"/>
    <n v="19441"/>
    <n v="72"/>
    <n v="3.7035131937657529E-3"/>
    <n v="0"/>
    <n v="0"/>
    <n v="0"/>
    <n v="56"/>
    <n v="0.77777777777777779"/>
    <n v="2.8805102618178076E-3"/>
    <n v="8"/>
    <n v="0.1111111111111111"/>
    <n v="4.1150146597397256E-4"/>
    <n v="1"/>
    <n v="1.3888888888888888E-2"/>
    <n v="5.143768324674657E-5"/>
    <n v="0"/>
    <n v="0"/>
    <n v="0"/>
    <n v="7"/>
    <n v="9.7222222222222224E-2"/>
    <n v="3.6006378272722595E-4"/>
    <b v="1"/>
    <b v="0"/>
    <b v="0"/>
    <b v="0"/>
    <b v="1"/>
    <b v="0"/>
    <b v="0"/>
    <b v="0"/>
    <b v="0"/>
    <b v="0"/>
    <b v="0"/>
    <b v="0"/>
    <b v="0"/>
  </r>
  <r>
    <s v="DarkSecDevelopers/HiddenEye-Legacy"/>
    <s v="DarkSecDevelopers"/>
    <s v="HiddenEye-Legacy"/>
    <s v="https://github.com/DarkSecDevelopers/HiddenEye-Legacy"/>
    <d v="2018-03-26T14:12:55"/>
    <d v="2021-04-08T20:43:52"/>
    <n v="1109.2714930555594"/>
    <b v="0"/>
    <b v="1"/>
    <n v="2252"/>
    <n v="365"/>
    <n v="888"/>
    <n v="19"/>
    <n v="126"/>
    <n v="23"/>
    <n v="270"/>
    <n v="12"/>
    <n v="578"/>
    <n v="19"/>
    <x v="0"/>
    <n v="107368"/>
    <n v="905"/>
    <n v="8.4289546233514649E-3"/>
    <n v="294"/>
    <n v="0.32486187845303865"/>
    <n v="2.7382460323373816E-3"/>
    <n v="177"/>
    <n v="0.19558011049723756"/>
    <n v="1.6485358766112808E-3"/>
    <n v="351"/>
    <n v="0.38784530386740329"/>
    <n v="3.2691304671783029E-3"/>
    <n v="56"/>
    <n v="6.1878453038674036E-2"/>
    <n v="5.21570672826168E-4"/>
    <n v="17"/>
    <n v="1.8784530386740331E-2"/>
    <n v="1.5833395425080099E-4"/>
    <n v="10"/>
    <n v="1.1049723756906077E-2"/>
    <n v="9.3137620147529994E-5"/>
    <b v="1"/>
    <b v="1"/>
    <b v="0"/>
    <b v="0"/>
    <b v="1"/>
    <b v="0"/>
    <b v="0"/>
    <b v="0"/>
    <b v="0"/>
    <b v="0"/>
    <b v="0"/>
    <b v="0"/>
    <b v="0"/>
  </r>
  <r>
    <s v="dasguptar/treelstm.pytorch"/>
    <s v="dasguptar"/>
    <s v="treelstm.pytorch"/>
    <s v="https://github.com/dasguptar/treelstm.pytorch"/>
    <d v="2017-04-07T11:11:53"/>
    <d v="2021-04-01T14:59:58"/>
    <n v="1455.1583912037022"/>
    <b v="0"/>
    <b v="0"/>
    <n v="478"/>
    <n v="13"/>
    <n v="127"/>
    <n v="0"/>
    <n v="0"/>
    <n v="4"/>
    <n v="10"/>
    <n v="2"/>
    <n v="29"/>
    <n v="16"/>
    <x v="5"/>
    <n v="688"/>
    <n v="11"/>
    <n v="1.5988372093023256E-2"/>
    <n v="7"/>
    <n v="0.63636363636363635"/>
    <n v="1.0174418604651164E-2"/>
    <n v="3"/>
    <n v="0.27272727272727271"/>
    <n v="4.3604651162790697E-3"/>
    <n v="0"/>
    <n v="0"/>
    <n v="0"/>
    <n v="1"/>
    <n v="9.0909090909090912E-2"/>
    <n v="1.453488372093023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ask/dask"/>
    <s v="dask"/>
    <s v="dask"/>
    <s v="https://github.com/dask/dask"/>
    <d v="2015-01-04T18:50:00"/>
    <d v="2021-04-08T20:49:17"/>
    <n v="2286.0828356481506"/>
    <b v="0"/>
    <b v="1"/>
    <n v="8173"/>
    <n v="242"/>
    <n v="1230"/>
    <n v="0"/>
    <n v="106"/>
    <n v="425"/>
    <n v="3821"/>
    <n v="86"/>
    <n v="3616"/>
    <n v="646"/>
    <x v="2"/>
    <n v="60265"/>
    <n v="40"/>
    <n v="6.6373516966730271E-4"/>
    <n v="0"/>
    <n v="0"/>
    <n v="0"/>
    <n v="6"/>
    <n v="0.15"/>
    <n v="9.9560275450095406E-5"/>
    <n v="33"/>
    <n v="0.82499999999999996"/>
    <n v="5.4758151497552479E-4"/>
    <n v="0"/>
    <n v="0"/>
    <n v="0"/>
    <n v="0"/>
    <n v="0"/>
    <n v="0"/>
    <n v="1"/>
    <n v="2.5000000000000001E-2"/>
    <n v="1.6593379241682568E-5"/>
    <b v="1"/>
    <b v="0"/>
    <b v="0"/>
    <b v="0"/>
    <b v="1"/>
    <b v="0"/>
    <b v="0"/>
    <b v="0"/>
    <b v="0"/>
    <b v="0"/>
    <b v="0"/>
    <b v="0"/>
    <b v="0"/>
  </r>
  <r>
    <s v="DataBiosphere/toil"/>
    <s v="DataBiosphere"/>
    <s v="toil"/>
    <s v="https://github.com/DataBiosphere/toil"/>
    <d v="2015-03-30T21:08:58"/>
    <d v="2021-04-08T05:13:09"/>
    <n v="2200.3362384259235"/>
    <b v="0"/>
    <b v="1"/>
    <n v="735"/>
    <n v="55"/>
    <n v="196"/>
    <n v="40"/>
    <n v="43"/>
    <n v="95"/>
    <n v="1359"/>
    <n v="14"/>
    <n v="2205"/>
    <n v="339"/>
    <x v="4"/>
    <n v="29178"/>
    <n v="910"/>
    <n v="3.1187881280416753E-2"/>
    <n v="526"/>
    <n v="0.57802197802197797"/>
    <n v="1.8027280828021113E-2"/>
    <n v="182"/>
    <n v="0.2"/>
    <n v="6.2375762560833506E-3"/>
    <n v="123"/>
    <n v="0.13516483516483516"/>
    <n v="4.2155048324079786E-3"/>
    <n v="53"/>
    <n v="5.8241758241758243E-2"/>
    <n v="1.8164370416066901E-3"/>
    <n v="21"/>
    <n v="2.3076923076923078E-2"/>
    <n v="7.1972033724038663E-4"/>
    <n v="5"/>
    <n v="5.4945054945054949E-3"/>
    <n v="1.7136198505723489E-4"/>
    <b v="1"/>
    <b v="0"/>
    <b v="0"/>
    <b v="0"/>
    <b v="1"/>
    <b v="0"/>
    <b v="0"/>
    <b v="0"/>
    <b v="0"/>
    <b v="0"/>
    <b v="0"/>
    <b v="0"/>
    <b v="0"/>
  </r>
  <r>
    <s v="DataDog/integrations-core"/>
    <s v="DataDog"/>
    <s v="integrations-core"/>
    <s v="https://github.com/DataDog/integrations-core"/>
    <d v="2015-12-01T16:41:45"/>
    <d v="2021-04-08T16:08:55"/>
    <n v="1954.9771990740701"/>
    <b v="0"/>
    <b v="1"/>
    <n v="508"/>
    <n v="201"/>
    <n v="840"/>
    <n v="19"/>
    <n v="33"/>
    <n v="424"/>
    <n v="8682"/>
    <n v="194"/>
    <n v="396"/>
    <n v="38"/>
    <x v="2"/>
    <n v="111163"/>
    <n v="1536"/>
    <n v="1.3817547205455052E-2"/>
    <n v="688"/>
    <n v="0.44791666666666669"/>
    <n v="6.1891096857767426E-3"/>
    <n v="112"/>
    <n v="7.2916666666666671E-2"/>
    <n v="1.0075294837310976E-3"/>
    <n v="468"/>
    <n v="0.3046875"/>
    <n v="4.2100339141620865E-3"/>
    <n v="179"/>
    <n v="0.11653645833333333"/>
    <n v="1.6102480141773792E-3"/>
    <n v="1"/>
    <n v="6.5104166666666663E-4"/>
    <n v="8.9957989618847999E-6"/>
    <n v="88"/>
    <n v="5.7291666666666664E-2"/>
    <n v="7.9163030864586243E-4"/>
    <b v="1"/>
    <b v="1"/>
    <b v="0"/>
    <b v="0"/>
    <b v="1"/>
    <b v="0"/>
    <b v="0"/>
    <b v="0"/>
    <b v="0"/>
    <b v="0"/>
    <b v="0"/>
    <b v="0"/>
    <b v="0"/>
  </r>
  <r>
    <s v="datafolklabs/cement"/>
    <s v="datafolklabs"/>
    <s v="cement"/>
    <s v="https://github.com/datafolklabs/cement"/>
    <d v="2009-12-05T04:04:12"/>
    <d v="2021-04-04T03:57:30"/>
    <n v="4137.9953472222187"/>
    <b v="0"/>
    <b v="1"/>
    <n v="1014"/>
    <n v="32"/>
    <n v="103"/>
    <n v="0"/>
    <n v="0"/>
    <n v="41"/>
    <n v="85"/>
    <n v="4"/>
    <n v="518"/>
    <n v="65"/>
    <x v="2"/>
    <n v="17809"/>
    <n v="187"/>
    <n v="1.0500308832612723E-2"/>
    <n v="135"/>
    <n v="0.72192513368983957"/>
    <n v="7.580436857768544E-3"/>
    <n v="28"/>
    <n v="0.1497326203208556"/>
    <n v="1.5722387556853276E-3"/>
    <n v="12"/>
    <n v="6.4171122994652413E-2"/>
    <n v="6.7381660957942615E-4"/>
    <n v="12"/>
    <n v="6.4171122994652413E-2"/>
    <n v="6.7381660957942615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datawire/ambassador"/>
    <s v="datawire"/>
    <s v="ambassador"/>
    <s v="https://github.com/datawire/ambassador"/>
    <d v="2017-03-30T19:22:52"/>
    <d v="2021-04-08T19:46:31"/>
    <n v="1470.0164236111086"/>
    <b v="0"/>
    <b v="1"/>
    <n v="3244"/>
    <n v="84"/>
    <n v="490"/>
    <n v="91"/>
    <n v="11"/>
    <n v="187"/>
    <n v="2075"/>
    <n v="8"/>
    <n v="1259"/>
    <n v="207"/>
    <x v="4"/>
    <n v="20538"/>
    <n v="534"/>
    <n v="2.6000584282792873E-2"/>
    <n v="377"/>
    <n v="0.70599250936329583"/>
    <n v="1.835621774272081E-2"/>
    <n v="75"/>
    <n v="0.1404494382022472"/>
    <n v="3.651767455448437E-3"/>
    <n v="16"/>
    <n v="2.9962546816479401E-2"/>
    <n v="7.7904372382899987E-4"/>
    <n v="59"/>
    <n v="0.1104868913857678"/>
    <n v="2.8727237316194371E-3"/>
    <n v="0"/>
    <n v="0"/>
    <n v="0"/>
    <n v="7"/>
    <n v="1.3108614232209739E-2"/>
    <n v="3.4083162917518747E-4"/>
    <b v="1"/>
    <b v="1"/>
    <b v="0"/>
    <b v="0"/>
    <b v="1"/>
    <b v="0"/>
    <b v="0"/>
    <b v="0"/>
    <b v="0"/>
    <b v="0"/>
    <b v="0"/>
    <b v="0"/>
    <b v="0"/>
  </r>
  <r>
    <s v="datawire/forge"/>
    <s v="datawire"/>
    <s v="forge"/>
    <s v="https://github.com/datawire/forge"/>
    <d v="2017-03-18T02:45:36"/>
    <d v="2021-04-06T08:53:18"/>
    <n v="1480.2553472222207"/>
    <b v="0"/>
    <b v="1"/>
    <n v="407"/>
    <n v="28"/>
    <n v="43"/>
    <n v="0"/>
    <n v="0"/>
    <n v="11"/>
    <n v="87"/>
    <n v="5"/>
    <n v="147"/>
    <n v="76"/>
    <x v="4"/>
    <n v="5684"/>
    <n v="19"/>
    <n v="3.3427163969035889E-3"/>
    <n v="0"/>
    <n v="0"/>
    <n v="0"/>
    <n v="9"/>
    <n v="0.47368421052631576"/>
    <n v="1.5833919774806474E-3"/>
    <n v="9"/>
    <n v="0.47368421052631576"/>
    <n v="1.5833919774806474E-3"/>
    <n v="1"/>
    <n v="5.2631578947368418E-2"/>
    <n v="1.759324419422941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atmo/datmo"/>
    <s v="datmo"/>
    <s v="datmo"/>
    <s v="https://github.com/datmo/datmo"/>
    <d v="2017-11-03T05:46:43"/>
    <d v="2021-02-26T21:04:07"/>
    <n v="1211.6370833333349"/>
    <b v="0"/>
    <b v="1"/>
    <n v="334"/>
    <n v="9"/>
    <n v="28"/>
    <n v="0"/>
    <n v="10"/>
    <n v="5"/>
    <n v="118"/>
    <n v="1"/>
    <n v="176"/>
    <n v="27"/>
    <x v="5"/>
    <n v="14161"/>
    <n v="31"/>
    <n v="2.1891109384930443E-3"/>
    <n v="1"/>
    <n v="3.2258064516129031E-2"/>
    <n v="7.0616481886872395E-5"/>
    <n v="19"/>
    <n v="0.61290322580645162"/>
    <n v="1.3417131558505755E-3"/>
    <n v="9"/>
    <n v="0.29032258064516131"/>
    <n v="6.355483369818516E-4"/>
    <n v="2"/>
    <n v="6.4516129032258063E-2"/>
    <n v="1.4123296377374479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avid8862/keras-YOLOv3-model-set"/>
    <s v="david8862"/>
    <s v="keras-YOLOv3-model-set"/>
    <s v="https://github.com/david8862/keras-YOLOv3-model-set"/>
    <d v="2019-08-18T11:14:48"/>
    <d v="2021-04-08T11:07:15"/>
    <n v="598.99475694444845"/>
    <b v="0"/>
    <b v="0"/>
    <n v="453"/>
    <n v="22"/>
    <n v="154"/>
    <n v="4"/>
    <n v="6"/>
    <n v="11"/>
    <n v="4"/>
    <n v="1"/>
    <n v="159"/>
    <n v="85"/>
    <x v="5"/>
    <n v="12069"/>
    <n v="53"/>
    <n v="4.3914160245256441E-3"/>
    <n v="1"/>
    <n v="1.8867924528301886E-2"/>
    <n v="8.2856906123125366E-5"/>
    <n v="40"/>
    <n v="0.75471698113207553"/>
    <n v="3.3142762449250144E-3"/>
    <n v="8"/>
    <n v="0.15094339622641509"/>
    <n v="6.6285524898500293E-4"/>
    <n v="4"/>
    <n v="7.5471698113207544E-2"/>
    <n v="3.314276244925014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avidteather/TikTok-Api"/>
    <s v="davidteather"/>
    <s v="TikTok-Api"/>
    <s v="https://github.com/davidteather/TikTok-Api"/>
    <d v="2019-05-26T17:06:09"/>
    <d v="2021-04-07T07:15:00"/>
    <n v="681.58947916667239"/>
    <b v="0"/>
    <b v="0"/>
    <n v="981"/>
    <n v="47"/>
    <n v="274"/>
    <n v="89"/>
    <n v="1"/>
    <n v="19"/>
    <n v="167"/>
    <n v="2"/>
    <n v="366"/>
    <n v="28"/>
    <x v="5"/>
    <n v="1314"/>
    <n v="25"/>
    <n v="1.9025875190258751E-2"/>
    <n v="0"/>
    <n v="0"/>
    <n v="0"/>
    <n v="10"/>
    <n v="0.4"/>
    <n v="7.6103500761035003E-3"/>
    <n v="2"/>
    <n v="0.08"/>
    <n v="1.5220700152207001E-3"/>
    <n v="12"/>
    <n v="0.48"/>
    <n v="9.1324200913242004E-3"/>
    <n v="1"/>
    <n v="0.04"/>
    <n v="7.6103500761035003E-4"/>
    <n v="0"/>
    <n v="0"/>
    <n v="0"/>
    <b v="1"/>
    <b v="0"/>
    <b v="0"/>
    <b v="0"/>
    <b v="1"/>
    <b v="0"/>
    <b v="0"/>
    <b v="0"/>
    <b v="0"/>
    <b v="0"/>
    <b v="0"/>
    <b v="0"/>
    <b v="0"/>
  </r>
  <r>
    <s v="dbcli/mssql-cli"/>
    <s v="dbcli"/>
    <s v="mssql-cli"/>
    <s v="https://github.com/dbcli/mssql-cli"/>
    <d v="2017-10-13T02:03:44"/>
    <d v="2021-04-08T02:57:38"/>
    <n v="1273.0374305555597"/>
    <b v="0"/>
    <b v="1"/>
    <n v="1072"/>
    <n v="58"/>
    <n v="123"/>
    <n v="9"/>
    <n v="3"/>
    <n v="22"/>
    <n v="231"/>
    <n v="4"/>
    <n v="279"/>
    <n v="113"/>
    <x v="2"/>
    <n v="7514"/>
    <n v="58"/>
    <n v="7.7189246739419745E-3"/>
    <n v="22"/>
    <n v="0.37931034482758619"/>
    <n v="2.9278679797710939E-3"/>
    <n v="27"/>
    <n v="0.46551724137931033"/>
    <n v="3.5932925206281609E-3"/>
    <n v="1"/>
    <n v="1.7241379310344827E-2"/>
    <n v="1.3308490817141337E-4"/>
    <n v="8"/>
    <n v="0.13793103448275862"/>
    <n v="1.06467926537130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bcli/pgcli"/>
    <s v="dbcli"/>
    <s v="pgcli"/>
    <s v="https://github.com/dbcli/pgcli"/>
    <d v="2014-10-12T17:32:33"/>
    <d v="2021-04-09T01:35:38"/>
    <n v="2370.335474537038"/>
    <b v="0"/>
    <b v="1"/>
    <n v="9497"/>
    <n v="140"/>
    <n v="423"/>
    <n v="0"/>
    <n v="15"/>
    <n v="135"/>
    <n v="671"/>
    <n v="3"/>
    <n v="586"/>
    <n v="122"/>
    <x v="2"/>
    <n v="5538"/>
    <n v="63"/>
    <n v="1.1375947995666305E-2"/>
    <n v="46"/>
    <n v="0.73015873015873012"/>
    <n v="8.3062477428674612E-3"/>
    <n v="4"/>
    <n v="6.3492063492063489E-2"/>
    <n v="7.2228241242325753E-4"/>
    <n v="1"/>
    <n v="1.5873015873015872E-2"/>
    <n v="1.8057060310581438E-4"/>
    <n v="12"/>
    <n v="0.19047619047619047"/>
    <n v="2.166847237269772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cos/dcos"/>
    <s v="dcos"/>
    <s v="dcos"/>
    <s v="https://github.com/dcos/dcos"/>
    <d v="2016-04-13T20:31:58"/>
    <d v="2021-04-03T08:33:21"/>
    <n v="1815.5009606481544"/>
    <b v="0"/>
    <b v="1"/>
    <n v="2288"/>
    <n v="101"/>
    <n v="460"/>
    <n v="2"/>
    <n v="99664"/>
    <n v="172"/>
    <n v="7882"/>
    <n v="5"/>
    <n v="0"/>
    <n v="0"/>
    <x v="4"/>
    <n v="19817"/>
    <n v="426"/>
    <n v="2.1496694757026796E-2"/>
    <n v="67"/>
    <n v="0.15727699530516431"/>
    <n v="3.3809355603774535E-3"/>
    <n v="272"/>
    <n v="0.63849765258215962"/>
    <n v="1.3725589140636827E-2"/>
    <n v="29"/>
    <n v="6.8075117370892016E-2"/>
    <n v="1.4633900186708383E-3"/>
    <n v="45"/>
    <n v="0.10563380281690141"/>
    <n v="2.2707776151788869E-3"/>
    <n v="0"/>
    <n v="0"/>
    <n v="0"/>
    <n v="13"/>
    <n v="3.0516431924882629E-2"/>
    <n v="6.5600242216278957E-4"/>
    <b v="1"/>
    <b v="0"/>
    <b v="0"/>
    <b v="0"/>
    <b v="1"/>
    <b v="0"/>
    <b v="0"/>
    <b v="0"/>
    <b v="0"/>
    <b v="0"/>
    <b v="0"/>
    <b v="0"/>
    <b v="0"/>
  </r>
  <r>
    <s v="dcowden/cadquery"/>
    <s v="dcowden"/>
    <s v="cadquery"/>
    <s v="https://github.com/dcowden/cadquery"/>
    <d v="2013-04-14T22:13:51"/>
    <d v="2021-02-27T03:39:36"/>
    <n v="2875.2262152777766"/>
    <b v="0"/>
    <b v="0"/>
    <n v="436"/>
    <n v="37"/>
    <n v="55"/>
    <n v="4"/>
    <n v="2"/>
    <n v="26"/>
    <n v="134"/>
    <n v="0"/>
    <n v="177"/>
    <n v="1"/>
    <x v="7"/>
    <n v="5145"/>
    <n v="10"/>
    <n v="1.9436345966958211E-3"/>
    <n v="2"/>
    <n v="0.2"/>
    <n v="3.8872691933916425E-4"/>
    <n v="3"/>
    <n v="0.3"/>
    <n v="5.8309037900874635E-4"/>
    <n v="3"/>
    <n v="0.3"/>
    <n v="5.8309037900874635E-4"/>
    <n v="2"/>
    <n v="0.2"/>
    <n v="3.887269193391642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eepchem/deepchem"/>
    <s v="deepchem"/>
    <s v="deepchem"/>
    <s v="https://github.com/deepchem/deepchem"/>
    <d v="2015-09-24T23:20:28"/>
    <d v="2021-04-09T01:05:01"/>
    <n v="2023.072604166664"/>
    <b v="0"/>
    <b v="1"/>
    <n v="2860"/>
    <n v="159"/>
    <n v="913"/>
    <n v="14"/>
    <n v="10"/>
    <n v="102"/>
    <n v="1264"/>
    <n v="32"/>
    <n v="1202"/>
    <n v="329"/>
    <x v="5"/>
    <n v="44380"/>
    <n v="340"/>
    <n v="7.6611086074808476E-3"/>
    <n v="0"/>
    <n v="0"/>
    <n v="0"/>
    <n v="241"/>
    <n v="0.70882352941176474"/>
    <n v="5.4303740423614242E-3"/>
    <n v="97"/>
    <n v="0.28529411764705881"/>
    <n v="2.1856692203695359E-3"/>
    <n v="0"/>
    <n v="0"/>
    <n v="0"/>
    <n v="0"/>
    <n v="0"/>
    <n v="0"/>
    <n v="2"/>
    <n v="5.8823529411764705E-3"/>
    <n v="4.5065344749887339E-5"/>
    <b v="1"/>
    <b v="0"/>
    <b v="0"/>
    <b v="0"/>
    <b v="1"/>
    <b v="0"/>
    <b v="0"/>
    <b v="0"/>
    <b v="0"/>
    <b v="0"/>
    <b v="0"/>
    <b v="0"/>
    <b v="0"/>
  </r>
  <r>
    <s v="deepdrive/deepdrive"/>
    <s v="deepdrive"/>
    <s v="deepdrive"/>
    <s v="https://github.com/deepdrive/deepdrive"/>
    <d v="2017-11-21T17:28:45"/>
    <d v="2021-04-07T22:49:28"/>
    <n v="1233.2227199074114"/>
    <b v="0"/>
    <b v="1"/>
    <n v="639"/>
    <n v="59"/>
    <n v="114"/>
    <n v="1"/>
    <n v="1"/>
    <n v="6"/>
    <n v="9"/>
    <n v="1"/>
    <n v="59"/>
    <n v="31"/>
    <x v="7"/>
    <n v="11567"/>
    <n v="266"/>
    <n v="2.2996455433560992E-2"/>
    <n v="97"/>
    <n v="0.36466165413533835"/>
    <n v="8.3859254776519412E-3"/>
    <n v="117"/>
    <n v="0.43984962406015038"/>
    <n v="1.0114982277167804E-2"/>
    <n v="28"/>
    <n v="0.10526315789473684"/>
    <n v="2.4206795193222096E-3"/>
    <n v="23"/>
    <n v="8.646616541353383E-2"/>
    <n v="1.9884153194432439E-3"/>
    <n v="0"/>
    <n v="0"/>
    <n v="0"/>
    <n v="1"/>
    <n v="3.7593984962406013E-3"/>
    <n v="8.6452839975793204E-5"/>
    <b v="1"/>
    <b v="0"/>
    <b v="0"/>
    <b v="0"/>
    <b v="1"/>
    <b v="0"/>
    <b v="0"/>
    <b v="0"/>
    <b v="1"/>
    <b v="0"/>
    <b v="0"/>
    <b v="0"/>
    <b v="0"/>
  </r>
  <r>
    <s v="DeepPavlov/convai"/>
    <s v="DeepPavlov"/>
    <s v="convai"/>
    <s v="https://github.com/DeepPavlov/convai"/>
    <d v="2017-04-03T08:49:03"/>
    <d v="2021-03-15T12:36:52"/>
    <n v="1442.1582060185174"/>
    <b v="0"/>
    <b v="0"/>
    <n v="362"/>
    <n v="33"/>
    <n v="76"/>
    <n v="0"/>
    <n v="0"/>
    <n v="18"/>
    <n v="43"/>
    <n v="11"/>
    <n v="10"/>
    <n v="2"/>
    <x v="1"/>
    <n v="48883"/>
    <n v="508"/>
    <n v="1.039216087392345E-2"/>
    <n v="101"/>
    <n v="0.19881889763779528"/>
    <n v="2.0661579690280873E-3"/>
    <n v="373"/>
    <n v="0.73425196850393704"/>
    <n v="7.6304645786878875E-3"/>
    <n v="18"/>
    <n v="3.5433070866141732E-2"/>
    <n v="3.6822617269807501E-4"/>
    <n v="15"/>
    <n v="2.952755905511811E-2"/>
    <n v="3.0685514391506251E-4"/>
    <n v="0"/>
    <n v="0"/>
    <n v="0"/>
    <n v="1"/>
    <n v="1.968503937007874E-3"/>
    <n v="2.0457009594337498E-5"/>
    <b v="1"/>
    <b v="1"/>
    <b v="0"/>
    <b v="0"/>
    <b v="1"/>
    <b v="0"/>
    <b v="0"/>
    <b v="0"/>
    <b v="0"/>
    <b v="0"/>
    <b v="0"/>
    <b v="0"/>
    <b v="0"/>
  </r>
  <r>
    <s v="deepset-ai/FARM"/>
    <s v="deepset-ai"/>
    <s v="FARM"/>
    <s v="https://github.com/deepset-ai/FARM"/>
    <d v="2019-07-17T14:51:12"/>
    <d v="2021-04-08T21:31:30"/>
    <n v="631.27798611111211"/>
    <b v="0"/>
    <b v="1"/>
    <n v="1161"/>
    <n v="44"/>
    <n v="170"/>
    <n v="21"/>
    <n v="5"/>
    <n v="106"/>
    <n v="400"/>
    <n v="3"/>
    <n v="348"/>
    <n v="35"/>
    <x v="4"/>
    <n v="11790"/>
    <n v="272"/>
    <n v="2.3070398642917728E-2"/>
    <n v="2"/>
    <n v="7.3529411764705881E-3"/>
    <n v="1.6963528413910093E-4"/>
    <n v="178"/>
    <n v="0.65441176470588236"/>
    <n v="1.5097540288379983E-2"/>
    <n v="50"/>
    <n v="0.18382352941176472"/>
    <n v="4.2408821034775231E-3"/>
    <n v="42"/>
    <n v="0.15441176470588236"/>
    <n v="3.5623409669211198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deepset-ai/haystack"/>
    <s v="deepset-ai"/>
    <s v="haystack"/>
    <s v="https://github.com/deepset-ai/haystack"/>
    <d v="2019-11-14T09:05:28"/>
    <d v="2021-04-08T21:31:28"/>
    <n v="511.5180555555562"/>
    <b v="0"/>
    <b v="1"/>
    <n v="1594"/>
    <n v="57"/>
    <n v="304"/>
    <n v="7"/>
    <n v="17"/>
    <n v="45"/>
    <n v="414"/>
    <n v="7"/>
    <n v="540"/>
    <n v="74"/>
    <x v="4"/>
    <n v="7733"/>
    <n v="117"/>
    <n v="1.5129962498383552E-2"/>
    <n v="13"/>
    <n v="0.1111111111111111"/>
    <n v="1.681106944264839E-3"/>
    <n v="61"/>
    <n v="0.5213675213675214"/>
    <n v="7.8882710461657835E-3"/>
    <n v="31"/>
    <n v="0.26495726495726496"/>
    <n v="4.0087934824776933E-3"/>
    <n v="12"/>
    <n v="0.10256410256410256"/>
    <n v="1.5517910254752359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deis/deis"/>
    <s v="deis"/>
    <s v="deis"/>
    <s v="https://github.com/deis/deis"/>
    <d v="2013-07-22T19:02:40"/>
    <d v="2021-04-04T22:44:14"/>
    <n v="2813.1538657407364"/>
    <b v="0"/>
    <b v="1"/>
    <n v="6108"/>
    <n v="278"/>
    <n v="806"/>
    <n v="66"/>
    <n v="112"/>
    <n v="169"/>
    <n v="2469"/>
    <n v="0"/>
    <n v="2653"/>
    <n v="4"/>
    <x v="5"/>
    <n v="7156"/>
    <n v="27"/>
    <n v="3.7730575740637226E-3"/>
    <n v="1"/>
    <n v="3.7037037037037035E-2"/>
    <n v="1.3974287311347122E-4"/>
    <n v="22"/>
    <n v="0.81481481481481477"/>
    <n v="3.0743432084963667E-3"/>
    <n v="2"/>
    <n v="7.407407407407407E-2"/>
    <n v="2.7948574622694243E-4"/>
    <n v="2"/>
    <n v="7.407407407407407E-2"/>
    <n v="2.794857462269424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elta-ML/delta"/>
    <s v="Delta-ML"/>
    <s v="delta"/>
    <s v="https://github.com/Delta-ML/delta"/>
    <d v="2019-05-29T08:33:57"/>
    <d v="2021-04-07T22:22:46"/>
    <n v="679.57556712962833"/>
    <b v="0"/>
    <b v="1"/>
    <n v="1398"/>
    <n v="63"/>
    <n v="285"/>
    <n v="4"/>
    <n v="8"/>
    <n v="15"/>
    <n v="186"/>
    <n v="2"/>
    <n v="71"/>
    <n v="2"/>
    <x v="4"/>
    <n v="22725"/>
    <n v="786"/>
    <n v="3.4587458745874586E-2"/>
    <n v="126"/>
    <n v="0.16030534351145037"/>
    <n v="5.5445544554455443E-3"/>
    <n v="573"/>
    <n v="0.72900763358778631"/>
    <n v="2.5214521452145214E-2"/>
    <n v="49"/>
    <n v="6.2340966921119595E-2"/>
    <n v="2.1562156215621563E-3"/>
    <n v="38"/>
    <n v="4.8346055979643768E-2"/>
    <n v="1.672167216721672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entosal/python-sc2"/>
    <s v="Dentosal"/>
    <s v="python-sc2"/>
    <s v="https://github.com/Dentosal/python-sc2"/>
    <d v="2017-08-14T20:29:20"/>
    <d v="2021-04-07T13:22:47"/>
    <n v="1331.7037847222236"/>
    <b v="0"/>
    <b v="0"/>
    <n v="565"/>
    <n v="42"/>
    <n v="173"/>
    <n v="0"/>
    <n v="16"/>
    <n v="24"/>
    <n v="150"/>
    <n v="11"/>
    <n v="162"/>
    <n v="56"/>
    <x v="5"/>
    <n v="8940"/>
    <n v="43"/>
    <n v="4.8098434004474272E-3"/>
    <n v="13"/>
    <n v="0.30232558139534882"/>
    <n v="1.4541387024608501E-3"/>
    <n v="11"/>
    <n v="0.2558139534883721"/>
    <n v="1.2304250559284117E-3"/>
    <n v="5"/>
    <n v="0.11627906976744186"/>
    <n v="5.5928411633109618E-4"/>
    <n v="7"/>
    <n v="0.16279069767441862"/>
    <n v="7.8299776286353472E-4"/>
    <n v="5"/>
    <n v="0.11627906976744186"/>
    <n v="5.5928411633109618E-4"/>
    <n v="2"/>
    <n v="4.6511627906976744E-2"/>
    <n v="2.2371364653243848E-4"/>
    <b v="1"/>
    <b v="0"/>
    <b v="0"/>
    <b v="0"/>
    <b v="1"/>
    <b v="0"/>
    <b v="0"/>
    <b v="0"/>
    <b v="0"/>
    <b v="0"/>
    <b v="0"/>
    <b v="0"/>
    <b v="0"/>
  </r>
  <r>
    <s v="deoplete-plugins/deoplete-jedi"/>
    <s v="deoplete-plugins"/>
    <s v="deoplete-jedi"/>
    <s v="https://github.com/deoplete-plugins/deoplete-jedi"/>
    <d v="2016-01-23T23:54:25"/>
    <d v="2021-04-02T15:45:00"/>
    <n v="1895.6601273148117"/>
    <b v="0"/>
    <b v="1"/>
    <n v="561"/>
    <n v="18"/>
    <n v="42"/>
    <n v="0"/>
    <n v="6"/>
    <n v="22"/>
    <n v="147"/>
    <n v="2"/>
    <n v="123"/>
    <n v="6"/>
    <x v="5"/>
    <n v="338"/>
    <n v="3"/>
    <n v="8.8757396449704144E-3"/>
    <n v="2"/>
    <n v="0.66666666666666663"/>
    <n v="5.9171597633136093E-3"/>
    <n v="1"/>
    <n v="0.33333333333333331"/>
    <n v="2.9585798816568047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exterInd/GrovePi"/>
    <s v="DexterInd"/>
    <s v="GrovePi"/>
    <s v="https://github.com/DexterInd/GrovePi"/>
    <d v="2013-10-04T09:12:30"/>
    <d v="2021-03-19T03:34:17"/>
    <n v="2722.7651273148149"/>
    <b v="0"/>
    <b v="1"/>
    <n v="436"/>
    <n v="78"/>
    <n v="412"/>
    <n v="0"/>
    <n v="7"/>
    <n v="64"/>
    <n v="366"/>
    <n v="6"/>
    <n v="135"/>
    <n v="36"/>
    <x v="7"/>
    <n v="11780"/>
    <n v="29"/>
    <n v="2.4617996604414261E-3"/>
    <n v="16"/>
    <n v="0.55172413793103448"/>
    <n v="1.3582342954159593E-3"/>
    <n v="4"/>
    <n v="0.13793103448275862"/>
    <n v="3.3955857385398983E-4"/>
    <n v="7"/>
    <n v="0.2413793103448276"/>
    <n v="5.9422750424448212E-4"/>
    <n v="2"/>
    <n v="6.8965517241379309E-2"/>
    <n v="1.6977928692699492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iaoul/subliminal"/>
    <s v="Diaoul"/>
    <s v="subliminal"/>
    <s v="https://github.com/Diaoul/subliminal"/>
    <d v="2011-07-05T00:24:23"/>
    <d v="2021-04-08T18:48:32"/>
    <n v="3565.766770833332"/>
    <b v="0"/>
    <b v="0"/>
    <n v="2078"/>
    <n v="65"/>
    <n v="295"/>
    <n v="12"/>
    <n v="59"/>
    <n v="29"/>
    <n v="231"/>
    <n v="20"/>
    <n v="797"/>
    <n v="93"/>
    <x v="5"/>
    <n v="5804"/>
    <n v="207"/>
    <n v="3.5665058580289455E-2"/>
    <n v="106"/>
    <n v="0.51207729468599039"/>
    <n v="1.826326671261199E-2"/>
    <n v="59"/>
    <n v="0.28502415458937197"/>
    <n v="1.0165403170227429E-2"/>
    <n v="19"/>
    <n v="9.1787439613526575E-2"/>
    <n v="3.2736044107512059E-3"/>
    <n v="17"/>
    <n v="8.2125603864734303E-2"/>
    <n v="2.9290144727773951E-3"/>
    <n v="0"/>
    <n v="0"/>
    <n v="0"/>
    <n v="6"/>
    <n v="2.8985507246376812E-2"/>
    <n v="1.0337698139214334E-3"/>
    <b v="1"/>
    <b v="0"/>
    <b v="0"/>
    <b v="0"/>
    <b v="1"/>
    <b v="0"/>
    <b v="0"/>
    <b v="0"/>
    <b v="0"/>
    <b v="0"/>
    <b v="0"/>
    <b v="0"/>
    <b v="0"/>
  </r>
  <r>
    <s v="DIGITALCRIMINAL/OnlyFans"/>
    <s v="DIGITALCRIMINAL"/>
    <s v="OnlyFans"/>
    <s v="https://github.com/DIGITALCRIMINAL/OnlyFans"/>
    <d v="2019-06-24T14:17:10"/>
    <d v="2021-04-08T23:14:31"/>
    <n v="654.37315972222132"/>
    <b v="0"/>
    <b v="0"/>
    <n v="779"/>
    <n v="88"/>
    <n v="168"/>
    <n v="56"/>
    <n v="9"/>
    <n v="20"/>
    <n v="51"/>
    <n v="1"/>
    <n v="804"/>
    <n v="17"/>
    <x v="0"/>
    <n v="6799"/>
    <n v="8"/>
    <n v="1.1766436240623621E-3"/>
    <n v="0"/>
    <n v="0"/>
    <n v="0"/>
    <n v="8"/>
    <n v="1"/>
    <n v="1.1766436240623621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imagi/commcare-hq"/>
    <s v="dimagi"/>
    <s v="commcare-hq"/>
    <s v="https://github.com/dimagi/commcare-hq"/>
    <d v="2009-07-09T17:00:07"/>
    <d v="2021-04-09T00:07:00"/>
    <n v="4291.296446759261"/>
    <b v="0"/>
    <b v="1"/>
    <n v="432"/>
    <n v="53"/>
    <n v="179"/>
    <n v="13"/>
    <n v="3495"/>
    <n v="131"/>
    <n v="29419"/>
    <n v="192"/>
    <n v="81"/>
    <n v="13"/>
    <x v="2"/>
    <n v="288884"/>
    <n v="855"/>
    <n v="2.9596654712618214E-3"/>
    <n v="72"/>
    <n v="8.4210526315789472E-2"/>
    <n v="2.4923498705362707E-4"/>
    <n v="297"/>
    <n v="0.3473684210526316"/>
    <n v="1.0280943215962117E-3"/>
    <n v="123"/>
    <n v="0.14385964912280702"/>
    <n v="4.257764362166129E-4"/>
    <n v="295"/>
    <n v="0.34502923976608185"/>
    <n v="1.0211711275113886E-3"/>
    <n v="0"/>
    <n v="0"/>
    <n v="0"/>
    <n v="68"/>
    <n v="7.9532163742690065E-2"/>
    <n v="2.3538859888398112E-4"/>
    <b v="1"/>
    <b v="0"/>
    <b v="0"/>
    <b v="0"/>
    <b v="1"/>
    <b v="0"/>
    <b v="0"/>
    <b v="0"/>
    <b v="0"/>
    <b v="0"/>
    <b v="0"/>
    <b v="0"/>
    <b v="0"/>
  </r>
  <r>
    <s v="DinoTools/dionaea"/>
    <s v="DinoTools"/>
    <s v="dionaea"/>
    <s v="https://github.com/DinoTools/dionaea"/>
    <d v="2015-12-21T20:13:51"/>
    <d v="2021-04-06T09:33:04"/>
    <n v="1932.5550115740698"/>
    <b v="0"/>
    <b v="1"/>
    <n v="493"/>
    <n v="39"/>
    <n v="128"/>
    <n v="0"/>
    <n v="0"/>
    <n v="20"/>
    <n v="145"/>
    <n v="3"/>
    <n v="179"/>
    <n v="48"/>
    <x v="3"/>
    <n v="17546"/>
    <n v="699"/>
    <n v="3.9838139746950871E-2"/>
    <n v="355"/>
    <n v="0.50786838340486407"/>
    <n v="2.0232531631141002E-2"/>
    <n v="164"/>
    <n v="0.23462088698140202"/>
    <n v="9.3468596831186596E-3"/>
    <n v="145"/>
    <n v="0.20743919885550788"/>
    <n v="8.2639917930012532E-3"/>
    <n v="31"/>
    <n v="4.4349070100143065E-2"/>
    <n v="1.7667844522968198E-3"/>
    <n v="4"/>
    <n v="5.7224606580829757E-3"/>
    <n v="2.2797218739313804E-4"/>
    <n v="0"/>
    <n v="0"/>
    <n v="0"/>
    <b v="1"/>
    <b v="1"/>
    <b v="0"/>
    <b v="0"/>
    <b v="1"/>
    <b v="0"/>
    <b v="0"/>
    <b v="0"/>
    <b v="0"/>
    <b v="0"/>
    <b v="0"/>
    <b v="0"/>
    <b v="0"/>
  </r>
  <r>
    <s v="django-import-export/django-import-export"/>
    <s v="django-import-export"/>
    <s v="django-import-export"/>
    <s v="https://github.com/django-import-export/django-import-export"/>
    <d v="2012-11-15T13:12:22"/>
    <d v="2021-04-07T02:27:14"/>
    <n v="3064.5519907407433"/>
    <b v="0"/>
    <b v="1"/>
    <n v="2078"/>
    <n v="67"/>
    <n v="596"/>
    <n v="0"/>
    <n v="13"/>
    <n v="154"/>
    <n v="520"/>
    <n v="25"/>
    <n v="741"/>
    <n v="79"/>
    <x v="8"/>
    <n v="4113"/>
    <n v="8"/>
    <n v="1.9450522732798443E-3"/>
    <n v="4"/>
    <n v="0.5"/>
    <n v="9.7252613663992217E-4"/>
    <n v="0"/>
    <n v="0"/>
    <n v="0"/>
    <n v="1"/>
    <n v="0.125"/>
    <n v="2.4313153415998054E-4"/>
    <n v="0"/>
    <n v="0"/>
    <n v="0"/>
    <n v="0"/>
    <n v="0"/>
    <n v="0"/>
    <n v="3"/>
    <n v="0.375"/>
    <n v="7.2939460247994166E-4"/>
    <b v="0"/>
    <b v="1"/>
    <b v="0"/>
    <b v="0"/>
    <b v="1"/>
    <b v="0"/>
    <b v="0"/>
    <b v="0"/>
    <b v="0"/>
    <b v="0"/>
    <b v="0"/>
    <b v="0"/>
    <b v="0"/>
  </r>
  <r>
    <s v="django-oscar/django-oscar"/>
    <s v="django-oscar"/>
    <s v="django-oscar"/>
    <s v="https://github.com/django-oscar/django-oscar"/>
    <d v="2010-12-08T21:30:32"/>
    <d v="2021-04-08T21:57:35"/>
    <n v="3774.0187847222187"/>
    <b v="0"/>
    <b v="1"/>
    <n v="4843"/>
    <n v="284"/>
    <n v="1730"/>
    <n v="3"/>
    <n v="410"/>
    <n v="252"/>
    <n v="2338"/>
    <n v="13"/>
    <n v="1341"/>
    <n v="105"/>
    <x v="7"/>
    <n v="31334"/>
    <n v="143"/>
    <n v="4.5637326865385847E-3"/>
    <n v="1"/>
    <n v="6.993006993006993E-3"/>
    <n v="3.1914214591178912E-5"/>
    <n v="48"/>
    <n v="0.33566433566433568"/>
    <n v="1.5318823003765878E-3"/>
    <n v="29"/>
    <n v="0.20279720279720279"/>
    <n v="9.2551222314418843E-4"/>
    <n v="62"/>
    <n v="0.43356643356643354"/>
    <n v="1.9786813046530926E-3"/>
    <n v="0"/>
    <n v="0"/>
    <n v="0"/>
    <n v="3"/>
    <n v="2.097902097902098E-2"/>
    <n v="9.5742643773536737E-5"/>
    <b v="1"/>
    <b v="0"/>
    <b v="0"/>
    <b v="0"/>
    <b v="1"/>
    <b v="0"/>
    <b v="0"/>
    <b v="0"/>
    <b v="0"/>
    <b v="0"/>
    <b v="0"/>
    <b v="0"/>
    <b v="0"/>
  </r>
  <r>
    <s v="django-tenants/django-tenants"/>
    <s v="django-tenants"/>
    <s v="django-tenants"/>
    <s v="https://github.com/django-tenants/django-tenants"/>
    <d v="2015-06-09T19:48:59"/>
    <d v="2021-04-09T03:26:19"/>
    <n v="2130.3175925925971"/>
    <b v="0"/>
    <b v="1"/>
    <n v="666"/>
    <n v="47"/>
    <n v="161"/>
    <n v="31"/>
    <n v="23"/>
    <n v="59"/>
    <n v="183"/>
    <n v="2"/>
    <n v="376"/>
    <n v="92"/>
    <x v="5"/>
    <n v="3660"/>
    <n v="4"/>
    <n v="1.092896174863388E-3"/>
    <n v="0"/>
    <n v="0"/>
    <n v="0"/>
    <n v="0"/>
    <n v="0"/>
    <n v="0"/>
    <n v="4"/>
    <n v="1"/>
    <n v="1.092896174863388E-3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djangopackages/djangopackages"/>
    <s v="djangopackages"/>
    <s v="djangopackages"/>
    <s v="https://github.com/djangopackages/djangopackages"/>
    <d v="2011-09-08T21:24:21"/>
    <d v="2021-04-07T14:21:43"/>
    <n v="3498.7065046296266"/>
    <b v="0"/>
    <b v="1"/>
    <n v="507"/>
    <n v="18"/>
    <n v="134"/>
    <n v="0"/>
    <n v="7"/>
    <n v="75"/>
    <n v="246"/>
    <n v="7"/>
    <n v="364"/>
    <n v="40"/>
    <x v="7"/>
    <n v="4145"/>
    <n v="3"/>
    <n v="7.2376357056694817E-4"/>
    <n v="0"/>
    <n v="0"/>
    <n v="0"/>
    <n v="0"/>
    <n v="0"/>
    <n v="0"/>
    <n v="0"/>
    <n v="0"/>
    <n v="0"/>
    <n v="1"/>
    <n v="0.33333333333333331"/>
    <n v="2.4125452352231604E-4"/>
    <n v="1"/>
    <n v="0.33333333333333331"/>
    <n v="2.4125452352231604E-4"/>
    <n v="1"/>
    <n v="0.33333333333333331"/>
    <n v="2.4125452352231604E-4"/>
    <b v="1"/>
    <b v="1"/>
    <b v="0"/>
    <b v="0"/>
    <b v="1"/>
    <b v="0"/>
    <b v="0"/>
    <b v="0"/>
    <b v="0"/>
    <b v="0"/>
    <b v="0"/>
    <b v="0"/>
    <b v="0"/>
  </r>
  <r>
    <s v="dlapiduz/certbot-s3front"/>
    <s v="dlapiduz"/>
    <s v="certbot-s3front"/>
    <s v="https://github.com/dlapiduz/certbot-s3front"/>
    <d v="2015-12-05T17:41:22"/>
    <d v="2021-04-04T23:12:06"/>
    <n v="1947.2296759259261"/>
    <b v="0"/>
    <b v="0"/>
    <n v="584"/>
    <n v="12"/>
    <n v="60"/>
    <n v="0"/>
    <n v="0"/>
    <n v="17"/>
    <n v="26"/>
    <n v="0"/>
    <n v="61"/>
    <n v="12"/>
    <x v="5"/>
    <n v="165"/>
    <n v="3"/>
    <n v="1.8181818181818181E-2"/>
    <n v="0"/>
    <n v="0"/>
    <n v="0"/>
    <n v="0"/>
    <n v="0"/>
    <n v="0"/>
    <n v="0"/>
    <n v="0"/>
    <n v="0"/>
    <n v="3"/>
    <n v="1"/>
    <n v="1.8181818181818181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LLXW/data-science-competition"/>
    <s v="DLLXW"/>
    <s v="data-science-competition"/>
    <s v="https://github.com/DLLXW/data-science-competition"/>
    <d v="2020-10-15T02:27:45"/>
    <d v="2021-04-08T11:40:36"/>
    <n v="175.38392361110891"/>
    <b v="0"/>
    <b v="0"/>
    <n v="517"/>
    <n v="13"/>
    <n v="197"/>
    <n v="0"/>
    <n v="0"/>
    <n v="0"/>
    <n v="0"/>
    <n v="0"/>
    <n v="21"/>
    <n v="13"/>
    <x v="1"/>
    <n v="31319"/>
    <n v="119"/>
    <n v="3.7996104601040904E-3"/>
    <n v="0"/>
    <n v="0"/>
    <n v="0"/>
    <n v="111"/>
    <n v="0.9327731092436975"/>
    <n v="3.5441744627861681E-3"/>
    <n v="2"/>
    <n v="1.680672268907563E-2"/>
    <n v="6.3858999329480506E-5"/>
    <n v="6"/>
    <n v="5.0420168067226892E-2"/>
    <n v="1.915769979884415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mlc/gluon-cv"/>
    <s v="dmlc"/>
    <s v="gluon-cv"/>
    <s v="https://github.com/dmlc/gluon-cv"/>
    <d v="2018-02-26T01:33:21"/>
    <d v="2021-04-09T03:04:53"/>
    <n v="1138.0635648148163"/>
    <b v="0"/>
    <b v="1"/>
    <n v="4659"/>
    <n v="162"/>
    <n v="1053"/>
    <n v="10"/>
    <n v="17"/>
    <n v="110"/>
    <n v="898"/>
    <n v="13"/>
    <n v="750"/>
    <n v="370"/>
    <x v="4"/>
    <n v="52946"/>
    <n v="425"/>
    <n v="8.0270464246590869E-3"/>
    <n v="16"/>
    <n v="3.7647058823529408E-2"/>
    <n v="3.021946889283421E-4"/>
    <n v="318"/>
    <n v="0.74823529411764711"/>
    <n v="6.006119442450799E-3"/>
    <n v="88"/>
    <n v="0.20705882352941177"/>
    <n v="1.6620707891058814E-3"/>
    <n v="2"/>
    <n v="4.7058823529411761E-3"/>
    <n v="3.7774336116042762E-5"/>
    <n v="0"/>
    <n v="0"/>
    <n v="0"/>
    <n v="1"/>
    <n v="2.352941176470588E-3"/>
    <n v="1.8887168058021381E-5"/>
    <b v="1"/>
    <b v="0"/>
    <b v="0"/>
    <b v="0"/>
    <b v="1"/>
    <b v="0"/>
    <b v="0"/>
    <b v="0"/>
    <b v="0"/>
    <b v="0"/>
    <b v="0"/>
    <b v="0"/>
    <b v="0"/>
  </r>
  <r>
    <s v="dmlc/minpy"/>
    <s v="dmlc"/>
    <s v="minpy"/>
    <s v="https://github.com/dmlc/minpy"/>
    <d v="2015-11-05T03:10:48"/>
    <d v="2021-03-17T15:13:24"/>
    <n v="1959.5018055555556"/>
    <b v="0"/>
    <b v="1"/>
    <n v="1119"/>
    <n v="64"/>
    <n v="111"/>
    <n v="0"/>
    <n v="17"/>
    <n v="11"/>
    <n v="94"/>
    <n v="2"/>
    <n v="96"/>
    <n v="26"/>
    <x v="7"/>
    <n v="9222"/>
    <n v="36"/>
    <n v="3.9037085230969422E-3"/>
    <n v="19"/>
    <n v="0.52777777777777779"/>
    <n v="2.0602906094122752E-3"/>
    <n v="14"/>
    <n v="0.3888888888888889"/>
    <n v="1.5181088700932553E-3"/>
    <n v="2"/>
    <n v="5.5555555555555552E-2"/>
    <n v="2.1687269572760788E-4"/>
    <n v="1"/>
    <n v="2.7777777777777776E-2"/>
    <n v="1.084363478638039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MOJ/judge-server"/>
    <s v="DMOJ"/>
    <s v="judge-server"/>
    <s v="https://github.com/DMOJ/judge-server"/>
    <d v="2014-03-14T15:14:10"/>
    <d v="2021-04-08T04:49:06"/>
    <n v="2581.5659259259264"/>
    <b v="0"/>
    <b v="1"/>
    <n v="655"/>
    <n v="25"/>
    <n v="139"/>
    <n v="9"/>
    <n v="236"/>
    <n v="24"/>
    <n v="435"/>
    <n v="7"/>
    <n v="401"/>
    <n v="38"/>
    <x v="11"/>
    <n v="6328"/>
    <n v="67"/>
    <n v="1.0587863463969659E-2"/>
    <n v="13"/>
    <n v="0.19402985074626866"/>
    <n v="2.0543615676359038E-3"/>
    <n v="16"/>
    <n v="0.23880597014925373"/>
    <n v="2.5284450063211127E-3"/>
    <n v="15"/>
    <n v="0.22388059701492538"/>
    <n v="2.3704171934260431E-3"/>
    <n v="11"/>
    <n v="0.16417910447761194"/>
    <n v="1.7383059418457649E-3"/>
    <n v="0"/>
    <n v="0"/>
    <n v="0"/>
    <n v="12"/>
    <n v="0.17910447761194029"/>
    <n v="1.8963337547408343E-3"/>
    <b v="1"/>
    <b v="0"/>
    <b v="0"/>
    <b v="0"/>
    <b v="1"/>
    <b v="0"/>
    <b v="0"/>
    <b v="0"/>
    <b v="0"/>
    <b v="0"/>
    <b v="0"/>
    <b v="0"/>
    <b v="0"/>
  </r>
  <r>
    <s v="dnsviz/dnsviz"/>
    <s v="dnsviz"/>
    <s v="dnsviz"/>
    <s v="https://github.com/dnsviz/dnsviz"/>
    <d v="2014-10-23T15:28:20"/>
    <d v="2021-04-06T15:46:09"/>
    <n v="2357.0123726851816"/>
    <b v="0"/>
    <b v="1"/>
    <n v="553"/>
    <n v="32"/>
    <n v="81"/>
    <n v="24"/>
    <n v="7"/>
    <n v="6"/>
    <n v="21"/>
    <n v="2"/>
    <n v="52"/>
    <n v="4"/>
    <x v="7"/>
    <n v="18246"/>
    <n v="83"/>
    <n v="4.5489422339142823E-3"/>
    <n v="29"/>
    <n v="0.3493975903614458"/>
    <n v="1.5893894552230627E-3"/>
    <n v="5"/>
    <n v="6.0240963855421686E-2"/>
    <n v="2.7403266469363147E-4"/>
    <n v="3"/>
    <n v="3.614457831325301E-2"/>
    <n v="1.6441959881617889E-4"/>
    <n v="45"/>
    <n v="0.54216867469879515"/>
    <n v="2.4662939822426835E-3"/>
    <n v="0"/>
    <n v="0"/>
    <n v="0"/>
    <n v="1"/>
    <n v="1.2048192771084338E-2"/>
    <n v="5.4806532938726295E-5"/>
    <b v="1"/>
    <b v="0"/>
    <b v="0"/>
    <b v="0"/>
    <b v="1"/>
    <b v="0"/>
    <b v="0"/>
    <b v="0"/>
    <b v="0"/>
    <b v="0"/>
    <b v="0"/>
    <b v="0"/>
    <b v="0"/>
  </r>
  <r>
    <s v="doccano/doccano"/>
    <s v="doccano"/>
    <s v="doccano"/>
    <s v="https://github.com/doccano/doccano"/>
    <d v="2018-05-09T06:10:05"/>
    <d v="2021-04-09T03:29:05"/>
    <n v="1065.8881944444438"/>
    <b v="0"/>
    <b v="1"/>
    <n v="4596"/>
    <n v="105"/>
    <n v="944"/>
    <n v="13"/>
    <n v="14"/>
    <n v="56"/>
    <n v="417"/>
    <n v="11"/>
    <n v="862"/>
    <n v="117"/>
    <x v="5"/>
    <n v="4074"/>
    <n v="1"/>
    <n v="2.4545900834560628E-4"/>
    <n v="0"/>
    <n v="0"/>
    <n v="0"/>
    <n v="1"/>
    <n v="1"/>
    <n v="2.4545900834560628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ocker-archive/docker-registry"/>
    <s v="docker-archive"/>
    <s v="docker-registry"/>
    <s v="https://github.com/docker-archive/docker-registry"/>
    <d v="2013-04-16T01:04:54"/>
    <d v="2021-04-08T06:01:38"/>
    <n v="2914.2060648148181"/>
    <b v="0"/>
    <b v="1"/>
    <n v="2882"/>
    <n v="193"/>
    <n v="834"/>
    <n v="0"/>
    <n v="14"/>
    <n v="116"/>
    <n v="457"/>
    <n v="11"/>
    <n v="646"/>
    <n v="179"/>
    <x v="7"/>
    <n v="4866"/>
    <n v="105"/>
    <n v="2.1578298397040691E-2"/>
    <n v="55"/>
    <n v="0.52380952380952384"/>
    <n v="1.1302918207973694E-2"/>
    <n v="25"/>
    <n v="0.23809523809523808"/>
    <n v="5.1376900945334977E-3"/>
    <n v="18"/>
    <n v="0.17142857142857143"/>
    <n v="3.6991368680641184E-3"/>
    <n v="6"/>
    <n v="5.7142857142857141E-2"/>
    <n v="1.2330456226880395E-3"/>
    <n v="0"/>
    <n v="0"/>
    <n v="0"/>
    <n v="1"/>
    <n v="9.5238095238095247E-3"/>
    <n v="2.055076037813399E-4"/>
    <b v="1"/>
    <b v="0"/>
    <b v="0"/>
    <b v="0"/>
    <b v="1"/>
    <b v="0"/>
    <b v="0"/>
    <b v="0"/>
    <b v="0"/>
    <b v="0"/>
    <b v="0"/>
    <b v="0"/>
    <b v="0"/>
  </r>
  <r>
    <s v="docker/compose"/>
    <s v="docker"/>
    <s v="compose"/>
    <s v="https://github.com/docker/compose"/>
    <d v="2013-12-09T11:40:58"/>
    <d v="2021-04-09T03:16:16"/>
    <n v="2677.6495138888858"/>
    <b v="0"/>
    <b v="1"/>
    <n v="22299"/>
    <n v="694"/>
    <n v="3533"/>
    <n v="149"/>
    <n v="105"/>
    <n v="375"/>
    <n v="2792"/>
    <n v="77"/>
    <n v="5383"/>
    <n v="439"/>
    <x v="4"/>
    <n v="16458"/>
    <n v="98"/>
    <n v="5.9545509782476611E-3"/>
    <n v="15"/>
    <n v="0.15306122448979592"/>
    <n v="9.1141086401749912E-4"/>
    <n v="25"/>
    <n v="0.25510204081632654"/>
    <n v="1.5190181066958319E-3"/>
    <n v="40"/>
    <n v="0.40816326530612246"/>
    <n v="2.430428970713331E-3"/>
    <n v="18"/>
    <n v="0.18367346938775511"/>
    <n v="1.0936930368209989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docker/docker-py"/>
    <s v="docker"/>
    <s v="docker-py"/>
    <s v="https://github.com/docker/docker-py"/>
    <d v="2013-05-23T16:15:07"/>
    <d v="2021-04-08T14:51:36"/>
    <n v="2876.9420023148123"/>
    <b v="0"/>
    <b v="1"/>
    <n v="5196"/>
    <n v="189"/>
    <n v="1369"/>
    <n v="73"/>
    <n v="54"/>
    <n v="359"/>
    <n v="1420"/>
    <n v="81"/>
    <n v="1384"/>
    <n v="321"/>
    <x v="4"/>
    <n v="15264"/>
    <n v="38"/>
    <n v="2.489517819706499E-3"/>
    <n v="36"/>
    <n v="0.94736842105263153"/>
    <n v="2.3584905660377358E-3"/>
    <n v="1"/>
    <n v="2.6315789473684209E-2"/>
    <n v="6.5513626834381555E-5"/>
    <n v="1"/>
    <n v="2.6315789473684209E-2"/>
    <n v="6.5513626834381555E-5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ongweiming/web_develop"/>
    <s v="dongweiming"/>
    <s v="web_develop"/>
    <s v="https://github.com/dongweiming/web_develop"/>
    <d v="2016-05-26T09:19:31"/>
    <d v="2021-04-04T14:06:12"/>
    <n v="1774.1990856481425"/>
    <b v="0"/>
    <b v="0"/>
    <n v="1153"/>
    <n v="85"/>
    <n v="537"/>
    <n v="0"/>
    <n v="0"/>
    <n v="7"/>
    <n v="17"/>
    <n v="2"/>
    <n v="69"/>
    <n v="3"/>
    <x v="0"/>
    <n v="7108"/>
    <n v="7"/>
    <n v="9.8480585256049513E-4"/>
    <n v="0"/>
    <n v="0"/>
    <n v="0"/>
    <n v="2"/>
    <n v="0.2857142857142857"/>
    <n v="2.8137310073157008E-4"/>
    <n v="2"/>
    <n v="0.2857142857142857"/>
    <n v="2.8137310073157008E-4"/>
    <n v="0"/>
    <n v="0"/>
    <n v="0"/>
    <n v="0"/>
    <n v="0"/>
    <n v="0"/>
    <n v="3"/>
    <n v="0.42857142857142855"/>
    <n v="4.2205965109735509E-4"/>
    <b v="1"/>
    <b v="0"/>
    <b v="0"/>
    <b v="0"/>
    <b v="1"/>
    <b v="0"/>
    <b v="0"/>
    <b v="0"/>
    <b v="0"/>
    <b v="0"/>
    <b v="0"/>
    <b v="0"/>
    <b v="0"/>
  </r>
  <r>
    <s v="donnemartin/data-science-ipython-notebooks"/>
    <s v="donnemartin"/>
    <s v="data-science-ipython-notebooks"/>
    <s v="https://github.com/donnemartin/data-science-ipython-notebooks"/>
    <d v="2015-01-23T19:38:29"/>
    <d v="2021-04-08T19:04:15"/>
    <n v="2266.9762268518534"/>
    <b v="0"/>
    <b v="0"/>
    <n v="20927"/>
    <n v="1636"/>
    <n v="6106"/>
    <n v="0"/>
    <n v="1"/>
    <n v="12"/>
    <n v="50"/>
    <n v="11"/>
    <n v="30"/>
    <n v="9"/>
    <x v="7"/>
    <n v="3730"/>
    <n v="8"/>
    <n v="2.1447721179624667E-3"/>
    <n v="0"/>
    <n v="0"/>
    <n v="0"/>
    <n v="0"/>
    <n v="0"/>
    <n v="0"/>
    <n v="8"/>
    <n v="1"/>
    <n v="2.1447721179624667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onnemartin/gitsome"/>
    <s v="donnemartin"/>
    <s v="gitsome"/>
    <s v="https://github.com/donnemartin/gitsome"/>
    <d v="2016-04-23T03:08:21"/>
    <d v="2021-04-08T16:17:29"/>
    <n v="1811.5480092592552"/>
    <b v="0"/>
    <b v="0"/>
    <n v="7024"/>
    <n v="126"/>
    <n v="367"/>
    <n v="5"/>
    <n v="3"/>
    <n v="28"/>
    <n v="88"/>
    <n v="11"/>
    <n v="99"/>
    <n v="39"/>
    <x v="7"/>
    <n v="39313"/>
    <n v="190"/>
    <n v="4.8330068933940427E-3"/>
    <n v="13"/>
    <n v="6.8421052631578952E-2"/>
    <n v="3.3067941902169767E-4"/>
    <n v="50"/>
    <n v="0.26315789473684209"/>
    <n v="1.2718439193142217E-3"/>
    <n v="64"/>
    <n v="0.33684210526315789"/>
    <n v="1.6279602167222039E-3"/>
    <n v="63"/>
    <n v="0.33157894736842103"/>
    <n v="1.602523338335919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onnemartin/saws"/>
    <s v="donnemartin"/>
    <s v="saws"/>
    <s v="https://github.com/donnemartin/saws"/>
    <d v="2015-08-24T10:21:15"/>
    <d v="2021-04-08T11:37:04"/>
    <n v="2054.052650462967"/>
    <b v="0"/>
    <b v="0"/>
    <n v="4724"/>
    <n v="110"/>
    <n v="251"/>
    <n v="8"/>
    <n v="12"/>
    <n v="8"/>
    <n v="31"/>
    <n v="6"/>
    <n v="91"/>
    <n v="30"/>
    <x v="7"/>
    <n v="1481"/>
    <n v="4"/>
    <n v="2.7008777852802163E-3"/>
    <n v="3"/>
    <n v="0.75"/>
    <n v="2.0256583389601621E-3"/>
    <n v="0"/>
    <n v="0"/>
    <n v="0"/>
    <n v="0"/>
    <n v="0"/>
    <n v="0"/>
    <n v="1"/>
    <n v="0.25"/>
    <n v="6.752194463200540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ouban/dpark"/>
    <s v="douban"/>
    <s v="dpark"/>
    <s v="https://github.com/douban/dpark"/>
    <d v="2012-04-11T08:35:06"/>
    <d v="2021-04-07T12:51:21"/>
    <n v="3283.1779513888832"/>
    <b v="0"/>
    <b v="1"/>
    <n v="2657"/>
    <n v="273"/>
    <n v="541"/>
    <n v="4"/>
    <n v="6"/>
    <n v="22"/>
    <n v="30"/>
    <n v="0"/>
    <n v="60"/>
    <n v="0"/>
    <x v="2"/>
    <n v="16051"/>
    <n v="265"/>
    <n v="1.6509874774157374E-2"/>
    <n v="93"/>
    <n v="0.35094339622641507"/>
    <n v="5.7940315245156061E-3"/>
    <n v="43"/>
    <n v="0.16226415094339622"/>
    <n v="2.6789608124104416E-3"/>
    <n v="80"/>
    <n v="0.30188679245283018"/>
    <n v="4.9841131393682635E-3"/>
    <n v="34"/>
    <n v="0.12830188679245283"/>
    <n v="2.118248084231512E-3"/>
    <n v="1"/>
    <n v="3.7735849056603774E-3"/>
    <n v="6.2301414242103292E-5"/>
    <n v="14"/>
    <n v="5.2830188679245285E-2"/>
    <n v="8.7221979938944616E-4"/>
    <b v="1"/>
    <b v="0"/>
    <b v="0"/>
    <b v="0"/>
    <b v="1"/>
    <b v="0"/>
    <b v="0"/>
    <b v="0"/>
    <b v="0"/>
    <b v="0"/>
    <b v="0"/>
    <b v="0"/>
    <b v="0"/>
  </r>
  <r>
    <s v="dowjones/hammer"/>
    <s v="dowjones"/>
    <s v="hammer"/>
    <s v="https://github.com/dowjones/hammer"/>
    <d v="2018-07-19T15:12:04"/>
    <d v="2021-04-07T19:56:35"/>
    <n v="993.19758101851767"/>
    <b v="0"/>
    <b v="1"/>
    <n v="332"/>
    <n v="27"/>
    <n v="47"/>
    <n v="0"/>
    <n v="1"/>
    <n v="6"/>
    <n v="119"/>
    <n v="24"/>
    <n v="11"/>
    <n v="5"/>
    <x v="7"/>
    <n v="7747"/>
    <n v="592"/>
    <n v="7.6416677423518778E-2"/>
    <n v="359"/>
    <n v="0.60641891891891897"/>
    <n v="4.6340518910546018E-2"/>
    <n v="2"/>
    <n v="3.3783783783783786E-3"/>
    <n v="2.5816445075513099E-4"/>
    <n v="4"/>
    <n v="6.7567567567567571E-3"/>
    <n v="5.1632890151026198E-4"/>
    <n v="77"/>
    <n v="0.13006756756756757"/>
    <n v="9.9393313540725448E-3"/>
    <n v="0"/>
    <n v="0"/>
    <n v="0"/>
    <n v="150"/>
    <n v="0.2533783783783784"/>
    <n v="1.9362333806634827E-2"/>
    <b v="1"/>
    <b v="1"/>
    <b v="0"/>
    <b v="0"/>
    <b v="1"/>
    <b v="0"/>
    <b v="0"/>
    <b v="0"/>
    <b v="0"/>
    <b v="0"/>
    <b v="0"/>
    <b v="0"/>
    <b v="0"/>
  </r>
  <r>
    <s v="dpgaspar/Flask-AppBuilder"/>
    <s v="dpgaspar"/>
    <s v="Flask-AppBuilder"/>
    <s v="https://github.com/dpgaspar/Flask-AppBuilder"/>
    <d v="2013-11-09T21:13:29"/>
    <d v="2021-04-08T17:44:08"/>
    <n v="2706.8546180555568"/>
    <b v="0"/>
    <b v="0"/>
    <n v="3260"/>
    <n v="164"/>
    <n v="980"/>
    <n v="4"/>
    <n v="18"/>
    <n v="121"/>
    <n v="594"/>
    <n v="26"/>
    <n v="1013"/>
    <n v="80"/>
    <x v="2"/>
    <n v="18763"/>
    <n v="255"/>
    <n v="1.3590577199808133E-2"/>
    <n v="36"/>
    <n v="0.14117647058823529"/>
    <n v="1.9186697223258541E-3"/>
    <n v="59"/>
    <n v="0.23137254901960785"/>
    <n v="3.1444864893673719E-3"/>
    <n v="35"/>
    <n v="0.13725490196078433"/>
    <n v="1.8653733411501359E-3"/>
    <n v="113"/>
    <n v="0.44313725490196076"/>
    <n v="6.022491072856153E-3"/>
    <n v="0"/>
    <n v="0"/>
    <n v="0"/>
    <n v="12"/>
    <n v="4.7058823529411764E-2"/>
    <n v="6.3955657410861807E-4"/>
    <b v="0"/>
    <b v="1"/>
    <b v="0"/>
    <b v="0"/>
    <b v="1"/>
    <b v="0"/>
    <b v="0"/>
    <b v="0"/>
    <b v="0"/>
    <b v="0"/>
    <b v="0"/>
    <b v="0"/>
    <b v="0"/>
  </r>
  <r>
    <s v="dragonchain/dragonchain"/>
    <s v="dragonchain"/>
    <s v="dragonchain"/>
    <s v="https://github.com/dragonchain/dragonchain"/>
    <d v="2016-08-22T06:08:34"/>
    <d v="2021-04-07T15:58:02"/>
    <n v="1689.4093518518494"/>
    <b v="0"/>
    <b v="1"/>
    <n v="683"/>
    <n v="104"/>
    <n v="157"/>
    <n v="12"/>
    <n v="2"/>
    <n v="17"/>
    <n v="202"/>
    <n v="1"/>
    <n v="122"/>
    <n v="5"/>
    <x v="7"/>
    <n v="13803"/>
    <n v="427"/>
    <n v="3.0935303919437804E-2"/>
    <n v="38"/>
    <n v="8.899297423887588E-2"/>
    <n v="2.7530247047743246E-3"/>
    <n v="277"/>
    <n v="0.64871194379391106"/>
    <n v="2.0068101137433892E-2"/>
    <n v="38"/>
    <n v="8.899297423887588E-2"/>
    <n v="2.7530247047743246E-3"/>
    <n v="13"/>
    <n v="3.0444964871194378E-2"/>
    <n v="9.4182424110700574E-4"/>
    <n v="0"/>
    <n v="0"/>
    <n v="0"/>
    <n v="61"/>
    <n v="0.14285714285714285"/>
    <n v="4.4193291313482574E-3"/>
    <b v="1"/>
    <b v="0"/>
    <b v="0"/>
    <b v="0"/>
    <b v="1"/>
    <b v="0"/>
    <b v="0"/>
    <b v="0"/>
    <b v="0"/>
    <b v="0"/>
    <b v="0"/>
    <b v="0"/>
    <b v="0"/>
  </r>
  <r>
    <s v="DragonComputer/Dragonfire"/>
    <s v="DragonComputer"/>
    <s v="Dragonfire"/>
    <s v="https://github.com/DragonComputer/Dragonfire"/>
    <d v="2016-04-19T23:28:07"/>
    <d v="2021-04-07T15:23:26"/>
    <n v="1813.6634143518531"/>
    <b v="0"/>
    <b v="1"/>
    <n v="1128"/>
    <n v="85"/>
    <n v="171"/>
    <n v="12"/>
    <n v="0"/>
    <n v="16"/>
    <n v="62"/>
    <n v="3"/>
    <n v="91"/>
    <n v="33"/>
    <x v="5"/>
    <n v="3963"/>
    <n v="21"/>
    <n v="5.2990158970476911E-3"/>
    <n v="2"/>
    <n v="9.5238095238095233E-2"/>
    <n v="5.0466818067120868E-4"/>
    <n v="18"/>
    <n v="0.8571428571428571"/>
    <n v="4.5420136260408781E-3"/>
    <n v="0"/>
    <n v="0"/>
    <n v="0"/>
    <n v="1"/>
    <n v="4.7619047619047616E-2"/>
    <n v="2.523340903356043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rakkar-Software/OctoBot"/>
    <s v="Drakkar-Software"/>
    <s v="OctoBot"/>
    <s v="https://github.com/Drakkar-Software/OctoBot"/>
    <d v="2018-02-23T23:13:05"/>
    <d v="2021-04-09T03:16:13"/>
    <n v="1140.1688425925895"/>
    <b v="0"/>
    <b v="1"/>
    <n v="759"/>
    <n v="81"/>
    <n v="196"/>
    <n v="46"/>
    <n v="3"/>
    <n v="12"/>
    <n v="1006"/>
    <n v="1"/>
    <n v="630"/>
    <n v="38"/>
    <x v="9"/>
    <n v="3299"/>
    <n v="106"/>
    <n v="3.2130948772355263E-2"/>
    <n v="23"/>
    <n v="0.21698113207547171"/>
    <n v="6.971809639284632E-3"/>
    <n v="51"/>
    <n v="0.48113207547169812"/>
    <n v="1.5459230069718097E-2"/>
    <n v="2"/>
    <n v="1.8867924528301886E-2"/>
    <n v="6.062443164595332E-4"/>
    <n v="19"/>
    <n v="0.17924528301886791"/>
    <n v="5.7593210063655656E-3"/>
    <n v="0"/>
    <n v="0"/>
    <n v="0"/>
    <n v="11"/>
    <n v="0.10377358490566038"/>
    <n v="3.3343437405274324E-3"/>
    <b v="1"/>
    <b v="1"/>
    <b v="0"/>
    <b v="0"/>
    <b v="1"/>
    <b v="0"/>
    <b v="0"/>
    <b v="0"/>
    <b v="0"/>
    <b v="0"/>
    <b v="0"/>
    <b v="0"/>
    <b v="0"/>
  </r>
  <r>
    <s v="droope/droopescan"/>
    <s v="droope"/>
    <s v="droopescan"/>
    <s v="https://github.com/droope/droopescan"/>
    <d v="2014-10-22T22:06:30"/>
    <d v="2021-04-08T20:34:36"/>
    <n v="2359.93618055556"/>
    <b v="0"/>
    <b v="0"/>
    <n v="852"/>
    <n v="43"/>
    <n v="194"/>
    <n v="0"/>
    <n v="0"/>
    <n v="13"/>
    <n v="23"/>
    <n v="1"/>
    <n v="28"/>
    <n v="2"/>
    <x v="11"/>
    <n v="4969"/>
    <n v="29"/>
    <n v="5.8361843429261418E-3"/>
    <n v="10"/>
    <n v="0.34482758620689657"/>
    <n v="2.012477359629704E-3"/>
    <n v="0"/>
    <n v="0"/>
    <n v="0"/>
    <n v="11"/>
    <n v="0.37931034482758619"/>
    <n v="2.2137250955926746E-3"/>
    <n v="8"/>
    <n v="0.27586206896551724"/>
    <n v="1.609981887703763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ropbox/changes"/>
    <s v="dropbox"/>
    <s v="changes"/>
    <s v="https://github.com/dropbox/changes"/>
    <d v="2013-09-21T01:41:26"/>
    <d v="2021-02-13T21:35:41"/>
    <n v="2702.8293402777781"/>
    <b v="0"/>
    <b v="1"/>
    <n v="773"/>
    <n v="54"/>
    <n v="52"/>
    <n v="0"/>
    <n v="52"/>
    <n v="38"/>
    <n v="26"/>
    <n v="0"/>
    <n v="0"/>
    <n v="0"/>
    <x v="4"/>
    <n v="32932"/>
    <n v="168"/>
    <n v="5.1014211101664039E-3"/>
    <n v="2"/>
    <n v="1.1904761904761904E-2"/>
    <n v="6.0731203692457187E-5"/>
    <n v="36"/>
    <n v="0.21428571428571427"/>
    <n v="1.0931616664642293E-3"/>
    <n v="65"/>
    <n v="0.38690476190476192"/>
    <n v="1.9737641200048583E-3"/>
    <n v="16"/>
    <n v="9.5238095238095233E-2"/>
    <n v="4.8584962953965749E-4"/>
    <n v="0"/>
    <n v="0"/>
    <n v="0"/>
    <n v="49"/>
    <n v="0.29166666666666669"/>
    <n v="1.4879144904652011E-3"/>
    <b v="1"/>
    <b v="0"/>
    <b v="0"/>
    <b v="0"/>
    <b v="1"/>
    <b v="0"/>
    <b v="0"/>
    <b v="0"/>
    <b v="0"/>
    <b v="0"/>
    <b v="0"/>
    <b v="0"/>
    <b v="0"/>
  </r>
  <r>
    <s v="dropbox/nsot"/>
    <s v="dropbox"/>
    <s v="nsot"/>
    <s v="https://github.com/dropbox/nsot"/>
    <d v="2014-12-18T21:06:12"/>
    <d v="2021-04-01T12:35:52"/>
    <n v="2295.6456018518511"/>
    <b v="0"/>
    <b v="1"/>
    <n v="339"/>
    <n v="51"/>
    <n v="61"/>
    <n v="0"/>
    <n v="1"/>
    <n v="24"/>
    <n v="233"/>
    <n v="12"/>
    <n v="150"/>
    <n v="55"/>
    <x v="7"/>
    <n v="7472"/>
    <n v="53"/>
    <n v="7.0931477516059955E-3"/>
    <n v="45"/>
    <n v="0.84905660377358494"/>
    <n v="6.0224839400428269E-3"/>
    <n v="6"/>
    <n v="0.11320754716981132"/>
    <n v="8.0299785867237686E-4"/>
    <n v="2"/>
    <n v="3.7735849056603772E-2"/>
    <n v="2.6766595289079231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ssg/aequitas"/>
    <s v="dssg"/>
    <s v="aequitas"/>
    <s v="https://github.com/dssg/aequitas"/>
    <d v="2018-02-13T19:40:30"/>
    <d v="2021-04-03T05:02:35"/>
    <n v="1144.390335648146"/>
    <b v="0"/>
    <b v="1"/>
    <n v="370"/>
    <n v="42"/>
    <n v="69"/>
    <n v="0"/>
    <n v="1"/>
    <n v="13"/>
    <n v="54"/>
    <n v="3"/>
    <n v="53"/>
    <n v="32"/>
    <x v="5"/>
    <n v="3617"/>
    <n v="32"/>
    <n v="8.8471108653580318E-3"/>
    <n v="0"/>
    <n v="0"/>
    <n v="0"/>
    <n v="14"/>
    <n v="0.4375"/>
    <n v="3.8706110035941388E-3"/>
    <n v="8"/>
    <n v="0.25"/>
    <n v="2.211777716339508E-3"/>
    <n v="10"/>
    <n v="0.3125"/>
    <n v="2.764722145424385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T42/BerryNet"/>
    <s v="DT42"/>
    <s v="BerryNet"/>
    <s v="https://github.com/DT42/BerryNet"/>
    <d v="2017-04-27T16:49:40"/>
    <d v="2021-04-06T00:34:05"/>
    <n v="1439.3225115740788"/>
    <b v="0"/>
    <b v="1"/>
    <n v="1499"/>
    <n v="107"/>
    <n v="223"/>
    <n v="9"/>
    <n v="1"/>
    <n v="6"/>
    <n v="19"/>
    <n v="3"/>
    <n v="46"/>
    <n v="11"/>
    <x v="0"/>
    <n v="4975"/>
    <n v="242"/>
    <n v="4.8643216080402008E-2"/>
    <n v="191"/>
    <n v="0.78925619834710747"/>
    <n v="3.8391959798994978E-2"/>
    <n v="19"/>
    <n v="7.8512396694214878E-2"/>
    <n v="3.8190954773869349E-3"/>
    <n v="20"/>
    <n v="8.2644628099173556E-2"/>
    <n v="4.0201005025125632E-3"/>
    <n v="4"/>
    <n v="1.6528925619834711E-2"/>
    <n v="8.0402010050251258E-4"/>
    <n v="7"/>
    <n v="2.8925619834710745E-2"/>
    <n v="1.407035175879397E-3"/>
    <n v="1"/>
    <n v="4.1322314049586778E-3"/>
    <n v="2.0100502512562814E-4"/>
    <b v="1"/>
    <b v="0"/>
    <b v="0"/>
    <b v="0"/>
    <b v="1"/>
    <b v="0"/>
    <b v="0"/>
    <b v="0"/>
    <b v="0"/>
    <b v="1"/>
    <b v="0"/>
    <b v="0"/>
    <b v="0"/>
  </r>
  <r>
    <s v="duckietown/gym-duckietown"/>
    <s v="duckietown"/>
    <s v="gym-duckietown"/>
    <s v="https://github.com/duckietown/gym-duckietown"/>
    <d v="2017-11-01T18:27:10"/>
    <d v="2021-04-08T21:51:38"/>
    <n v="1254.1419907407399"/>
    <b v="0"/>
    <b v="1"/>
    <n v="389"/>
    <n v="45"/>
    <n v="153"/>
    <n v="0"/>
    <n v="24"/>
    <n v="20"/>
    <n v="130"/>
    <n v="5"/>
    <n v="113"/>
    <n v="20"/>
    <x v="7"/>
    <n v="4265"/>
    <n v="28"/>
    <n v="6.5650644783118405E-3"/>
    <n v="16"/>
    <n v="0.5714285714285714"/>
    <n v="3.7514654161781946E-3"/>
    <n v="9"/>
    <n v="0.32142857142857145"/>
    <n v="2.1101992966002345E-3"/>
    <n v="3"/>
    <n v="0.10714285714285714"/>
    <n v="7.0339976553341146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dwisiswant0/apkleaks"/>
    <s v="dwisiswant0"/>
    <s v="apkleaks"/>
    <s v="https://github.com/dwisiswant0/apkleaks"/>
    <d v="2020-05-29T21:26:13"/>
    <d v="2021-04-08T17:55:37"/>
    <n v="313.85375000000204"/>
    <b v="0"/>
    <b v="0"/>
    <n v="2118"/>
    <n v="49"/>
    <n v="198"/>
    <n v="0"/>
    <n v="0"/>
    <n v="7"/>
    <n v="17"/>
    <n v="0"/>
    <n v="28"/>
    <n v="3"/>
    <x v="4"/>
    <n v="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ebhy/budgetml"/>
    <s v="ebhy"/>
    <s v="budgetml"/>
    <s v="https://github.com/ebhy/budgetml"/>
    <d v="2020-12-27T14:24:57"/>
    <d v="2021-04-08T07:50:40"/>
    <n v="101.72619212963036"/>
    <b v="0"/>
    <b v="1"/>
    <n v="1184"/>
    <n v="27"/>
    <n v="44"/>
    <n v="1"/>
    <n v="0"/>
    <n v="2"/>
    <n v="2"/>
    <n v="0"/>
    <n v="4"/>
    <n v="0"/>
    <x v="4"/>
    <n v="595"/>
    <n v="28"/>
    <n v="4.7058823529411764E-2"/>
    <n v="24"/>
    <n v="0.8571428571428571"/>
    <n v="4.0336134453781515E-2"/>
    <n v="4"/>
    <n v="0.14285714285714285"/>
    <n v="6.7226890756302525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edeng23/binance-trade-bot"/>
    <s v="edeng23"/>
    <s v="binance-trade-bot"/>
    <s v="https://github.com/edeng23/binance-trade-bot"/>
    <d v="2019-07-12T16:43:32"/>
    <d v="2021-04-09T03:42:51"/>
    <n v="636.45785879629693"/>
    <b v="0"/>
    <b v="0"/>
    <n v="3016"/>
    <n v="144"/>
    <n v="493"/>
    <n v="0"/>
    <n v="12"/>
    <n v="23"/>
    <n v="122"/>
    <n v="22"/>
    <n v="134"/>
    <n v="19"/>
    <x v="0"/>
    <n v="1060"/>
    <n v="47"/>
    <n v="4.4339622641509431E-2"/>
    <n v="1"/>
    <n v="2.1276595744680851E-2"/>
    <n v="9.4339622641509435E-4"/>
    <n v="42"/>
    <n v="0.8936170212765957"/>
    <n v="3.962264150943396E-2"/>
    <n v="1"/>
    <n v="2.1276595744680851E-2"/>
    <n v="9.4339622641509435E-4"/>
    <n v="3"/>
    <n v="6.3829787234042548E-2"/>
    <n v="2.8301886792452828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edx/configuration"/>
    <s v="edx"/>
    <s v="configuration"/>
    <s v="https://github.com/edx/configuration"/>
    <d v="2013-04-16T17:23:42"/>
    <d v="2021-04-08T21:38:01"/>
    <n v="2914.1766087962969"/>
    <b v="0"/>
    <b v="1"/>
    <n v="778"/>
    <n v="186"/>
    <n v="796"/>
    <n v="8"/>
    <n v="120"/>
    <n v="248"/>
    <n v="5896"/>
    <n v="69"/>
    <n v="0"/>
    <n v="0"/>
    <x v="11"/>
    <n v="6973"/>
    <n v="42"/>
    <n v="6.0232324680912089E-3"/>
    <n v="7"/>
    <n v="0.16666666666666666"/>
    <n v="1.0038720780152016E-3"/>
    <n v="18"/>
    <n v="0.42857142857142855"/>
    <n v="2.5813853434676608E-3"/>
    <n v="8"/>
    <n v="0.19047619047619047"/>
    <n v="1.1472823748745161E-3"/>
    <n v="5"/>
    <n v="0.11904761904761904"/>
    <n v="7.1705148429657248E-4"/>
    <n v="2"/>
    <n v="4.7619047619047616E-2"/>
    <n v="2.8682059371862902E-4"/>
    <n v="2"/>
    <n v="4.7619047619047616E-2"/>
    <n v="2.8682059371862902E-4"/>
    <b v="1"/>
    <b v="0"/>
    <b v="0"/>
    <b v="0"/>
    <b v="1"/>
    <b v="0"/>
    <b v="0"/>
    <b v="0"/>
    <b v="0"/>
    <b v="0"/>
    <b v="0"/>
    <b v="0"/>
    <b v="0"/>
  </r>
  <r>
    <s v="edx/edx-platform"/>
    <s v="edx"/>
    <s v="edx-platform"/>
    <s v="https://github.com/edx/edx-platform"/>
    <d v="2013-05-30T20:20:38"/>
    <d v="2021-04-08T17:50:21"/>
    <n v="2869.8956365740742"/>
    <b v="0"/>
    <b v="1"/>
    <n v="5498"/>
    <n v="417"/>
    <n v="2636"/>
    <n v="4"/>
    <n v="2815"/>
    <n v="553"/>
    <n v="27098"/>
    <n v="265"/>
    <n v="0"/>
    <n v="0"/>
    <x v="11"/>
    <n v="283875"/>
    <n v="1834"/>
    <n v="6.4605900484368123E-3"/>
    <n v="188"/>
    <n v="0.1025081788440567"/>
    <n v="6.6226332012329372E-4"/>
    <n v="755"/>
    <n v="0.41166848418756818"/>
    <n v="2.6596213121972698E-3"/>
    <n v="345"/>
    <n v="0.18811341330425299"/>
    <n v="1.2153236459709379E-3"/>
    <n v="249"/>
    <n v="0.13576881134133043"/>
    <n v="8.7714663143989428E-4"/>
    <n v="12"/>
    <n v="6.5430752453653216E-3"/>
    <n v="4.2272126816380447E-5"/>
    <n v="285"/>
    <n v="0.15539803707742639"/>
    <n v="1.0039630118890356E-3"/>
    <b v="1"/>
    <b v="1"/>
    <b v="0"/>
    <b v="0"/>
    <b v="1"/>
    <b v="0"/>
    <b v="0"/>
    <b v="0"/>
    <b v="0"/>
    <b v="0"/>
    <b v="0"/>
    <b v="0"/>
    <b v="0"/>
  </r>
  <r>
    <s v="EFForg/crocodilehunter"/>
    <s v="EFForg"/>
    <s v="crocodilehunter"/>
    <s v="https://github.com/EFForg/crocodilehunter"/>
    <d v="2018-09-10T20:44:12"/>
    <d v="2021-04-07T07:51:13"/>
    <n v="939.46320601851767"/>
    <b v="0"/>
    <b v="1"/>
    <n v="352"/>
    <n v="34"/>
    <n v="60"/>
    <n v="0"/>
    <n v="0"/>
    <n v="7"/>
    <n v="30"/>
    <n v="0"/>
    <n v="91"/>
    <n v="24"/>
    <x v="0"/>
    <n v="1552"/>
    <n v="56"/>
    <n v="3.608247422680412E-2"/>
    <n v="9"/>
    <n v="0.16071428571428573"/>
    <n v="5.7989690721649487E-3"/>
    <n v="26"/>
    <n v="0.4642857142857143"/>
    <n v="1.6752577319587628E-2"/>
    <n v="7"/>
    <n v="0.125"/>
    <n v="4.5103092783505151E-3"/>
    <n v="9"/>
    <n v="0.16071428571428573"/>
    <n v="5.7989690721649487E-3"/>
    <n v="5"/>
    <n v="8.9285714285714288E-2"/>
    <n v="3.2216494845360823E-3"/>
    <n v="0"/>
    <n v="0"/>
    <n v="0"/>
    <b v="0"/>
    <b v="1"/>
    <b v="0"/>
    <b v="0"/>
    <b v="1"/>
    <b v="0"/>
    <b v="0"/>
    <b v="0"/>
    <b v="0"/>
    <b v="0"/>
    <b v="0"/>
    <b v="0"/>
    <b v="0"/>
  </r>
  <r>
    <s v="ehendrix23/tesla_dashcam"/>
    <s v="ehendrix23"/>
    <s v="tesla_dashcam"/>
    <s v="https://github.com/ehendrix23/tesla_dashcam"/>
    <d v="2019-02-28T00:00:03"/>
    <d v="2021-03-22T12:46:58"/>
    <n v="753.53258101851679"/>
    <b v="0"/>
    <b v="0"/>
    <n v="455"/>
    <n v="41"/>
    <n v="55"/>
    <n v="17"/>
    <n v="0"/>
    <n v="14"/>
    <n v="37"/>
    <n v="1"/>
    <n v="113"/>
    <n v="19"/>
    <x v="4"/>
    <n v="1884"/>
    <n v="53"/>
    <n v="2.8131634819532909E-2"/>
    <n v="50"/>
    <n v="0.94339622641509435"/>
    <n v="2.6539278131634821E-2"/>
    <n v="0"/>
    <n v="0"/>
    <n v="0"/>
    <n v="3"/>
    <n v="5.6603773584905662E-2"/>
    <n v="1.5923566878980893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Ekultek/Zeus-Scanner"/>
    <s v="Ekultek"/>
    <s v="Zeus-Scanner"/>
    <s v="https://github.com/Ekultek/Zeus-Scanner"/>
    <d v="2017-09-07T17:53:31"/>
    <d v="2021-04-03T08:49:22"/>
    <n v="1303.6221180555513"/>
    <b v="0"/>
    <b v="0"/>
    <n v="709"/>
    <n v="48"/>
    <n v="197"/>
    <n v="5"/>
    <n v="0"/>
    <n v="4"/>
    <n v="7"/>
    <n v="0"/>
    <n v="1036"/>
    <n v="323"/>
    <x v="1"/>
    <n v="3634"/>
    <n v="269"/>
    <n v="7.4023115024766092E-2"/>
    <n v="47"/>
    <n v="0.17472118959107807"/>
    <n v="1.2933406714364337E-2"/>
    <n v="111"/>
    <n v="0.41263940520446096"/>
    <n v="3.054485415520088E-2"/>
    <n v="53"/>
    <n v="0.19702602230483271"/>
    <n v="1.4584479911942764E-2"/>
    <n v="32"/>
    <n v="0.11895910780669144"/>
    <n v="8.8057237204182716E-3"/>
    <n v="1"/>
    <n v="3.7174721189591076E-3"/>
    <n v="2.7517886626307099E-4"/>
    <n v="25"/>
    <n v="9.2936802973977689E-2"/>
    <n v="6.8794716565767746E-3"/>
    <b v="1"/>
    <b v="0"/>
    <b v="0"/>
    <b v="0"/>
    <b v="1"/>
    <b v="0"/>
    <b v="0"/>
    <b v="0"/>
    <b v="0"/>
    <b v="0"/>
    <b v="0"/>
    <b v="0"/>
    <b v="0"/>
  </r>
  <r>
    <s v="elastic/curator"/>
    <s v="elastic"/>
    <s v="curator"/>
    <s v="https://github.com/elastic/curator"/>
    <d v="2013-08-20T05:45:34"/>
    <d v="2021-04-08T12:46:30"/>
    <n v="2788.2923148148184"/>
    <b v="0"/>
    <b v="1"/>
    <n v="2808"/>
    <n v="341"/>
    <n v="601"/>
    <n v="100"/>
    <n v="6"/>
    <n v="120"/>
    <n v="722"/>
    <n v="20"/>
    <n v="872"/>
    <n v="140"/>
    <x v="7"/>
    <n v="12407"/>
    <n v="399"/>
    <n v="3.2159264931087291E-2"/>
    <n v="226"/>
    <n v="0.5664160401002506"/>
    <n v="1.8215523494801322E-2"/>
    <n v="112"/>
    <n v="0.2807017543859649"/>
    <n v="9.0271620859192388E-3"/>
    <n v="20"/>
    <n v="5.0125313283208017E-2"/>
    <n v="1.6119932296284356E-3"/>
    <n v="35"/>
    <n v="8.771929824561403E-2"/>
    <n v="2.8209881518497623E-3"/>
    <n v="6"/>
    <n v="1.5037593984962405E-2"/>
    <n v="4.8359796888853066E-4"/>
    <n v="0"/>
    <n v="0"/>
    <n v="0"/>
    <b v="1"/>
    <b v="0"/>
    <b v="0"/>
    <b v="0"/>
    <b v="1"/>
    <b v="0"/>
    <b v="0"/>
    <b v="0"/>
    <b v="0"/>
    <b v="0"/>
    <b v="0"/>
    <b v="0"/>
    <b v="0"/>
  </r>
  <r>
    <s v="elastic/elasticsearch-py"/>
    <s v="elastic"/>
    <s v="elasticsearch-py"/>
    <s v="https://github.com/elastic/elasticsearch-py"/>
    <d v="2013-05-01T22:47:39"/>
    <d v="2021-04-07T20:59:43"/>
    <n v="2897.9250462962955"/>
    <b v="0"/>
    <b v="1"/>
    <n v="3154"/>
    <n v="342"/>
    <n v="958"/>
    <n v="7"/>
    <n v="55"/>
    <n v="160"/>
    <n v="716"/>
    <n v="11"/>
    <n v="851"/>
    <n v="60"/>
    <x v="4"/>
    <n v="9846"/>
    <n v="20"/>
    <n v="2.0312817387771686E-3"/>
    <n v="5"/>
    <n v="0.25"/>
    <n v="5.0782043469429214E-4"/>
    <n v="4"/>
    <n v="0.2"/>
    <n v="4.0625634775543368E-4"/>
    <n v="11"/>
    <n v="0.55000000000000004"/>
    <n v="1.1172049563274427E-3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elastic/rally"/>
    <s v="elastic"/>
    <s v="rally"/>
    <s v="https://github.com/elastic/rally"/>
    <d v="2015-11-30T19:11:43"/>
    <d v="2021-04-08T14:15:10"/>
    <n v="1955.7940624999974"/>
    <b v="0"/>
    <b v="1"/>
    <n v="1362"/>
    <n v="306"/>
    <n v="211"/>
    <n v="38"/>
    <n v="14"/>
    <n v="47"/>
    <n v="590"/>
    <n v="7"/>
    <n v="643"/>
    <n v="61"/>
    <x v="4"/>
    <n v="23396"/>
    <n v="443"/>
    <n v="1.893486065994187E-2"/>
    <n v="83"/>
    <n v="0.18735891647855529"/>
    <n v="3.5476149769191317E-3"/>
    <n v="260"/>
    <n v="0.58690744920993232"/>
    <n v="1.1113010771071978E-2"/>
    <n v="36"/>
    <n v="8.1264108352144468E-2"/>
    <n v="1.5387245683022739E-3"/>
    <n v="22"/>
    <n v="4.9661399548532728E-2"/>
    <n v="9.4033168062916737E-4"/>
    <n v="1"/>
    <n v="2.257336343115124E-3"/>
    <n v="4.2742349119507607E-5"/>
    <n v="41"/>
    <n v="9.2550790067720087E-2"/>
    <n v="1.752436313899812E-3"/>
    <b v="0"/>
    <b v="1"/>
    <b v="0"/>
    <b v="0"/>
    <b v="1"/>
    <b v="0"/>
    <b v="0"/>
    <b v="0"/>
    <b v="0"/>
    <b v="0"/>
    <b v="0"/>
    <b v="0"/>
    <b v="0"/>
  </r>
  <r>
    <s v="EleutherAI/gpt-neo"/>
    <s v="EleutherAI"/>
    <s v="gpt-neo"/>
    <s v="https://github.com/EleutherAI/gpt-neo"/>
    <d v="2020-07-05T10:23:46"/>
    <d v="2021-04-09T01:31:53"/>
    <n v="277.63063657407474"/>
    <b v="0"/>
    <b v="1"/>
    <n v="4238"/>
    <n v="139"/>
    <n v="293"/>
    <n v="1"/>
    <n v="4"/>
    <n v="18"/>
    <n v="117"/>
    <n v="7"/>
    <n v="81"/>
    <n v="9"/>
    <x v="5"/>
    <n v="2279"/>
    <n v="25"/>
    <n v="1.0969723562966213E-2"/>
    <n v="0"/>
    <n v="0"/>
    <n v="0"/>
    <n v="19"/>
    <n v="0.76"/>
    <n v="8.3369899078543225E-3"/>
    <n v="4"/>
    <n v="0.16"/>
    <n v="1.7551557700745941E-3"/>
    <n v="2"/>
    <n v="0.08"/>
    <n v="8.7757788503729707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EleutherAI/gpt-neox"/>
    <s v="EleutherAI"/>
    <s v="gpt-neox"/>
    <s v="https://github.com/EleutherAI/gpt-neox"/>
    <d v="2020-12-22T14:37:54"/>
    <d v="2021-04-09T02:49:32"/>
    <n v="107.50807870370772"/>
    <b v="0"/>
    <b v="1"/>
    <n v="598"/>
    <n v="38"/>
    <n v="56"/>
    <n v="0"/>
    <n v="4"/>
    <n v="13"/>
    <n v="157"/>
    <n v="3"/>
    <n v="63"/>
    <n v="12"/>
    <x v="4"/>
    <n v="6912"/>
    <n v="14"/>
    <n v="2.0254629629629629E-3"/>
    <n v="1"/>
    <n v="7.1428571428571425E-2"/>
    <n v="1.4467592592592592E-4"/>
    <n v="8"/>
    <n v="0.5714285714285714"/>
    <n v="1.1574074074074073E-3"/>
    <n v="3"/>
    <n v="0.21428571428571427"/>
    <n v="4.3402777777777775E-4"/>
    <n v="2"/>
    <n v="0.14285714285714285"/>
    <n v="2.893518518518518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eliasgranderubio/dagda"/>
    <s v="eliasgranderubio"/>
    <s v="dagda"/>
    <s v="https://github.com/eliasgranderubio/dagda"/>
    <d v="2016-11-15T21:47:50"/>
    <d v="2021-04-06T19:56:20"/>
    <n v="1602.9225694444394"/>
    <b v="0"/>
    <b v="0"/>
    <n v="829"/>
    <n v="34"/>
    <n v="119"/>
    <n v="7"/>
    <n v="0"/>
    <n v="7"/>
    <n v="22"/>
    <n v="4"/>
    <n v="72"/>
    <n v="16"/>
    <x v="4"/>
    <n v="4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EliotAndres/pretrained.ml"/>
    <s v="EliotAndres"/>
    <s v="pretrained.ml"/>
    <s v="https://github.com/EliotAndres/pretrained.ml"/>
    <d v="2017-09-28T16:14:03"/>
    <d v="2021-01-20T20:18:37"/>
    <n v="1210.1698379629597"/>
    <b v="0"/>
    <b v="0"/>
    <n v="367"/>
    <n v="22"/>
    <n v="63"/>
    <n v="0"/>
    <n v="0"/>
    <n v="3"/>
    <n v="2"/>
    <n v="0"/>
    <n v="1"/>
    <n v="0"/>
    <x v="5"/>
    <n v="376"/>
    <n v="8"/>
    <n v="2.1276595744680851E-2"/>
    <n v="0"/>
    <n v="0"/>
    <n v="0"/>
    <n v="8"/>
    <n v="1"/>
    <n v="2.1276595744680851E-2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elyra-ai/elyra"/>
    <s v="elyra-ai"/>
    <s v="elyra"/>
    <s v="https://github.com/elyra-ai/elyra"/>
    <d v="2019-10-22T21:37:58"/>
    <d v="2021-04-08T21:34:00"/>
    <n v="533.99724537036673"/>
    <b v="0"/>
    <b v="1"/>
    <n v="866"/>
    <n v="33"/>
    <n v="133"/>
    <n v="0"/>
    <n v="10"/>
    <n v="24"/>
    <n v="643"/>
    <n v="11"/>
    <n v="864"/>
    <n v="159"/>
    <x v="4"/>
    <n v="5260"/>
    <n v="92"/>
    <n v="1.7490494296577948E-2"/>
    <n v="53"/>
    <n v="0.57608695652173914"/>
    <n v="1.0076045627376426E-2"/>
    <n v="9"/>
    <n v="9.7826086956521743E-2"/>
    <n v="1.7110266159695818E-3"/>
    <n v="7"/>
    <n v="7.6086956521739135E-2"/>
    <n v="1.3307984790874524E-3"/>
    <n v="23"/>
    <n v="0.25"/>
    <n v="4.372623574144487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Emptyset110/dHydra"/>
    <s v="Emptyset110"/>
    <s v="dHydra"/>
    <s v="https://github.com/Emptyset110/dHydra"/>
    <d v="2016-02-19T16:14:17"/>
    <d v="2021-03-27T13:54:35"/>
    <n v="1862.9029861111121"/>
    <b v="0"/>
    <b v="0"/>
    <n v="458"/>
    <n v="115"/>
    <n v="253"/>
    <n v="0"/>
    <n v="0"/>
    <n v="2"/>
    <n v="11"/>
    <n v="0"/>
    <n v="4"/>
    <n v="1"/>
    <x v="4"/>
    <n v="4438"/>
    <n v="223"/>
    <n v="5.0247859396124382E-2"/>
    <n v="8"/>
    <n v="3.5874439461883408E-2"/>
    <n v="1.8026137899954935E-3"/>
    <n v="116"/>
    <n v="0.52017937219730936"/>
    <n v="2.6137899954934655E-2"/>
    <n v="33"/>
    <n v="0.14798206278026907"/>
    <n v="7.4357818837314108E-3"/>
    <n v="66"/>
    <n v="0.29596412556053814"/>
    <n v="1.4871563767462822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enigmampc/catalyst"/>
    <s v="enigmampc"/>
    <s v="catalyst"/>
    <s v="https://github.com/enigmampc/catalyst"/>
    <d v="2017-06-13T22:31:34"/>
    <d v="2021-04-08T17:15:00"/>
    <n v="1394.7801620370374"/>
    <b v="0"/>
    <b v="1"/>
    <n v="2093"/>
    <n v="168"/>
    <n v="604"/>
    <n v="0"/>
    <n v="21"/>
    <n v="61"/>
    <n v="92"/>
    <n v="11"/>
    <n v="487"/>
    <n v="124"/>
    <x v="4"/>
    <n v="42554"/>
    <n v="306"/>
    <n v="7.1908633735959021E-3"/>
    <n v="56"/>
    <n v="0.18300653594771241"/>
    <n v="1.3159749964750669E-3"/>
    <n v="146"/>
    <n v="0.47712418300653597"/>
    <n v="3.4309348122385673E-3"/>
    <n v="80"/>
    <n v="0.26143790849673204"/>
    <n v="1.8799642806786672E-3"/>
    <n v="11"/>
    <n v="3.5947712418300651E-2"/>
    <n v="2.5849508859331674E-4"/>
    <n v="0"/>
    <n v="0"/>
    <n v="0"/>
    <n v="13"/>
    <n v="4.2483660130718956E-2"/>
    <n v="3.0549419561028341E-4"/>
    <b v="1"/>
    <b v="0"/>
    <b v="0"/>
    <b v="0"/>
    <b v="1"/>
    <b v="0"/>
    <b v="0"/>
    <b v="1"/>
    <b v="0"/>
    <b v="0"/>
    <b v="0"/>
    <b v="0"/>
    <b v="0"/>
  </r>
  <r>
    <s v="epinna/tplmap"/>
    <s v="epinna"/>
    <s v="tplmap"/>
    <s v="https://github.com/epinna/tplmap"/>
    <d v="2016-07-06T20:33:18"/>
    <d v="2021-04-08T18:21:15"/>
    <n v="1736.9082986111098"/>
    <b v="0"/>
    <b v="0"/>
    <n v="2183"/>
    <n v="87"/>
    <n v="445"/>
    <n v="6"/>
    <n v="0"/>
    <n v="9"/>
    <n v="32"/>
    <n v="10"/>
    <n v="59"/>
    <n v="11"/>
    <x v="0"/>
    <n v="2459"/>
    <n v="58"/>
    <n v="2.3586823912159414E-2"/>
    <n v="15"/>
    <n v="0.25862068965517243"/>
    <n v="6.1000406669377795E-3"/>
    <n v="25"/>
    <n v="0.43103448275862066"/>
    <n v="1.0166734444896299E-2"/>
    <n v="7"/>
    <n v="0.1206896551724138"/>
    <n v="2.8466856445709637E-3"/>
    <n v="10"/>
    <n v="0.17241379310344829"/>
    <n v="4.0666937779585193E-3"/>
    <n v="1"/>
    <n v="1.7241379310344827E-2"/>
    <n v="4.0666937779585197E-4"/>
    <n v="0"/>
    <n v="0"/>
    <n v="0"/>
    <b v="0"/>
    <b v="1"/>
    <b v="0"/>
    <b v="0"/>
    <b v="1"/>
    <b v="0"/>
    <b v="0"/>
    <b v="0"/>
    <b v="0"/>
    <b v="0"/>
    <b v="0"/>
    <b v="0"/>
    <b v="0"/>
  </r>
  <r>
    <s v="epinna/weevely3"/>
    <s v="epinna"/>
    <s v="weevely3"/>
    <s v="https://github.com/epinna/weevely3"/>
    <d v="2014-09-20T10:16:49"/>
    <d v="2021-04-08T13:58:31"/>
    <n v="2392.153958333336"/>
    <b v="0"/>
    <b v="0"/>
    <n v="2219"/>
    <n v="131"/>
    <n v="483"/>
    <n v="11"/>
    <n v="0"/>
    <n v="17"/>
    <n v="28"/>
    <n v="1"/>
    <n v="116"/>
    <n v="8"/>
    <x v="0"/>
    <n v="5285"/>
    <n v="134"/>
    <n v="2.5354777672658469E-2"/>
    <n v="24"/>
    <n v="0.17910447761194029"/>
    <n v="4.5411542100283822E-3"/>
    <n v="26"/>
    <n v="0.19402985074626866"/>
    <n v="4.9195837275307474E-3"/>
    <n v="76"/>
    <n v="0.56716417910447758"/>
    <n v="1.4380321665089877E-2"/>
    <n v="7"/>
    <n v="5.2238805970149252E-2"/>
    <n v="1.3245033112582781E-3"/>
    <n v="1"/>
    <n v="7.462686567164179E-3"/>
    <n v="1.8921475875118259E-4"/>
    <n v="0"/>
    <n v="0"/>
    <n v="0"/>
    <b v="1"/>
    <b v="0"/>
    <b v="0"/>
    <b v="0"/>
    <b v="1"/>
    <b v="0"/>
    <b v="0"/>
    <b v="0"/>
    <b v="0"/>
    <b v="0"/>
    <b v="0"/>
    <b v="0"/>
    <b v="0"/>
  </r>
  <r>
    <s v="EricJMarti/inventory-hunter"/>
    <s v="EricJMarti"/>
    <s v="inventory-hunter"/>
    <s v="https://github.com/EricJMarti/inventory-hunter"/>
    <d v="2020-11-16T22:15:42"/>
    <d v="2021-04-08T22:56:50"/>
    <n v="143.02856481481285"/>
    <b v="0"/>
    <b v="0"/>
    <n v="833"/>
    <n v="43"/>
    <n v="199"/>
    <n v="0"/>
    <n v="2"/>
    <n v="21"/>
    <n v="42"/>
    <n v="5"/>
    <n v="157"/>
    <n v="72"/>
    <x v="5"/>
    <n v="1530"/>
    <n v="80"/>
    <n v="5.2287581699346407E-2"/>
    <n v="10"/>
    <n v="0.125"/>
    <n v="6.5359477124183009E-3"/>
    <n v="13"/>
    <n v="0.16250000000000001"/>
    <n v="8.4967320261437902E-3"/>
    <n v="45"/>
    <n v="0.5625"/>
    <n v="2.9411764705882353E-2"/>
    <n v="10"/>
    <n v="0.125"/>
    <n v="6.5359477124183009E-3"/>
    <n v="0"/>
    <n v="0"/>
    <n v="0"/>
    <n v="2"/>
    <n v="2.5000000000000001E-2"/>
    <n v="1.30718954248366E-3"/>
    <b v="1"/>
    <b v="0"/>
    <b v="0"/>
    <b v="0"/>
    <b v="1"/>
    <b v="0"/>
    <b v="0"/>
    <b v="0"/>
    <b v="0"/>
    <b v="0"/>
    <b v="0"/>
    <b v="0"/>
    <b v="0"/>
  </r>
  <r>
    <s v="Ericsson/codechecker"/>
    <s v="Ericsson"/>
    <s v="codechecker"/>
    <s v="https://github.com/Ericsson/codechecker"/>
    <d v="2015-06-15T10:38:51"/>
    <d v="2021-04-08T16:51:28"/>
    <n v="2124.2587615740704"/>
    <b v="0"/>
    <b v="1"/>
    <n v="1226"/>
    <n v="54"/>
    <n v="164"/>
    <n v="40"/>
    <n v="18"/>
    <n v="46"/>
    <n v="2199"/>
    <n v="35"/>
    <n v="1045"/>
    <n v="198"/>
    <x v="4"/>
    <n v="30552"/>
    <n v="1018"/>
    <n v="3.3320240900759364E-2"/>
    <n v="398"/>
    <n v="0.39096267190569745"/>
    <n v="1.3026970411102384E-2"/>
    <n v="178"/>
    <n v="0.17485265225933203"/>
    <n v="5.8261324954176482E-3"/>
    <n v="141"/>
    <n v="0.13850687622789784"/>
    <n v="4.6150824823252157E-3"/>
    <n v="293"/>
    <n v="0.28781925343811393"/>
    <n v="9.5902068604346684E-3"/>
    <n v="1"/>
    <n v="9.8231827111984276E-4"/>
    <n v="3.2731081434930612E-5"/>
    <n v="7"/>
    <n v="6.8762278978389E-3"/>
    <n v="2.2911757004451426E-4"/>
    <b v="1"/>
    <b v="0"/>
    <b v="0"/>
    <b v="0"/>
    <b v="1"/>
    <b v="0"/>
    <b v="0"/>
    <b v="0"/>
    <b v="0"/>
    <b v="0"/>
    <b v="0"/>
    <b v="0"/>
    <b v="0"/>
  </r>
  <r>
    <s v="erikbern/ann-benchmarks"/>
    <s v="erikbern"/>
    <s v="ann-benchmarks"/>
    <s v="https://github.com/erikbern/ann-benchmarks"/>
    <d v="2015-05-28T13:21:43"/>
    <d v="2021-04-08T11:07:23"/>
    <n v="2141.906712962962"/>
    <b v="0"/>
    <b v="0"/>
    <n v="2149"/>
    <n v="93"/>
    <n v="335"/>
    <n v="0"/>
    <n v="26"/>
    <n v="32"/>
    <n v="143"/>
    <n v="6"/>
    <n v="87"/>
    <n v="27"/>
    <x v="5"/>
    <n v="2878"/>
    <n v="12"/>
    <n v="4.1695621959694229E-3"/>
    <n v="0"/>
    <n v="0"/>
    <n v="0"/>
    <n v="8"/>
    <n v="0.66666666666666663"/>
    <n v="2.7797081306462821E-3"/>
    <n v="1"/>
    <n v="8.3333333333333329E-2"/>
    <n v="3.4746351633078526E-4"/>
    <n v="3"/>
    <n v="0.25"/>
    <n v="1.042390548992355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errbotio/errbot"/>
    <s v="errbotio"/>
    <s v="errbot"/>
    <s v="https://github.com/errbotio/errbot"/>
    <d v="2012-05-20T21:13:41"/>
    <d v="2021-04-08T07:13:28"/>
    <n v="3244.4165162037025"/>
    <b v="0"/>
    <b v="1"/>
    <n v="2463"/>
    <n v="68"/>
    <n v="515"/>
    <n v="0"/>
    <n v="19"/>
    <n v="168"/>
    <n v="779"/>
    <n v="16"/>
    <n v="731"/>
    <n v="78"/>
    <x v="0"/>
    <n v="11011"/>
    <n v="460"/>
    <n v="4.1776405412769051E-2"/>
    <n v="199"/>
    <n v="0.43260869565217391"/>
    <n v="1.8072836254654435E-2"/>
    <n v="128"/>
    <n v="0.27826086956521739"/>
    <n v="1.162473889746617E-2"/>
    <n v="40"/>
    <n v="8.6956521739130432E-2"/>
    <n v="3.6327309054581783E-3"/>
    <n v="43"/>
    <n v="9.3478260869565219E-2"/>
    <n v="3.9051857233675415E-3"/>
    <n v="0"/>
    <n v="0"/>
    <n v="0"/>
    <n v="50"/>
    <n v="0.10869565217391304"/>
    <n v="4.5409136318227223E-3"/>
    <b v="1"/>
    <b v="0"/>
    <b v="0"/>
    <b v="0"/>
    <b v="1"/>
    <b v="0"/>
    <b v="0"/>
    <b v="0"/>
    <b v="0"/>
    <b v="0"/>
    <b v="0"/>
    <b v="0"/>
    <b v="0"/>
  </r>
  <r>
    <s v="espnet/espnet"/>
    <s v="espnet"/>
    <s v="espnet"/>
    <s v="https://github.com/espnet/espnet"/>
    <d v="2017-12-13T00:45:11"/>
    <d v="2021-04-09T03:15:07"/>
    <n v="1213.1041203703717"/>
    <b v="0"/>
    <b v="1"/>
    <n v="3635"/>
    <n v="172"/>
    <n v="1100"/>
    <n v="34"/>
    <n v="38"/>
    <n v="107"/>
    <n v="1881"/>
    <n v="29"/>
    <n v="1258"/>
    <n v="139"/>
    <x v="4"/>
    <n v="54109"/>
    <n v="886"/>
    <n v="1.6374355467667117E-2"/>
    <n v="84"/>
    <n v="9.480812641083522E-2"/>
    <n v="1.5524219630745346E-3"/>
    <n v="566"/>
    <n v="0.63882618510158018"/>
    <n v="1.0460367036906984E-2"/>
    <n v="188"/>
    <n v="0.21218961625282168"/>
    <n v="3.4744682030715779E-3"/>
    <n v="48"/>
    <n v="5.4176072234762979E-2"/>
    <n v="8.870982646140198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eth-brownie/brownie"/>
    <s v="eth-brownie"/>
    <s v="brownie"/>
    <s v="https://github.com/eth-brownie/brownie"/>
    <d v="2018-11-02T19:39:26"/>
    <d v="2021-04-09T03:10:25"/>
    <n v="888.31318287036993"/>
    <b v="0"/>
    <b v="1"/>
    <n v="524"/>
    <n v="20"/>
    <n v="107"/>
    <n v="100"/>
    <n v="3"/>
    <n v="38"/>
    <n v="629"/>
    <n v="14"/>
    <n v="415"/>
    <n v="94"/>
    <x v="5"/>
    <n v="17780"/>
    <n v="27"/>
    <n v="1.5185601799775029E-3"/>
    <n v="0"/>
    <n v="0"/>
    <n v="0"/>
    <n v="4"/>
    <n v="0.14814814814814814"/>
    <n v="2.2497187851518559E-4"/>
    <n v="21"/>
    <n v="0.77777777777777779"/>
    <n v="1.1811023622047244E-3"/>
    <n v="2"/>
    <n v="7.407407407407407E-2"/>
    <n v="1.124859392575928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ethereum/trinity"/>
    <s v="ethereum"/>
    <s v="trinity"/>
    <s v="https://github.com/ethereum/trinity"/>
    <d v="2018-02-27T22:39:21"/>
    <d v="2021-04-07T06:11:07"/>
    <n v="1134.3137268518549"/>
    <b v="0"/>
    <b v="1"/>
    <n v="432"/>
    <n v="28"/>
    <n v="115"/>
    <n v="13"/>
    <n v="19"/>
    <n v="64"/>
    <n v="1372"/>
    <n v="27"/>
    <n v="736"/>
    <n v="232"/>
    <x v="5"/>
    <n v="29076"/>
    <n v="594"/>
    <n v="2.042921997523731E-2"/>
    <n v="286"/>
    <n v="0.48148148148148145"/>
    <n v="9.8362910991883334E-3"/>
    <n v="167"/>
    <n v="0.28114478114478114"/>
    <n v="5.7435685788966842E-3"/>
    <n v="83"/>
    <n v="0.13973063973063973"/>
    <n v="2.854587976337873E-3"/>
    <n v="31"/>
    <n v="5.2188552188552187E-2"/>
    <n v="1.0661714128490851E-3"/>
    <n v="0"/>
    <n v="0"/>
    <n v="0"/>
    <n v="27"/>
    <n v="4.5454545454545456E-2"/>
    <n v="9.2860090796533228E-4"/>
    <b v="1"/>
    <b v="1"/>
    <b v="0"/>
    <b v="0"/>
    <b v="1"/>
    <b v="0"/>
    <b v="0"/>
    <b v="0"/>
    <b v="0"/>
    <b v="0"/>
    <b v="0"/>
    <b v="0"/>
    <b v="0"/>
  </r>
  <r>
    <s v="ethereum/web3.py"/>
    <s v="ethereum"/>
    <s v="web3.py"/>
    <s v="https://github.com/ethereum/web3.py"/>
    <d v="2016-04-14T15:59:35"/>
    <d v="2021-04-09T02:45:50"/>
    <n v="1820.448784722219"/>
    <b v="0"/>
    <b v="1"/>
    <n v="1855"/>
    <n v="83"/>
    <n v="603"/>
    <n v="13"/>
    <n v="19"/>
    <n v="150"/>
    <n v="1059"/>
    <n v="20"/>
    <n v="874"/>
    <n v="168"/>
    <x v="5"/>
    <n v="19455"/>
    <n v="27"/>
    <n v="1.3878180416345412E-3"/>
    <n v="8"/>
    <n v="0.29629629629629628"/>
    <n v="4.1120534566949372E-4"/>
    <n v="3"/>
    <n v="0.1111111111111111"/>
    <n v="1.5420200462606013E-4"/>
    <n v="16"/>
    <n v="0.59259259259259256"/>
    <n v="8.2241069133898745E-4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EthVentures/CryptoTracker"/>
    <s v="EthVentures"/>
    <s v="CryptoTracker"/>
    <s v="https://github.com/EthVentures/CryptoTracker"/>
    <d v="2017-07-29T16:15:49"/>
    <d v="2021-04-07T05:52:33"/>
    <n v="1347.5671759259276"/>
    <b v="0"/>
    <b v="1"/>
    <n v="339"/>
    <n v="53"/>
    <n v="94"/>
    <n v="0"/>
    <n v="0"/>
    <n v="4"/>
    <n v="7"/>
    <n v="4"/>
    <n v="9"/>
    <n v="2"/>
    <x v="4"/>
    <n v="452"/>
    <n v="9"/>
    <n v="1.9911504424778761E-2"/>
    <n v="0"/>
    <n v="0"/>
    <n v="0"/>
    <n v="7"/>
    <n v="0.77777777777777779"/>
    <n v="1.5486725663716814E-2"/>
    <n v="2"/>
    <n v="0.22222222222222221"/>
    <n v="4.4247787610619468E-3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ets-labs/python-dependency-injector"/>
    <s v="ets-labs"/>
    <s v="python-dependency-injector"/>
    <s v="https://github.com/ets-labs/python-dependency-injector"/>
    <d v="2015-01-04T13:23:05"/>
    <d v="2021-04-08T23:30:14"/>
    <n v="2286.4216319444458"/>
    <b v="0"/>
    <b v="1"/>
    <n v="1248"/>
    <n v="36"/>
    <n v="80"/>
    <n v="0"/>
    <n v="0"/>
    <n v="16"/>
    <n v="135"/>
    <n v="1"/>
    <n v="305"/>
    <n v="15"/>
    <x v="2"/>
    <n v="11705"/>
    <n v="18"/>
    <n v="1.5378043571123452E-3"/>
    <n v="9"/>
    <n v="0.5"/>
    <n v="7.6890217855617258E-4"/>
    <n v="5"/>
    <n v="0.27777777777777779"/>
    <n v="4.2716787697565144E-4"/>
    <n v="2"/>
    <n v="0.1111111111111111"/>
    <n v="1.7086715079026057E-4"/>
    <n v="0"/>
    <n v="0"/>
    <n v="0"/>
    <n v="0"/>
    <n v="0"/>
    <n v="0"/>
    <n v="2"/>
    <n v="0.1111111111111111"/>
    <n v="1.7086715079026057E-4"/>
    <b v="1"/>
    <b v="1"/>
    <b v="0"/>
    <b v="0"/>
    <b v="1"/>
    <b v="0"/>
    <b v="0"/>
    <b v="0"/>
    <b v="0"/>
    <b v="0"/>
    <b v="0"/>
    <b v="0"/>
    <b v="0"/>
  </r>
  <r>
    <s v="EvgenyKashin/stylegan2-distillation"/>
    <s v="EvgenyKashin"/>
    <s v="stylegan2-distillation"/>
    <s v="https://github.com/EvgenyKashin/stylegan2-distillation"/>
    <d v="2020-03-06T08:40:27"/>
    <d v="2021-04-08T07:32:13"/>
    <n v="397.95261574074539"/>
    <b v="0"/>
    <b v="0"/>
    <n v="717"/>
    <n v="70"/>
    <n v="71"/>
    <n v="0"/>
    <n v="0"/>
    <n v="3"/>
    <n v="1"/>
    <n v="0"/>
    <n v="22"/>
    <n v="1"/>
    <x v="7"/>
    <n v="7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evyatarmeged/Raccoon"/>
    <s v="evyatarmeged"/>
    <s v="Raccoon"/>
    <s v="https://github.com/evyatarmeged/Raccoon"/>
    <d v="2018-05-13T17:05:21"/>
    <d v="2021-04-08T21:00:20"/>
    <n v="1061.1631828703757"/>
    <b v="0"/>
    <b v="0"/>
    <n v="2044"/>
    <n v="96"/>
    <n v="292"/>
    <n v="0"/>
    <n v="3"/>
    <n v="4"/>
    <n v="14"/>
    <n v="2"/>
    <n v="28"/>
    <n v="10"/>
    <x v="5"/>
    <n v="1668"/>
    <n v="111"/>
    <n v="6.654676258992806E-2"/>
    <n v="20"/>
    <n v="0.18018018018018017"/>
    <n v="1.1990407673860911E-2"/>
    <n v="78"/>
    <n v="0.70270270270270274"/>
    <n v="4.6762589928057555E-2"/>
    <n v="3"/>
    <n v="2.7027027027027029E-2"/>
    <n v="1.7985611510791368E-3"/>
    <n v="3"/>
    <n v="2.7027027027027029E-2"/>
    <n v="1.7985611510791368E-3"/>
    <n v="7"/>
    <n v="6.3063063063063057E-2"/>
    <n v="4.1966426858513189E-3"/>
    <n v="0"/>
    <n v="0"/>
    <n v="0"/>
    <b v="1"/>
    <b v="0"/>
    <b v="0"/>
    <b v="0"/>
    <b v="1"/>
    <b v="0"/>
    <b v="0"/>
    <b v="0"/>
    <b v="0"/>
    <b v="0"/>
    <b v="0"/>
    <b v="0"/>
    <b v="0"/>
  </r>
  <r>
    <s v="ewels/MultiQC"/>
    <s v="ewels"/>
    <s v="MultiQC"/>
    <s v="https://github.com/ewels/MultiQC"/>
    <d v="2015-08-04T13:47:05"/>
    <d v="2021-04-08T22:10:56"/>
    <n v="2074.3498958333294"/>
    <b v="0"/>
    <b v="0"/>
    <n v="714"/>
    <n v="39"/>
    <n v="361"/>
    <n v="23"/>
    <n v="80"/>
    <n v="136"/>
    <n v="455"/>
    <n v="26"/>
    <n v="952"/>
    <n v="151"/>
    <x v="0"/>
    <n v="21181"/>
    <n v="666"/>
    <n v="3.1443274632925733E-2"/>
    <n v="322"/>
    <n v="0.48348348348348347"/>
    <n v="1.5202303951654785E-2"/>
    <n v="170"/>
    <n v="0.25525525525525528"/>
    <n v="8.0260610924885508E-3"/>
    <n v="114"/>
    <n v="0.17117117117117117"/>
    <n v="5.3821821443746755E-3"/>
    <n v="56"/>
    <n v="8.408408408408409E-2"/>
    <n v="2.6438789481138757E-3"/>
    <n v="3"/>
    <n v="4.5045045045045045E-3"/>
    <n v="1.4163637222038618E-4"/>
    <n v="1"/>
    <n v="1.5015015015015015E-3"/>
    <n v="4.7212124073462063E-5"/>
    <b v="1"/>
    <b v="0"/>
    <b v="0"/>
    <b v="0"/>
    <b v="1"/>
    <b v="0"/>
    <b v="0"/>
    <b v="0"/>
    <b v="0"/>
    <b v="0"/>
    <b v="0"/>
    <b v="0"/>
    <b v="0"/>
  </r>
  <r>
    <s v="Exa-Networks/exabgp"/>
    <s v="Exa-Networks"/>
    <s v="exabgp"/>
    <s v="https://github.com/Exa-Networks/exabgp"/>
    <d v="2013-08-27T13:56:08"/>
    <d v="2021-04-08T14:11:07"/>
    <n v="2781.0104050925947"/>
    <b v="0"/>
    <b v="1"/>
    <n v="1612"/>
    <n v="152"/>
    <n v="368"/>
    <n v="55"/>
    <n v="122"/>
    <n v="98"/>
    <n v="378"/>
    <n v="1"/>
    <n v="650"/>
    <n v="39"/>
    <x v="7"/>
    <n v="24165"/>
    <n v="267"/>
    <n v="1.1049037864680323E-2"/>
    <n v="143"/>
    <n v="0.53558052434456926"/>
    <n v="5.9176494930684876E-3"/>
    <n v="26"/>
    <n v="9.7378277153558054E-2"/>
    <n v="1.0759362714669977E-3"/>
    <n v="23"/>
    <n v="8.6142322097378279E-2"/>
    <n v="9.5178977860542111E-4"/>
    <n v="25"/>
    <n v="9.3632958801498134E-2"/>
    <n v="1.0345541071798054E-3"/>
    <n v="49"/>
    <n v="0.18352059925093633"/>
    <n v="2.027726050072419E-3"/>
    <n v="1"/>
    <n v="3.7453183520599251E-3"/>
    <n v="4.1382164287192219E-5"/>
    <b v="1"/>
    <b v="0"/>
    <b v="0"/>
    <b v="0"/>
    <b v="1"/>
    <b v="0"/>
    <b v="0"/>
    <b v="0"/>
    <b v="0"/>
    <b v="0"/>
    <b v="0"/>
    <b v="0"/>
    <b v="0"/>
  </r>
  <r>
    <s v="exadel-inc/CompreFace"/>
    <s v="exadel-inc"/>
    <s v="CompreFace"/>
    <s v="https://github.com/exadel-inc/CompreFace"/>
    <d v="2020-07-06T08:29:43"/>
    <d v="2021-04-06T17:21:16"/>
    <n v="274.3691319444406"/>
    <b v="0"/>
    <b v="1"/>
    <n v="963"/>
    <n v="36"/>
    <n v="56"/>
    <n v="3"/>
    <n v="0"/>
    <n v="32"/>
    <n v="463"/>
    <n v="4"/>
    <n v="12"/>
    <n v="5"/>
    <x v="4"/>
    <n v="31518"/>
    <n v="76"/>
    <n v="2.4113205152611204E-3"/>
    <n v="14"/>
    <n v="0.18421052631578946"/>
    <n v="4.441906212323117E-4"/>
    <n v="46"/>
    <n v="0.60526315789473684"/>
    <n v="1.4594834697633098E-3"/>
    <n v="13"/>
    <n v="0.17105263157894737"/>
    <n v="4.1246271971571801E-4"/>
    <n v="2"/>
    <n v="2.6315789473684209E-2"/>
    <n v="6.3455803033187386E-5"/>
    <n v="1"/>
    <n v="1.3157894736842105E-2"/>
    <n v="3.1727901516593693E-5"/>
    <n v="0"/>
    <n v="0"/>
    <n v="0"/>
    <b v="1"/>
    <b v="1"/>
    <b v="0"/>
    <b v="0"/>
    <b v="1"/>
    <b v="0"/>
    <b v="0"/>
    <b v="0"/>
    <b v="0"/>
    <b v="0"/>
    <b v="0"/>
    <b v="0"/>
    <b v="0"/>
  </r>
  <r>
    <s v="exercism/python"/>
    <s v="exercism"/>
    <s v="python"/>
    <s v="https://github.com/exercism/python"/>
    <d v="2014-02-28T03:48:58"/>
    <d v="2021-04-08T19:22:14"/>
    <n v="2596.6481018518534"/>
    <b v="0"/>
    <b v="1"/>
    <n v="927"/>
    <n v="121"/>
    <n v="697"/>
    <n v="0"/>
    <n v="21"/>
    <n v="273"/>
    <n v="1570"/>
    <n v="2"/>
    <n v="823"/>
    <n v="53"/>
    <x v="5"/>
    <n v="9241"/>
    <n v="27"/>
    <n v="2.9217617141002058E-3"/>
    <n v="16"/>
    <n v="0.59259259259259256"/>
    <n v="1.7314143490964181E-3"/>
    <n v="4"/>
    <n v="0.14814814814814814"/>
    <n v="4.3285358727410453E-4"/>
    <n v="0"/>
    <n v="0"/>
    <n v="0"/>
    <n v="7"/>
    <n v="0.25925925925925924"/>
    <n v="7.5749377772968299E-4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Exodus-Privacy/exodus"/>
    <s v="Exodus-Privacy"/>
    <s v="exodus"/>
    <s v="https://github.com/Exodus-Privacy/exodus"/>
    <d v="2017-11-19T23:54:14"/>
    <d v="2021-04-06T12:05:17"/>
    <n v="1233.5076736111077"/>
    <b v="0"/>
    <b v="1"/>
    <n v="350"/>
    <n v="28"/>
    <n v="45"/>
    <n v="33"/>
    <n v="1"/>
    <n v="22"/>
    <n v="189"/>
    <n v="7"/>
    <n v="225"/>
    <n v="47"/>
    <x v="11"/>
    <n v="2709"/>
    <n v="55"/>
    <n v="2.0302694721299374E-2"/>
    <n v="1"/>
    <n v="1.8181818181818181E-2"/>
    <n v="3.6913990402362494E-4"/>
    <n v="31"/>
    <n v="0.5636363636363636"/>
    <n v="1.1443337024732374E-2"/>
    <n v="11"/>
    <n v="0.2"/>
    <n v="4.0605389442598741E-3"/>
    <n v="12"/>
    <n v="0.21818181818181817"/>
    <n v="4.4296788482834993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ExpDev07/coronavirus-tracker-api"/>
    <s v="ExpDev07"/>
    <s v="coronavirus-tracker-api"/>
    <s v="https://github.com/ExpDev07/coronavirus-tracker-api"/>
    <d v="2020-02-06T03:42:14"/>
    <d v="2021-04-07T12:27:40"/>
    <n v="426.36488425925927"/>
    <b v="0"/>
    <b v="0"/>
    <n v="1507"/>
    <n v="45"/>
    <n v="270"/>
    <n v="1"/>
    <n v="1"/>
    <n v="32"/>
    <n v="137"/>
    <n v="2"/>
    <n v="201"/>
    <n v="32"/>
    <x v="0"/>
    <n v="1154"/>
    <n v="42"/>
    <n v="3.6395147313691506E-2"/>
    <n v="10"/>
    <n v="0.23809523809523808"/>
    <n v="8.6655112651646445E-3"/>
    <n v="29"/>
    <n v="0.69047619047619047"/>
    <n v="2.5129982668977469E-2"/>
    <n v="1"/>
    <n v="2.3809523809523808E-2"/>
    <n v="8.6655112651646442E-4"/>
    <n v="2"/>
    <n v="4.7619047619047616E-2"/>
    <n v="1.7331022530329288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explosion/projects"/>
    <s v="explosion"/>
    <s v="projects"/>
    <s v="https://github.com/explosion/projects"/>
    <d v="2019-11-21T12:08:52"/>
    <d v="2021-04-08T09:54:33"/>
    <n v="503.90672453703883"/>
    <b v="0"/>
    <b v="1"/>
    <n v="423"/>
    <n v="24"/>
    <n v="130"/>
    <n v="4"/>
    <n v="0"/>
    <n v="12"/>
    <n v="48"/>
    <n v="2"/>
    <n v="0"/>
    <n v="0"/>
    <x v="5"/>
    <n v="2051"/>
    <n v="15"/>
    <n v="7.3135056070209653E-3"/>
    <n v="0"/>
    <n v="0"/>
    <n v="0"/>
    <n v="12"/>
    <n v="0.8"/>
    <n v="5.8508044856167727E-3"/>
    <n v="3"/>
    <n v="0.2"/>
    <n v="1.4627011214041932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0cker/crackq"/>
    <s v="f0cker"/>
    <s v="crackq"/>
    <s v="https://github.com/f0cker/crackq"/>
    <d v="2019-09-18T12:40:58"/>
    <d v="2021-04-08T22:51:48"/>
    <n v="568.42418981481751"/>
    <b v="0"/>
    <b v="0"/>
    <n v="793"/>
    <n v="67"/>
    <n v="80"/>
    <n v="2"/>
    <n v="0"/>
    <n v="3"/>
    <n v="8"/>
    <n v="0"/>
    <n v="19"/>
    <n v="4"/>
    <x v="5"/>
    <n v="3019"/>
    <n v="280"/>
    <n v="9.2745942365021525E-2"/>
    <n v="211"/>
    <n v="0.75357142857142856"/>
    <n v="6.9890692282212646E-2"/>
    <n v="14"/>
    <n v="0.05"/>
    <n v="4.6372971182510768E-3"/>
    <n v="15"/>
    <n v="5.3571428571428568E-2"/>
    <n v="4.9685326266975822E-3"/>
    <n v="40"/>
    <n v="0.14285714285714285"/>
    <n v="1.3249420337860219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abfuel/ecs-deploy"/>
    <s v="fabfuel"/>
    <s v="ecs-deploy"/>
    <s v="https://github.com/fabfuel/ecs-deploy"/>
    <d v="2016-02-11T18:53:21"/>
    <d v="2021-04-05T21:32:20"/>
    <n v="1880.1104050925933"/>
    <b v="0"/>
    <b v="0"/>
    <n v="543"/>
    <n v="16"/>
    <n v="103"/>
    <n v="12"/>
    <n v="1"/>
    <n v="15"/>
    <n v="83"/>
    <n v="5"/>
    <n v="85"/>
    <n v="22"/>
    <x v="7"/>
    <n v="2657"/>
    <n v="1"/>
    <n v="3.7636432066240122E-4"/>
    <n v="0"/>
    <n v="0"/>
    <n v="0"/>
    <n v="0"/>
    <n v="0"/>
    <n v="0"/>
    <n v="1"/>
    <n v="1"/>
    <n v="3.7636432066240122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acebook/prophet"/>
    <s v="facebook"/>
    <s v="prophet"/>
    <s v="https://github.com/facebook/prophet"/>
    <d v="2016-11-16T01:50:08"/>
    <d v="2021-04-08T20:48:50"/>
    <n v="1604.7907638888864"/>
    <b v="0"/>
    <b v="1"/>
    <n v="12507"/>
    <n v="416"/>
    <n v="3536"/>
    <n v="10"/>
    <n v="5"/>
    <n v="121"/>
    <n v="288"/>
    <n v="3"/>
    <n v="1560"/>
    <n v="49"/>
    <x v="5"/>
    <n v="3719"/>
    <n v="20"/>
    <n v="5.377789728421619E-3"/>
    <n v="3"/>
    <n v="0.15"/>
    <n v="8.0666845926324286E-4"/>
    <n v="6"/>
    <n v="0.3"/>
    <n v="1.6133369185264857E-3"/>
    <n v="9"/>
    <n v="0.45"/>
    <n v="2.4200053777897286E-3"/>
    <n v="2"/>
    <n v="0.1"/>
    <n v="5.377789728421619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facebookresearch/ClassyVision"/>
    <s v="facebookresearch"/>
    <s v="ClassyVision"/>
    <s v="https://github.com/facebookresearch/ClassyVision"/>
    <d v="2019-09-13T22:54:44"/>
    <d v="2021-04-09T02:46:27"/>
    <n v="573.16091435185081"/>
    <b v="0"/>
    <b v="1"/>
    <n v="1230"/>
    <n v="52"/>
    <n v="210"/>
    <n v="5"/>
    <n v="0"/>
    <n v="49"/>
    <n v="671"/>
    <n v="38"/>
    <n v="63"/>
    <n v="13"/>
    <x v="5"/>
    <n v="12563"/>
    <n v="100"/>
    <n v="7.9598821937435331E-3"/>
    <n v="13"/>
    <n v="0.13"/>
    <n v="1.0347846851866593E-3"/>
    <n v="59"/>
    <n v="0.59"/>
    <n v="4.6963304943086846E-3"/>
    <n v="23"/>
    <n v="0.23"/>
    <n v="1.8307729045610125E-3"/>
    <n v="2"/>
    <n v="0.02"/>
    <n v="1.5919764387487066E-4"/>
    <n v="0"/>
    <n v="0"/>
    <n v="0"/>
    <n v="3"/>
    <n v="0.03"/>
    <n v="2.3879646581230599E-4"/>
    <b v="0"/>
    <b v="1"/>
    <b v="0"/>
    <b v="0"/>
    <b v="1"/>
    <b v="0"/>
    <b v="0"/>
    <b v="0"/>
    <b v="0"/>
    <b v="0"/>
    <b v="0"/>
    <b v="0"/>
    <b v="0"/>
  </r>
  <r>
    <s v="facebookresearch/CrypTen"/>
    <s v="facebookresearch"/>
    <s v="CrypTen"/>
    <s v="https://github.com/facebookresearch/CrypTen"/>
    <d v="2019-08-15T00:00:31"/>
    <d v="2021-04-09T02:58:15"/>
    <n v="603.12342592592904"/>
    <b v="0"/>
    <b v="1"/>
    <n v="758"/>
    <n v="32"/>
    <n v="106"/>
    <n v="1"/>
    <n v="0"/>
    <n v="20"/>
    <n v="193"/>
    <n v="17"/>
    <n v="52"/>
    <n v="13"/>
    <x v="5"/>
    <n v="15845"/>
    <n v="116"/>
    <n v="7.3209214263174503E-3"/>
    <n v="0"/>
    <n v="0"/>
    <n v="0"/>
    <n v="101"/>
    <n v="0.87068965517241381"/>
    <n v="6.3742505522246763E-3"/>
    <n v="14"/>
    <n v="0.1206896551724138"/>
    <n v="8.8355948248658878E-4"/>
    <n v="1"/>
    <n v="8.6206896551724137E-3"/>
    <n v="6.3111391606184911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acebookresearch/DetectAndTrack"/>
    <s v="facebookresearch"/>
    <s v="DetectAndTrack"/>
    <s v="https://github.com/facebookresearch/DetectAndTrack"/>
    <d v="2018-04-19T19:36:51"/>
    <d v="2021-04-05T06:42:11"/>
    <n v="1081.4620370370394"/>
    <b v="0"/>
    <b v="1"/>
    <n v="962"/>
    <n v="58"/>
    <n v="180"/>
    <n v="0"/>
    <n v="0"/>
    <n v="7"/>
    <n v="11"/>
    <n v="0"/>
    <n v="66"/>
    <n v="15"/>
    <x v="4"/>
    <n v="11148"/>
    <n v="162"/>
    <n v="1.4531754574811625E-2"/>
    <n v="17"/>
    <n v="0.10493827160493827"/>
    <n v="1.5249372084678867E-3"/>
    <n v="117"/>
    <n v="0.72222222222222221"/>
    <n v="1.0495156081808395E-2"/>
    <n v="14"/>
    <n v="8.6419753086419748E-2"/>
    <n v="1.2558306422676714E-3"/>
    <n v="12"/>
    <n v="7.407407407407407E-2"/>
    <n v="1.076426264800861E-3"/>
    <n v="2"/>
    <n v="1.2345679012345678E-2"/>
    <n v="1.794043774668102E-4"/>
    <n v="0"/>
    <n v="0"/>
    <n v="0"/>
    <b v="1"/>
    <b v="0"/>
    <b v="0"/>
    <b v="0"/>
    <b v="1"/>
    <b v="0"/>
    <b v="0"/>
    <b v="0"/>
    <b v="0"/>
    <b v="0"/>
    <b v="0"/>
    <b v="0"/>
    <b v="0"/>
  </r>
  <r>
    <s v="facebookresearch/Detectron"/>
    <s v="facebookresearch"/>
    <s v="Detectron"/>
    <s v="https://github.com/facebookresearch/Detectron"/>
    <d v="2017-10-05T17:32:00"/>
    <d v="2021-04-09T02:35:18"/>
    <n v="1281.377291666664"/>
    <b v="0"/>
    <b v="1"/>
    <n v="24276"/>
    <n v="993"/>
    <n v="5141"/>
    <n v="0"/>
    <n v="12"/>
    <n v="33"/>
    <n v="99"/>
    <n v="25"/>
    <n v="905"/>
    <n v="295"/>
    <x v="4"/>
    <n v="8962"/>
    <n v="175"/>
    <n v="1.9526891318902031E-2"/>
    <n v="24"/>
    <n v="0.13714285714285715"/>
    <n v="2.6779736665922785E-3"/>
    <n v="126"/>
    <n v="0.72"/>
    <n v="1.4059361749609462E-2"/>
    <n v="22"/>
    <n v="0.12571428571428572"/>
    <n v="2.4548091943762552E-3"/>
    <n v="2"/>
    <n v="1.1428571428571429E-2"/>
    <n v="2.2316447221602321E-4"/>
    <n v="1"/>
    <n v="5.7142857142857143E-3"/>
    <n v="1.115822361080116E-4"/>
    <n v="0"/>
    <n v="0"/>
    <n v="0"/>
    <b v="1"/>
    <b v="0"/>
    <b v="0"/>
    <b v="0"/>
    <b v="1"/>
    <b v="0"/>
    <b v="0"/>
    <b v="0"/>
    <b v="0"/>
    <b v="0"/>
    <b v="0"/>
    <b v="0"/>
    <b v="0"/>
  </r>
  <r>
    <s v="facebookresearch/detectron2"/>
    <s v="facebookresearch"/>
    <s v="detectron2"/>
    <s v="https://github.com/facebookresearch/detectron2"/>
    <d v="2019-09-05T21:30:20"/>
    <d v="2021-04-09T03:08:19"/>
    <n v="581.23471064814657"/>
    <b v="0"/>
    <b v="1"/>
    <n v="15839"/>
    <n v="331"/>
    <n v="3870"/>
    <n v="8"/>
    <n v="25"/>
    <n v="131"/>
    <n v="339"/>
    <n v="19"/>
    <n v="2355"/>
    <n v="78"/>
    <x v="4"/>
    <n v="28817"/>
    <n v="253"/>
    <n v="8.7795398549467326E-3"/>
    <n v="1"/>
    <n v="3.952569169960474E-3"/>
    <n v="3.4701738557101712E-5"/>
    <n v="174"/>
    <n v="0.68774703557312256"/>
    <n v="6.0381025089356975E-3"/>
    <n v="64"/>
    <n v="0.25296442687747034"/>
    <n v="2.2209112676545096E-3"/>
    <n v="13"/>
    <n v="5.1383399209486168E-2"/>
    <n v="4.5112260124232224E-4"/>
    <n v="0"/>
    <n v="0"/>
    <n v="0"/>
    <n v="1"/>
    <n v="3.952569169960474E-3"/>
    <n v="3.4701738557101712E-5"/>
    <b v="1"/>
    <b v="1"/>
    <b v="0"/>
    <b v="0"/>
    <b v="1"/>
    <b v="0"/>
    <b v="0"/>
    <b v="0"/>
    <b v="0"/>
    <b v="0"/>
    <b v="0"/>
    <b v="0"/>
    <b v="0"/>
  </r>
  <r>
    <s v="facebookresearch/detr"/>
    <s v="facebookresearch"/>
    <s v="detr"/>
    <s v="https://github.com/facebookresearch/detr"/>
    <d v="2020-05-26T23:54:52"/>
    <d v="2021-04-09T03:46:12"/>
    <n v="317.16064814814308"/>
    <b v="0"/>
    <b v="1"/>
    <n v="6617"/>
    <n v="148"/>
    <n v="1024"/>
    <n v="1"/>
    <n v="1"/>
    <n v="19"/>
    <n v="55"/>
    <n v="4"/>
    <n v="297"/>
    <n v="73"/>
    <x v="4"/>
    <n v="2830"/>
    <n v="1"/>
    <n v="3.5335689045936394E-4"/>
    <n v="0"/>
    <n v="0"/>
    <n v="0"/>
    <n v="1"/>
    <n v="1"/>
    <n v="3.5335689045936394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acebookresearch/habitat-lab"/>
    <s v="facebookresearch"/>
    <s v="habitat-lab"/>
    <s v="https://github.com/facebookresearch/habitat-lab"/>
    <d v="2019-02-04T23:12:51"/>
    <d v="2021-04-09T03:47:29"/>
    <n v="794.19071759259532"/>
    <b v="0"/>
    <b v="1"/>
    <n v="593"/>
    <n v="37"/>
    <n v="190"/>
    <n v="10"/>
    <n v="11"/>
    <n v="39"/>
    <n v="296"/>
    <n v="13"/>
    <n v="322"/>
    <n v="105"/>
    <x v="5"/>
    <n v="13371"/>
    <n v="127"/>
    <n v="9.4981676763144125E-3"/>
    <n v="0"/>
    <n v="0"/>
    <n v="0"/>
    <n v="112"/>
    <n v="0.88188976377952755"/>
    <n v="8.3763368484032607E-3"/>
    <n v="10"/>
    <n v="7.874015748031496E-2"/>
    <n v="7.4788721860743405E-4"/>
    <n v="5"/>
    <n v="3.937007874015748E-2"/>
    <n v="3.739436093037170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acebookresearch/LASER"/>
    <s v="facebookresearch"/>
    <s v="LASER"/>
    <s v="https://github.com/facebookresearch/LASER"/>
    <d v="2018-06-20T15:18:09"/>
    <d v="2021-04-08T04:43:24"/>
    <n v="1022.5592013888891"/>
    <b v="0"/>
    <b v="1"/>
    <n v="2746"/>
    <n v="104"/>
    <n v="315"/>
    <n v="0"/>
    <n v="8"/>
    <n v="11"/>
    <n v="35"/>
    <n v="14"/>
    <n v="140"/>
    <n v="42"/>
    <x v="7"/>
    <n v="1866"/>
    <n v="7"/>
    <n v="3.7513397642015005E-3"/>
    <n v="0"/>
    <n v="0"/>
    <n v="0"/>
    <n v="2"/>
    <n v="0.2857142857142857"/>
    <n v="1.0718113612004287E-3"/>
    <n v="0"/>
    <n v="0"/>
    <n v="0"/>
    <n v="5"/>
    <n v="0.7142857142857143"/>
    <n v="2.679528403001071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acebookresearch/maskrcnn-benchmark"/>
    <s v="facebookresearch"/>
    <s v="maskrcnn-benchmark"/>
    <s v="https://github.com/facebookresearch/maskrcnn-benchmark"/>
    <d v="2018-10-24T17:34:50"/>
    <d v="2021-04-09T02:41:07"/>
    <n v="897.37936342592729"/>
    <b v="0"/>
    <b v="1"/>
    <n v="8272"/>
    <n v="189"/>
    <n v="2209"/>
    <n v="1"/>
    <n v="75"/>
    <n v="87"/>
    <n v="291"/>
    <n v="36"/>
    <n v="1010"/>
    <n v="463"/>
    <x v="5"/>
    <n v="8165"/>
    <n v="66"/>
    <n v="8.0832823025107168E-3"/>
    <n v="0"/>
    <n v="0"/>
    <n v="0"/>
    <n v="59"/>
    <n v="0.89393939393939392"/>
    <n v="7.2259644825474582E-3"/>
    <n v="5"/>
    <n v="7.575757575757576E-2"/>
    <n v="6.1236987140232701E-4"/>
    <n v="2"/>
    <n v="3.0303030303030304E-2"/>
    <n v="2.449479485609307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acebookresearch/phyre"/>
    <s v="facebookresearch"/>
    <s v="phyre"/>
    <s v="https://github.com/facebookresearch/phyre"/>
    <d v="2019-06-19T01:12:56"/>
    <d v="2021-03-31T17:01:54"/>
    <n v="651.659004629626"/>
    <b v="0"/>
    <b v="1"/>
    <n v="379"/>
    <n v="17"/>
    <n v="50"/>
    <n v="5"/>
    <n v="1"/>
    <n v="6"/>
    <n v="32"/>
    <n v="7"/>
    <n v="19"/>
    <n v="1"/>
    <x v="4"/>
    <n v="8029"/>
    <n v="88"/>
    <n v="1.0960269024785153E-2"/>
    <n v="16"/>
    <n v="0.18181818181818182"/>
    <n v="1.9927761863245733E-3"/>
    <n v="56"/>
    <n v="0.63636363636363635"/>
    <n v="6.9747166521360072E-3"/>
    <n v="15"/>
    <n v="0.17045454545454544"/>
    <n v="1.8682276746792876E-3"/>
    <n v="1"/>
    <n v="1.1363636363636364E-2"/>
    <n v="1.245485116452858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acebookresearch/pytext"/>
    <s v="facebookresearch"/>
    <s v="pytext"/>
    <s v="https://github.com/facebookresearch/pytext"/>
    <d v="2018-07-31T23:40:46"/>
    <d v="2021-04-09T02:52:42"/>
    <n v="982.13328703703883"/>
    <b v="0"/>
    <b v="1"/>
    <n v="6153"/>
    <n v="167"/>
    <n v="776"/>
    <n v="9"/>
    <n v="3"/>
    <n v="96"/>
    <n v="1538"/>
    <n v="81"/>
    <n v="129"/>
    <n v="55"/>
    <x v="7"/>
    <n v="35041"/>
    <n v="19"/>
    <n v="5.4222196855112587E-4"/>
    <n v="3"/>
    <n v="0.15789473684210525"/>
    <n v="8.5613995034388294E-5"/>
    <n v="9"/>
    <n v="0.47368421052631576"/>
    <n v="2.5684198510316484E-4"/>
    <n v="7"/>
    <n v="0.36842105263157893"/>
    <n v="1.9976598841357266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acebookresearch/torchbeast"/>
    <s v="facebookresearch"/>
    <s v="torchbeast"/>
    <s v="https://github.com/facebookresearch/torchbeast"/>
    <d v="2019-08-30T18:30:09"/>
    <d v="2021-04-06T09:35:16"/>
    <n v="584.62855324074189"/>
    <b v="0"/>
    <b v="1"/>
    <n v="501"/>
    <n v="19"/>
    <n v="56"/>
    <n v="0"/>
    <n v="0"/>
    <n v="6"/>
    <n v="5"/>
    <n v="0"/>
    <n v="19"/>
    <n v="8"/>
    <x v="4"/>
    <n v="2228"/>
    <n v="37"/>
    <n v="1.660682226211849E-2"/>
    <n v="0"/>
    <n v="0"/>
    <n v="0"/>
    <n v="30"/>
    <n v="0.81081081081081086"/>
    <n v="1.3464991023339317E-2"/>
    <n v="5"/>
    <n v="0.13513513513513514"/>
    <n v="2.244165170556553E-3"/>
    <n v="2"/>
    <n v="5.4054054054054057E-2"/>
    <n v="8.9766606822262122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aizann24/XssPy"/>
    <s v="faizann24"/>
    <s v="XssPy"/>
    <s v="https://github.com/faizann24/XssPy"/>
    <d v="2016-03-07T14:06:38"/>
    <d v="2021-04-07T19:20:17"/>
    <n v="1857.2178124999991"/>
    <b v="0"/>
    <b v="0"/>
    <n v="729"/>
    <n v="66"/>
    <n v="197"/>
    <n v="0"/>
    <n v="0"/>
    <n v="10"/>
    <n v="17"/>
    <n v="2"/>
    <n v="19"/>
    <n v="13"/>
    <x v="5"/>
    <n v="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aucetsdn/faucet"/>
    <s v="faucetsdn"/>
    <s v="faucet"/>
    <s v="https://github.com/faucetsdn/faucet"/>
    <d v="2015-09-25T02:39:36"/>
    <d v="2021-04-07T14:44:49"/>
    <n v="2021.503622685188"/>
    <b v="0"/>
    <b v="1"/>
    <n v="378"/>
    <n v="55"/>
    <n v="146"/>
    <n v="152"/>
    <n v="14"/>
    <n v="54"/>
    <n v="3225"/>
    <n v="10"/>
    <n v="594"/>
    <n v="27"/>
    <x v="4"/>
    <n v="28185"/>
    <n v="159"/>
    <n v="5.64129856306546E-3"/>
    <n v="10"/>
    <n v="6.2893081761006289E-2"/>
    <n v="3.5479865176512329E-4"/>
    <n v="112"/>
    <n v="0.70440251572327039"/>
    <n v="3.9737448997693809E-3"/>
    <n v="12"/>
    <n v="7.5471698113207544E-2"/>
    <n v="4.2575838211814793E-4"/>
    <n v="25"/>
    <n v="0.15723270440251572"/>
    <n v="8.8699662941280825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favll/pogom"/>
    <s v="favll"/>
    <s v="pogom"/>
    <s v="https://github.com/favll/pogom"/>
    <d v="2016-07-19T16:30:48"/>
    <d v="2021-02-25T22:48:52"/>
    <n v="1682.2625462962969"/>
    <b v="0"/>
    <b v="0"/>
    <n v="557"/>
    <n v="45"/>
    <n v="209"/>
    <n v="0"/>
    <n v="22"/>
    <n v="18"/>
    <n v="80"/>
    <n v="12"/>
    <n v="342"/>
    <n v="65"/>
    <x v="5"/>
    <n v="6676"/>
    <n v="99"/>
    <n v="1.4829239065308569E-2"/>
    <n v="43"/>
    <n v="0.43434343434343436"/>
    <n v="6.4409826243259439E-3"/>
    <n v="34"/>
    <n v="0.34343434343434343"/>
    <n v="5.092869982025165E-3"/>
    <n v="7"/>
    <n v="7.0707070707070704E-2"/>
    <n v="1.048532055122828E-3"/>
    <n v="14"/>
    <n v="0.14141414141414141"/>
    <n v="2.097064110245656E-3"/>
    <n v="1"/>
    <n v="1.0101010101010102E-2"/>
    <n v="1.4979029358897544E-4"/>
    <n v="0"/>
    <n v="0"/>
    <n v="0"/>
    <b v="1"/>
    <b v="0"/>
    <b v="0"/>
    <b v="0"/>
    <b v="1"/>
    <b v="0"/>
    <b v="0"/>
    <b v="0"/>
    <b v="0"/>
    <b v="0"/>
    <b v="0"/>
    <b v="0"/>
    <b v="0"/>
  </r>
  <r>
    <s v="fcavallarin/htcap"/>
    <s v="fcavallarin"/>
    <s v="htcap"/>
    <s v="https://github.com/fcavallarin/htcap"/>
    <d v="2015-06-25T12:10:09"/>
    <d v="2021-03-14T07:28:56"/>
    <n v="2088.8047106481463"/>
    <b v="0"/>
    <b v="0"/>
    <n v="568"/>
    <n v="42"/>
    <n v="107"/>
    <n v="3"/>
    <n v="3"/>
    <n v="5"/>
    <n v="48"/>
    <n v="2"/>
    <n v="38"/>
    <n v="2"/>
    <x v="3"/>
    <n v="4494"/>
    <n v="4"/>
    <n v="8.9007565643079659E-4"/>
    <n v="1"/>
    <n v="0.25"/>
    <n v="2.2251891410769915E-4"/>
    <n v="2"/>
    <n v="0.5"/>
    <n v="4.450378282153983E-4"/>
    <n v="1"/>
    <n v="0.25"/>
    <n v="2.2251891410769915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DA/openfda"/>
    <s v="FDA"/>
    <s v="openfda"/>
    <s v="https://github.com/FDA/openfda"/>
    <d v="2014-06-01T14:43:10"/>
    <d v="2021-03-29T00:27:35"/>
    <n v="2492.4058449074073"/>
    <b v="0"/>
    <b v="1"/>
    <n v="431"/>
    <n v="61"/>
    <n v="105"/>
    <n v="0"/>
    <n v="1"/>
    <n v="8"/>
    <n v="31"/>
    <n v="1"/>
    <n v="134"/>
    <n v="6"/>
    <x v="7"/>
    <n v="9873"/>
    <n v="107"/>
    <n v="1.0837638002633444E-2"/>
    <n v="6"/>
    <n v="5.6074766355140186E-2"/>
    <n v="6.0771801883925853E-4"/>
    <n v="62"/>
    <n v="0.57943925233644855"/>
    <n v="6.2797528613390058E-3"/>
    <n v="19"/>
    <n v="0.17757009345794392"/>
    <n v="1.9244403929909856E-3"/>
    <n v="20"/>
    <n v="0.18691588785046728"/>
    <n v="2.0257267294641955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feast-dev/feast"/>
    <s v="feast-dev"/>
    <s v="feast"/>
    <s v="https://github.com/feast-dev/feast"/>
    <d v="2018-12-10T07:20:15"/>
    <d v="2021-04-09T04:07:23"/>
    <n v="850.86606481481431"/>
    <b v="0"/>
    <b v="1"/>
    <n v="1676"/>
    <n v="56"/>
    <n v="270"/>
    <n v="34"/>
    <n v="15"/>
    <n v="62"/>
    <n v="1051"/>
    <n v="5"/>
    <n v="389"/>
    <n v="20"/>
    <x v="4"/>
    <n v="5094"/>
    <n v="10"/>
    <n v="1.9630938358853552E-3"/>
    <n v="0"/>
    <n v="0"/>
    <n v="0"/>
    <n v="2"/>
    <n v="0.2"/>
    <n v="3.9261876717707107E-4"/>
    <n v="2"/>
    <n v="0.2"/>
    <n v="3.9261876717707107E-4"/>
    <n v="3"/>
    <n v="0.3"/>
    <n v="5.8892815076560655E-4"/>
    <n v="0"/>
    <n v="0"/>
    <n v="0"/>
    <n v="3"/>
    <n v="0.3"/>
    <n v="5.8892815076560655E-4"/>
    <b v="1"/>
    <b v="1"/>
    <b v="0"/>
    <b v="0"/>
    <b v="1"/>
    <b v="0"/>
    <b v="0"/>
    <b v="0"/>
    <b v="0"/>
    <b v="0"/>
    <b v="0"/>
    <b v="0"/>
    <b v="0"/>
  </r>
  <r>
    <s v="fedden/poker_ai"/>
    <s v="fedden"/>
    <s v="poker_ai"/>
    <s v="https://github.com/fedden/poker_ai"/>
    <d v="2020-01-11T15:54:20"/>
    <d v="2021-04-08T17:59:30"/>
    <n v="453.08692129629344"/>
    <b v="0"/>
    <b v="0"/>
    <n v="489"/>
    <n v="59"/>
    <n v="130"/>
    <n v="2"/>
    <n v="0"/>
    <n v="4"/>
    <n v="85"/>
    <n v="12"/>
    <n v="47"/>
    <n v="18"/>
    <x v="7"/>
    <n v="3458"/>
    <n v="73"/>
    <n v="2.1110468478889532E-2"/>
    <n v="36"/>
    <n v="0.49315068493150682"/>
    <n v="1.0410641989589358E-2"/>
    <n v="37"/>
    <n v="0.50684931506849318"/>
    <n v="1.0699826489300174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ederatedAI/FATE"/>
    <s v="FederatedAI"/>
    <s v="FATE"/>
    <s v="https://github.com/FederatedAI/FATE"/>
    <d v="2019-01-24T10:32:43"/>
    <d v="2021-04-09T01:59:31"/>
    <n v="805.64361111111066"/>
    <b v="0"/>
    <b v="1"/>
    <n v="2937"/>
    <n v="120"/>
    <n v="853"/>
    <n v="26"/>
    <n v="2"/>
    <n v="47"/>
    <n v="1904"/>
    <n v="1"/>
    <n v="826"/>
    <n v="286"/>
    <x v="4"/>
    <n v="69830"/>
    <n v="1274"/>
    <n v="1.8244307604181585E-2"/>
    <n v="506"/>
    <n v="0.39717425431711145"/>
    <n v="7.246169268222827E-3"/>
    <n v="622"/>
    <n v="0.48822605965463106"/>
    <n v="8.907346412716597E-3"/>
    <n v="74"/>
    <n v="5.8084772370486655E-2"/>
    <n v="1.059716454246026E-3"/>
    <n v="8"/>
    <n v="6.2794348508634227E-3"/>
    <n v="1.1456394099957039E-4"/>
    <n v="2"/>
    <n v="1.5698587127158557E-3"/>
    <n v="2.8640985249892597E-5"/>
    <n v="62"/>
    <n v="4.8665620094191522E-2"/>
    <n v="8.8787054274667044E-4"/>
    <b v="1"/>
    <b v="0"/>
    <b v="0"/>
    <b v="0"/>
    <b v="1"/>
    <b v="0"/>
    <b v="0"/>
    <b v="0"/>
    <b v="1"/>
    <b v="0"/>
    <b v="0"/>
    <b v="0"/>
    <b v="0"/>
  </r>
  <r>
    <s v="fennerm/flashfocus"/>
    <s v="fennerm"/>
    <s v="flashfocus"/>
    <s v="https://github.com/fennerm/flashfocus"/>
    <d v="2018-02-23T19:19:08"/>
    <d v="2021-04-03T20:52:17"/>
    <n v="1135.064687500002"/>
    <b v="0"/>
    <b v="0"/>
    <n v="588"/>
    <n v="11"/>
    <n v="9"/>
    <n v="0"/>
    <n v="0"/>
    <n v="6"/>
    <n v="10"/>
    <n v="0"/>
    <n v="53"/>
    <n v="4"/>
    <x v="5"/>
    <n v="1723"/>
    <n v="36"/>
    <n v="2.0893789901334881E-2"/>
    <n v="17"/>
    <n v="0.47222222222222221"/>
    <n v="9.8665118978525819E-3"/>
    <n v="12"/>
    <n v="0.33333333333333331"/>
    <n v="6.9645966337782937E-3"/>
    <n v="3"/>
    <n v="8.3333333333333329E-2"/>
    <n v="1.7411491584445734E-3"/>
    <n v="4"/>
    <n v="0.1111111111111111"/>
    <n v="2.321532211259431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hamborg/news-please"/>
    <s v="fhamborg"/>
    <s v="news-please"/>
    <s v="https://github.com/fhamborg/news-please"/>
    <d v="2016-12-18T17:00:02"/>
    <d v="2021-04-08T11:53:35"/>
    <n v="1571.7871874999983"/>
    <b v="0"/>
    <b v="0"/>
    <n v="1005"/>
    <n v="44"/>
    <n v="260"/>
    <n v="0"/>
    <n v="4"/>
    <n v="27"/>
    <n v="59"/>
    <n v="0"/>
    <n v="148"/>
    <n v="16"/>
    <x v="4"/>
    <n v="3213"/>
    <n v="97"/>
    <n v="3.0189853719265483E-2"/>
    <n v="17"/>
    <n v="0.17525773195876287"/>
    <n v="5.2910052910052907E-3"/>
    <n v="36"/>
    <n v="0.37113402061855671"/>
    <n v="1.1204481792717087E-2"/>
    <n v="6"/>
    <n v="6.1855670103092786E-2"/>
    <n v="1.8674136321195146E-3"/>
    <n v="38"/>
    <n v="0.39175257731958762"/>
    <n v="1.1826953003423592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ireeye/speakeasy"/>
    <s v="fireeye"/>
    <s v="speakeasy"/>
    <s v="https://github.com/fireeye/speakeasy"/>
    <d v="2020-08-06T20:12:59"/>
    <d v="2021-04-08T22:24:37"/>
    <n v="245.09141203703621"/>
    <b v="0"/>
    <b v="1"/>
    <n v="633"/>
    <n v="44"/>
    <n v="83"/>
    <n v="5"/>
    <n v="0"/>
    <n v="22"/>
    <n v="98"/>
    <n v="3"/>
    <n v="46"/>
    <n v="27"/>
    <x v="5"/>
    <n v="20904"/>
    <n v="17"/>
    <n v="8.1324148488327592E-4"/>
    <n v="0"/>
    <n v="0"/>
    <n v="0"/>
    <n v="8"/>
    <n v="0.47058823529411764"/>
    <n v="3.8270187523918868E-4"/>
    <n v="0"/>
    <n v="0"/>
    <n v="0"/>
    <n v="6"/>
    <n v="0.35294117647058826"/>
    <n v="2.8702640642939151E-4"/>
    <n v="0"/>
    <n v="0"/>
    <n v="0"/>
    <n v="3"/>
    <n v="0.17647058823529413"/>
    <n v="1.4351320321469576E-4"/>
    <b v="1"/>
    <b v="0"/>
    <b v="0"/>
    <b v="0"/>
    <b v="1"/>
    <b v="0"/>
    <b v="0"/>
    <b v="0"/>
    <b v="0"/>
    <b v="0"/>
    <b v="0"/>
    <b v="0"/>
    <b v="0"/>
  </r>
  <r>
    <s v="firmianay/IoT-vulhub"/>
    <s v="firmianay"/>
    <s v="IoT-vulhub"/>
    <s v="https://github.com/firmianay/IoT-vulhub"/>
    <d v="2020-08-27T03:11:03"/>
    <d v="2021-04-09T03:02:16"/>
    <n v="224.99390046296321"/>
    <b v="0"/>
    <b v="0"/>
    <n v="361"/>
    <n v="15"/>
    <n v="31"/>
    <n v="0"/>
    <n v="0"/>
    <n v="5"/>
    <n v="5"/>
    <n v="1"/>
    <n v="4"/>
    <n v="2"/>
    <x v="7"/>
    <n v="5833"/>
    <n v="27"/>
    <n v="4.6288359334819128E-3"/>
    <n v="15"/>
    <n v="0.55555555555555558"/>
    <n v="2.5715755186010631E-3"/>
    <n v="10"/>
    <n v="0.37037037037037035"/>
    <n v="1.7143836790673753E-3"/>
    <n v="2"/>
    <n v="7.407407407407407E-2"/>
    <n v="3.4287673581347508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ishtown-analytics/dbt"/>
    <s v="fishtown-analytics"/>
    <s v="dbt"/>
    <s v="https://github.com/fishtown-analytics/dbt"/>
    <d v="2016-03-10T02:38:00"/>
    <d v="2021-04-09T00:19:43"/>
    <n v="1855.9039699074056"/>
    <b v="0"/>
    <b v="1"/>
    <n v="2789"/>
    <n v="83"/>
    <n v="547"/>
    <n v="70"/>
    <n v="17"/>
    <n v="128"/>
    <n v="1386"/>
    <n v="19"/>
    <n v="1822"/>
    <n v="313"/>
    <x v="4"/>
    <n v="39842"/>
    <n v="225"/>
    <n v="5.6473068621053163E-3"/>
    <n v="131"/>
    <n v="0.5822222222222222"/>
    <n v="3.2879875508257618E-3"/>
    <n v="54"/>
    <n v="0.24"/>
    <n v="1.3553536469052758E-3"/>
    <n v="18"/>
    <n v="0.08"/>
    <n v="4.5178454896842529E-4"/>
    <n v="19"/>
    <n v="8.4444444444444447E-2"/>
    <n v="4.7688369057778224E-4"/>
    <n v="0"/>
    <n v="0"/>
    <n v="0"/>
    <n v="3"/>
    <n v="1.3333333333333334E-2"/>
    <n v="7.5297424828070882E-5"/>
    <b v="1"/>
    <b v="1"/>
    <b v="0"/>
    <b v="0"/>
    <b v="1"/>
    <b v="0"/>
    <b v="0"/>
    <b v="1"/>
    <b v="0"/>
    <b v="0"/>
    <b v="0"/>
    <b v="0"/>
    <b v="0"/>
  </r>
  <r>
    <s v="fkie-cad/FACT_core"/>
    <s v="fkie-cad"/>
    <s v="FACT_core"/>
    <s v="https://github.com/fkie-cad/FACT_core"/>
    <d v="2017-09-19T14:48:11"/>
    <d v="2021-04-02T20:22:15"/>
    <n v="1291.2319907407364"/>
    <b v="0"/>
    <b v="1"/>
    <n v="677"/>
    <n v="37"/>
    <n v="130"/>
    <n v="10"/>
    <n v="0"/>
    <n v="19"/>
    <n v="388"/>
    <n v="10"/>
    <n v="173"/>
    <n v="26"/>
    <x v="0"/>
    <n v="20509"/>
    <n v="277"/>
    <n v="1.3506265541957189E-2"/>
    <n v="87"/>
    <n v="0.3140794223826715"/>
    <n v="4.2420400799648931E-3"/>
    <n v="77"/>
    <n v="0.27797833935018051"/>
    <n v="3.7544492661758253E-3"/>
    <n v="47"/>
    <n v="0.16967509025270758"/>
    <n v="2.2916768248086206E-3"/>
    <n v="62"/>
    <n v="0.22382671480144403"/>
    <n v="3.0230630454922227E-3"/>
    <n v="4"/>
    <n v="1.444043321299639E-2"/>
    <n v="1.9503632551562728E-4"/>
    <n v="0"/>
    <n v="0"/>
    <n v="0"/>
    <b v="1"/>
    <b v="1"/>
    <b v="0"/>
    <b v="0"/>
    <b v="1"/>
    <b v="0"/>
    <b v="0"/>
    <b v="0"/>
    <b v="0"/>
    <b v="0"/>
    <b v="0"/>
    <b v="0"/>
    <b v="0"/>
  </r>
  <r>
    <s v="Flexget/Flexget"/>
    <s v="Flexget"/>
    <s v="Flexget"/>
    <s v="https://github.com/Flexget/Flexget"/>
    <d v="2011-03-22T19:33:44"/>
    <d v="2021-04-08T11:35:47"/>
    <n v="3669.6680902777734"/>
    <b v="0"/>
    <b v="1"/>
    <n v="1288"/>
    <n v="92"/>
    <n v="456"/>
    <n v="34"/>
    <n v="290"/>
    <n v="284"/>
    <n v="1528"/>
    <n v="50"/>
    <n v="1321"/>
    <n v="123"/>
    <x v="5"/>
    <n v="54083"/>
    <n v="1917"/>
    <n v="3.5445518924615865E-2"/>
    <n v="1150"/>
    <n v="0.59989567031820556"/>
    <n v="2.1263613335059075E-2"/>
    <n v="257"/>
    <n v="0.13406364110589464"/>
    <n v="4.7519553279218975E-3"/>
    <n v="188"/>
    <n v="9.80699008868023E-2"/>
    <n v="3.4761385278183534E-3"/>
    <n v="253"/>
    <n v="0.13197704747000522"/>
    <n v="4.6779949337129971E-3"/>
    <n v="58"/>
    <n v="3.0255607720396451E-2"/>
    <n v="1.0724257160290664E-3"/>
    <n v="11"/>
    <n v="5.7381324986958788E-3"/>
    <n v="2.0339108407447812E-4"/>
    <b v="1"/>
    <b v="0"/>
    <b v="0"/>
    <b v="0"/>
    <b v="1"/>
    <b v="0"/>
    <b v="0"/>
    <b v="0"/>
    <b v="1"/>
    <b v="0"/>
    <b v="0"/>
    <b v="0"/>
    <b v="0"/>
  </r>
  <r>
    <s v="flexxui/flexx"/>
    <s v="flexxui"/>
    <s v="flexx"/>
    <s v="https://github.com/flexxui/flexx"/>
    <d v="2014-09-03T08:38:00"/>
    <d v="2021-04-05T14:59:24"/>
    <n v="2406.2648611111072"/>
    <b v="0"/>
    <b v="1"/>
    <n v="2614"/>
    <n v="152"/>
    <n v="238"/>
    <n v="0"/>
    <n v="19"/>
    <n v="33"/>
    <n v="282"/>
    <n v="1"/>
    <n v="410"/>
    <n v="75"/>
    <x v="8"/>
    <n v="18559"/>
    <n v="92"/>
    <n v="4.9571636402823424E-3"/>
    <n v="18"/>
    <n v="0.19565217391304349"/>
    <n v="9.6987984266393666E-4"/>
    <n v="22"/>
    <n v="0.2391304347826087"/>
    <n v="1.1854086965892559E-3"/>
    <n v="32"/>
    <n v="0.34782608695652173"/>
    <n v="1.724230831402554E-3"/>
    <n v="9"/>
    <n v="9.7826086956521743E-2"/>
    <n v="4.8493992133196833E-4"/>
    <n v="0"/>
    <n v="0"/>
    <n v="0"/>
    <n v="11"/>
    <n v="0.11956521739130435"/>
    <n v="5.9270434829462794E-4"/>
    <b v="1"/>
    <b v="0"/>
    <b v="0"/>
    <b v="0"/>
    <b v="1"/>
    <b v="0"/>
    <b v="0"/>
    <b v="0"/>
    <b v="0"/>
    <b v="0"/>
    <b v="0"/>
    <b v="0"/>
    <b v="0"/>
  </r>
  <r>
    <s v="flipkart-incubator/Astra"/>
    <s v="flipkart-incubator"/>
    <s v="Astra"/>
    <s v="https://github.com/flipkart-incubator/Astra"/>
    <d v="2018-01-10T11:56:11"/>
    <d v="2021-04-01T12:12:36"/>
    <n v="1177.011400462965"/>
    <b v="0"/>
    <b v="1"/>
    <n v="1733"/>
    <n v="78"/>
    <n v="265"/>
    <n v="0"/>
    <n v="0"/>
    <n v="9"/>
    <n v="55"/>
    <n v="6"/>
    <n v="60"/>
    <n v="33"/>
    <x v="4"/>
    <n v="2185"/>
    <n v="41"/>
    <n v="1.8764302059496567E-2"/>
    <n v="0"/>
    <n v="0"/>
    <n v="0"/>
    <n v="40"/>
    <n v="0.97560975609756095"/>
    <n v="1.8306636155606407E-2"/>
    <n v="0"/>
    <n v="0"/>
    <n v="0"/>
    <n v="1"/>
    <n v="2.4390243902439025E-2"/>
    <n v="4.576659038901602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lipkart-incubator/watchdog"/>
    <s v="flipkart-incubator"/>
    <s v="watchdog"/>
    <s v="https://github.com/flipkart-incubator/watchdog"/>
    <d v="2018-04-09T07:00:02"/>
    <d v="2021-03-22T11:34:21"/>
    <n v="1078.1904976851802"/>
    <b v="0"/>
    <b v="1"/>
    <n v="347"/>
    <n v="27"/>
    <n v="80"/>
    <n v="0"/>
    <n v="0"/>
    <n v="3"/>
    <n v="5"/>
    <n v="0"/>
    <n v="12"/>
    <n v="10"/>
    <x v="4"/>
    <n v="17654"/>
    <n v="47"/>
    <n v="2.6622861674408067E-3"/>
    <n v="0"/>
    <n v="0"/>
    <n v="0"/>
    <n v="37"/>
    <n v="0.78723404255319152"/>
    <n v="2.095842302027869E-3"/>
    <n v="0"/>
    <n v="0"/>
    <n v="0"/>
    <n v="10"/>
    <n v="0.21276595744680851"/>
    <n v="5.664438654129376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losell/trailscraper"/>
    <s v="flosell"/>
    <s v="trailscraper"/>
    <s v="https://github.com/flosell/trailscraper"/>
    <d v="2017-11-26T12:15:52"/>
    <d v="2021-04-06T08:26:11"/>
    <n v="1226.8404976851816"/>
    <b v="0"/>
    <b v="0"/>
    <n v="372"/>
    <n v="10"/>
    <n v="15"/>
    <n v="10"/>
    <n v="0"/>
    <n v="5"/>
    <n v="113"/>
    <n v="0"/>
    <n v="37"/>
    <n v="18"/>
    <x v="4"/>
    <n v="1043"/>
    <n v="9"/>
    <n v="8.6289549376797701E-3"/>
    <n v="1"/>
    <n v="0.1111111111111111"/>
    <n v="9.5877277085330771E-4"/>
    <n v="3"/>
    <n v="0.33333333333333331"/>
    <n v="2.8763183125599234E-3"/>
    <n v="5"/>
    <n v="0.55555555555555558"/>
    <n v="4.7938638542665392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low-project/flow"/>
    <s v="flow-project"/>
    <s v="flow"/>
    <s v="https://github.com/flow-project/flow"/>
    <d v="2017-08-24T00:36:03"/>
    <d v="2021-04-07T22:18:38"/>
    <n v="1322.9045717592599"/>
    <b v="0"/>
    <b v="1"/>
    <n v="629"/>
    <n v="50"/>
    <n v="227"/>
    <n v="7"/>
    <n v="4"/>
    <n v="44"/>
    <n v="576"/>
    <n v="38"/>
    <n v="464"/>
    <n v="156"/>
    <x v="5"/>
    <n v="15684"/>
    <n v="19"/>
    <n v="1.2114256567202243E-3"/>
    <n v="4"/>
    <n v="0.21052631578947367"/>
    <n v="2.550369803621525E-4"/>
    <n v="4"/>
    <n v="0.21052631578947367"/>
    <n v="2.550369803621525E-4"/>
    <n v="8"/>
    <n v="0.42105263157894735"/>
    <n v="5.1007396072430501E-4"/>
    <n v="3"/>
    <n v="0.15789473684210525"/>
    <n v="1.912777352716143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ofapro/vulfocus"/>
    <s v="fofapro"/>
    <s v="vulfocus"/>
    <s v="https://github.com/fofapro/vulfocus"/>
    <d v="2020-04-14T04:25:43"/>
    <d v="2021-04-08T09:13:33"/>
    <n v="359.1998842592584"/>
    <b v="0"/>
    <b v="1"/>
    <n v="1103"/>
    <n v="31"/>
    <n v="158"/>
    <n v="10"/>
    <n v="0"/>
    <n v="14"/>
    <n v="99"/>
    <n v="0"/>
    <n v="45"/>
    <n v="8"/>
    <x v="4"/>
    <n v="2642"/>
    <n v="3"/>
    <n v="1.1355034065102195E-3"/>
    <n v="1"/>
    <n v="0.33333333333333331"/>
    <n v="3.7850113550340651E-4"/>
    <n v="2"/>
    <n v="0.66666666666666663"/>
    <n v="7.5700227100681302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oolcage/fooltrader"/>
    <s v="foolcage"/>
    <s v="fooltrader"/>
    <s v="https://github.com/foolcage/fooltrader"/>
    <d v="2017-09-27T05:58:38"/>
    <d v="2021-04-08T08:55:10"/>
    <n v="1289.1225925925974"/>
    <b v="0"/>
    <b v="0"/>
    <n v="963"/>
    <n v="127"/>
    <n v="300"/>
    <n v="6"/>
    <n v="0"/>
    <n v="6"/>
    <n v="12"/>
    <n v="0"/>
    <n v="23"/>
    <n v="2"/>
    <x v="5"/>
    <n v="6422"/>
    <n v="183"/>
    <n v="2.8495795702273435E-2"/>
    <n v="7"/>
    <n v="3.825136612021858E-2"/>
    <n v="1.0900031142946122E-3"/>
    <n v="111"/>
    <n v="0.60655737704918034"/>
    <n v="1.7284335098100279E-2"/>
    <n v="19"/>
    <n v="0.10382513661202186"/>
    <n v="2.9585798816568047E-3"/>
    <n v="9"/>
    <n v="4.9180327868852458E-2"/>
    <n v="1.4014325755216444E-3"/>
    <n v="0"/>
    <n v="0"/>
    <n v="0"/>
    <n v="37"/>
    <n v="0.20218579234972678"/>
    <n v="5.7614450327000931E-3"/>
    <b v="1"/>
    <b v="0"/>
    <b v="0"/>
    <b v="0"/>
    <b v="1"/>
    <b v="0"/>
    <b v="0"/>
    <b v="0"/>
    <b v="0"/>
    <b v="0"/>
    <b v="0"/>
    <b v="0"/>
    <b v="0"/>
  </r>
  <r>
    <s v="forseti-security/forseti-security"/>
    <s v="forseti-security"/>
    <s v="forseti-security"/>
    <s v="https://github.com/forseti-security/forseti-security"/>
    <d v="2017-02-16T18:01:26"/>
    <d v="2021-04-09T02:52:41"/>
    <n v="1512.3689236111095"/>
    <b v="0"/>
    <b v="1"/>
    <n v="1182"/>
    <n v="80"/>
    <n v="253"/>
    <n v="63"/>
    <n v="33"/>
    <n v="77"/>
    <n v="2356"/>
    <n v="2"/>
    <n v="1454"/>
    <n v="19"/>
    <x v="4"/>
    <n v="37522"/>
    <n v="644"/>
    <n v="1.7163264218325248E-2"/>
    <n v="256"/>
    <n v="0.39751552795031053"/>
    <n v="6.8226640370982359E-3"/>
    <n v="140"/>
    <n v="0.21739130434782608"/>
    <n v="3.7311443952880974E-3"/>
    <n v="96"/>
    <n v="0.14906832298136646"/>
    <n v="2.5584990139118384E-3"/>
    <n v="52"/>
    <n v="8.0745341614906832E-2"/>
    <n v="1.3858536325355791E-3"/>
    <n v="0"/>
    <n v="0"/>
    <n v="0"/>
    <n v="100"/>
    <n v="0.15527950310559005"/>
    <n v="2.6651031394914985E-3"/>
    <b v="1"/>
    <b v="1"/>
    <b v="0"/>
    <b v="0"/>
    <b v="1"/>
    <b v="0"/>
    <b v="0"/>
    <b v="0"/>
    <b v="0"/>
    <b v="0"/>
    <b v="0"/>
    <b v="0"/>
    <b v="0"/>
  </r>
  <r>
    <s v="fossasia/open-event-legacy"/>
    <s v="fossasia"/>
    <s v="open-event-legacy"/>
    <s v="https://github.com/fossasia/open-event-legacy"/>
    <d v="2017-11-20T15:20:49"/>
    <d v="2021-04-06T16:42:14"/>
    <n v="1233.0565393518482"/>
    <b v="0"/>
    <b v="1"/>
    <n v="1330"/>
    <n v="12"/>
    <n v="39"/>
    <n v="1"/>
    <n v="0"/>
    <n v="99"/>
    <n v="24"/>
    <n v="5"/>
    <n v="0"/>
    <n v="0"/>
    <x v="7"/>
    <n v="20821"/>
    <n v="17"/>
    <n v="8.1648335814802362E-4"/>
    <n v="0"/>
    <n v="0"/>
    <n v="0"/>
    <n v="14"/>
    <n v="0.82352941176470584"/>
    <n v="6.7239805965131356E-4"/>
    <n v="1"/>
    <n v="5.8823529411764705E-2"/>
    <n v="4.8028432832236681E-5"/>
    <n v="2"/>
    <n v="0.11764705882352941"/>
    <n v="9.6056865664473362E-5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fossasia/open-event-server"/>
    <s v="fossasia"/>
    <s v="open-event-server"/>
    <s v="https://github.com/fossasia/open-event-server"/>
    <d v="2015-05-08T09:16:19"/>
    <d v="2021-04-08T22:56:38"/>
    <n v="2162.5696643518531"/>
    <b v="0"/>
    <b v="1"/>
    <n v="2652"/>
    <n v="51"/>
    <n v="1724"/>
    <n v="37"/>
    <n v="27"/>
    <n v="199"/>
    <n v="4437"/>
    <n v="41"/>
    <n v="3417"/>
    <n v="128"/>
    <x v="0"/>
    <n v="32439"/>
    <n v="122"/>
    <n v="3.7609050833872807E-3"/>
    <n v="0"/>
    <n v="0"/>
    <n v="0"/>
    <n v="52"/>
    <n v="0.42622950819672129"/>
    <n v="1.6030087240667098E-3"/>
    <n v="30"/>
    <n v="0.24590163934426229"/>
    <n v="9.248127254231018E-4"/>
    <n v="13"/>
    <n v="0.10655737704918032"/>
    <n v="4.0075218101667744E-4"/>
    <n v="0"/>
    <n v="0"/>
    <n v="0"/>
    <n v="27"/>
    <n v="0.22131147540983606"/>
    <n v="8.3233145288079164E-4"/>
    <b v="1"/>
    <b v="1"/>
    <b v="0"/>
    <b v="0"/>
    <b v="1"/>
    <b v="0"/>
    <b v="0"/>
    <b v="0"/>
    <b v="0"/>
    <b v="0"/>
    <b v="0"/>
    <b v="0"/>
    <b v="0"/>
  </r>
  <r>
    <s v="fox-it/BloodHound.py"/>
    <s v="fox-it"/>
    <s v="BloodHound.py"/>
    <s v="https://github.com/fox-it/BloodHound.py"/>
    <d v="2018-02-26T14:44:20"/>
    <d v="2021-04-09T03:30:42"/>
    <n v="1137.5321990740704"/>
    <b v="0"/>
    <b v="1"/>
    <n v="755"/>
    <n v="30"/>
    <n v="117"/>
    <n v="0"/>
    <n v="0"/>
    <n v="13"/>
    <n v="26"/>
    <n v="1"/>
    <n v="40"/>
    <n v="3"/>
    <x v="5"/>
    <n v="3337"/>
    <n v="137"/>
    <n v="4.1054839676356009E-2"/>
    <n v="69"/>
    <n v="0.5036496350364964"/>
    <n v="2.0677255019478574E-2"/>
    <n v="24"/>
    <n v="0.17518248175182483"/>
    <n v="7.19208870242733E-3"/>
    <n v="28"/>
    <n v="0.20437956204379562"/>
    <n v="8.3907701528318848E-3"/>
    <n v="16"/>
    <n v="0.11678832116788321"/>
    <n v="4.794725801618220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oxmask/django-th"/>
    <s v="foxmask"/>
    <s v="django-th"/>
    <s v="https://github.com/foxmask/django-th"/>
    <d v="2013-01-16T21:23:41"/>
    <d v="2021-03-27T13:44:20"/>
    <n v="2991.68100694444"/>
    <b v="0"/>
    <b v="0"/>
    <n v="1357"/>
    <n v="40"/>
    <n v="124"/>
    <n v="19"/>
    <n v="6"/>
    <n v="17"/>
    <n v="64"/>
    <n v="0"/>
    <n v="242"/>
    <n v="5"/>
    <x v="2"/>
    <n v="6029"/>
    <n v="57"/>
    <n v="9.4543041963841435E-3"/>
    <n v="14"/>
    <n v="0.24561403508771928"/>
    <n v="2.3221098026206667E-3"/>
    <n v="4"/>
    <n v="7.0175438596491224E-2"/>
    <n v="6.6345994360590482E-4"/>
    <n v="11"/>
    <n v="0.19298245614035087"/>
    <n v="1.8245148449162383E-3"/>
    <n v="9"/>
    <n v="0.15789473684210525"/>
    <n v="1.4927848731132857E-3"/>
    <n v="19"/>
    <n v="0.33333333333333331"/>
    <n v="3.1514347321280477E-3"/>
    <n v="0"/>
    <n v="0"/>
    <n v="0"/>
    <b v="1"/>
    <b v="1"/>
    <b v="0"/>
    <b v="0"/>
    <b v="1"/>
    <b v="0"/>
    <b v="0"/>
    <b v="0"/>
    <b v="0"/>
    <b v="0"/>
    <b v="0"/>
    <b v="0"/>
    <b v="0"/>
  </r>
  <r>
    <s v="freedomofpress/securedrop"/>
    <s v="freedomofpress"/>
    <s v="securedrop"/>
    <s v="https://github.com/freedomofpress/securedrop"/>
    <d v="2012-01-11T19:57:55"/>
    <d v="2021-04-09T00:01:21"/>
    <n v="3375.1690509259279"/>
    <b v="0"/>
    <b v="1"/>
    <n v="3034"/>
    <n v="155"/>
    <n v="571"/>
    <n v="27"/>
    <n v="82"/>
    <n v="172"/>
    <n v="3218"/>
    <n v="13"/>
    <n v="2613"/>
    <n v="360"/>
    <x v="11"/>
    <n v="18364"/>
    <n v="159"/>
    <n v="8.6582443912001737E-3"/>
    <n v="31"/>
    <n v="0.19496855345911951"/>
    <n v="1.6880853844478327E-3"/>
    <n v="60"/>
    <n v="0.37735849056603776"/>
    <n v="3.2672620344151599E-3"/>
    <n v="9"/>
    <n v="5.6603773584905662E-2"/>
    <n v="4.9008930516227401E-4"/>
    <n v="59"/>
    <n v="0.37106918238993708"/>
    <n v="3.212807667174907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reeipa/freeipa"/>
    <s v="freeipa"/>
    <s v="freeipa"/>
    <s v="https://github.com/freeipa/freeipa"/>
    <d v="2012-05-15T20:34:40"/>
    <d v="2021-04-07T08:43:51"/>
    <n v="3248.506377314814"/>
    <b v="0"/>
    <b v="1"/>
    <n v="524"/>
    <n v="54"/>
    <n v="232"/>
    <n v="0"/>
    <n v="45"/>
    <n v="138"/>
    <n v="5706"/>
    <n v="34"/>
    <n v="0"/>
    <n v="0"/>
    <x v="7"/>
    <n v="128111"/>
    <n v="1968"/>
    <n v="1.5361678544387289E-2"/>
    <n v="906"/>
    <n v="0.46036585365853661"/>
    <n v="7.0719922567148803E-3"/>
    <n v="416"/>
    <n v="0.21138211382113822"/>
    <n v="3.2471840825534109E-3"/>
    <n v="189"/>
    <n v="9.6036585365853661E-2"/>
    <n v="1.4752831528908525E-3"/>
    <n v="400"/>
    <n v="0.2032520325203252"/>
    <n v="3.1222923870705874E-3"/>
    <n v="42"/>
    <n v="2.1341463414634148E-2"/>
    <n v="3.2784070064241163E-4"/>
    <n v="15"/>
    <n v="7.621951219512195E-3"/>
    <n v="1.1708596451514703E-4"/>
    <b v="0"/>
    <b v="1"/>
    <b v="0"/>
    <b v="0"/>
    <b v="1"/>
    <b v="0"/>
    <b v="0"/>
    <b v="0"/>
    <b v="0"/>
    <b v="0"/>
    <b v="0"/>
    <b v="0"/>
    <b v="0"/>
  </r>
  <r>
    <s v="FreeOpcUa/python-opcua"/>
    <s v="FreeOpcUa"/>
    <s v="python-opcua"/>
    <s v="https://github.com/FreeOpcUa/python-opcua"/>
    <d v="2015-02-20T16:46:53"/>
    <d v="2021-04-09T00:47:37"/>
    <n v="2239.3338425925976"/>
    <b v="0"/>
    <b v="1"/>
    <n v="879"/>
    <n v="91"/>
    <n v="489"/>
    <n v="0"/>
    <n v="43"/>
    <n v="81"/>
    <n v="465"/>
    <n v="18"/>
    <n v="735"/>
    <n v="364"/>
    <x v="9"/>
    <n v="213828"/>
    <n v="301"/>
    <n v="1.4076734571711843E-3"/>
    <n v="68"/>
    <n v="0.22591362126245848"/>
    <n v="3.1801260826458649E-4"/>
    <n v="161"/>
    <n v="0.53488372093023251"/>
    <n v="7.5294161662644741E-4"/>
    <n v="47"/>
    <n v="0.15614617940199335"/>
    <n v="2.1980283218287595E-4"/>
    <n v="11"/>
    <n v="3.6544850498338874E-2"/>
    <n v="5.1443216042800757E-5"/>
    <n v="0"/>
    <n v="0"/>
    <n v="0"/>
    <n v="14"/>
    <n v="4.6511627906976744E-2"/>
    <n v="6.547318405447369E-5"/>
    <b v="1"/>
    <b v="0"/>
    <b v="0"/>
    <b v="0"/>
    <b v="1"/>
    <b v="0"/>
    <b v="0"/>
    <b v="0"/>
    <b v="0"/>
    <b v="0"/>
    <b v="0"/>
    <b v="0"/>
    <b v="0"/>
  </r>
  <r>
    <s v="freqtrade/freqtrade"/>
    <s v="freqtrade"/>
    <s v="freqtrade"/>
    <s v="https://github.com/freqtrade/freqtrade"/>
    <d v="2017-05-17T23:48:53"/>
    <d v="2021-04-09T03:42:26"/>
    <n v="1422.1621874999983"/>
    <b v="0"/>
    <b v="1"/>
    <n v="7519"/>
    <n v="425"/>
    <n v="1734"/>
    <n v="40"/>
    <n v="54"/>
    <n v="123"/>
    <n v="2856"/>
    <n v="11"/>
    <n v="1828"/>
    <n v="70"/>
    <x v="0"/>
    <n v="25690"/>
    <n v="409"/>
    <n v="1.5920591669910472E-2"/>
    <n v="89"/>
    <n v="0.2176039119804401"/>
    <n v="3.4643830284157261E-3"/>
    <n v="198"/>
    <n v="0.4841075794621027"/>
    <n v="7.7072790969248735E-3"/>
    <n v="88"/>
    <n v="0.21515892420537897"/>
    <n v="3.4254573764110549E-3"/>
    <n v="12"/>
    <n v="2.9339853300733496E-2"/>
    <n v="4.6710782405605291E-4"/>
    <n v="3"/>
    <n v="7.3349633251833741E-3"/>
    <n v="1.1677695601401323E-4"/>
    <n v="19"/>
    <n v="4.6454767726161368E-2"/>
    <n v="7.3958738808875047E-4"/>
    <b v="1"/>
    <b v="1"/>
    <b v="0"/>
    <b v="0"/>
    <b v="1"/>
    <b v="0"/>
    <b v="0"/>
    <b v="0"/>
    <b v="0"/>
    <b v="0"/>
    <b v="0"/>
    <b v="0"/>
    <b v="0"/>
  </r>
  <r>
    <s v="frol/flask-restplus-server-example"/>
    <s v="frol"/>
    <s v="flask-restplus-server-example"/>
    <s v="https://github.com/frol/flask-restplus-server-example"/>
    <d v="2015-11-18T13:43:34"/>
    <d v="2021-04-08T09:16:12"/>
    <n v="1967.8143287037092"/>
    <b v="0"/>
    <b v="0"/>
    <n v="1245"/>
    <n v="62"/>
    <n v="308"/>
    <n v="0"/>
    <n v="8"/>
    <n v="11"/>
    <n v="35"/>
    <n v="1"/>
    <n v="119"/>
    <n v="19"/>
    <x v="5"/>
    <n v="3371"/>
    <n v="32"/>
    <n v="9.4927321269652927E-3"/>
    <n v="3"/>
    <n v="9.375E-2"/>
    <n v="8.8994363690299619E-4"/>
    <n v="17"/>
    <n v="0.53125"/>
    <n v="5.0430139424503112E-3"/>
    <n v="3"/>
    <n v="9.375E-2"/>
    <n v="8.8994363690299619E-4"/>
    <n v="3"/>
    <n v="9.375E-2"/>
    <n v="8.8994363690299619E-4"/>
    <n v="4"/>
    <n v="0.125"/>
    <n v="1.1865915158706616E-3"/>
    <n v="2"/>
    <n v="6.25E-2"/>
    <n v="5.9329575793533079E-4"/>
    <b v="1"/>
    <b v="1"/>
    <b v="0"/>
    <b v="0"/>
    <b v="1"/>
    <b v="0"/>
    <b v="0"/>
    <b v="0"/>
    <b v="0"/>
    <b v="0"/>
    <b v="0"/>
    <b v="0"/>
    <b v="0"/>
  </r>
  <r>
    <s v="FSecureLABS/awspx"/>
    <s v="FSecureLABS"/>
    <s v="awspx"/>
    <s v="https://github.com/FSecureLABS/awspx"/>
    <d v="2019-12-04T15:15:44"/>
    <d v="2021-04-09T02:54:03"/>
    <n v="491.48494212963124"/>
    <b v="0"/>
    <b v="1"/>
    <n v="553"/>
    <n v="23"/>
    <n v="54"/>
    <n v="7"/>
    <n v="0"/>
    <n v="6"/>
    <n v="17"/>
    <n v="0"/>
    <n v="26"/>
    <n v="1"/>
    <x v="0"/>
    <n v="1797"/>
    <n v="57"/>
    <n v="3.1719532554257093E-2"/>
    <n v="8"/>
    <n v="0.14035087719298245"/>
    <n v="4.4518642181413468E-3"/>
    <n v="24"/>
    <n v="0.42105263157894735"/>
    <n v="1.335559265442404E-2"/>
    <n v="11"/>
    <n v="0.19298245614035087"/>
    <n v="6.1213132999443521E-3"/>
    <n v="4"/>
    <n v="7.0175438596491224E-2"/>
    <n v="2.2259321090706734E-3"/>
    <n v="10"/>
    <n v="0.17543859649122806"/>
    <n v="5.5648302726766831E-3"/>
    <n v="0"/>
    <n v="0"/>
    <n v="0"/>
    <b v="1"/>
    <b v="0"/>
    <b v="0"/>
    <b v="0"/>
    <b v="1"/>
    <b v="0"/>
    <b v="0"/>
    <b v="0"/>
    <b v="0"/>
    <b v="0"/>
    <b v="0"/>
    <b v="0"/>
    <b v="0"/>
  </r>
  <r>
    <s v="FSecureLABS/drozer"/>
    <s v="FSecureLABS"/>
    <s v="drozer"/>
    <s v="https://github.com/FSecureLABS/drozer"/>
    <d v="2012-02-24T15:02:31"/>
    <d v="2021-04-07T19:38:28"/>
    <n v="3330.1916319444426"/>
    <b v="0"/>
    <b v="1"/>
    <n v="2489"/>
    <n v="167"/>
    <n v="607"/>
    <n v="6"/>
    <n v="3"/>
    <n v="25"/>
    <n v="110"/>
    <n v="6"/>
    <n v="281"/>
    <n v="23"/>
    <x v="7"/>
    <n v="12344"/>
    <n v="10"/>
    <n v="8.101101749837978E-4"/>
    <n v="2"/>
    <n v="0.2"/>
    <n v="1.6202203499675956E-4"/>
    <n v="6"/>
    <n v="0.6"/>
    <n v="4.8606610499027868E-4"/>
    <n v="0"/>
    <n v="0"/>
    <n v="0"/>
    <n v="2"/>
    <n v="0.2"/>
    <n v="1.620220349967595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FZambia/centrifuge"/>
    <s v="FZambia"/>
    <s v="centrifuge"/>
    <s v="https://github.com/FZambia/centrifuge"/>
    <d v="2013-03-03T11:43:39"/>
    <d v="2020-12-12T12:01:33"/>
    <n v="2841.012430555551"/>
    <b v="0"/>
    <b v="0"/>
    <n v="690"/>
    <n v="36"/>
    <n v="37"/>
    <n v="0"/>
    <n v="0"/>
    <n v="10"/>
    <n v="32"/>
    <n v="0"/>
    <n v="0"/>
    <n v="0"/>
    <x v="1"/>
    <n v="2769"/>
    <n v="48"/>
    <n v="1.7334777898158179E-2"/>
    <n v="5"/>
    <n v="0.10416666666666667"/>
    <n v="1.8057060310581437E-3"/>
    <n v="14"/>
    <n v="0.29166666666666669"/>
    <n v="5.055976886962802E-3"/>
    <n v="2"/>
    <n v="4.1666666666666664E-2"/>
    <n v="7.2228241242325753E-4"/>
    <n v="23"/>
    <n v="0.47916666666666669"/>
    <n v="8.3062477428674612E-3"/>
    <n v="0"/>
    <n v="0"/>
    <n v="0"/>
    <n v="4"/>
    <n v="8.3333333333333329E-2"/>
    <n v="1.4445648248465151E-3"/>
    <b v="1"/>
    <b v="0"/>
    <b v="0"/>
    <b v="0"/>
    <b v="1"/>
    <b v="0"/>
    <b v="0"/>
    <b v="0"/>
    <b v="0"/>
    <b v="0"/>
    <b v="0"/>
    <b v="0"/>
    <b v="0"/>
  </r>
  <r>
    <s v="GadgetReactor/pyHS100"/>
    <s v="GadgetReactor"/>
    <s v="pyHS100"/>
    <s v="https://github.com/GadgetReactor/pyHS100"/>
    <d v="2016-07-07T09:11:45"/>
    <d v="2021-03-28T19:24:11"/>
    <n v="1725.4253009259264"/>
    <b v="0"/>
    <b v="0"/>
    <n v="382"/>
    <n v="44"/>
    <n v="127"/>
    <n v="11"/>
    <n v="2"/>
    <n v="27"/>
    <n v="109"/>
    <n v="0"/>
    <n v="93"/>
    <n v="0"/>
    <x v="7"/>
    <n v="1902"/>
    <n v="28"/>
    <n v="1.4721345951629864E-2"/>
    <n v="23"/>
    <n v="0.8214285714285714"/>
    <n v="1.2092534174553101E-2"/>
    <n v="3"/>
    <n v="0.10714285714285714"/>
    <n v="1.5772870662460567E-3"/>
    <n v="1"/>
    <n v="3.5714285714285712E-2"/>
    <n v="5.2576235541535224E-4"/>
    <n v="1"/>
    <n v="3.5714285714285712E-2"/>
    <n v="5.257623554153522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alaxyproject/galaxy"/>
    <s v="galaxyproject"/>
    <s v="galaxy"/>
    <s v="https://github.com/galaxyproject/galaxy"/>
    <d v="2015-02-23T14:18:06"/>
    <d v="2021-04-09T01:23:47"/>
    <n v="2236.4622800925936"/>
    <b v="0"/>
    <b v="1"/>
    <n v="817"/>
    <n v="68"/>
    <n v="596"/>
    <n v="0"/>
    <n v="434"/>
    <n v="260"/>
    <n v="7862"/>
    <n v="147"/>
    <n v="3921"/>
    <n v="1471"/>
    <x v="7"/>
    <n v="209016"/>
    <n v="2491"/>
    <n v="1.1917747923603934E-2"/>
    <n v="883"/>
    <n v="0.35447611401043755"/>
    <n v="4.2245569717150842E-3"/>
    <n v="389"/>
    <n v="0.15616218386190284"/>
    <n v="1.8611015424656486E-3"/>
    <n v="374"/>
    <n v="0.15014050582095545"/>
    <n v="1.7893367014965361E-3"/>
    <n v="249"/>
    <n v="9.9959855479727022E-2"/>
    <n v="1.1912963600872661E-3"/>
    <n v="8"/>
    <n v="3.2115616218386192E-3"/>
    <n v="3.8274581850193284E-5"/>
    <n v="588"/>
    <n v="0.2360497792051385"/>
    <n v="2.8131817659892066E-3"/>
    <b v="1"/>
    <b v="0"/>
    <b v="0"/>
    <b v="0"/>
    <b v="1"/>
    <b v="0"/>
    <b v="0"/>
    <b v="0"/>
    <b v="0"/>
    <b v="0"/>
    <b v="0"/>
    <b v="0"/>
    <b v="0"/>
  </r>
  <r>
    <s v="Gallopsled/pwntools"/>
    <s v="Gallopsled"/>
    <s v="pwntools"/>
    <s v="https://github.com/Gallopsled/pwntools"/>
    <d v="2013-04-29T14:43:03"/>
    <d v="2021-04-09T03:14:02"/>
    <n v="2901.5215162037057"/>
    <b v="0"/>
    <b v="1"/>
    <n v="7734"/>
    <n v="290"/>
    <n v="1242"/>
    <n v="49"/>
    <n v="28"/>
    <n v="151"/>
    <n v="1081"/>
    <n v="30"/>
    <n v="773"/>
    <n v="90"/>
    <x v="7"/>
    <n v="38515"/>
    <n v="340"/>
    <n v="8.8277294560560812E-3"/>
    <n v="54"/>
    <n v="0.1588235294117647"/>
    <n v="1.4020511489030248E-3"/>
    <n v="49"/>
    <n v="0.14411764705882352"/>
    <n v="1.2722315980786705E-3"/>
    <n v="33"/>
    <n v="9.7058823529411767E-2"/>
    <n v="8.5680903544073741E-4"/>
    <n v="184"/>
    <n v="0.54117647058823526"/>
    <n v="4.7773594703362328E-3"/>
    <n v="5"/>
    <n v="1.4705882352941176E-2"/>
    <n v="1.2981955082435416E-4"/>
    <n v="15"/>
    <n v="4.4117647058823532E-2"/>
    <n v="3.8945865247306242E-4"/>
    <b v="1"/>
    <b v="0"/>
    <b v="0"/>
    <b v="0"/>
    <b v="1"/>
    <b v="0"/>
    <b v="0"/>
    <b v="0"/>
    <b v="0"/>
    <b v="0"/>
    <b v="0"/>
    <b v="0"/>
    <b v="0"/>
  </r>
  <r>
    <s v="gamechanger/dusty"/>
    <s v="gamechanger"/>
    <s v="dusty"/>
    <s v="https://github.com/gamechanger/dusty"/>
    <d v="2015-05-11T14:27:56"/>
    <d v="2020-09-09T14:13:54"/>
    <n v="1947.9902546296362"/>
    <b v="0"/>
    <b v="1"/>
    <n v="379"/>
    <n v="52"/>
    <n v="10"/>
    <n v="58"/>
    <n v="12"/>
    <n v="14"/>
    <n v="583"/>
    <n v="2"/>
    <n v="114"/>
    <n v="23"/>
    <x v="5"/>
    <n v="7781"/>
    <n v="55"/>
    <n v="7.0685001927772778E-3"/>
    <n v="5"/>
    <n v="9.0909090909090912E-2"/>
    <n v="6.4259092661611615E-4"/>
    <n v="34"/>
    <n v="0.61818181818181817"/>
    <n v="4.3696183009895896E-3"/>
    <n v="11"/>
    <n v="0.2"/>
    <n v="1.4137000385554556E-3"/>
    <n v="0"/>
    <n v="0"/>
    <n v="0"/>
    <n v="0"/>
    <n v="0"/>
    <n v="0"/>
    <n v="5"/>
    <n v="9.0909090909090912E-2"/>
    <n v="6.4259092661611615E-4"/>
    <b v="0"/>
    <b v="1"/>
    <b v="0"/>
    <b v="0"/>
    <b v="1"/>
    <b v="0"/>
    <b v="0"/>
    <b v="0"/>
    <b v="0"/>
    <b v="0"/>
    <b v="0"/>
    <b v="0"/>
    <b v="0"/>
  </r>
  <r>
    <s v="gamenet/redis-memory-analyzer"/>
    <s v="gamenet"/>
    <s v="redis-memory-analyzer"/>
    <s v="https://github.com/gamenet/redis-memory-analyzer"/>
    <d v="2016-01-26T11:32:04"/>
    <d v="2021-04-06T04:31:17"/>
    <n v="1896.7077893518508"/>
    <b v="0"/>
    <b v="1"/>
    <n v="600"/>
    <n v="16"/>
    <n v="58"/>
    <n v="2"/>
    <n v="0"/>
    <n v="12"/>
    <n v="18"/>
    <n v="3"/>
    <n v="40"/>
    <n v="15"/>
    <x v="5"/>
    <n v="1113"/>
    <n v="7"/>
    <n v="6.2893081761006293E-3"/>
    <n v="3"/>
    <n v="0.42857142857142855"/>
    <n v="2.6954177897574125E-3"/>
    <n v="1"/>
    <n v="0.14285714285714285"/>
    <n v="8.9847259658580418E-4"/>
    <n v="3"/>
    <n v="0.42857142857142855"/>
    <n v="2.6954177897574125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autamajay52/TorrentLeech-Gdrive"/>
    <s v="gautamajay52"/>
    <s v="TorrentLeech-Gdrive"/>
    <s v="https://github.com/gautamajay52/TorrentLeech-Gdrive"/>
    <d v="2020-06-18T06:05:19"/>
    <d v="2021-04-08T12:31:06"/>
    <n v="294.26790509259445"/>
    <b v="0"/>
    <b v="0"/>
    <n v="370"/>
    <n v="29"/>
    <n v="846"/>
    <n v="0"/>
    <n v="4"/>
    <n v="7"/>
    <n v="142"/>
    <n v="0"/>
    <n v="90"/>
    <n v="14"/>
    <x v="11"/>
    <n v="2084"/>
    <n v="171"/>
    <n v="8.2053742802303264E-2"/>
    <n v="0"/>
    <n v="0"/>
    <n v="0"/>
    <n v="161"/>
    <n v="0.94152046783625731"/>
    <n v="7.7255278310940492E-2"/>
    <n v="7"/>
    <n v="4.0935672514619881E-2"/>
    <n v="3.3589251439539347E-3"/>
    <n v="2"/>
    <n v="1.1695906432748537E-2"/>
    <n v="9.5969289827255275E-4"/>
    <n v="1"/>
    <n v="5.8479532163742687E-3"/>
    <n v="4.7984644913627637E-4"/>
    <n v="0"/>
    <n v="0"/>
    <n v="0"/>
    <b v="1"/>
    <b v="0"/>
    <b v="0"/>
    <b v="0"/>
    <b v="1"/>
    <b v="0"/>
    <b v="0"/>
    <b v="0"/>
    <b v="0"/>
    <b v="0"/>
    <b v="0"/>
    <b v="0"/>
    <b v="0"/>
  </r>
  <r>
    <s v="gbeced/pyalgotrade"/>
    <s v="gbeced"/>
    <s v="pyalgotrade"/>
    <s v="https://github.com/gbeced/pyalgotrade"/>
    <d v="2012-03-07T01:09:54"/>
    <d v="2021-04-08T10:24:46"/>
    <n v="3319.3853240740791"/>
    <b v="0"/>
    <b v="0"/>
    <n v="3266"/>
    <n v="350"/>
    <n v="1140"/>
    <n v="0"/>
    <n v="4"/>
    <n v="8"/>
    <n v="47"/>
    <n v="11"/>
    <n v="115"/>
    <n v="34"/>
    <x v="7"/>
    <n v="17397"/>
    <n v="120"/>
    <n v="6.8977409898258318E-3"/>
    <n v="4"/>
    <n v="3.3333333333333333E-2"/>
    <n v="2.2992469966086107E-4"/>
    <n v="82"/>
    <n v="0.68333333333333335"/>
    <n v="4.7134563430476515E-3"/>
    <n v="7"/>
    <n v="5.8333333333333334E-2"/>
    <n v="4.0236822440650689E-4"/>
    <n v="23"/>
    <n v="0.19166666666666668"/>
    <n v="1.3220670230499512E-3"/>
    <n v="2"/>
    <n v="1.6666666666666666E-2"/>
    <n v="1.1496234983043054E-4"/>
    <n v="2"/>
    <n v="1.6666666666666666E-2"/>
    <n v="1.1496234983043054E-4"/>
    <b v="1"/>
    <b v="0"/>
    <b v="0"/>
    <b v="0"/>
    <b v="1"/>
    <b v="0"/>
    <b v="0"/>
    <b v="0"/>
    <b v="0"/>
    <b v="0"/>
    <b v="0"/>
    <b v="0"/>
    <b v="0"/>
  </r>
  <r>
    <s v="gboeing/osmnx"/>
    <s v="gboeing"/>
    <s v="osmnx"/>
    <s v="https://github.com/gboeing/osmnx"/>
    <d v="2016-07-24T02:57:47"/>
    <d v="2021-04-08T12:56:32"/>
    <n v="1719.4157986111168"/>
    <b v="0"/>
    <b v="0"/>
    <n v="2915"/>
    <n v="111"/>
    <n v="475"/>
    <n v="0"/>
    <n v="20"/>
    <n v="52"/>
    <n v="260"/>
    <n v="2"/>
    <n v="432"/>
    <n v="3"/>
    <x v="5"/>
    <n v="3233"/>
    <n v="17"/>
    <n v="5.2582740488710178E-3"/>
    <n v="1"/>
    <n v="5.8823529411764705E-2"/>
    <n v="3.0931023816888341E-4"/>
    <n v="1"/>
    <n v="5.8823529411764705E-2"/>
    <n v="3.0931023816888341E-4"/>
    <n v="14"/>
    <n v="0.82352941176470584"/>
    <n v="4.3303433343643673E-3"/>
    <n v="1"/>
    <n v="5.8823529411764705E-2"/>
    <n v="3.093102381688834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erapy/Gerapy"/>
    <s v="Gerapy"/>
    <s v="Gerapy"/>
    <s v="https://github.com/Gerapy/Gerapy"/>
    <d v="2017-06-30T03:58:27"/>
    <d v="2021-04-08T08:07:21"/>
    <n v="1378.1728472222239"/>
    <b v="0"/>
    <b v="1"/>
    <n v="2379"/>
    <n v="118"/>
    <n v="506"/>
    <n v="10"/>
    <n v="11"/>
    <n v="7"/>
    <n v="29"/>
    <n v="1"/>
    <n v="161"/>
    <n v="47"/>
    <x v="5"/>
    <n v="2243"/>
    <n v="24"/>
    <n v="1.069995541685243E-2"/>
    <n v="18"/>
    <n v="0.75"/>
    <n v="8.024966562639322E-3"/>
    <n v="4"/>
    <n v="0.16666666666666666"/>
    <n v="1.7833259028087382E-3"/>
    <n v="0"/>
    <n v="0"/>
    <n v="0"/>
    <n v="2"/>
    <n v="8.3333333333333329E-2"/>
    <n v="8.9166295140436912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etredash/redash"/>
    <s v="getredash"/>
    <s v="redash"/>
    <s v="https://github.com/getredash/redash"/>
    <d v="2013-10-28T13:19:39"/>
    <d v="2021-04-09T02:22:07"/>
    <n v="2719.5433796296275"/>
    <b v="0"/>
    <b v="1"/>
    <n v="18534"/>
    <n v="594"/>
    <n v="3030"/>
    <n v="95"/>
    <n v="165"/>
    <n v="348"/>
    <n v="3387"/>
    <n v="180"/>
    <n v="2073"/>
    <n v="432"/>
    <x v="8"/>
    <n v="19251"/>
    <n v="176"/>
    <n v="9.1423822139109663E-3"/>
    <n v="53"/>
    <n v="0.30113636363636365"/>
    <n v="2.7531037348709157E-3"/>
    <n v="51"/>
    <n v="0.28977272727272729"/>
    <n v="2.649213027894655E-3"/>
    <n v="16"/>
    <n v="9.0909090909090912E-2"/>
    <n v="8.3112565581008782E-4"/>
    <n v="20"/>
    <n v="0.11363636363636363"/>
    <n v="1.0389070697626097E-3"/>
    <n v="0"/>
    <n v="0"/>
    <n v="0"/>
    <n v="36"/>
    <n v="0.20454545454545456"/>
    <n v="1.8700327255726976E-3"/>
    <b v="1"/>
    <b v="1"/>
    <b v="0"/>
    <b v="0"/>
    <b v="1"/>
    <b v="0"/>
    <b v="0"/>
    <b v="0"/>
    <b v="0"/>
    <b v="0"/>
    <b v="0"/>
    <b v="0"/>
    <b v="0"/>
  </r>
  <r>
    <s v="getsentry/freight"/>
    <s v="getsentry"/>
    <s v="freight"/>
    <s v="https://github.com/getsentry/freight"/>
    <d v="2015-01-25T23:17:09"/>
    <d v="2021-03-26T04:25:01"/>
    <n v="2251.2137962962952"/>
    <b v="0"/>
    <b v="1"/>
    <n v="607"/>
    <n v="39"/>
    <n v="39"/>
    <n v="0"/>
    <n v="11"/>
    <n v="31"/>
    <n v="194"/>
    <n v="34"/>
    <n v="48"/>
    <n v="18"/>
    <x v="4"/>
    <n v="4834"/>
    <n v="39"/>
    <n v="8.0678527099710389E-3"/>
    <n v="9"/>
    <n v="0.23076923076923078"/>
    <n v="1.8618121638394704E-3"/>
    <n v="18"/>
    <n v="0.46153846153846156"/>
    <n v="3.7236243276789409E-3"/>
    <n v="3"/>
    <n v="7.6923076923076927E-2"/>
    <n v="6.2060405461315685E-4"/>
    <n v="6"/>
    <n v="0.15384615384615385"/>
    <n v="1.2412081092263137E-3"/>
    <n v="0"/>
    <n v="0"/>
    <n v="0"/>
    <n v="3"/>
    <n v="7.6923076923076927E-2"/>
    <n v="6.2060405461315685E-4"/>
    <b v="1"/>
    <b v="1"/>
    <b v="0"/>
    <b v="0"/>
    <b v="1"/>
    <b v="0"/>
    <b v="0"/>
    <b v="0"/>
    <b v="0"/>
    <b v="0"/>
    <b v="0"/>
    <b v="0"/>
    <b v="0"/>
  </r>
  <r>
    <s v="getsentry/sentry"/>
    <s v="getsentry"/>
    <s v="sentry"/>
    <s v="https://github.com/getsentry/sentry"/>
    <d v="2010-08-30T22:06:41"/>
    <d v="2021-04-09T03:08:04"/>
    <n v="3874.2092939814829"/>
    <b v="0"/>
    <b v="1"/>
    <n v="27726"/>
    <n v="666"/>
    <n v="3010"/>
    <n v="70"/>
    <n v="719"/>
    <n v="500"/>
    <n v="20457"/>
    <n v="97"/>
    <n v="4431"/>
    <n v="206"/>
    <x v="7"/>
    <n v="180031"/>
    <n v="728"/>
    <n v="4.0437480211741308E-3"/>
    <n v="90"/>
    <n v="0.12362637362637363"/>
    <n v="4.999139037165822E-4"/>
    <n v="320"/>
    <n v="0.43956043956043955"/>
    <n v="1.7774716576589586E-3"/>
    <n v="129"/>
    <n v="0.17719780219780221"/>
    <n v="7.1654326199376776E-4"/>
    <n v="119"/>
    <n v="0.16346153846153846"/>
    <n v="6.6099727269192533E-4"/>
    <n v="0"/>
    <n v="0"/>
    <n v="0"/>
    <n v="70"/>
    <n v="9.6153846153846159E-2"/>
    <n v="3.8882192511289723E-4"/>
    <b v="1"/>
    <b v="0"/>
    <b v="0"/>
    <b v="0"/>
    <b v="1"/>
    <b v="0"/>
    <b v="0"/>
    <b v="0"/>
    <b v="0"/>
    <b v="0"/>
    <b v="0"/>
    <b v="1"/>
    <b v="0"/>
  </r>
  <r>
    <s v="getsentry/sentry-kubernetes"/>
    <s v="getsentry"/>
    <s v="sentry-kubernetes"/>
    <s v="https://github.com/getsentry/sentry-kubernetes"/>
    <d v="2017-11-06T18:15:51"/>
    <d v="2021-04-09T04:09:52"/>
    <n v="1249.4125115740753"/>
    <b v="0"/>
    <b v="1"/>
    <n v="351"/>
    <n v="13"/>
    <n v="49"/>
    <n v="0"/>
    <n v="0"/>
    <n v="13"/>
    <n v="26"/>
    <n v="12"/>
    <n v="20"/>
    <n v="9"/>
    <x v="4"/>
    <n v="149"/>
    <n v="8"/>
    <n v="5.3691275167785234E-2"/>
    <n v="3"/>
    <n v="0.375"/>
    <n v="2.0134228187919462E-2"/>
    <n v="2"/>
    <n v="0.25"/>
    <n v="1.3422818791946308E-2"/>
    <n v="1"/>
    <n v="0.125"/>
    <n v="6.7114093959731542E-3"/>
    <n v="1"/>
    <n v="0.125"/>
    <n v="6.7114093959731542E-3"/>
    <n v="0"/>
    <n v="0"/>
    <n v="0"/>
    <n v="1"/>
    <n v="0.125"/>
    <n v="6.7114093959731542E-3"/>
    <b v="1"/>
    <b v="0"/>
    <b v="0"/>
    <b v="0"/>
    <b v="1"/>
    <b v="0"/>
    <b v="0"/>
    <b v="0"/>
    <b v="0"/>
    <b v="0"/>
    <b v="0"/>
    <b v="0"/>
    <b v="0"/>
  </r>
  <r>
    <s v="Ghadjeres/DeepBach"/>
    <s v="Ghadjeres"/>
    <s v="DeepBach"/>
    <s v="https://github.com/Ghadjeres/DeepBach"/>
    <d v="2016-11-18T14:19:11"/>
    <d v="2021-04-04T03:16:06"/>
    <n v="1597.539525462962"/>
    <b v="0"/>
    <b v="0"/>
    <n v="419"/>
    <n v="33"/>
    <n v="108"/>
    <n v="2"/>
    <n v="0"/>
    <n v="5"/>
    <n v="19"/>
    <n v="0"/>
    <n v="57"/>
    <n v="18"/>
    <x v="5"/>
    <n v="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hostManager/Ghostwriter"/>
    <s v="GhostManager"/>
    <s v="Ghostwriter"/>
    <s v="https://github.com/GhostManager/Ghostwriter"/>
    <d v="2019-07-16T21:19:43"/>
    <d v="2021-03-28T10:44:55"/>
    <n v="620.55916666666599"/>
    <b v="0"/>
    <b v="1"/>
    <n v="397"/>
    <n v="20"/>
    <n v="75"/>
    <n v="3"/>
    <n v="0"/>
    <n v="6"/>
    <n v="71"/>
    <n v="6"/>
    <n v="83"/>
    <n v="21"/>
    <x v="2"/>
    <n v="10391"/>
    <n v="284"/>
    <n v="2.733134443268213E-2"/>
    <n v="2"/>
    <n v="7.0422535211267607E-3"/>
    <n v="1.92474256568184E-4"/>
    <n v="113"/>
    <n v="0.397887323943662"/>
    <n v="1.0874795496102397E-2"/>
    <n v="48"/>
    <n v="0.16901408450704225"/>
    <n v="4.6193821576364161E-3"/>
    <n v="81"/>
    <n v="0.28521126760563381"/>
    <n v="7.7952073910114526E-3"/>
    <n v="0"/>
    <n v="0"/>
    <n v="0"/>
    <n v="40"/>
    <n v="0.14084507042253522"/>
    <n v="3.8494851313636801E-3"/>
    <b v="1"/>
    <b v="0"/>
    <b v="0"/>
    <b v="0"/>
    <b v="1"/>
    <b v="0"/>
    <b v="0"/>
    <b v="0"/>
    <b v="0"/>
    <b v="0"/>
    <b v="0"/>
    <b v="0"/>
    <b v="0"/>
  </r>
  <r>
    <s v="gilesknap/gphotos-sync"/>
    <s v="gilesknap"/>
    <s v="gphotos-sync"/>
    <s v="https://github.com/gilesknap/gphotos-sync"/>
    <d v="2017-07-28T13:35:07"/>
    <d v="2021-04-08T03:44:55"/>
    <n v="1349.5901388888888"/>
    <b v="0"/>
    <b v="0"/>
    <n v="1085"/>
    <n v="28"/>
    <n v="86"/>
    <n v="23"/>
    <n v="4"/>
    <n v="27"/>
    <n v="63"/>
    <n v="1"/>
    <n v="246"/>
    <n v="26"/>
    <x v="5"/>
    <n v="3019"/>
    <n v="104"/>
    <n v="3.4448492878436571E-2"/>
    <n v="40"/>
    <n v="0.38461538461538464"/>
    <n v="1.3249420337860219E-2"/>
    <n v="21"/>
    <n v="0.20192307692307693"/>
    <n v="6.9559456773766147E-3"/>
    <n v="30"/>
    <n v="0.28846153846153844"/>
    <n v="9.9370652533951644E-3"/>
    <n v="13"/>
    <n v="0.125"/>
    <n v="4.306061609804571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iphy/celeb-detection-oss"/>
    <s v="Giphy"/>
    <s v="celeb-detection-oss"/>
    <s v="https://github.com/Giphy/celeb-detection-oss"/>
    <d v="2019-03-05T16:59:07"/>
    <d v="2021-04-07T12:15:40"/>
    <n v="763.80315972222161"/>
    <b v="0"/>
    <b v="1"/>
    <n v="669"/>
    <n v="51"/>
    <n v="61"/>
    <n v="0"/>
    <n v="0"/>
    <n v="5"/>
    <n v="11"/>
    <n v="3"/>
    <n v="7"/>
    <n v="1"/>
    <x v="6"/>
    <n v="1609"/>
    <n v="16"/>
    <n v="9.9440646364201361E-3"/>
    <n v="1"/>
    <n v="6.25E-2"/>
    <n v="6.215040397762585E-4"/>
    <n v="10"/>
    <n v="0.625"/>
    <n v="6.2150403977625857E-3"/>
    <n v="4"/>
    <n v="0.25"/>
    <n v="2.486016159105034E-3"/>
    <n v="0"/>
    <n v="0"/>
    <n v="0"/>
    <n v="1"/>
    <n v="6.25E-2"/>
    <n v="6.215040397762585E-4"/>
    <n v="0"/>
    <n v="0"/>
    <n v="0"/>
    <b v="1"/>
    <b v="1"/>
    <b v="0"/>
    <b v="0"/>
    <b v="1"/>
    <b v="0"/>
    <b v="0"/>
    <b v="0"/>
    <b v="0"/>
    <b v="0"/>
    <b v="0"/>
    <b v="0"/>
    <b v="0"/>
  </r>
  <r>
    <s v="girder/girder"/>
    <s v="girder"/>
    <s v="girder"/>
    <s v="https://github.com/girder/girder"/>
    <d v="2013-08-02T23:55:54"/>
    <d v="2021-04-06T11:01:52"/>
    <n v="2803.4624768518552"/>
    <b v="0"/>
    <b v="1"/>
    <n v="354"/>
    <n v="36"/>
    <n v="130"/>
    <n v="0"/>
    <n v="270"/>
    <n v="58"/>
    <n v="2259"/>
    <n v="23"/>
    <n v="1095"/>
    <n v="334"/>
    <x v="4"/>
    <n v="26747"/>
    <n v="79"/>
    <n v="2.953602273152129E-3"/>
    <n v="8"/>
    <n v="0.10126582278481013"/>
    <n v="2.9909896436983586E-4"/>
    <n v="23"/>
    <n v="0.29113924050632911"/>
    <n v="8.5990952256327809E-4"/>
    <n v="19"/>
    <n v="0.24050632911392406"/>
    <n v="7.1036004037836021E-4"/>
    <n v="13"/>
    <n v="0.16455696202531644"/>
    <n v="4.8603581710098329E-4"/>
    <n v="0"/>
    <n v="0"/>
    <n v="0"/>
    <n v="16"/>
    <n v="0.20253164556962025"/>
    <n v="5.9819792873967172E-4"/>
    <b v="1"/>
    <b v="1"/>
    <b v="0"/>
    <b v="0"/>
    <b v="1"/>
    <b v="0"/>
    <b v="0"/>
    <b v="0"/>
    <b v="0"/>
    <b v="0"/>
    <b v="0"/>
    <b v="0"/>
    <b v="0"/>
  </r>
  <r>
    <s v="githublitao/api_automation_test"/>
    <s v="githublitao"/>
    <s v="api_automation_test"/>
    <s v="https://github.com/githublitao/api_automation_test"/>
    <d v="2018-01-10T10:35:27"/>
    <d v="2021-04-08T10:14:36"/>
    <n v="1183.9855208333393"/>
    <b v="0"/>
    <b v="0"/>
    <n v="1113"/>
    <n v="87"/>
    <n v="654"/>
    <n v="0"/>
    <n v="0"/>
    <n v="2"/>
    <n v="8"/>
    <n v="5"/>
    <n v="77"/>
    <n v="5"/>
    <x v="1"/>
    <n v="5026"/>
    <n v="41"/>
    <n v="8.1575805809789102E-3"/>
    <n v="0"/>
    <n v="0"/>
    <n v="0"/>
    <n v="12"/>
    <n v="0.29268292682926828"/>
    <n v="2.3875845602865102E-3"/>
    <n v="0"/>
    <n v="0"/>
    <n v="0"/>
    <n v="5"/>
    <n v="0.12195121951219512"/>
    <n v="9.9482690011937929E-4"/>
    <n v="0"/>
    <n v="0"/>
    <n v="0"/>
    <n v="24"/>
    <n v="0.58536585365853655"/>
    <n v="4.7751691205730204E-3"/>
    <b v="1"/>
    <b v="1"/>
    <b v="0"/>
    <b v="0"/>
    <b v="1"/>
    <b v="0"/>
    <b v="0"/>
    <b v="0"/>
    <b v="0"/>
    <b v="0"/>
    <b v="0"/>
    <b v="0"/>
    <b v="0"/>
  </r>
  <r>
    <s v="gitpython-developers/GitPython"/>
    <s v="gitpython-developers"/>
    <s v="GitPython"/>
    <s v="https://github.com/gitpython-developers/GitPython"/>
    <d v="2010-11-30T17:34:03"/>
    <d v="2021-04-08T19:40:30"/>
    <n v="3782.0878125000017"/>
    <b v="0"/>
    <b v="1"/>
    <n v="3056"/>
    <n v="96"/>
    <n v="671"/>
    <n v="1"/>
    <n v="44"/>
    <n v="192"/>
    <n v="405"/>
    <n v="2"/>
    <n v="742"/>
    <n v="115"/>
    <x v="2"/>
    <n v="11917"/>
    <n v="40"/>
    <n v="3.3565494671477722E-3"/>
    <n v="12"/>
    <n v="0.3"/>
    <n v="1.0069648401443317E-3"/>
    <n v="11"/>
    <n v="0.27500000000000002"/>
    <n v="9.2305110346563735E-4"/>
    <n v="8"/>
    <n v="0.2"/>
    <n v="6.7130989342955444E-4"/>
    <n v="9"/>
    <n v="0.22500000000000001"/>
    <n v="7.552236301082487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NS3/gns3-gui"/>
    <s v="GNS3"/>
    <s v="gns3-gui"/>
    <s v="https://github.com/GNS3/gns3-gui"/>
    <d v="2013-09-26T02:48:01"/>
    <d v="2021-04-06T10:32:08"/>
    <n v="2749.3223032407404"/>
    <b v="0"/>
    <b v="1"/>
    <n v="1315"/>
    <n v="168"/>
    <n v="333"/>
    <n v="153"/>
    <n v="97"/>
    <n v="29"/>
    <n v="358"/>
    <n v="2"/>
    <n v="2794"/>
    <n v="189"/>
    <x v="7"/>
    <n v="36003"/>
    <n v="597"/>
    <n v="1.6581951504041331E-2"/>
    <n v="114"/>
    <n v="0.19095477386934673"/>
    <n v="3.1664027997666861E-3"/>
    <n v="21"/>
    <n v="3.5175879396984924E-2"/>
    <n v="5.8328472627281055E-4"/>
    <n v="87"/>
    <n v="0.14572864321608039"/>
    <n v="2.4164652945587867E-3"/>
    <n v="110"/>
    <n v="0.18425460636515914"/>
    <n v="3.0553009471432934E-3"/>
    <n v="265"/>
    <n v="0.44388609715242883"/>
    <n v="7.3604977362997526E-3"/>
    <n v="0"/>
    <n v="0"/>
    <n v="0"/>
    <b v="1"/>
    <b v="0"/>
    <b v="0"/>
    <b v="0"/>
    <b v="1"/>
    <b v="0"/>
    <b v="0"/>
    <b v="0"/>
    <b v="0"/>
    <b v="0"/>
    <b v="0"/>
    <b v="0"/>
    <b v="0"/>
  </r>
  <r>
    <s v="GNS3/gns3-server"/>
    <s v="GNS3"/>
    <s v="gns3-server"/>
    <s v="https://github.com/GNS3/gns3-server"/>
    <d v="2013-09-26T02:45:09"/>
    <d v="2021-04-08T11:31:10"/>
    <n v="2751.365289351852"/>
    <b v="0"/>
    <b v="1"/>
    <n v="481"/>
    <n v="76"/>
    <n v="186"/>
    <n v="152"/>
    <n v="106"/>
    <n v="42"/>
    <n v="387"/>
    <n v="8"/>
    <n v="1495"/>
    <n v="123"/>
    <x v="0"/>
    <n v="33556"/>
    <n v="728"/>
    <n v="2.1695076886398854E-2"/>
    <n v="105"/>
    <n v="0.14423076923076922"/>
    <n v="3.1290976278459887E-3"/>
    <n v="393"/>
    <n v="0.5398351648351648"/>
    <n v="1.1711765407080701E-2"/>
    <n v="136"/>
    <n v="0.18681318681318682"/>
    <n v="4.0529264513052806E-3"/>
    <n v="78"/>
    <n v="0.10714285714285714"/>
    <n v="2.3244725235427345E-3"/>
    <n v="16"/>
    <n v="2.197802197802198E-2"/>
    <n v="4.7681487662415065E-4"/>
    <n v="0"/>
    <n v="0"/>
    <n v="0"/>
    <b v="1"/>
    <b v="0"/>
    <b v="0"/>
    <b v="0"/>
    <b v="1"/>
    <b v="0"/>
    <b v="0"/>
    <b v="0"/>
    <b v="0"/>
    <b v="0"/>
    <b v="0"/>
    <b v="0"/>
    <b v="0"/>
  </r>
  <r>
    <s v="godotengine/godot-blender-exporter"/>
    <s v="godotengine"/>
    <s v="godot-blender-exporter"/>
    <s v="https://github.com/godotengine/godot-blender-exporter"/>
    <d v="2018-01-28T16:49:04"/>
    <d v="2021-04-07T14:45:27"/>
    <n v="1164.9141550925924"/>
    <b v="0"/>
    <b v="1"/>
    <n v="580"/>
    <n v="65"/>
    <n v="85"/>
    <n v="0"/>
    <n v="0"/>
    <n v="23"/>
    <n v="166"/>
    <n v="7"/>
    <n v="223"/>
    <n v="94"/>
    <x v="3"/>
    <n v="3578"/>
    <n v="26"/>
    <n v="7.2666294019005035E-3"/>
    <n v="0"/>
    <n v="0"/>
    <n v="0"/>
    <n v="4"/>
    <n v="0.15384615384615385"/>
    <n v="1.1179429849077697E-3"/>
    <n v="20"/>
    <n v="0.76923076923076927"/>
    <n v="5.5897149245388482E-3"/>
    <n v="2"/>
    <n v="7.6923076923076927E-2"/>
    <n v="5.5897149245388487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lemfactory/clay"/>
    <s v="golemfactory"/>
    <s v="clay"/>
    <s v="https://github.com/golemfactory/clay"/>
    <d v="2015-11-18T17:02:35"/>
    <d v="2021-04-07T07:33:15"/>
    <n v="1966.6046296296263"/>
    <b v="0"/>
    <b v="1"/>
    <n v="2973"/>
    <n v="258"/>
    <n v="281"/>
    <n v="37"/>
    <n v="24"/>
    <n v="50"/>
    <n v="3249"/>
    <n v="7"/>
    <n v="1958"/>
    <n v="75"/>
    <x v="0"/>
    <n v="64755"/>
    <n v="1241"/>
    <n v="1.916454327851131E-2"/>
    <n v="481"/>
    <n v="0.38759065269943593"/>
    <n v="7.4279978380047875E-3"/>
    <n v="361"/>
    <n v="0.29089443996776793"/>
    <n v="5.5748590842405995E-3"/>
    <n v="202"/>
    <n v="0.16277195809830783"/>
    <n v="3.11945023550305E-3"/>
    <n v="148"/>
    <n v="0.11925866236905722"/>
    <n v="2.2855377963091651E-3"/>
    <n v="5"/>
    <n v="4.0290088638195E-3"/>
    <n v="7.7214114740174498E-5"/>
    <n v="44"/>
    <n v="3.5455278001611606E-2"/>
    <n v="6.7948420971353566E-4"/>
    <b v="1"/>
    <b v="0"/>
    <b v="0"/>
    <b v="0"/>
    <b v="1"/>
    <b v="0"/>
    <b v="0"/>
    <b v="0"/>
    <b v="0"/>
    <b v="0"/>
    <b v="0"/>
    <b v="0"/>
    <b v="0"/>
  </r>
  <r>
    <s v="golismero/golismero"/>
    <s v="golismero"/>
    <s v="golismero"/>
    <s v="https://github.com/golismero/golismero"/>
    <d v="2013-07-30T10:52:30"/>
    <d v="2021-04-07T11:14:58"/>
    <n v="2808.0156018518537"/>
    <b v="0"/>
    <b v="1"/>
    <n v="741"/>
    <n v="86"/>
    <n v="231"/>
    <n v="0"/>
    <n v="2"/>
    <n v="11"/>
    <n v="17"/>
    <n v="3"/>
    <n v="40"/>
    <n v="22"/>
    <x v="3"/>
    <n v="176505"/>
    <n v="1057"/>
    <n v="5.9884989093793375E-3"/>
    <n v="259"/>
    <n v="0.24503311258278146"/>
    <n v="1.4673805274638112E-3"/>
    <n v="313"/>
    <n v="0.29612109744560078"/>
    <n v="1.7733208690971928E-3"/>
    <n v="342"/>
    <n v="0.32355723746452225"/>
    <n v="1.9376221636780828E-3"/>
    <n v="112"/>
    <n v="0.10596026490066225"/>
    <n v="6.3454293079516163E-4"/>
    <n v="29"/>
    <n v="2.7436140018921477E-2"/>
    <n v="1.6430129458089006E-4"/>
    <n v="2"/>
    <n v="1.8921475875118259E-3"/>
    <n v="1.1331123764199314E-5"/>
    <b v="1"/>
    <b v="0"/>
    <b v="0"/>
    <b v="0"/>
    <b v="1"/>
    <b v="0"/>
    <b v="0"/>
    <b v="0"/>
    <b v="0"/>
    <b v="0"/>
    <b v="0"/>
    <b v="0"/>
    <b v="0"/>
  </r>
  <r>
    <s v="google-research/football"/>
    <s v="google-research"/>
    <s v="football"/>
    <s v="https://github.com/google-research/football"/>
    <d v="2019-06-03T12:59:44"/>
    <d v="2021-04-09T00:28:48"/>
    <n v="675.47851851851738"/>
    <b v="0"/>
    <b v="1"/>
    <n v="2662"/>
    <n v="101"/>
    <n v="911"/>
    <n v="8"/>
    <n v="3"/>
    <n v="20"/>
    <n v="47"/>
    <n v="0"/>
    <n v="219"/>
    <n v="12"/>
    <x v="4"/>
    <n v="4342"/>
    <n v="28"/>
    <n v="6.4486411791801011E-3"/>
    <n v="3"/>
    <n v="0.10714285714285714"/>
    <n v="6.9092584062643945E-4"/>
    <n v="8"/>
    <n v="0.2857142857142857"/>
    <n v="1.8424689083371719E-3"/>
    <n v="11"/>
    <n v="0.39285714285714285"/>
    <n v="2.5333947489636112E-3"/>
    <n v="6"/>
    <n v="0.21428571428571427"/>
    <n v="1.381851681252878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/android-emulator-container-scripts"/>
    <s v="google"/>
    <s v="android-emulator-container-scripts"/>
    <s v="https://github.com/google/android-emulator-container-scripts"/>
    <d v="2019-08-14T14:22:50"/>
    <d v="2021-04-08T23:12:10"/>
    <n v="603.3675925925927"/>
    <b v="0"/>
    <b v="1"/>
    <n v="1061"/>
    <n v="50"/>
    <n v="119"/>
    <n v="0"/>
    <n v="0"/>
    <n v="18"/>
    <n v="129"/>
    <n v="5"/>
    <n v="118"/>
    <n v="35"/>
    <x v="4"/>
    <n v="2254"/>
    <n v="36"/>
    <n v="1.5971606033717833E-2"/>
    <n v="0"/>
    <n v="0"/>
    <n v="0"/>
    <n v="22"/>
    <n v="0.61111111111111116"/>
    <n v="9.7604259094942331E-3"/>
    <n v="9"/>
    <n v="0.25"/>
    <n v="3.9929015084294583E-3"/>
    <n v="1"/>
    <n v="2.7777777777777776E-2"/>
    <n v="4.4365572315882877E-4"/>
    <n v="0"/>
    <n v="0"/>
    <n v="0"/>
    <n v="4"/>
    <n v="0.1111111111111111"/>
    <n v="1.7746228926353151E-3"/>
    <b v="1"/>
    <b v="1"/>
    <b v="0"/>
    <b v="0"/>
    <b v="1"/>
    <b v="0"/>
    <b v="0"/>
    <b v="0"/>
    <b v="0"/>
    <b v="0"/>
    <b v="0"/>
    <b v="0"/>
    <b v="0"/>
  </r>
  <r>
    <s v="google/brain-tokyo-workshop"/>
    <s v="google"/>
    <s v="brain-tokyo-workshop"/>
    <s v="https://github.com/google/brain-tokyo-workshop"/>
    <d v="2019-07-10T06:47:40"/>
    <d v="2021-03-31T12:43:04"/>
    <n v="630.24680555555096"/>
    <b v="0"/>
    <b v="1"/>
    <n v="851"/>
    <n v="50"/>
    <n v="244"/>
    <n v="0"/>
    <n v="1"/>
    <n v="7"/>
    <n v="7"/>
    <n v="2"/>
    <n v="21"/>
    <n v="12"/>
    <x v="4"/>
    <n v="17586"/>
    <n v="32"/>
    <n v="1.8196292505402024E-3"/>
    <n v="0"/>
    <n v="0"/>
    <n v="0"/>
    <n v="28"/>
    <n v="0.875"/>
    <n v="1.5921755942226771E-3"/>
    <n v="2"/>
    <n v="6.25E-2"/>
    <n v="1.1372682815876265E-4"/>
    <n v="2"/>
    <n v="6.25E-2"/>
    <n v="1.137268281587626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/caliban"/>
    <s v="google"/>
    <s v="caliban"/>
    <s v="https://github.com/google/caliban"/>
    <d v="2020-06-02T18:12:50"/>
    <d v="2021-03-20T23:36:57"/>
    <n v="291.22508101851417"/>
    <b v="0"/>
    <b v="1"/>
    <n v="334"/>
    <n v="17"/>
    <n v="32"/>
    <n v="6"/>
    <n v="0"/>
    <n v="7"/>
    <n v="78"/>
    <n v="11"/>
    <n v="22"/>
    <n v="10"/>
    <x v="7"/>
    <n v="7111"/>
    <n v="154"/>
    <n v="2.1656588384193504E-2"/>
    <n v="1"/>
    <n v="6.4935064935064939E-3"/>
    <n v="1.4062719729995781E-4"/>
    <n v="84"/>
    <n v="0.54545454545454541"/>
    <n v="1.1812684573196456E-2"/>
    <n v="2"/>
    <n v="1.2987012987012988E-2"/>
    <n v="2.8125439459991561E-4"/>
    <n v="66"/>
    <n v="0.42857142857142855"/>
    <n v="9.2813950217972164E-3"/>
    <n v="0"/>
    <n v="0"/>
    <n v="0"/>
    <n v="1"/>
    <n v="6.4935064935064939E-3"/>
    <n v="1.4062719729995781E-4"/>
    <b v="1"/>
    <b v="0"/>
    <b v="0"/>
    <b v="0"/>
    <b v="1"/>
    <b v="0"/>
    <b v="0"/>
    <b v="0"/>
    <b v="0"/>
    <b v="0"/>
    <b v="0"/>
    <b v="0"/>
    <b v="0"/>
  </r>
  <r>
    <s v="google/capirca"/>
    <s v="google"/>
    <s v="capirca"/>
    <s v="https://github.com/google/capirca"/>
    <d v="2015-08-04T17:25:11"/>
    <d v="2021-04-07T08:21:18"/>
    <n v="2072.6223032407361"/>
    <b v="0"/>
    <b v="1"/>
    <n v="498"/>
    <n v="64"/>
    <n v="152"/>
    <n v="3"/>
    <n v="1"/>
    <n v="53"/>
    <n v="139"/>
    <n v="15"/>
    <n v="120"/>
    <n v="20"/>
    <x v="4"/>
    <n v="18397"/>
    <n v="183"/>
    <n v="9.9472740120671848E-3"/>
    <n v="62"/>
    <n v="0.33879781420765026"/>
    <n v="3.3701146926129262E-3"/>
    <n v="60"/>
    <n v="0.32786885245901637"/>
    <n v="3.2614013154318639E-3"/>
    <n v="61"/>
    <n v="0.33333333333333331"/>
    <n v="3.3157580040223951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/clif"/>
    <s v="google"/>
    <s v="clif"/>
    <s v="https://github.com/google/clif"/>
    <d v="2017-04-17T23:36:06"/>
    <d v="2021-04-08T21:46:11"/>
    <n v="1451.9236689814861"/>
    <b v="0"/>
    <b v="1"/>
    <n v="847"/>
    <n v="60"/>
    <n v="98"/>
    <n v="1"/>
    <n v="6"/>
    <n v="9"/>
    <n v="7"/>
    <n v="0"/>
    <n v="34"/>
    <n v="3"/>
    <x v="4"/>
    <n v="9328"/>
    <n v="1"/>
    <n v="1.072041166380789E-4"/>
    <n v="0"/>
    <n v="0"/>
    <n v="0"/>
    <n v="1"/>
    <n v="1"/>
    <n v="1.072041166380789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/clusterfuzz"/>
    <s v="google"/>
    <s v="clusterfuzz"/>
    <s v="https://github.com/google/clusterfuzz"/>
    <d v="2019-01-29T00:19:40"/>
    <d v="2021-04-09T02:09:02"/>
    <n v="801.07594907407474"/>
    <b v="0"/>
    <b v="1"/>
    <n v="4482"/>
    <n v="119"/>
    <n v="406"/>
    <n v="24"/>
    <n v="8"/>
    <n v="38"/>
    <n v="1793"/>
    <n v="3"/>
    <n v="498"/>
    <n v="163"/>
    <x v="4"/>
    <n v="67548"/>
    <n v="45"/>
    <n v="6.6619292947237517E-4"/>
    <n v="0"/>
    <n v="0"/>
    <n v="0"/>
    <n v="27"/>
    <n v="0.6"/>
    <n v="3.9971575768342515E-4"/>
    <n v="3"/>
    <n v="6.6666666666666666E-2"/>
    <n v="4.4412861964825011E-5"/>
    <n v="13"/>
    <n v="0.28888888888888886"/>
    <n v="1.9245573518090838E-4"/>
    <n v="0"/>
    <n v="0"/>
    <n v="0"/>
    <n v="2"/>
    <n v="4.4444444444444446E-2"/>
    <n v="2.9608574643216676E-5"/>
    <b v="1"/>
    <b v="0"/>
    <b v="0"/>
    <b v="0"/>
    <b v="1"/>
    <b v="0"/>
    <b v="0"/>
    <b v="0"/>
    <b v="0"/>
    <b v="0"/>
    <b v="0"/>
    <b v="0"/>
    <b v="0"/>
  </r>
  <r>
    <s v="google/deepvariant"/>
    <s v="google"/>
    <s v="deepvariant"/>
    <s v="https://github.com/google/deepvariant"/>
    <d v="2017-11-23T01:56:22"/>
    <d v="2021-04-07T20:27:05"/>
    <n v="1231.7713310185136"/>
    <b v="0"/>
    <b v="1"/>
    <n v="2241"/>
    <n v="163"/>
    <n v="540"/>
    <n v="15"/>
    <n v="2"/>
    <n v="18"/>
    <n v="42"/>
    <n v="1"/>
    <n v="393"/>
    <n v="1"/>
    <x v="2"/>
    <n v="19201"/>
    <n v="114"/>
    <n v="5.9371907713139938E-3"/>
    <n v="2"/>
    <n v="1.7543859649122806E-2"/>
    <n v="1.041612416019999E-4"/>
    <n v="87"/>
    <n v="0.76315789473684215"/>
    <n v="4.5310140096869959E-3"/>
    <n v="20"/>
    <n v="0.17543859649122806"/>
    <n v="1.041612416019999E-3"/>
    <n v="5"/>
    <n v="4.3859649122807015E-2"/>
    <n v="2.604031040049997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/fuzzbench"/>
    <s v="google"/>
    <s v="fuzzbench"/>
    <s v="https://github.com/google/fuzzbench"/>
    <d v="2020-02-04T02:22:18"/>
    <d v="2021-04-09T00:22:54"/>
    <n v="429.91708333333372"/>
    <b v="0"/>
    <b v="1"/>
    <n v="619"/>
    <n v="33"/>
    <n v="99"/>
    <n v="0"/>
    <n v="12"/>
    <n v="33"/>
    <n v="820"/>
    <n v="19"/>
    <n v="308"/>
    <n v="114"/>
    <x v="4"/>
    <n v="10395"/>
    <n v="151"/>
    <n v="1.4526214526214526E-2"/>
    <n v="13"/>
    <n v="8.6092715231788075E-2"/>
    <n v="1.2506012506012505E-3"/>
    <n v="63"/>
    <n v="0.41721854304635764"/>
    <n v="6.0606060606060606E-3"/>
    <n v="14"/>
    <n v="9.2715231788079472E-2"/>
    <n v="1.3468013468013469E-3"/>
    <n v="61"/>
    <n v="0.40397350993377484"/>
    <n v="5.868205868205867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/grr"/>
    <s v="google"/>
    <s v="grr"/>
    <s v="https://github.com/google/grr"/>
    <d v="2013-12-04T00:17:53"/>
    <d v="2021-04-09T02:05:17"/>
    <n v="2683.0745833333349"/>
    <b v="0"/>
    <b v="1"/>
    <n v="3754"/>
    <n v="331"/>
    <n v="641"/>
    <n v="21"/>
    <n v="14"/>
    <n v="40"/>
    <n v="287"/>
    <n v="23"/>
    <n v="633"/>
    <n v="109"/>
    <x v="4"/>
    <n v="124197"/>
    <n v="459"/>
    <n v="3.6957414430300248E-3"/>
    <n v="94"/>
    <n v="0.20479302832244009"/>
    <n v="7.5686208201486351E-4"/>
    <n v="173"/>
    <n v="0.37690631808278868"/>
    <n v="1.3929482998784189E-3"/>
    <n v="54"/>
    <n v="0.11764705882352941"/>
    <n v="4.3479311094470882E-4"/>
    <n v="87"/>
    <n v="0.18954248366013071"/>
    <n v="7.0050001207758639E-4"/>
    <n v="3"/>
    <n v="6.5359477124183009E-3"/>
    <n v="2.4155172830261602E-5"/>
    <n v="48"/>
    <n v="0.10457516339869281"/>
    <n v="3.8648276528418564E-4"/>
    <b v="1"/>
    <b v="0"/>
    <b v="0"/>
    <b v="0"/>
    <b v="1"/>
    <b v="0"/>
    <b v="0"/>
    <b v="0"/>
    <b v="0"/>
    <b v="0"/>
    <b v="0"/>
    <b v="0"/>
    <b v="0"/>
  </r>
  <r>
    <s v="google/jax"/>
    <s v="google"/>
    <s v="jax"/>
    <s v="https://github.com/google/jax"/>
    <d v="2018-10-25T21:25:02"/>
    <d v="2021-04-09T03:19:04"/>
    <n v="896.24585648148786"/>
    <b v="0"/>
    <b v="1"/>
    <n v="12294"/>
    <n v="246"/>
    <n v="1062"/>
    <n v="5"/>
    <n v="27"/>
    <n v="269"/>
    <n v="3916"/>
    <n v="134"/>
    <n v="2186"/>
    <n v="647"/>
    <x v="7"/>
    <n v="63035"/>
    <n v="66"/>
    <n v="1.0470373601967162E-3"/>
    <n v="0"/>
    <n v="0"/>
    <n v="0"/>
    <n v="37"/>
    <n v="0.56060606060606055"/>
    <n v="5.8697548980724999E-4"/>
    <n v="25"/>
    <n v="0.37878787878787878"/>
    <n v="3.966050606805743E-4"/>
    <n v="4"/>
    <n v="6.0606060606060608E-2"/>
    <n v="6.3456809708891892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/personfinder"/>
    <s v="google"/>
    <s v="personfinder"/>
    <s v="https://github.com/google/personfinder"/>
    <d v="2014-10-17T17:36:25"/>
    <d v="2021-04-06T02:31:57"/>
    <n v="2362.3718981481506"/>
    <b v="0"/>
    <b v="1"/>
    <n v="471"/>
    <n v="102"/>
    <n v="178"/>
    <n v="0"/>
    <n v="33"/>
    <n v="43"/>
    <n v="507"/>
    <n v="8"/>
    <n v="271"/>
    <n v="107"/>
    <x v="4"/>
    <n v="19304"/>
    <n v="108"/>
    <n v="5.5946953999171153E-3"/>
    <n v="9"/>
    <n v="8.3333333333333329E-2"/>
    <n v="4.6622461665975966E-4"/>
    <n v="63"/>
    <n v="0.58333333333333337"/>
    <n v="3.2635723166183172E-3"/>
    <n v="4"/>
    <n v="3.7037037037037035E-2"/>
    <n v="2.0721094073767094E-4"/>
    <n v="29"/>
    <n v="0.26851851851851855"/>
    <n v="1.5022793203481144E-3"/>
    <n v="0"/>
    <n v="0"/>
    <n v="0"/>
    <n v="3"/>
    <n v="2.7777777777777776E-2"/>
    <n v="1.5540820555325321E-4"/>
    <b v="1"/>
    <b v="1"/>
    <b v="0"/>
    <b v="0"/>
    <b v="1"/>
    <b v="0"/>
    <b v="0"/>
    <b v="0"/>
    <b v="0"/>
    <b v="0"/>
    <b v="0"/>
    <b v="0"/>
    <b v="0"/>
  </r>
  <r>
    <s v="google/subpar"/>
    <s v="google"/>
    <s v="subpar"/>
    <s v="https://github.com/google/subpar"/>
    <d v="2016-08-03T20:11:35"/>
    <d v="2021-03-06T22:35:16"/>
    <n v="1676.0997800925907"/>
    <b v="0"/>
    <b v="1"/>
    <n v="471"/>
    <n v="17"/>
    <n v="62"/>
    <n v="5"/>
    <n v="0"/>
    <n v="12"/>
    <n v="70"/>
    <n v="8"/>
    <n v="60"/>
    <n v="30"/>
    <x v="4"/>
    <n v="1023"/>
    <n v="10"/>
    <n v="9.7751710654936461E-3"/>
    <n v="5"/>
    <n v="0.5"/>
    <n v="4.8875855327468231E-3"/>
    <n v="3"/>
    <n v="0.3"/>
    <n v="2.9325513196480938E-3"/>
    <n v="2"/>
    <n v="0.2"/>
    <n v="1.9550342130987292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/tf-quant-finance"/>
    <s v="google"/>
    <s v="tf-quant-finance"/>
    <s v="https://github.com/google/tf-quant-finance"/>
    <d v="2019-07-24T16:09:50"/>
    <d v="2021-04-08T19:03:13"/>
    <n v="624.12040509259532"/>
    <b v="0"/>
    <b v="1"/>
    <n v="2558"/>
    <n v="154"/>
    <n v="317"/>
    <n v="4"/>
    <n v="0"/>
    <n v="28"/>
    <n v="24"/>
    <n v="4"/>
    <n v="23"/>
    <n v="12"/>
    <x v="4"/>
    <n v="23893"/>
    <n v="16"/>
    <n v="6.6965219938894239E-4"/>
    <n v="0"/>
    <n v="0"/>
    <n v="0"/>
    <n v="15"/>
    <n v="0.9375"/>
    <n v="6.2779893692713347E-4"/>
    <n v="1"/>
    <n v="6.25E-2"/>
    <n v="4.1853262461808899E-5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/timesketch"/>
    <s v="google"/>
    <s v="timesketch"/>
    <s v="https://github.com/google/timesketch"/>
    <d v="2014-06-19T17:49:45"/>
    <d v="2021-04-08T21:39:51"/>
    <n v="2485.1597916666651"/>
    <b v="0"/>
    <b v="1"/>
    <n v="1551"/>
    <n v="135"/>
    <n v="328"/>
    <n v="22"/>
    <n v="8"/>
    <n v="66"/>
    <n v="977"/>
    <n v="8"/>
    <n v="746"/>
    <n v="149"/>
    <x v="4"/>
    <n v="20765"/>
    <n v="207"/>
    <n v="9.9686973272333258E-3"/>
    <n v="5"/>
    <n v="2.4154589371980676E-2"/>
    <n v="2.4078979051288225E-4"/>
    <n v="37"/>
    <n v="0.17874396135265699"/>
    <n v="1.7818444497953287E-3"/>
    <n v="61"/>
    <n v="0.29468599033816423"/>
    <n v="2.9376354442571637E-3"/>
    <n v="104"/>
    <n v="0.50241545893719808"/>
    <n v="5.0084276426679512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google/turbinia"/>
    <s v="google"/>
    <s v="turbinia"/>
    <s v="https://github.com/google/turbinia"/>
    <d v="2015-09-15T16:50:40"/>
    <d v="2021-04-07T03:01:25"/>
    <n v="2030.4241319444409"/>
    <b v="0"/>
    <b v="1"/>
    <n v="467"/>
    <n v="35"/>
    <n v="106"/>
    <n v="21"/>
    <n v="0"/>
    <n v="34"/>
    <n v="489"/>
    <n v="10"/>
    <n v="301"/>
    <n v="100"/>
    <x v="4"/>
    <n v="8436"/>
    <n v="249"/>
    <n v="2.9516358463726886E-2"/>
    <n v="54"/>
    <n v="0.21686746987951808"/>
    <n v="6.4011379800853483E-3"/>
    <n v="105"/>
    <n v="0.42168674698795183"/>
    <n v="1.2446657183499289E-2"/>
    <n v="23"/>
    <n v="9.2369477911646583E-2"/>
    <n v="2.7264106211474632E-3"/>
    <n v="66"/>
    <n v="0.26506024096385544"/>
    <n v="7.8236130867709811E-3"/>
    <n v="1"/>
    <n v="4.0160642570281121E-3"/>
    <n v="1.1853959222380275E-4"/>
    <n v="0"/>
    <n v="0"/>
    <n v="0"/>
    <b v="1"/>
    <b v="1"/>
    <b v="0"/>
    <b v="0"/>
    <b v="1"/>
    <b v="0"/>
    <b v="0"/>
    <b v="0"/>
    <b v="0"/>
    <b v="0"/>
    <b v="0"/>
    <b v="0"/>
    <b v="0"/>
  </r>
  <r>
    <s v="google/vulncode-db"/>
    <s v="google"/>
    <s v="vulncode-db"/>
    <s v="https://github.com/google/vulncode-db"/>
    <d v="2019-03-05T11:47:04"/>
    <d v="2021-04-08T06:02:07"/>
    <n v="764.7604513888873"/>
    <b v="0"/>
    <b v="1"/>
    <n v="535"/>
    <n v="23"/>
    <n v="59"/>
    <n v="0"/>
    <n v="0"/>
    <n v="9"/>
    <n v="30"/>
    <n v="0"/>
    <n v="72"/>
    <n v="27"/>
    <x v="4"/>
    <n v="5706"/>
    <n v="58"/>
    <n v="1.0164738871363477E-2"/>
    <n v="31"/>
    <n v="0.53448275862068961"/>
    <n v="5.432877672625307E-3"/>
    <n v="11"/>
    <n v="0.18965517241379309"/>
    <n v="1.927795303189625E-3"/>
    <n v="10"/>
    <n v="0.17241379310344829"/>
    <n v="1.7525411847178409E-3"/>
    <n v="6"/>
    <n v="0.10344827586206896"/>
    <n v="1.0515247108307045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googleapis/google-auth-library-python"/>
    <s v="googleapis"/>
    <s v="google-auth-library-python"/>
    <s v="https://github.com/googleapis/google-auth-library-python"/>
    <d v="2016-09-26T00:38:59"/>
    <d v="2021-04-08T20:29:30"/>
    <n v="1655.8267476851834"/>
    <b v="0"/>
    <b v="1"/>
    <n v="400"/>
    <n v="49"/>
    <n v="180"/>
    <n v="76"/>
    <n v="19"/>
    <n v="73"/>
    <n v="459"/>
    <n v="7"/>
    <n v="269"/>
    <n v="55"/>
    <x v="4"/>
    <n v="11433"/>
    <n v="24"/>
    <n v="2.0991865652059826E-3"/>
    <n v="11"/>
    <n v="0.45833333333333331"/>
    <n v="9.6212717571940876E-4"/>
    <n v="3"/>
    <n v="0.125"/>
    <n v="2.6239832065074782E-4"/>
    <n v="9"/>
    <n v="0.375"/>
    <n v="7.8719496195224351E-4"/>
    <n v="1"/>
    <n v="4.1666666666666664E-2"/>
    <n v="8.7466106883582611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CloudPlatform/cloudml-samples"/>
    <s v="GoogleCloudPlatform"/>
    <s v="cloudml-samples"/>
    <s v="https://github.com/GoogleCloudPlatform/cloudml-samples"/>
    <d v="2016-09-29T14:36:12"/>
    <d v="2021-04-08T15:24:03"/>
    <n v="1652.0332291666637"/>
    <b v="0"/>
    <b v="1"/>
    <n v="1402"/>
    <n v="105"/>
    <n v="799"/>
    <n v="0"/>
    <n v="13"/>
    <n v="69"/>
    <n v="292"/>
    <n v="4"/>
    <n v="204"/>
    <n v="8"/>
    <x v="4"/>
    <n v="12160"/>
    <n v="248"/>
    <n v="2.0394736842105264E-2"/>
    <n v="1"/>
    <n v="4.0322580645161289E-3"/>
    <n v="8.2236842105263156E-5"/>
    <n v="243"/>
    <n v="0.97983870967741937"/>
    <n v="1.9983552631578947E-2"/>
    <n v="2"/>
    <n v="8.0645161290322578E-3"/>
    <n v="1.6447368421052631E-4"/>
    <n v="0"/>
    <n v="0"/>
    <n v="0"/>
    <n v="0"/>
    <n v="0"/>
    <n v="0"/>
    <n v="2"/>
    <n v="8.0645161290322578E-3"/>
    <n v="1.6447368421052631E-4"/>
    <b v="1"/>
    <b v="0"/>
    <b v="0"/>
    <b v="0"/>
    <b v="1"/>
    <b v="0"/>
    <b v="0"/>
    <b v="0"/>
    <b v="0"/>
    <b v="0"/>
    <b v="0"/>
    <b v="0"/>
    <b v="0"/>
  </r>
  <r>
    <s v="GoogleCloudPlatform/deploymentmanager-samples"/>
    <s v="GoogleCloudPlatform"/>
    <s v="deploymentmanager-samples"/>
    <s v="https://github.com/GoogleCloudPlatform/deploymentmanager-samples"/>
    <d v="2015-03-02T19:24:40"/>
    <d v="2021-04-09T00:31:16"/>
    <n v="2229.2129166666637"/>
    <b v="0"/>
    <b v="1"/>
    <n v="827"/>
    <n v="75"/>
    <n v="598"/>
    <n v="0"/>
    <n v="11"/>
    <n v="109"/>
    <n v="406"/>
    <n v="22"/>
    <n v="226"/>
    <n v="89"/>
    <x v="4"/>
    <n v="2995"/>
    <n v="1"/>
    <n v="3.33889816360601E-4"/>
    <n v="0"/>
    <n v="0"/>
    <n v="0"/>
    <n v="0"/>
    <n v="0"/>
    <n v="0"/>
    <n v="0"/>
    <n v="0"/>
    <n v="0"/>
    <n v="1"/>
    <n v="1"/>
    <n v="3.3388981636060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CloudPlatform/getting-started-python"/>
    <s v="GoogleCloudPlatform"/>
    <s v="getting-started-python"/>
    <s v="https://github.com/GoogleCloudPlatform/getting-started-python"/>
    <d v="2015-08-06T20:45:12"/>
    <d v="2021-04-01T18:40:28"/>
    <n v="2064.9133796296301"/>
    <b v="0"/>
    <b v="1"/>
    <n v="614"/>
    <n v="76"/>
    <n v="374"/>
    <n v="0"/>
    <n v="2"/>
    <n v="35"/>
    <n v="288"/>
    <n v="8"/>
    <n v="52"/>
    <n v="2"/>
    <x v="4"/>
    <n v="1124"/>
    <n v="9"/>
    <n v="8.0071174377224202E-3"/>
    <n v="0"/>
    <n v="0"/>
    <n v="0"/>
    <n v="6"/>
    <n v="0.66666666666666663"/>
    <n v="5.3380782918149468E-3"/>
    <n v="2"/>
    <n v="0.22222222222222221"/>
    <n v="1.7793594306049821E-3"/>
    <n v="1"/>
    <n v="0.1111111111111111"/>
    <n v="8.896797153024910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CloudPlatform/microservices-demo"/>
    <s v="GoogleCloudPlatform"/>
    <s v="microservices-demo"/>
    <s v="https://github.com/GoogleCloudPlatform/microservices-demo"/>
    <d v="2018-08-03T18:32:18"/>
    <d v="2021-04-08T23:29:26"/>
    <n v="979.20634259259532"/>
    <b v="0"/>
    <b v="1"/>
    <n v="9838"/>
    <n v="260"/>
    <n v="2218"/>
    <n v="2"/>
    <n v="2"/>
    <n v="75"/>
    <n v="328"/>
    <n v="5"/>
    <n v="203"/>
    <n v="12"/>
    <x v="4"/>
    <n v="1103"/>
    <n v="34"/>
    <n v="3.0825022665457842E-2"/>
    <n v="0"/>
    <n v="0"/>
    <n v="0"/>
    <n v="27"/>
    <n v="0.79411764705882348"/>
    <n v="2.4478694469628286E-2"/>
    <n v="2"/>
    <n v="5.8823529411764705E-2"/>
    <n v="1.8132366273798731E-3"/>
    <n v="5"/>
    <n v="0.14705882352941177"/>
    <n v="4.533091568449682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oogleCloudPlatform/ml-on-gcp"/>
    <s v="GoogleCloudPlatform"/>
    <s v="ml-on-gcp"/>
    <s v="https://github.com/GoogleCloudPlatform/ml-on-gcp"/>
    <d v="2017-08-21T21:05:18"/>
    <d v="2021-04-06T15:50:32"/>
    <n v="1323.7814120370385"/>
    <b v="0"/>
    <b v="1"/>
    <n v="397"/>
    <n v="63"/>
    <n v="150"/>
    <n v="0"/>
    <n v="0"/>
    <n v="26"/>
    <n v="102"/>
    <n v="7"/>
    <n v="20"/>
    <n v="9"/>
    <x v="4"/>
    <n v="9566"/>
    <n v="129"/>
    <n v="1.34852602968848E-2"/>
    <n v="2"/>
    <n v="1.5503875968992248E-2"/>
    <n v="2.0907380305247751E-4"/>
    <n v="67"/>
    <n v="0.51937984496124034"/>
    <n v="7.0039724022579967E-3"/>
    <n v="39"/>
    <n v="0.30232558139534882"/>
    <n v="4.076939159523312E-3"/>
    <n v="12"/>
    <n v="9.3023255813953487E-2"/>
    <n v="1.2544428183148652E-3"/>
    <n v="0"/>
    <n v="0"/>
    <n v="0"/>
    <n v="9"/>
    <n v="6.9767441860465115E-2"/>
    <n v="9.4083211373614882E-4"/>
    <b v="1"/>
    <b v="0"/>
    <b v="0"/>
    <b v="0"/>
    <b v="1"/>
    <b v="0"/>
    <b v="0"/>
    <b v="0"/>
    <b v="0"/>
    <b v="0"/>
    <b v="0"/>
    <b v="0"/>
    <b v="0"/>
  </r>
  <r>
    <s v="GoogleCloudPlatform/PerfKitBenchmarker"/>
    <s v="GoogleCloudPlatform"/>
    <s v="PerfKitBenchmarker"/>
    <s v="https://github.com/GoogleCloudPlatform/PerfKitBenchmarker"/>
    <d v="2014-07-17T17:23:26"/>
    <d v="2021-04-08T21:59:44"/>
    <n v="2457.1918749999968"/>
    <b v="0"/>
    <b v="1"/>
    <n v="1537"/>
    <n v="111"/>
    <n v="371"/>
    <n v="17"/>
    <n v="73"/>
    <n v="116"/>
    <n v="2284"/>
    <n v="15"/>
    <n v="560"/>
    <n v="201"/>
    <x v="4"/>
    <n v="59462"/>
    <n v="845"/>
    <n v="1.4210756449497158E-2"/>
    <n v="50"/>
    <n v="5.9171597633136092E-2"/>
    <n v="8.408731626921395E-4"/>
    <n v="606"/>
    <n v="0.71715976331360942"/>
    <n v="1.019138273182873E-2"/>
    <n v="95"/>
    <n v="0.11242603550295859"/>
    <n v="1.597659009115065E-3"/>
    <n v="61"/>
    <n v="7.2189349112426041E-2"/>
    <n v="1.0258652584844102E-3"/>
    <n v="0"/>
    <n v="0"/>
    <n v="0"/>
    <n v="33"/>
    <n v="3.9053254437869819E-2"/>
    <n v="5.5497628737681212E-4"/>
    <b v="1"/>
    <b v="0"/>
    <b v="0"/>
    <b v="0"/>
    <b v="1"/>
    <b v="0"/>
    <b v="0"/>
    <b v="0"/>
    <b v="0"/>
    <b v="0"/>
    <b v="0"/>
    <b v="0"/>
    <b v="0"/>
  </r>
  <r>
    <s v="GoogleCloudPlatform/professional-services"/>
    <s v="GoogleCloudPlatform"/>
    <s v="professional-services"/>
    <s v="https://github.com/GoogleCloudPlatform/professional-services"/>
    <d v="2017-05-18T19:29:27"/>
    <d v="2021-04-08T07:51:57"/>
    <n v="1420.515625"/>
    <b v="0"/>
    <b v="1"/>
    <n v="1571"/>
    <n v="138"/>
    <n v="740"/>
    <n v="0"/>
    <n v="3"/>
    <n v="137"/>
    <n v="528"/>
    <n v="12"/>
    <n v="105"/>
    <n v="51"/>
    <x v="4"/>
    <n v="28829"/>
    <n v="910"/>
    <n v="3.1565437580214364E-2"/>
    <n v="197"/>
    <n v="0.21648351648351649"/>
    <n v="6.833396926705748E-3"/>
    <n v="495"/>
    <n v="0.54395604395604391"/>
    <n v="1.717021055187485E-2"/>
    <n v="25"/>
    <n v="2.7472527472527472E-2"/>
    <n v="8.6718235110479029E-4"/>
    <n v="179"/>
    <n v="0.1967032967032967"/>
    <n v="6.2090256339102983E-3"/>
    <n v="3"/>
    <n v="3.2967032967032967E-3"/>
    <n v="1.0406188213257484E-4"/>
    <n v="11"/>
    <n v="1.2087912087912088E-2"/>
    <n v="3.8156023448610775E-4"/>
    <b v="1"/>
    <b v="0"/>
    <b v="0"/>
    <b v="0"/>
    <b v="1"/>
    <b v="0"/>
    <b v="0"/>
    <b v="0"/>
    <b v="0"/>
    <b v="0"/>
    <b v="0"/>
    <b v="0"/>
    <b v="0"/>
  </r>
  <r>
    <s v="GoogleCloudPlatform/python-docs-samples"/>
    <s v="GoogleCloudPlatform"/>
    <s v="python-docs-samples"/>
    <s v="https://github.com/GoogleCloudPlatform/python-docs-samples"/>
    <d v="2015-05-04T23:26:13"/>
    <d v="2021-04-08T22:31:03"/>
    <n v="2165.9616898148161"/>
    <b v="0"/>
    <b v="1"/>
    <n v="4921"/>
    <n v="276"/>
    <n v="4894"/>
    <n v="0"/>
    <n v="63"/>
    <n v="367"/>
    <n v="3974"/>
    <n v="24"/>
    <n v="1683"/>
    <n v="37"/>
    <x v="4"/>
    <n v="29071"/>
    <n v="144"/>
    <n v="4.9533899762650062E-3"/>
    <n v="1"/>
    <n v="6.9444444444444441E-3"/>
    <n v="3.4398541501840321E-5"/>
    <n v="72"/>
    <n v="0.5"/>
    <n v="2.4766949881325031E-3"/>
    <n v="14"/>
    <n v="9.7222222222222224E-2"/>
    <n v="4.8157958102576449E-4"/>
    <n v="20"/>
    <n v="0.1388888888888889"/>
    <n v="6.8797083003680642E-4"/>
    <n v="1"/>
    <n v="6.9444444444444441E-3"/>
    <n v="3.4398541501840321E-5"/>
    <n v="36"/>
    <n v="0.25"/>
    <n v="1.2383474940662516E-3"/>
    <b v="1"/>
    <b v="0"/>
    <b v="0"/>
    <b v="0"/>
    <b v="1"/>
    <b v="0"/>
    <b v="0"/>
    <b v="0"/>
    <b v="0"/>
    <b v="0"/>
    <b v="0"/>
    <b v="1"/>
    <b v="0"/>
  </r>
  <r>
    <s v="GoSecure/pyrdp"/>
    <s v="GoSecure"/>
    <s v="pyrdp"/>
    <s v="https://github.com/GoSecure/pyrdp"/>
    <d v="2018-09-07T19:17:41"/>
    <d v="2021-04-07T15:20:16"/>
    <n v="942.8351273148146"/>
    <b v="0"/>
    <b v="1"/>
    <n v="578"/>
    <n v="30"/>
    <n v="122"/>
    <n v="6"/>
    <n v="13"/>
    <n v="13"/>
    <n v="112"/>
    <n v="3"/>
    <n v="197"/>
    <n v="20"/>
    <x v="0"/>
    <n v="15780"/>
    <n v="181"/>
    <n v="1.14702154626109E-2"/>
    <n v="67"/>
    <n v="0.37016574585635359"/>
    <n v="4.2458808618504439E-3"/>
    <n v="58"/>
    <n v="0.32044198895027626"/>
    <n v="3.6755386565272496E-3"/>
    <n v="15"/>
    <n v="8.2872928176795577E-2"/>
    <n v="9.5057034220532319E-4"/>
    <n v="36"/>
    <n v="0.19889502762430938"/>
    <n v="2.2813688212927757E-3"/>
    <n v="3"/>
    <n v="1.6574585635359115E-2"/>
    <n v="1.9011406844106463E-4"/>
    <n v="2"/>
    <n v="1.1049723756906077E-2"/>
    <n v="1.2674271229404308E-4"/>
    <b v="1"/>
    <b v="1"/>
    <b v="0"/>
    <b v="0"/>
    <b v="1"/>
    <b v="0"/>
    <b v="0"/>
    <b v="0"/>
    <b v="0"/>
    <b v="0"/>
    <b v="0"/>
    <b v="0"/>
    <b v="0"/>
  </r>
  <r>
    <s v="gouthambs/Flask-Blogging"/>
    <s v="gouthambs"/>
    <s v="Flask-Blogging"/>
    <s v="https://github.com/gouthambs/Flask-Blogging"/>
    <d v="2015-05-27T21:33:36"/>
    <d v="2021-04-07T12:38:49"/>
    <n v="2141.628622685188"/>
    <b v="0"/>
    <b v="0"/>
    <n v="609"/>
    <n v="37"/>
    <n v="143"/>
    <n v="0"/>
    <n v="5"/>
    <n v="18"/>
    <n v="42"/>
    <n v="0"/>
    <n v="100"/>
    <n v="20"/>
    <x v="5"/>
    <n v="2700"/>
    <n v="28"/>
    <n v="1.037037037037037E-2"/>
    <n v="8"/>
    <n v="0.2857142857142857"/>
    <n v="2.9629629629629628E-3"/>
    <n v="0"/>
    <n v="0"/>
    <n v="0"/>
    <n v="0"/>
    <n v="0"/>
    <n v="0"/>
    <n v="1"/>
    <n v="3.5714285714285712E-2"/>
    <n v="3.7037037037037035E-4"/>
    <n v="0"/>
    <n v="0"/>
    <n v="0"/>
    <n v="19"/>
    <n v="0.6785714285714286"/>
    <n v="7.037037037037037E-3"/>
    <b v="1"/>
    <b v="1"/>
    <b v="0"/>
    <b v="0"/>
    <b v="1"/>
    <b v="0"/>
    <b v="0"/>
    <b v="0"/>
    <b v="0"/>
    <b v="0"/>
    <b v="0"/>
    <b v="0"/>
    <b v="0"/>
  </r>
  <r>
    <s v="GoVanguard/legion"/>
    <s v="GoVanguard"/>
    <s v="legion"/>
    <s v="https://github.com/GoVanguard/legion"/>
    <d v="2018-09-19T09:04:24"/>
    <d v="2021-04-06T23:22:56"/>
    <n v="930.59620370370249"/>
    <b v="0"/>
    <b v="1"/>
    <n v="584"/>
    <n v="36"/>
    <n v="114"/>
    <n v="10"/>
    <n v="0"/>
    <n v="14"/>
    <n v="65"/>
    <n v="3"/>
    <n v="135"/>
    <n v="57"/>
    <x v="0"/>
    <n v="8798"/>
    <n v="196"/>
    <n v="2.227779040691066E-2"/>
    <n v="12"/>
    <n v="6.1224489795918366E-2"/>
    <n v="1.3639463514435099E-3"/>
    <n v="162"/>
    <n v="0.82653061224489799"/>
    <n v="1.8413275744487385E-2"/>
    <n v="2"/>
    <n v="1.020408163265306E-2"/>
    <n v="2.2732439190725165E-4"/>
    <n v="20"/>
    <n v="0.10204081632653061"/>
    <n v="2.273243919072516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rapheneX/grapheneX"/>
    <s v="grapheneX"/>
    <s v="grapheneX"/>
    <s v="https://github.com/grapheneX/grapheneX"/>
    <d v="2019-03-25T20:22:26"/>
    <d v="2021-04-08T18:03:11"/>
    <n v="744.9032986111124"/>
    <b v="0"/>
    <b v="1"/>
    <n v="668"/>
    <n v="23"/>
    <n v="62"/>
    <n v="10"/>
    <n v="0"/>
    <n v="12"/>
    <n v="107"/>
    <n v="1"/>
    <n v="12"/>
    <n v="4"/>
    <x v="0"/>
    <n v="848"/>
    <n v="47"/>
    <n v="5.5424528301886794E-2"/>
    <n v="2"/>
    <n v="4.2553191489361701E-2"/>
    <n v="2.3584905660377358E-3"/>
    <n v="18"/>
    <n v="0.38297872340425532"/>
    <n v="2.1226415094339621E-2"/>
    <n v="10"/>
    <n v="0.21276595744680851"/>
    <n v="1.179245283018868E-2"/>
    <n v="17"/>
    <n v="0.36170212765957449"/>
    <n v="2.0047169811320754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raphistry/pygraphistry"/>
    <s v="graphistry"/>
    <s v="pygraphistry"/>
    <s v="https://github.com/graphistry/pygraphistry"/>
    <d v="2015-06-02T20:28:42"/>
    <d v="2021-04-03T21:47:09"/>
    <n v="2132.0544791666689"/>
    <b v="0"/>
    <b v="1"/>
    <n v="1369"/>
    <n v="41"/>
    <n v="122"/>
    <n v="5"/>
    <n v="28"/>
    <n v="11"/>
    <n v="93"/>
    <n v="0"/>
    <n v="135"/>
    <n v="37"/>
    <x v="2"/>
    <n v="4902"/>
    <n v="77"/>
    <n v="1.5707874337005302E-2"/>
    <n v="32"/>
    <n v="0.41558441558441561"/>
    <n v="6.5279477764177887E-3"/>
    <n v="0"/>
    <n v="0"/>
    <n v="0"/>
    <n v="19"/>
    <n v="0.24675324675324675"/>
    <n v="3.875968992248062E-3"/>
    <n v="26"/>
    <n v="0.33766233766233766"/>
    <n v="5.3039575683394534E-3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grapl-security/grapl"/>
    <s v="grapl-security"/>
    <s v="grapl"/>
    <s v="https://github.com/grapl-security/grapl"/>
    <d v="2018-10-07T23:28:27"/>
    <d v="2021-04-08T23:33:37"/>
    <n v="914.00358796296496"/>
    <b v="0"/>
    <b v="1"/>
    <n v="499"/>
    <n v="24"/>
    <n v="42"/>
    <n v="8"/>
    <n v="0"/>
    <n v="19"/>
    <n v="608"/>
    <n v="11"/>
    <n v="56"/>
    <n v="1"/>
    <x v="4"/>
    <n v="8011"/>
    <n v="221"/>
    <n v="2.7587067781800024E-2"/>
    <n v="37"/>
    <n v="0.167420814479638"/>
    <n v="4.6186493571339412E-3"/>
    <n v="133"/>
    <n v="0.60180995475113119"/>
    <n v="1.6602172013481464E-2"/>
    <n v="17"/>
    <n v="7.6923076923076927E-2"/>
    <n v="2.1220821370615405E-3"/>
    <n v="34"/>
    <n v="0.15384615384615385"/>
    <n v="4.2441642741230809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gratipay/gratipay.com"/>
    <s v="gratipay"/>
    <s v="gratipay.com"/>
    <s v="https://github.com/gratipay/gratipay.com"/>
    <d v="2012-06-01T16:01:02"/>
    <d v="2021-03-26T14:35:08"/>
    <n v="3219.9403472222257"/>
    <b v="0"/>
    <b v="1"/>
    <n v="1127"/>
    <n v="79"/>
    <n v="291"/>
    <n v="0"/>
    <n v="443"/>
    <n v="153"/>
    <n v="1797"/>
    <n v="0"/>
    <n v="2858"/>
    <n v="0"/>
    <x v="5"/>
    <n v="14644"/>
    <n v="52"/>
    <n v="3.5509423654739142E-3"/>
    <n v="11"/>
    <n v="0.21153846153846154"/>
    <n v="7.511608850040972E-4"/>
    <n v="29"/>
    <n v="0.55769230769230771"/>
    <n v="1.9803332422835291E-3"/>
    <n v="12"/>
    <n v="0.23076923076923078"/>
    <n v="8.1944823818628793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raydon/bors"/>
    <s v="graydon"/>
    <s v="bors"/>
    <s v="https://github.com/graydon/bors"/>
    <d v="2013-02-02T01:50:21"/>
    <d v="2021-04-07T01:18:04"/>
    <n v="2985.9775810185165"/>
    <b v="0"/>
    <b v="0"/>
    <n v="375"/>
    <n v="18"/>
    <n v="32"/>
    <n v="0"/>
    <n v="0"/>
    <n v="14"/>
    <n v="23"/>
    <n v="1"/>
    <n v="30"/>
    <n v="16"/>
    <x v="1"/>
    <n v="684"/>
    <n v="44"/>
    <n v="6.4327485380116955E-2"/>
    <n v="0"/>
    <n v="0"/>
    <n v="0"/>
    <n v="44"/>
    <n v="1"/>
    <n v="6.4327485380116955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reat-expectations/great_expectations"/>
    <s v="great-expectations"/>
    <s v="great_expectations"/>
    <s v="https://github.com/great-expectations/great_expectations"/>
    <d v="2017-09-11T00:18:46"/>
    <d v="2021-04-08T22:40:34"/>
    <n v="1305.9318055555559"/>
    <b v="0"/>
    <b v="1"/>
    <n v="4151"/>
    <n v="62"/>
    <n v="518"/>
    <n v="97"/>
    <n v="11"/>
    <n v="167"/>
    <n v="1855"/>
    <n v="37"/>
    <n v="806"/>
    <n v="173"/>
    <x v="4"/>
    <n v="67143"/>
    <n v="447"/>
    <n v="6.6574326437603328E-3"/>
    <n v="161"/>
    <n v="0.36017897091722595"/>
    <n v="2.3978672385803436E-3"/>
    <n v="49"/>
    <n v="0.10961968680089486"/>
    <n v="7.2978568130706105E-4"/>
    <n v="184"/>
    <n v="0.4116331096196868"/>
    <n v="2.7404197012346784E-3"/>
    <n v="49"/>
    <n v="0.10961968680089486"/>
    <n v="7.2978568130706105E-4"/>
    <n v="3"/>
    <n v="6.7114093959731542E-3"/>
    <n v="4.4680755998391492E-5"/>
    <n v="1"/>
    <n v="2.2371364653243847E-3"/>
    <n v="1.4893585332797164E-5"/>
    <b v="1"/>
    <b v="1"/>
    <b v="0"/>
    <b v="0"/>
    <b v="1"/>
    <b v="0"/>
    <b v="0"/>
    <b v="0"/>
    <b v="0"/>
    <b v="0"/>
    <b v="0"/>
    <b v="0"/>
    <b v="0"/>
  </r>
  <r>
    <s v="grow/grow"/>
    <s v="grow"/>
    <s v="grow"/>
    <s v="https://github.com/grow/grow"/>
    <d v="2013-09-17T15:51:40"/>
    <d v="2021-03-17T23:23:33"/>
    <n v="2738.3138078703705"/>
    <b v="0"/>
    <b v="1"/>
    <n v="360"/>
    <n v="28"/>
    <n v="51"/>
    <n v="149"/>
    <n v="9"/>
    <n v="17"/>
    <n v="558"/>
    <n v="6"/>
    <n v="590"/>
    <n v="51"/>
    <x v="5"/>
    <n v="20621"/>
    <n v="186"/>
    <n v="9.0199311381601276E-3"/>
    <n v="0"/>
    <n v="0"/>
    <n v="0"/>
    <n v="135"/>
    <n v="0.72580645161290325"/>
    <n v="6.5467242131807381E-3"/>
    <n v="10"/>
    <n v="5.3763440860215055E-2"/>
    <n v="4.8494253430968431E-4"/>
    <n v="31"/>
    <n v="0.16666666666666666"/>
    <n v="1.5033218563600213E-3"/>
    <n v="0"/>
    <n v="0"/>
    <n v="0"/>
    <n v="10"/>
    <n v="5.3763440860215055E-2"/>
    <n v="4.8494253430968431E-4"/>
    <b v="1"/>
    <b v="0"/>
    <b v="0"/>
    <b v="0"/>
    <b v="1"/>
    <b v="0"/>
    <b v="0"/>
    <b v="0"/>
    <b v="0"/>
    <b v="0"/>
    <b v="0"/>
    <b v="0"/>
    <b v="0"/>
  </r>
  <r>
    <s v="grycap/scar"/>
    <s v="grycap"/>
    <s v="scar"/>
    <s v="https://github.com/grycap/scar"/>
    <d v="2017-05-16T09:35:57"/>
    <d v="2021-03-24T10:45:09"/>
    <n v="1408.048055555555"/>
    <b v="0"/>
    <b v="1"/>
    <n v="558"/>
    <n v="17"/>
    <n v="40"/>
    <n v="17"/>
    <n v="0"/>
    <n v="13"/>
    <n v="217"/>
    <n v="1"/>
    <n v="155"/>
    <n v="25"/>
    <x v="4"/>
    <n v="3413"/>
    <n v="76"/>
    <n v="2.2267799589803693E-2"/>
    <n v="21"/>
    <n v="0.27631578947368424"/>
    <n v="6.1529446234983888E-3"/>
    <n v="42"/>
    <n v="0.55263157894736847"/>
    <n v="1.2305889246996778E-2"/>
    <n v="3"/>
    <n v="3.9473684210526314E-2"/>
    <n v="8.7899208907119832E-4"/>
    <n v="6"/>
    <n v="7.8947368421052627E-2"/>
    <n v="1.7579841781423966E-3"/>
    <n v="0"/>
    <n v="0"/>
    <n v="0"/>
    <n v="4"/>
    <n v="5.2631578947368418E-2"/>
    <n v="1.1719894520949312E-3"/>
    <b v="1"/>
    <b v="0"/>
    <b v="0"/>
    <b v="0"/>
    <b v="1"/>
    <b v="0"/>
    <b v="0"/>
    <b v="0"/>
    <b v="0"/>
    <b v="0"/>
    <b v="0"/>
    <b v="0"/>
    <b v="0"/>
  </r>
  <r>
    <s v="guardicore/monkey"/>
    <s v="guardicore"/>
    <s v="monkey"/>
    <s v="https://github.com/guardicore/monkey"/>
    <d v="2015-08-30T07:22:51"/>
    <d v="2021-04-08T15:02:24"/>
    <n v="2048.3191319444377"/>
    <b v="0"/>
    <b v="1"/>
    <n v="5104"/>
    <n v="262"/>
    <n v="559"/>
    <n v="11"/>
    <n v="7"/>
    <n v="37"/>
    <n v="640"/>
    <n v="5"/>
    <n v="452"/>
    <n v="155"/>
    <x v="0"/>
    <n v="17692"/>
    <n v="561"/>
    <n v="3.1709247117341174E-2"/>
    <n v="182"/>
    <n v="0.32442067736185382"/>
    <n v="1.0287135428442234E-2"/>
    <n v="231"/>
    <n v="0.41176470588235292"/>
    <n v="1.3056748813022835E-2"/>
    <n v="37"/>
    <n v="6.5953654188948302E-2"/>
    <n v="2.0913407189690255E-3"/>
    <n v="101"/>
    <n v="0.18003565062388591"/>
    <n v="5.7087949355640964E-3"/>
    <n v="2"/>
    <n v="3.5650623885918001E-3"/>
    <n v="1.1304544426859598E-4"/>
    <n v="8"/>
    <n v="1.4260249554367201E-2"/>
    <n v="4.5218177707438391E-4"/>
    <b v="1"/>
    <b v="1"/>
    <b v="0"/>
    <b v="0"/>
    <b v="1"/>
    <b v="0"/>
    <b v="0"/>
    <b v="0"/>
    <b v="0"/>
    <b v="0"/>
    <b v="0"/>
    <b v="0"/>
    <b v="0"/>
  </r>
  <r>
    <s v="guessit-io/guessit"/>
    <s v="guessit-io"/>
    <s v="guessit"/>
    <s v="https://github.com/guessit-io/guessit"/>
    <d v="2012-02-28T18:13:09"/>
    <d v="2021-04-07T09:36:11"/>
    <n v="3325.6409953703696"/>
    <b v="0"/>
    <b v="1"/>
    <n v="647"/>
    <n v="28"/>
    <n v="78"/>
    <n v="15"/>
    <n v="148"/>
    <n v="14"/>
    <n v="141"/>
    <n v="0"/>
    <n v="552"/>
    <n v="31"/>
    <x v="9"/>
    <n v="4537"/>
    <n v="5"/>
    <n v="1.1020498126515319E-3"/>
    <n v="1"/>
    <n v="0.2"/>
    <n v="2.2040996253030638E-4"/>
    <n v="0"/>
    <n v="0"/>
    <n v="0"/>
    <n v="1"/>
    <n v="0.2"/>
    <n v="2.2040996253030638E-4"/>
    <n v="3"/>
    <n v="0.6"/>
    <n v="6.612298875909191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uildai/guildai"/>
    <s v="guildai"/>
    <s v="guildai"/>
    <s v="https://github.com/guildai/guildai"/>
    <d v="2017-09-27T18:57:50"/>
    <d v="2021-04-08T11:54:50"/>
    <n v="1288.7062499999956"/>
    <b v="0"/>
    <b v="1"/>
    <n v="566"/>
    <n v="12"/>
    <n v="41"/>
    <n v="0"/>
    <n v="4"/>
    <n v="12"/>
    <n v="18"/>
    <n v="0"/>
    <n v="265"/>
    <n v="99"/>
    <x v="4"/>
    <n v="78019"/>
    <n v="1310"/>
    <n v="1.6790781732654865E-2"/>
    <n v="399"/>
    <n v="0.3045801526717557"/>
    <n v="5.1141388636101459E-3"/>
    <n v="262"/>
    <n v="0.2"/>
    <n v="3.3581563465309733E-3"/>
    <n v="328"/>
    <n v="0.25038167938931299"/>
    <n v="4.2041041284815233E-3"/>
    <n v="255"/>
    <n v="0.19465648854961831"/>
    <n v="3.2684346120816724E-3"/>
    <n v="15"/>
    <n v="1.1450381679389313E-2"/>
    <n v="1.9226085953421602E-4"/>
    <n v="51"/>
    <n v="3.8931297709923665E-2"/>
    <n v="6.5368692241633451E-4"/>
    <b v="1"/>
    <b v="0"/>
    <b v="0"/>
    <b v="0"/>
    <b v="1"/>
    <b v="0"/>
    <b v="0"/>
    <b v="0"/>
    <b v="0"/>
    <b v="0"/>
    <b v="0"/>
    <b v="0"/>
    <b v="0"/>
  </r>
  <r>
    <s v="guoday/CCF-BDCI-Sentiment-Analysis-Baseline"/>
    <s v="guoday"/>
    <s v="CCF-BDCI-Sentiment-Analysis-Baseline"/>
    <s v="https://github.com/guoday/CCF-BDCI-Sentiment-Analysis-Baseline"/>
    <d v="2019-09-01T08:26:52"/>
    <d v="2021-03-30T14:45:46"/>
    <n v="576.26312500000495"/>
    <b v="0"/>
    <b v="0"/>
    <n v="372"/>
    <n v="8"/>
    <n v="105"/>
    <n v="0"/>
    <n v="0"/>
    <n v="2"/>
    <n v="2"/>
    <n v="1"/>
    <n v="16"/>
    <n v="2"/>
    <x v="4"/>
    <n v="13057"/>
    <n v="273"/>
    <n v="2.0908325036378954E-2"/>
    <n v="0"/>
    <n v="0"/>
    <n v="0"/>
    <n v="227"/>
    <n v="0.83150183150183155"/>
    <n v="1.7385310561384697E-2"/>
    <n v="20"/>
    <n v="7.3260073260073263E-2"/>
    <n v="1.5317454239105461E-3"/>
    <n v="26"/>
    <n v="9.5238095238095233E-2"/>
    <n v="1.991269051083709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gyoisamurai/GyoiThon"/>
    <s v="gyoisamurai"/>
    <s v="GyoiThon"/>
    <s v="https://github.com/gyoisamurai/GyoiThon"/>
    <d v="2018-03-07T05:14:12"/>
    <d v="2021-04-08T11:26:31"/>
    <n v="1128.2585532407393"/>
    <b v="0"/>
    <b v="0"/>
    <n v="603"/>
    <n v="64"/>
    <n v="220"/>
    <n v="0"/>
    <n v="0"/>
    <n v="7"/>
    <n v="11"/>
    <n v="2"/>
    <n v="37"/>
    <n v="13"/>
    <x v="7"/>
    <n v="4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h2oai/wave"/>
    <s v="h2oai"/>
    <s v="wave"/>
    <s v="https://github.com/h2oai/wave"/>
    <d v="2020-05-16T20:07:18"/>
    <d v="2021-04-08T19:06:51"/>
    <n v="326.95802083333547"/>
    <b v="0"/>
    <b v="1"/>
    <n v="2548"/>
    <n v="125"/>
    <n v="107"/>
    <n v="28"/>
    <n v="0"/>
    <n v="21"/>
    <n v="235"/>
    <n v="24"/>
    <n v="409"/>
    <n v="144"/>
    <x v="4"/>
    <n v="12151"/>
    <n v="36"/>
    <n v="2.9627191177680847E-3"/>
    <n v="17"/>
    <n v="0.47222222222222221"/>
    <n v="1.3990618056127068E-3"/>
    <n v="11"/>
    <n v="0.30555555555555558"/>
    <n v="9.0527528598469261E-4"/>
    <n v="5"/>
    <n v="0.1388888888888889"/>
    <n v="4.1148876635667848E-4"/>
    <n v="1"/>
    <n v="2.7777777777777776E-2"/>
    <n v="8.229775327133569E-5"/>
    <n v="0"/>
    <n v="0"/>
    <n v="0"/>
    <n v="2"/>
    <n v="5.5555555555555552E-2"/>
    <n v="1.6459550654267138E-4"/>
    <b v="1"/>
    <b v="0"/>
    <b v="0"/>
    <b v="0"/>
    <b v="1"/>
    <b v="0"/>
    <b v="0"/>
    <b v="0"/>
    <b v="0"/>
    <b v="0"/>
    <b v="0"/>
    <b v="0"/>
    <b v="0"/>
  </r>
  <r>
    <s v="haarnoja/sac"/>
    <s v="haarnoja"/>
    <s v="sac"/>
    <s v="https://github.com/haarnoja/sac"/>
    <d v="2017-12-07T01:17:27"/>
    <d v="2021-04-06T14:57:21"/>
    <n v="1216.5693749999991"/>
    <b v="0"/>
    <b v="0"/>
    <n v="563"/>
    <n v="29"/>
    <n v="142"/>
    <n v="0"/>
    <n v="0"/>
    <n v="5"/>
    <n v="9"/>
    <n v="0"/>
    <n v="24"/>
    <n v="8"/>
    <x v="7"/>
    <n v="3514"/>
    <n v="10"/>
    <n v="2.8457598178713715E-3"/>
    <n v="0"/>
    <n v="0"/>
    <n v="0"/>
    <n v="10"/>
    <n v="1"/>
    <n v="2.8457598178713715E-3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haarnoja/softqlearning"/>
    <s v="haarnoja"/>
    <s v="softqlearning"/>
    <s v="https://github.com/haarnoja/softqlearning"/>
    <d v="2017-05-26T04:43:11"/>
    <d v="2021-03-24T08:25:49"/>
    <n v="1398.1546064814829"/>
    <b v="0"/>
    <b v="0"/>
    <n v="357"/>
    <n v="17"/>
    <n v="81"/>
    <n v="0"/>
    <n v="0"/>
    <n v="4"/>
    <n v="6"/>
    <n v="0"/>
    <n v="11"/>
    <n v="4"/>
    <x v="1"/>
    <n v="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hacktoolspack/hack-tools"/>
    <s v="hacktoolspack"/>
    <s v="hack-tools"/>
    <s v="https://github.com/hacktoolspack/hack-tools"/>
    <d v="2017-04-30T10:59:56"/>
    <d v="2021-04-09T01:53:47"/>
    <n v="1439.6207291666651"/>
    <b v="0"/>
    <b v="0"/>
    <n v="506"/>
    <n v="53"/>
    <n v="318"/>
    <n v="1"/>
    <n v="0"/>
    <n v="0"/>
    <n v="9"/>
    <n v="0"/>
    <n v="24"/>
    <n v="0"/>
    <x v="1"/>
    <n v="62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hacs/integration"/>
    <s v="hacs"/>
    <s v="integration"/>
    <s v="https://github.com/hacs/integration"/>
    <d v="2019-02-26T15:01:10"/>
    <d v="2021-04-08T09:54:20"/>
    <n v="771.78692129629781"/>
    <b v="0"/>
    <b v="1"/>
    <n v="1628"/>
    <n v="76"/>
    <n v="444"/>
    <n v="126"/>
    <n v="17"/>
    <n v="79"/>
    <n v="671"/>
    <n v="5"/>
    <n v="1268"/>
    <n v="9"/>
    <x v="5"/>
    <n v="5676"/>
    <n v="138"/>
    <n v="2.4312896405919663E-2"/>
    <n v="41"/>
    <n v="0.29710144927536231"/>
    <n v="7.2233967582804792E-3"/>
    <n v="49"/>
    <n v="0.35507246376811596"/>
    <n v="8.6328400281888654E-3"/>
    <n v="4"/>
    <n v="2.8985507246376812E-2"/>
    <n v="7.0472163495419312E-4"/>
    <n v="35"/>
    <n v="0.25362318840579712"/>
    <n v="6.1663143058491897E-3"/>
    <n v="9"/>
    <n v="6.5217391304347824E-2"/>
    <n v="1.5856236786469344E-3"/>
    <n v="0"/>
    <n v="0"/>
    <n v="0"/>
    <b v="1"/>
    <b v="0"/>
    <b v="0"/>
    <b v="0"/>
    <b v="1"/>
    <b v="0"/>
    <b v="0"/>
    <b v="0"/>
    <b v="0"/>
    <b v="0"/>
    <b v="0"/>
    <b v="0"/>
    <b v="0"/>
  </r>
  <r>
    <s v="haiwen/seafile-docker"/>
    <s v="haiwen"/>
    <s v="seafile-docker"/>
    <s v="https://github.com/haiwen/seafile-docker"/>
    <d v="2015-03-20T15:58:41"/>
    <d v="2021-04-07T16:44:54"/>
    <n v="2210.0320949074085"/>
    <b v="0"/>
    <b v="1"/>
    <n v="415"/>
    <n v="32"/>
    <n v="119"/>
    <n v="0"/>
    <n v="0"/>
    <n v="15"/>
    <n v="85"/>
    <n v="16"/>
    <n v="163"/>
    <n v="35"/>
    <x v="7"/>
    <n v="5007"/>
    <n v="89"/>
    <n v="1.7775114839225083E-2"/>
    <n v="5"/>
    <n v="5.6179775280898875E-2"/>
    <n v="9.9860195725983629E-4"/>
    <n v="9"/>
    <n v="0.10112359550561797"/>
    <n v="1.7974835230677051E-3"/>
    <n v="0"/>
    <n v="0"/>
    <n v="0"/>
    <n v="75"/>
    <n v="0.84269662921348309"/>
    <n v="1.4979029358897543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hamcrest/PyHamcrest"/>
    <s v="hamcrest"/>
    <s v="PyHamcrest"/>
    <s v="https://github.com/hamcrest/PyHamcrest"/>
    <d v="2010-12-24T02:55:56"/>
    <d v="2021-04-08T14:57:56"/>
    <n v="3758.5013888888861"/>
    <b v="0"/>
    <b v="1"/>
    <n v="540"/>
    <n v="20"/>
    <n v="80"/>
    <n v="8"/>
    <n v="4"/>
    <n v="24"/>
    <n v="115"/>
    <n v="5"/>
    <n v="57"/>
    <n v="9"/>
    <x v="7"/>
    <n v="3387"/>
    <n v="4"/>
    <n v="1.1809861234130499E-3"/>
    <n v="0"/>
    <n v="0"/>
    <n v="0"/>
    <n v="0"/>
    <n v="0"/>
    <n v="0"/>
    <n v="3"/>
    <n v="0.75"/>
    <n v="8.8573959255978745E-4"/>
    <n v="1"/>
    <n v="0.25"/>
    <n v="2.952465308532624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hangoutsbot/hangoutsbot"/>
    <s v="hangoutsbot"/>
    <s v="hangoutsbot"/>
    <s v="https://github.com/hangoutsbot/hangoutsbot"/>
    <d v="2015-01-20T04:37:44"/>
    <d v="2021-03-29T18:58:47"/>
    <n v="2260.5979513888888"/>
    <b v="0"/>
    <b v="1"/>
    <n v="579"/>
    <n v="93"/>
    <n v="272"/>
    <n v="37"/>
    <n v="93"/>
    <n v="59"/>
    <n v="381"/>
    <n v="12"/>
    <n v="588"/>
    <n v="93"/>
    <x v="11"/>
    <n v="13748"/>
    <n v="610"/>
    <n v="4.4370090194937442E-2"/>
    <n v="127"/>
    <n v="0.2081967213114754"/>
    <n v="9.2377073028804182E-3"/>
    <n v="281"/>
    <n v="0.46065573770491802"/>
    <n v="2.0439336630782658E-2"/>
    <n v="88"/>
    <n v="0.14426229508196722"/>
    <n v="6.400931044515566E-3"/>
    <n v="60"/>
    <n v="9.8360655737704916E-2"/>
    <n v="4.3642711667151585E-3"/>
    <n v="2"/>
    <n v="3.2786885245901639E-3"/>
    <n v="1.4547570555717196E-4"/>
    <n v="52"/>
    <n v="8.5245901639344257E-2"/>
    <n v="3.782368344486471E-3"/>
    <b v="1"/>
    <b v="0"/>
    <b v="0"/>
    <b v="0"/>
    <b v="1"/>
    <b v="0"/>
    <b v="0"/>
    <b v="0"/>
    <b v="0"/>
    <b v="0"/>
    <b v="0"/>
    <b v="0"/>
    <b v="0"/>
  </r>
  <r>
    <s v="hanxiao/bert-as-service"/>
    <s v="hanxiao"/>
    <s v="bert-as-service"/>
    <s v="https://github.com/hanxiao/bert-as-service"/>
    <d v="2018-11-12T10:48:50"/>
    <d v="2021-04-09T02:16:19"/>
    <n v="878.64408564814948"/>
    <b v="0"/>
    <b v="0"/>
    <n v="9093"/>
    <n v="204"/>
    <n v="1711"/>
    <n v="10"/>
    <n v="0"/>
    <n v="40"/>
    <n v="138"/>
    <n v="8"/>
    <n v="488"/>
    <n v="238"/>
    <x v="5"/>
    <n v="2399"/>
    <n v="55"/>
    <n v="2.2926219258024176E-2"/>
    <n v="4"/>
    <n v="7.2727272727272724E-2"/>
    <n v="1.6673614005835765E-3"/>
    <n v="34"/>
    <n v="0.61818181818181817"/>
    <n v="1.41725719049604E-2"/>
    <n v="11"/>
    <n v="0.2"/>
    <n v="4.5852438516048354E-3"/>
    <n v="6"/>
    <n v="0.10909090909090909"/>
    <n v="2.501042100875364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HASecuritySolutions/VulnWhisperer"/>
    <s v="HASecuritySolutions"/>
    <s v="VulnWhisperer"/>
    <s v="https://github.com/HASecuritySolutions/VulnWhisperer"/>
    <d v="2017-06-15T18:48:48"/>
    <d v="2021-04-07T16:56:08"/>
    <n v="1391.9217592592613"/>
    <b v="0"/>
    <b v="1"/>
    <n v="1111"/>
    <n v="115"/>
    <n v="199"/>
    <n v="7"/>
    <n v="0"/>
    <n v="20"/>
    <n v="72"/>
    <n v="1"/>
    <n v="153"/>
    <n v="41"/>
    <x v="4"/>
    <n v="2010"/>
    <n v="195"/>
    <n v="9.7014925373134331E-2"/>
    <n v="35"/>
    <n v="0.17948717948717949"/>
    <n v="1.7412935323383085E-2"/>
    <n v="90"/>
    <n v="0.46153846153846156"/>
    <n v="4.4776119402985072E-2"/>
    <n v="13"/>
    <n v="6.6666666666666666E-2"/>
    <n v="6.4676616915422883E-3"/>
    <n v="57"/>
    <n v="0.29230769230769232"/>
    <n v="2.8358208955223882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HashPals/Name-That-Hash"/>
    <s v="HashPals"/>
    <s v="Name-That-Hash"/>
    <s v="https://github.com/HashPals/Name-That-Hash"/>
    <d v="2021-01-13T13:32:39"/>
    <d v="2021-04-08T14:17:15"/>
    <n v="85.030972222222772"/>
    <b v="0"/>
    <b v="1"/>
    <n v="575"/>
    <n v="10"/>
    <n v="39"/>
    <n v="16"/>
    <n v="0"/>
    <n v="11"/>
    <n v="49"/>
    <n v="1"/>
    <n v="29"/>
    <n v="4"/>
    <x v="0"/>
    <n v="415"/>
    <n v="7"/>
    <n v="1.6867469879518072E-2"/>
    <n v="6"/>
    <n v="0.8571428571428571"/>
    <n v="1.4457831325301205E-2"/>
    <n v="1"/>
    <n v="0.14285714285714285"/>
    <n v="2.4096385542168677E-3"/>
    <n v="0"/>
    <n v="0"/>
    <n v="0"/>
    <n v="0"/>
    <n v="0"/>
    <n v="0"/>
    <n v="0"/>
    <n v="0"/>
    <n v="0"/>
    <n v="0"/>
    <n v="0"/>
    <n v="0"/>
    <b v="1"/>
    <b v="0"/>
    <b v="0"/>
    <b v="0"/>
    <b v="0"/>
    <b v="0"/>
    <b v="0"/>
    <b v="0"/>
    <b v="1"/>
    <b v="0"/>
    <b v="0"/>
    <b v="0"/>
    <b v="0"/>
  </r>
  <r>
    <s v="HazyResearch/fonduer"/>
    <s v="HazyResearch"/>
    <s v="fonduer"/>
    <s v="https://github.com/HazyResearch/fonduer"/>
    <d v="2018-02-02T22:03:13"/>
    <d v="2021-04-08T21:50:37"/>
    <n v="1160.9912499999991"/>
    <b v="0"/>
    <b v="1"/>
    <n v="334"/>
    <n v="23"/>
    <n v="68"/>
    <n v="4"/>
    <n v="4"/>
    <n v="13"/>
    <n v="359"/>
    <n v="0"/>
    <n v="177"/>
    <n v="17"/>
    <x v="5"/>
    <n v="8980"/>
    <n v="144"/>
    <n v="1.6035634743875277E-2"/>
    <n v="31"/>
    <n v="0.21527777777777779"/>
    <n v="3.4521158129175947E-3"/>
    <n v="85"/>
    <n v="0.59027777777777779"/>
    <n v="9.4654788418708242E-3"/>
    <n v="16"/>
    <n v="0.1111111111111111"/>
    <n v="1.7817371937639199E-3"/>
    <n v="7"/>
    <n v="4.8611111111111112E-2"/>
    <n v="7.7951002227171493E-4"/>
    <n v="0"/>
    <n v="0"/>
    <n v="0"/>
    <n v="5"/>
    <n v="3.4722222222222224E-2"/>
    <n v="5.5679287305122492E-4"/>
    <b v="1"/>
    <b v="0"/>
    <b v="0"/>
    <b v="0"/>
    <b v="1"/>
    <b v="0"/>
    <b v="0"/>
    <b v="0"/>
    <b v="0"/>
    <b v="0"/>
    <b v="0"/>
    <b v="0"/>
    <b v="0"/>
  </r>
  <r>
    <s v="heartexlabs/label-studio"/>
    <s v="heartexlabs"/>
    <s v="label-studio"/>
    <s v="https://github.com/heartexlabs/label-studio"/>
    <d v="2019-06-19T02:00:44"/>
    <d v="2021-04-09T03:48:11"/>
    <n v="660.07461805555795"/>
    <b v="0"/>
    <b v="1"/>
    <n v="5494"/>
    <n v="114"/>
    <n v="494"/>
    <n v="41"/>
    <n v="31"/>
    <n v="52"/>
    <n v="354"/>
    <n v="11"/>
    <n v="422"/>
    <n v="81"/>
    <x v="4"/>
    <n v="11555"/>
    <n v="160"/>
    <n v="1.3846819558632626E-2"/>
    <n v="86"/>
    <n v="0.53749999999999998"/>
    <n v="7.4426655127650364E-3"/>
    <n v="24"/>
    <n v="0.15"/>
    <n v="2.0770229337948938E-3"/>
    <n v="15"/>
    <n v="9.375E-2"/>
    <n v="1.2981393336218088E-3"/>
    <n v="35"/>
    <n v="0.21875"/>
    <n v="3.0289917784508871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HendrikStrobelt/Seq2Seq-Vis"/>
    <s v="HendrikStrobelt"/>
    <s v="Seq2Seq-Vis"/>
    <s v="https://github.com/HendrikStrobelt/Seq2Seq-Vis"/>
    <d v="2017-05-16T01:31:59"/>
    <d v="2021-03-23T18:58:15"/>
    <n v="1407.7265740740695"/>
    <b v="0"/>
    <b v="0"/>
    <n v="404"/>
    <n v="22"/>
    <n v="66"/>
    <n v="0"/>
    <n v="0"/>
    <n v="3"/>
    <n v="14"/>
    <n v="7"/>
    <n v="31"/>
    <n v="18"/>
    <x v="4"/>
    <n v="15038"/>
    <n v="2"/>
    <n v="1.3299640909695439E-4"/>
    <n v="0"/>
    <n v="0"/>
    <n v="0"/>
    <n v="0"/>
    <n v="0"/>
    <n v="0"/>
    <n v="2"/>
    <n v="1"/>
    <n v="1.3299640909695439E-4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hhyo/Archery"/>
    <s v="hhyo"/>
    <s v="Archery"/>
    <s v="https://github.com/hhyo/Archery"/>
    <d v="2018-09-28T02:59:33"/>
    <d v="2021-04-09T02:13:58"/>
    <n v="923.9683449074073"/>
    <b v="0"/>
    <b v="0"/>
    <n v="2470"/>
    <n v="99"/>
    <n v="897"/>
    <n v="53"/>
    <n v="26"/>
    <n v="47"/>
    <n v="221"/>
    <n v="3"/>
    <n v="846"/>
    <n v="67"/>
    <x v="4"/>
    <n v="13682"/>
    <n v="96"/>
    <n v="7.0165180529162402E-3"/>
    <n v="22"/>
    <n v="0.22916666666666666"/>
    <n v="1.607952053793305E-3"/>
    <n v="4"/>
    <n v="4.1666666666666664E-2"/>
    <n v="2.9235491887151001E-4"/>
    <n v="26"/>
    <n v="0.27083333333333331"/>
    <n v="1.9003069726648151E-3"/>
    <n v="44"/>
    <n v="0.45833333333333331"/>
    <n v="3.2159041075866101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hjacobs/kube-downscaler"/>
    <s v="hjacobs"/>
    <s v="kube-downscaler"/>
    <s v="https://github.com/hjacobs/kube-downscaler"/>
    <d v="2017-11-26T00:14:38"/>
    <d v="2021-04-08T15:00:15"/>
    <n v="1229.6150115740675"/>
    <b v="0"/>
    <b v="0"/>
    <n v="484"/>
    <n v="11"/>
    <n v="83"/>
    <n v="34"/>
    <n v="0"/>
    <n v="29"/>
    <n v="68"/>
    <n v="0"/>
    <n v="59"/>
    <n v="15"/>
    <x v="0"/>
    <n v="1523"/>
    <n v="26"/>
    <n v="1.7071569271175313E-2"/>
    <n v="9"/>
    <n v="0.34615384615384615"/>
    <n v="5.9093893630991464E-3"/>
    <n v="11"/>
    <n v="0.42307692307692307"/>
    <n v="7.222586999343401E-3"/>
    <n v="2"/>
    <n v="7.6923076923076927E-2"/>
    <n v="1.3131976362442547E-3"/>
    <n v="2"/>
    <n v="7.6923076923076927E-2"/>
    <n v="1.3131976362442547E-3"/>
    <n v="0"/>
    <n v="0"/>
    <n v="0"/>
    <n v="2"/>
    <n v="7.6923076923076927E-2"/>
    <n v="1.3131976362442547E-3"/>
    <b v="1"/>
    <b v="0"/>
    <b v="0"/>
    <b v="0"/>
    <b v="1"/>
    <b v="0"/>
    <b v="0"/>
    <b v="0"/>
    <b v="0"/>
    <b v="0"/>
    <b v="0"/>
    <b v="0"/>
    <b v="0"/>
  </r>
  <r>
    <s v="hjacobs/kube-janitor"/>
    <s v="hjacobs"/>
    <s v="kube-janitor"/>
    <s v="https://github.com/hjacobs/kube-janitor"/>
    <d v="2019-02-17T13:49:02"/>
    <d v="2021-04-02T08:19:03"/>
    <n v="774.77084490741254"/>
    <b v="0"/>
    <b v="0"/>
    <n v="430"/>
    <n v="4"/>
    <n v="31"/>
    <n v="19"/>
    <n v="0"/>
    <n v="13"/>
    <n v="39"/>
    <n v="0"/>
    <n v="42"/>
    <n v="16"/>
    <x v="0"/>
    <n v="1296"/>
    <n v="30"/>
    <n v="2.3148148148148147E-2"/>
    <n v="11"/>
    <n v="0.36666666666666664"/>
    <n v="8.4876543209876538E-3"/>
    <n v="12"/>
    <n v="0.4"/>
    <n v="9.2592592592592587E-3"/>
    <n v="2"/>
    <n v="6.6666666666666666E-2"/>
    <n v="1.5432098765432098E-3"/>
    <n v="3"/>
    <n v="0.1"/>
    <n v="2.3148148148148147E-3"/>
    <n v="0"/>
    <n v="0"/>
    <n v="0"/>
    <n v="2"/>
    <n v="6.6666666666666666E-2"/>
    <n v="1.5432098765432098E-3"/>
    <b v="1"/>
    <b v="0"/>
    <b v="0"/>
    <b v="0"/>
    <b v="1"/>
    <b v="0"/>
    <b v="0"/>
    <b v="0"/>
    <b v="0"/>
    <b v="0"/>
    <b v="0"/>
    <b v="0"/>
    <b v="0"/>
  </r>
  <r>
    <s v="home-assistant-libs/pytradfri"/>
    <s v="home-assistant-libs"/>
    <s v="pytradfri"/>
    <s v="https://github.com/home-assistant-libs/pytradfri"/>
    <d v="2017-04-10T18:30:17"/>
    <d v="2021-04-07T04:25:40"/>
    <n v="1457.413460648153"/>
    <b v="0"/>
    <b v="1"/>
    <n v="783"/>
    <n v="52"/>
    <n v="122"/>
    <n v="48"/>
    <n v="2"/>
    <n v="42"/>
    <n v="178"/>
    <n v="2"/>
    <n v="134"/>
    <n v="4"/>
    <x v="5"/>
    <n v="2905"/>
    <n v="15"/>
    <n v="5.1635111876075735E-3"/>
    <n v="10"/>
    <n v="0.66666666666666663"/>
    <n v="3.4423407917383822E-3"/>
    <n v="0"/>
    <n v="0"/>
    <n v="0"/>
    <n v="1"/>
    <n v="6.6666666666666666E-2"/>
    <n v="3.4423407917383823E-4"/>
    <n v="0"/>
    <n v="0"/>
    <n v="0"/>
    <n v="0"/>
    <n v="0"/>
    <n v="0"/>
    <n v="4"/>
    <n v="0.26666666666666666"/>
    <n v="1.3769363166953529E-3"/>
    <b v="1"/>
    <b v="0"/>
    <b v="0"/>
    <b v="0"/>
    <b v="1"/>
    <b v="0"/>
    <b v="0"/>
    <b v="0"/>
    <b v="0"/>
    <b v="0"/>
    <b v="0"/>
    <b v="0"/>
    <b v="0"/>
  </r>
  <r>
    <s v="home-assistant/core"/>
    <s v="home-assistant"/>
    <s v="core"/>
    <s v="https://github.com/home-assistant/core"/>
    <d v="2013-09-17T07:29:48"/>
    <d v="2021-04-09T03:38:51"/>
    <n v="2760.8396180555574"/>
    <b v="0"/>
    <b v="1"/>
    <n v="41777"/>
    <n v="1339"/>
    <n v="13300"/>
    <n v="738"/>
    <n v="540"/>
    <n v="2440"/>
    <n v="28606"/>
    <n v="283"/>
    <n v="20034"/>
    <n v="1338"/>
    <x v="4"/>
    <n v="514390"/>
    <n v="6524"/>
    <n v="1.2682983728299539E-2"/>
    <n v="2649"/>
    <n v="0.40603923973022688"/>
    <n v="5.1497890705495828E-3"/>
    <n v="563"/>
    <n v="8.6296750459840588E-2"/>
    <n v="1.0945002818872839E-3"/>
    <n v="951"/>
    <n v="0.14576946658491724"/>
    <n v="1.8487917727794086E-3"/>
    <n v="2052"/>
    <n v="0.31453096259963215"/>
    <n v="3.9891910806975255E-3"/>
    <n v="4"/>
    <n v="6.131207847946045E-4"/>
    <n v="7.7762009370322123E-6"/>
    <n v="305"/>
    <n v="4.6750459840588593E-2"/>
    <n v="5.9293532144870625E-4"/>
    <b v="1"/>
    <b v="0"/>
    <b v="0"/>
    <b v="0"/>
    <b v="1"/>
    <b v="0"/>
    <b v="0"/>
    <b v="0"/>
    <b v="0"/>
    <b v="0"/>
    <b v="0"/>
    <b v="0"/>
    <b v="0"/>
  </r>
  <r>
    <s v="home-assistant/supervisor"/>
    <s v="home-assistant"/>
    <s v="supervisor"/>
    <s v="https://github.com/home-assistant/supervisor"/>
    <d v="2017-03-14T08:54:15"/>
    <d v="2021-04-07T12:26:52"/>
    <n v="1485.1476504629682"/>
    <b v="0"/>
    <b v="1"/>
    <n v="870"/>
    <n v="63"/>
    <n v="264"/>
    <n v="298"/>
    <n v="7"/>
    <n v="53"/>
    <n v="1731"/>
    <n v="3"/>
    <n v="965"/>
    <n v="26"/>
    <x v="4"/>
    <n v="19966"/>
    <n v="715"/>
    <n v="3.5810878493438843E-2"/>
    <n v="66"/>
    <n v="9.2307692307692313E-2"/>
    <n v="3.3056195532405091E-3"/>
    <n v="252"/>
    <n v="0.35244755244755244"/>
    <n v="1.2621456476009216E-2"/>
    <n v="176"/>
    <n v="0.24615384615384617"/>
    <n v="8.814985475308023E-3"/>
    <n v="195"/>
    <n v="0.27272727272727271"/>
    <n v="9.7666032254833217E-3"/>
    <n v="18"/>
    <n v="2.5174825174825177E-2"/>
    <n v="9.0153260542922967E-4"/>
    <n v="8"/>
    <n v="1.1188811188811189E-2"/>
    <n v="4.0068115796854651E-4"/>
    <b v="1"/>
    <b v="0"/>
    <b v="0"/>
    <b v="0"/>
    <b v="1"/>
    <b v="0"/>
    <b v="0"/>
    <b v="0"/>
    <b v="0"/>
    <b v="0"/>
    <b v="0"/>
    <b v="0"/>
    <b v="0"/>
  </r>
  <r>
    <s v="howie6879/owllook"/>
    <s v="howie6879"/>
    <s v="owllook"/>
    <s v="https://github.com/howie6879/owllook"/>
    <d v="2017-02-18T03:03:38"/>
    <d v="2021-04-08T15:31:30"/>
    <n v="1510.5193518518499"/>
    <b v="0"/>
    <b v="0"/>
    <n v="2032"/>
    <n v="99"/>
    <n v="653"/>
    <n v="0"/>
    <n v="2"/>
    <n v="9"/>
    <n v="12"/>
    <n v="1"/>
    <n v="83"/>
    <n v="16"/>
    <x v="4"/>
    <n v="3132"/>
    <n v="85"/>
    <n v="2.7139208173690931E-2"/>
    <n v="0"/>
    <n v="0"/>
    <n v="0"/>
    <n v="19"/>
    <n v="0.22352941176470589"/>
    <n v="6.0664112388250317E-3"/>
    <n v="0"/>
    <n v="0"/>
    <n v="0"/>
    <n v="11"/>
    <n v="0.12941176470588237"/>
    <n v="3.5121328224776501E-3"/>
    <n v="0"/>
    <n v="0"/>
    <n v="0"/>
    <n v="55"/>
    <n v="0.6470588235294118"/>
    <n v="1.7560664112388252E-2"/>
    <b v="1"/>
    <b v="1"/>
    <b v="0"/>
    <b v="0"/>
    <b v="1"/>
    <b v="0"/>
    <b v="0"/>
    <b v="0"/>
    <b v="0"/>
    <b v="0"/>
    <b v="0"/>
    <b v="0"/>
    <b v="0"/>
  </r>
  <r>
    <s v="huashengdun/webssh"/>
    <s v="huashengdun"/>
    <s v="webssh"/>
    <s v="https://github.com/huashengdun/webssh"/>
    <d v="2017-11-08T14:37:03"/>
    <d v="2021-04-08T09:55:53"/>
    <n v="1246.8047453703693"/>
    <b v="0"/>
    <b v="0"/>
    <n v="1917"/>
    <n v="66"/>
    <n v="519"/>
    <n v="31"/>
    <n v="1"/>
    <n v="8"/>
    <n v="22"/>
    <n v="5"/>
    <n v="186"/>
    <n v="33"/>
    <x v="5"/>
    <n v="2230"/>
    <n v="37"/>
    <n v="1.6591928251121078E-2"/>
    <n v="15"/>
    <n v="0.40540540540540543"/>
    <n v="6.7264573991031393E-3"/>
    <n v="14"/>
    <n v="0.3783783783783784"/>
    <n v="6.2780269058295961E-3"/>
    <n v="4"/>
    <n v="0.10810810810810811"/>
    <n v="1.7937219730941704E-3"/>
    <n v="4"/>
    <n v="0.10810810810810811"/>
    <n v="1.7937219730941704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huawei-noah/Pretrained-Language-Model"/>
    <s v="huawei-noah"/>
    <s v="Pretrained-Language-Model"/>
    <s v="https://github.com/huawei-noah/Pretrained-Language-Model"/>
    <d v="2019-12-02T14:26:04"/>
    <d v="2021-04-09T03:23:54"/>
    <n v="493.54016203703941"/>
    <b v="0"/>
    <b v="1"/>
    <n v="1629"/>
    <n v="45"/>
    <n v="316"/>
    <n v="0"/>
    <n v="0"/>
    <n v="0"/>
    <n v="2"/>
    <n v="2"/>
    <n v="109"/>
    <n v="28"/>
    <x v="1"/>
    <n v="18203"/>
    <n v="416"/>
    <n v="2.2853375817172995E-2"/>
    <n v="0"/>
    <n v="0"/>
    <n v="0"/>
    <n v="381"/>
    <n v="0.91586538461538458"/>
    <n v="2.0930615832555073E-2"/>
    <n v="21"/>
    <n v="5.0480769230769232E-2"/>
    <n v="1.1536559907707521E-3"/>
    <n v="14"/>
    <n v="3.3653846153846152E-2"/>
    <n v="7.691039938471680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hugapi/hug"/>
    <s v="hugapi"/>
    <s v="hug"/>
    <s v="https://github.com/hugapi/hug"/>
    <d v="2015-07-17T03:33:50"/>
    <d v="2021-04-08T01:57:16"/>
    <n v="2091.9329398148184"/>
    <b v="0"/>
    <b v="1"/>
    <n v="6482"/>
    <n v="176"/>
    <n v="365"/>
    <n v="13"/>
    <n v="17"/>
    <n v="104"/>
    <n v="439"/>
    <n v="8"/>
    <n v="444"/>
    <n v="147"/>
    <x v="5"/>
    <n v="8658"/>
    <n v="3"/>
    <n v="3.465003465003465E-4"/>
    <n v="0"/>
    <n v="0"/>
    <n v="0"/>
    <n v="2"/>
    <n v="0.66666666666666663"/>
    <n v="2.3100023100023099E-4"/>
    <n v="1"/>
    <n v="0.33333333333333331"/>
    <n v="1.155001155001155E-4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huggingface/transfer-learning-conv-ai"/>
    <s v="huggingface"/>
    <s v="transfer-learning-conv-ai"/>
    <s v="https://github.com/huggingface/transfer-learning-conv-ai"/>
    <d v="2019-05-07T12:51:08"/>
    <d v="2021-04-09T01:00:41"/>
    <n v="702.50663194444496"/>
    <b v="0"/>
    <b v="1"/>
    <n v="1234"/>
    <n v="47"/>
    <n v="308"/>
    <n v="0"/>
    <n v="4"/>
    <n v="13"/>
    <n v="18"/>
    <n v="4"/>
    <n v="87"/>
    <n v="45"/>
    <x v="5"/>
    <n v="602"/>
    <n v="21"/>
    <n v="3.4883720930232558E-2"/>
    <n v="0"/>
    <n v="0"/>
    <n v="0"/>
    <n v="19"/>
    <n v="0.90476190476190477"/>
    <n v="3.1561461794019932E-2"/>
    <n v="2"/>
    <n v="9.5238095238095233E-2"/>
    <n v="3.3222591362126247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huggingface/transformers"/>
    <s v="huggingface"/>
    <s v="transformers"/>
    <s v="https://github.com/huggingface/transformers"/>
    <d v="2018-10-29T13:56:00"/>
    <d v="2021-04-09T03:30:22"/>
    <n v="892.56553240740323"/>
    <b v="0"/>
    <b v="1"/>
    <n v="43587"/>
    <n v="724"/>
    <n v="10081"/>
    <n v="55"/>
    <n v="239"/>
    <n v="800"/>
    <n v="4703"/>
    <n v="106"/>
    <n v="6426"/>
    <n v="578"/>
    <x v="4"/>
    <n v="140175"/>
    <n v="1367"/>
    <n v="9.7520955947922247E-3"/>
    <n v="13"/>
    <n v="9.5098756400877841E-3"/>
    <n v="9.2741216336721959E-5"/>
    <n v="933"/>
    <n v="0.68251645940014627"/>
    <n v="6.6559657570893528E-3"/>
    <n v="320"/>
    <n v="0.23408924652523774"/>
    <n v="2.2828607098270021E-3"/>
    <n v="100"/>
    <n v="7.3152889539136789E-2"/>
    <n v="7.1339397182093806E-4"/>
    <n v="1"/>
    <n v="7.3152889539136799E-4"/>
    <n v="7.1339397182093813E-6"/>
    <n v="0"/>
    <n v="0"/>
    <n v="0"/>
    <b v="1"/>
    <b v="0"/>
    <b v="0"/>
    <b v="0"/>
    <b v="1"/>
    <b v="0"/>
    <b v="0"/>
    <b v="0"/>
    <b v="0"/>
    <b v="0"/>
    <b v="0"/>
    <b v="0"/>
    <b v="0"/>
  </r>
  <r>
    <s v="hukkelas/DeepPrivacy"/>
    <s v="hukkelas"/>
    <s v="DeepPrivacy"/>
    <s v="https://github.com/hukkelas/DeepPrivacy"/>
    <d v="2019-09-03T15:08:27"/>
    <d v="2021-04-04T14:43:09"/>
    <n v="578.9824305555594"/>
    <b v="0"/>
    <b v="0"/>
    <n v="989"/>
    <n v="29"/>
    <n v="155"/>
    <n v="0"/>
    <n v="0"/>
    <n v="6"/>
    <n v="8"/>
    <n v="0"/>
    <n v="32"/>
    <n v="2"/>
    <x v="5"/>
    <n v="5089"/>
    <n v="22"/>
    <n v="4.323049715071723E-3"/>
    <n v="1"/>
    <n v="4.5454545454545456E-2"/>
    <n v="1.9650225977598743E-4"/>
    <n v="17"/>
    <n v="0.77272727272727271"/>
    <n v="3.340538416191786E-3"/>
    <n v="4"/>
    <n v="0.18181818181818182"/>
    <n v="7.8600903910394974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huseinzol05/Gather-Deployment"/>
    <s v="huseinzol05"/>
    <s v="Gather-Deployment"/>
    <s v="https://github.com/huseinzol05/Gather-Deployment"/>
    <d v="2018-10-23T12:19:48"/>
    <d v="2021-04-07T09:48:47"/>
    <n v="896.89512731481955"/>
    <b v="0"/>
    <b v="0"/>
    <n v="332"/>
    <n v="28"/>
    <n v="91"/>
    <n v="0"/>
    <n v="0"/>
    <n v="0"/>
    <n v="0"/>
    <n v="0"/>
    <n v="4"/>
    <n v="0"/>
    <x v="5"/>
    <n v="14310"/>
    <n v="13"/>
    <n v="9.0845562543675747E-4"/>
    <n v="0"/>
    <n v="0"/>
    <n v="0"/>
    <n v="10"/>
    <n v="0.76923076923076927"/>
    <n v="6.9881201956673651E-4"/>
    <n v="0"/>
    <n v="0"/>
    <n v="0"/>
    <n v="3"/>
    <n v="0.23076923076923078"/>
    <n v="2.0964360587002095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HydraChain/hydrachain"/>
    <s v="HydraChain"/>
    <s v="hydrachain"/>
    <s v="https://github.com/HydraChain/hydrachain"/>
    <d v="2015-08-30T13:52:43"/>
    <d v="2021-04-04T15:45:21"/>
    <n v="2044.0782175925924"/>
    <b v="0"/>
    <b v="1"/>
    <n v="350"/>
    <n v="54"/>
    <n v="104"/>
    <n v="0"/>
    <n v="3"/>
    <n v="11"/>
    <n v="32"/>
    <n v="6"/>
    <n v="55"/>
    <n v="31"/>
    <x v="5"/>
    <n v="4779"/>
    <n v="94"/>
    <n v="1.9669386901025321E-2"/>
    <n v="76"/>
    <n v="0.80851063829787229"/>
    <n v="1.5902908558275791E-2"/>
    <n v="4"/>
    <n v="4.2553191489361701E-2"/>
    <n v="8.3699518727767318E-4"/>
    <n v="11"/>
    <n v="0.11702127659574468"/>
    <n v="2.3017367650136011E-3"/>
    <n v="2"/>
    <n v="2.1276595744680851E-2"/>
    <n v="4.1849759363883659E-4"/>
    <n v="0"/>
    <n v="0"/>
    <n v="0"/>
    <n v="1"/>
    <n v="1.0638297872340425E-2"/>
    <n v="2.0924879681941829E-4"/>
    <b v="1"/>
    <b v="1"/>
    <b v="0"/>
    <b v="0"/>
    <b v="1"/>
    <b v="0"/>
    <b v="0"/>
    <b v="0"/>
    <b v="0"/>
    <b v="0"/>
    <b v="0"/>
    <b v="0"/>
    <b v="0"/>
  </r>
  <r>
    <s v="hyperledger/cello"/>
    <s v="hyperledger"/>
    <s v="cello"/>
    <s v="https://github.com/hyperledger/cello"/>
    <d v="2017-01-11T06:47:08"/>
    <d v="2021-04-07T21:45:03"/>
    <n v="1547.6235532407445"/>
    <b v="0"/>
    <b v="1"/>
    <n v="719"/>
    <n v="80"/>
    <n v="364"/>
    <n v="0"/>
    <n v="5"/>
    <n v="46"/>
    <n v="151"/>
    <n v="0"/>
    <n v="88"/>
    <n v="31"/>
    <x v="4"/>
    <n v="8000"/>
    <n v="24"/>
    <n v="3.0000000000000001E-3"/>
    <n v="2"/>
    <n v="8.3333333333333329E-2"/>
    <n v="2.5000000000000001E-4"/>
    <n v="3"/>
    <n v="0.125"/>
    <n v="3.7500000000000001E-4"/>
    <n v="0"/>
    <n v="0"/>
    <n v="0"/>
    <n v="19"/>
    <n v="0.79166666666666663"/>
    <n v="2.3749999999999999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hyperledger/indy-node"/>
    <s v="hyperledger"/>
    <s v="indy-node"/>
    <s v="https://github.com/hyperledger/indy-node"/>
    <d v="2016-12-21T05:45:04"/>
    <d v="2021-04-07T21:21:48"/>
    <n v="1568.6505092592633"/>
    <b v="0"/>
    <b v="1"/>
    <n v="531"/>
    <n v="67"/>
    <n v="472"/>
    <n v="24"/>
    <n v="6"/>
    <n v="71"/>
    <n v="1643"/>
    <n v="15"/>
    <n v="33"/>
    <n v="28"/>
    <x v="4"/>
    <n v="28763"/>
    <n v="329"/>
    <n v="1.1438306157215868E-2"/>
    <n v="65"/>
    <n v="0.19756838905775076"/>
    <n v="2.2598477210304907E-3"/>
    <n v="143"/>
    <n v="0.43465045592705165"/>
    <n v="4.9716649862670791E-3"/>
    <n v="28"/>
    <n v="8.5106382978723402E-2"/>
    <n v="9.7347286444390358E-4"/>
    <n v="77"/>
    <n v="0.23404255319148937"/>
    <n v="2.6770503772207349E-3"/>
    <n v="0"/>
    <n v="0"/>
    <n v="0"/>
    <n v="16"/>
    <n v="4.8632218844984802E-2"/>
    <n v="5.562702082536592E-4"/>
    <b v="1"/>
    <b v="0"/>
    <b v="0"/>
    <b v="0"/>
    <b v="1"/>
    <b v="0"/>
    <b v="0"/>
    <b v="0"/>
    <b v="0"/>
    <b v="0"/>
    <b v="0"/>
    <b v="0"/>
    <b v="0"/>
  </r>
  <r>
    <s v="hyperledger/sawtooth-core"/>
    <s v="hyperledger"/>
    <s v="sawtooth-core"/>
    <s v="https://github.com/hyperledger/sawtooth-core"/>
    <d v="2016-05-02T15:51:53"/>
    <d v="2021-04-08T15:31:28"/>
    <n v="1801.9858217592628"/>
    <b v="0"/>
    <b v="1"/>
    <n v="1316"/>
    <n v="148"/>
    <n v="670"/>
    <n v="0"/>
    <n v="21"/>
    <n v="76"/>
    <n v="2364"/>
    <n v="13"/>
    <n v="7"/>
    <n v="5"/>
    <x v="4"/>
    <n v="19623"/>
    <n v="345"/>
    <n v="1.7581409570402079E-2"/>
    <n v="190"/>
    <n v="0.55072463768115942"/>
    <n v="9.6825154155837541E-3"/>
    <n v="49"/>
    <n v="0.14202898550724638"/>
    <n v="2.4970697650715996E-3"/>
    <n v="45"/>
    <n v="0.13043478260869565"/>
    <n v="2.2932273352698363E-3"/>
    <n v="30"/>
    <n v="8.6956521739130432E-2"/>
    <n v="1.5288182235132244E-3"/>
    <n v="0"/>
    <n v="0"/>
    <n v="0"/>
    <n v="31"/>
    <n v="8.9855072463768115E-2"/>
    <n v="1.5797788309636651E-3"/>
    <b v="1"/>
    <b v="1"/>
    <b v="0"/>
    <b v="0"/>
    <b v="1"/>
    <b v="0"/>
    <b v="0"/>
    <b v="0"/>
    <b v="0"/>
    <b v="0"/>
    <b v="0"/>
    <b v="0"/>
    <b v="0"/>
  </r>
  <r>
    <s v="hypothesis/h"/>
    <s v="hypothesis"/>
    <s v="h"/>
    <s v="https://github.com/hypothesis/h"/>
    <d v="2012-04-02T19:56:59"/>
    <d v="2021-04-08T20:17:07"/>
    <n v="3293.0139814814829"/>
    <b v="0"/>
    <b v="1"/>
    <n v="2104"/>
    <n v="112"/>
    <n v="351"/>
    <n v="85"/>
    <n v="952"/>
    <n v="64"/>
    <n v="4186"/>
    <n v="4"/>
    <n v="2384"/>
    <n v="139"/>
    <x v="8"/>
    <n v="34790"/>
    <n v="76"/>
    <n v="2.1845357861454439E-3"/>
    <n v="4"/>
    <n v="5.2631578947368418E-2"/>
    <n v="1.1497556769186548E-4"/>
    <n v="43"/>
    <n v="0.56578947368421051"/>
    <n v="1.2359873526875539E-3"/>
    <n v="21"/>
    <n v="0.27631578947368424"/>
    <n v="6.0362173038229375E-4"/>
    <n v="2"/>
    <n v="2.6315789473684209E-2"/>
    <n v="5.7487783845932742E-5"/>
    <n v="4"/>
    <n v="5.2631578947368418E-2"/>
    <n v="1.1497556769186548E-4"/>
    <n v="2"/>
    <n v="2.6315789473684209E-2"/>
    <n v="5.7487783845932742E-5"/>
    <b v="1"/>
    <b v="1"/>
    <b v="0"/>
    <b v="0"/>
    <b v="1"/>
    <b v="0"/>
    <b v="0"/>
    <b v="0"/>
    <b v="0"/>
    <b v="0"/>
    <b v="0"/>
    <b v="0"/>
    <b v="0"/>
  </r>
  <r>
    <s v="hzwer/arXiv2020-RIFE"/>
    <s v="hzwer"/>
    <s v="arXiv2020-RIFE"/>
    <s v="https://github.com/hzwer/arXiv2020-RIFE"/>
    <d v="2020-11-12T05:46:23"/>
    <d v="2021-04-08T18:02:42"/>
    <n v="147.51133101851883"/>
    <b v="0"/>
    <b v="0"/>
    <n v="1589"/>
    <n v="47"/>
    <n v="151"/>
    <n v="0"/>
    <n v="0"/>
    <n v="12"/>
    <n v="21"/>
    <n v="0"/>
    <n v="117"/>
    <n v="26"/>
    <x v="5"/>
    <n v="2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hzy46/Deep-Learning-21-Examples"/>
    <s v="hzy46"/>
    <s v="Deep-Learning-21-Examples"/>
    <s v="https://github.com/hzy46/Deep-Learning-21-Examples"/>
    <d v="2018-01-01T11:07:50"/>
    <d v="2021-04-08T08:38:51"/>
    <n v="1192.896539351852"/>
    <b v="0"/>
    <b v="0"/>
    <n v="4139"/>
    <n v="168"/>
    <n v="1662"/>
    <n v="0"/>
    <n v="1"/>
    <n v="0"/>
    <n v="2"/>
    <n v="1"/>
    <n v="88"/>
    <n v="43"/>
    <x v="1"/>
    <n v="45738"/>
    <n v="100"/>
    <n v="2.1863658227294592E-3"/>
    <n v="2"/>
    <n v="0.02"/>
    <n v="4.372731645458918E-5"/>
    <n v="90"/>
    <n v="0.9"/>
    <n v="1.9677292404565133E-3"/>
    <n v="7"/>
    <n v="7.0000000000000007E-2"/>
    <n v="1.5304560759106213E-4"/>
    <n v="1"/>
    <n v="0.01"/>
    <n v="2.186365822729459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anmiell/shutit"/>
    <s v="ianmiell"/>
    <s v="shutit"/>
    <s v="https://github.com/ianmiell/shutit"/>
    <d v="2014-03-25T12:40:53"/>
    <d v="2021-03-26T23:02:39"/>
    <n v="2558.4317824074096"/>
    <b v="0"/>
    <b v="0"/>
    <n v="2064"/>
    <n v="69"/>
    <n v="111"/>
    <n v="0"/>
    <n v="31"/>
    <n v="18"/>
    <n v="90"/>
    <n v="2"/>
    <n v="242"/>
    <n v="9"/>
    <x v="5"/>
    <n v="7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BM/MAX-Image-Resolution-Enhancer"/>
    <s v="IBM"/>
    <s v="MAX-Image-Resolution-Enhancer"/>
    <s v="https://github.com/IBM/MAX-Image-Resolution-Enhancer"/>
    <d v="2019-03-19T16:51:25"/>
    <d v="2021-04-08T13:38:50"/>
    <n v="750.86626157407591"/>
    <b v="0"/>
    <b v="1"/>
    <n v="379"/>
    <n v="37"/>
    <n v="58"/>
    <n v="3"/>
    <n v="0"/>
    <n v="9"/>
    <n v="35"/>
    <n v="4"/>
    <n v="9"/>
    <n v="1"/>
    <x v="4"/>
    <n v="703"/>
    <n v="6"/>
    <n v="8.5348506401137988E-3"/>
    <n v="0"/>
    <n v="0"/>
    <n v="0"/>
    <n v="5"/>
    <n v="0.83333333333333337"/>
    <n v="7.1123755334281651E-3"/>
    <n v="0"/>
    <n v="0"/>
    <n v="0"/>
    <n v="1"/>
    <n v="0.16666666666666666"/>
    <n v="1.422475106685633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cloud-photos-downloader/icloud_photos_downloader"/>
    <s v="icloud-photos-downloader"/>
    <s v="icloud_photos_downloader"/>
    <s v="https://github.com/icloud-photos-downloader/icloud_photos_downloader"/>
    <d v="2016-05-13T21:47:30"/>
    <d v="2021-04-09T00:35:14"/>
    <n v="1791.1164814814838"/>
    <b v="0"/>
    <b v="1"/>
    <n v="1794"/>
    <n v="75"/>
    <n v="242"/>
    <n v="5"/>
    <n v="5"/>
    <n v="22"/>
    <n v="130"/>
    <n v="8"/>
    <n v="190"/>
    <n v="34"/>
    <x v="5"/>
    <n v="1628"/>
    <n v="18"/>
    <n v="1.1056511056511056E-2"/>
    <n v="6"/>
    <n v="0.33333333333333331"/>
    <n v="3.6855036855036856E-3"/>
    <n v="8"/>
    <n v="0.44444444444444442"/>
    <n v="4.9140049140049139E-3"/>
    <n v="0"/>
    <n v="0"/>
    <n v="0"/>
    <n v="4"/>
    <n v="0.22222222222222221"/>
    <n v="2.457002457002456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CLRandD/Blackstone"/>
    <s v="ICLRandD"/>
    <s v="Blackstone"/>
    <s v="https://github.com/ICLRandD/Blackstone"/>
    <d v="2019-03-25T11:18:33"/>
    <d v="2021-04-06T18:50:43"/>
    <n v="743.31400462962483"/>
    <b v="0"/>
    <b v="0"/>
    <n v="470"/>
    <n v="36"/>
    <n v="65"/>
    <n v="0"/>
    <n v="1"/>
    <n v="5"/>
    <n v="12"/>
    <n v="3"/>
    <n v="16"/>
    <n v="8"/>
    <x v="4"/>
    <n v="1041"/>
    <n v="5"/>
    <n v="4.8030739673390974E-3"/>
    <n v="0"/>
    <n v="0"/>
    <n v="0"/>
    <n v="3"/>
    <n v="0.6"/>
    <n v="2.881844380403458E-3"/>
    <n v="0"/>
    <n v="0"/>
    <n v="0"/>
    <n v="2"/>
    <n v="0.4"/>
    <n v="1.921229586935638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copy-site/awesome-cn"/>
    <s v="icopy-site"/>
    <s v="awesome-cn"/>
    <s v="https://github.com/icopy-site/awesome-cn"/>
    <d v="2019-02-13T04:47:54"/>
    <d v="2021-04-09T00:12:32"/>
    <n v="785.80877314814279"/>
    <b v="0"/>
    <b v="1"/>
    <n v="484"/>
    <n v="21"/>
    <n v="84"/>
    <n v="0"/>
    <n v="0"/>
    <n v="0"/>
    <n v="1"/>
    <n v="1"/>
    <n v="3"/>
    <n v="3"/>
    <x v="4"/>
    <n v="153"/>
    <n v="3"/>
    <n v="1.9607843137254902E-2"/>
    <n v="1"/>
    <n v="0.33333333333333331"/>
    <n v="6.5359477124183009E-3"/>
    <n v="0"/>
    <n v="0"/>
    <n v="0"/>
    <n v="2"/>
    <n v="0.66666666666666663"/>
    <n v="1.3071895424836602E-2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dank/explainshell"/>
    <s v="idank"/>
    <s v="explainshell"/>
    <s v="https://github.com/idank/explainshell"/>
    <d v="2013-08-30T11:20:11"/>
    <d v="2021-04-08T21:36:14"/>
    <n v="2778.4278125000055"/>
    <b v="0"/>
    <b v="0"/>
    <n v="9174"/>
    <n v="195"/>
    <n v="558"/>
    <n v="0"/>
    <n v="0"/>
    <n v="15"/>
    <n v="37"/>
    <n v="11"/>
    <n v="237"/>
    <n v="114"/>
    <x v="0"/>
    <n v="2494"/>
    <n v="68"/>
    <n v="2.7265437048917401E-2"/>
    <n v="5"/>
    <n v="7.3529411764705885E-2"/>
    <n v="2.0048115477145148E-3"/>
    <n v="49"/>
    <n v="0.72058823529411764"/>
    <n v="1.9647153167602245E-2"/>
    <n v="5"/>
    <n v="7.3529411764705885E-2"/>
    <n v="2.0048115477145148E-3"/>
    <n v="9"/>
    <n v="0.13235294117647059"/>
    <n v="3.6086607858861267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IDSIA/sacred"/>
    <s v="IDSIA"/>
    <s v="sacred"/>
    <s v="https://github.com/IDSIA/sacred"/>
    <d v="2014-03-31T18:05:29"/>
    <d v="2021-04-08T20:26:46"/>
    <n v="2565.09811342592"/>
    <b v="0"/>
    <b v="1"/>
    <n v="3403"/>
    <n v="87"/>
    <n v="311"/>
    <n v="10"/>
    <n v="3"/>
    <n v="81"/>
    <n v="324"/>
    <n v="5"/>
    <n v="490"/>
    <n v="87"/>
    <x v="5"/>
    <n v="9982"/>
    <n v="45"/>
    <n v="4.5081146062913241E-3"/>
    <n v="8"/>
    <n v="0.17777777777777778"/>
    <n v="8.0144259667401323E-4"/>
    <n v="11"/>
    <n v="0.24444444444444444"/>
    <n v="1.1019835704267683E-3"/>
    <n v="24"/>
    <n v="0.53333333333333333"/>
    <n v="2.4043277900220395E-3"/>
    <n v="2"/>
    <n v="4.4444444444444446E-2"/>
    <n v="2.0036064916850331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ifzhang/FairMOT"/>
    <s v="ifzhang"/>
    <s v="FairMOT"/>
    <s v="https://github.com/ifzhang/FairMOT"/>
    <d v="2020-04-04T07:48:48"/>
    <d v="2021-04-09T04:04:48"/>
    <n v="369.84444444443943"/>
    <b v="0"/>
    <b v="0"/>
    <n v="2498"/>
    <n v="81"/>
    <n v="563"/>
    <n v="0"/>
    <n v="3"/>
    <n v="8"/>
    <n v="26"/>
    <n v="7"/>
    <n v="342"/>
    <n v="208"/>
    <x v="5"/>
    <n v="5780"/>
    <n v="27"/>
    <n v="4.6712802768166086E-3"/>
    <n v="5"/>
    <n v="0.18518518518518517"/>
    <n v="8.6505190311418688E-4"/>
    <n v="18"/>
    <n v="0.66666666666666663"/>
    <n v="3.1141868512110727E-3"/>
    <n v="0"/>
    <n v="0"/>
    <n v="0"/>
    <n v="4"/>
    <n v="0.14814814814814814"/>
    <n v="6.920415224913494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lius/pyglossary"/>
    <s v="ilius"/>
    <s v="pyglossary"/>
    <s v="https://github.com/ilius/pyglossary"/>
    <d v="2011-01-23T10:24:30"/>
    <d v="2021-04-09T02:39:08"/>
    <n v="3728.6768287037048"/>
    <b v="0"/>
    <b v="0"/>
    <n v="1268"/>
    <n v="61"/>
    <n v="159"/>
    <n v="10"/>
    <n v="43"/>
    <n v="16"/>
    <n v="45"/>
    <n v="0"/>
    <n v="263"/>
    <n v="8"/>
    <x v="7"/>
    <n v="18827"/>
    <n v="454"/>
    <n v="2.4114303925213788E-2"/>
    <n v="93"/>
    <n v="0.20484581497797358"/>
    <n v="4.9397142401869654E-3"/>
    <n v="90"/>
    <n v="0.19823788546255505"/>
    <n v="4.7803686195357735E-3"/>
    <n v="79"/>
    <n v="0.17400881057268722"/>
    <n v="4.1961013438147343E-3"/>
    <n v="155"/>
    <n v="0.34140969162995594"/>
    <n v="8.232857066978275E-3"/>
    <n v="10"/>
    <n v="2.2026431718061675E-2"/>
    <n v="5.3115206883730815E-4"/>
    <n v="27"/>
    <n v="5.9471365638766517E-2"/>
    <n v="1.4341105858607318E-3"/>
    <b v="1"/>
    <b v="0"/>
    <b v="0"/>
    <b v="0"/>
    <b v="1"/>
    <b v="0"/>
    <b v="0"/>
    <b v="0"/>
    <b v="0"/>
    <b v="0"/>
    <b v="0"/>
    <b v="0"/>
    <b v="0"/>
  </r>
  <r>
    <s v="implus/GFocal"/>
    <s v="implus"/>
    <s v="GFocal"/>
    <s v="https://github.com/implus/GFocal"/>
    <d v="2020-03-05T11:30:59"/>
    <d v="2021-04-06T02:46:31"/>
    <n v="396.63578703704115"/>
    <b v="0"/>
    <b v="0"/>
    <n v="388"/>
    <n v="11"/>
    <n v="46"/>
    <n v="0"/>
    <n v="0"/>
    <n v="0"/>
    <n v="0"/>
    <n v="0"/>
    <n v="23"/>
    <n v="12"/>
    <x v="4"/>
    <n v="15599"/>
    <n v="14"/>
    <n v="8.9749342906596578E-4"/>
    <n v="5"/>
    <n v="0.35714285714285715"/>
    <n v="3.2053336752355918E-4"/>
    <n v="5"/>
    <n v="0.35714285714285715"/>
    <n v="3.2053336752355918E-4"/>
    <n v="4"/>
    <n v="0.2857142857142857"/>
    <n v="2.5642669401884736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mWildCat/scylla"/>
    <s v="imWildCat"/>
    <s v="scylla"/>
    <s v="https://github.com/imWildCat/scylla"/>
    <d v="2018-04-10T09:55:11"/>
    <d v="2021-04-07T20:24:58"/>
    <n v="1093.4373495370382"/>
    <b v="0"/>
    <b v="0"/>
    <n v="3194"/>
    <n v="86"/>
    <n v="392"/>
    <n v="7"/>
    <n v="1"/>
    <n v="10"/>
    <n v="55"/>
    <n v="8"/>
    <n v="83"/>
    <n v="36"/>
    <x v="4"/>
    <n v="1601"/>
    <n v="28"/>
    <n v="1.7489069331667707E-2"/>
    <n v="14"/>
    <n v="0.5"/>
    <n v="8.7445346658338533E-3"/>
    <n v="12"/>
    <n v="0.42857142857142855"/>
    <n v="7.4953154278575894E-3"/>
    <n v="1"/>
    <n v="3.5714285714285712E-2"/>
    <n v="6.2460961898813238E-4"/>
    <n v="1"/>
    <n v="3.5714285714285712E-2"/>
    <n v="6.246096189881323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nsanum/sncli"/>
    <s v="insanum"/>
    <s v="sncli"/>
    <s v="https://github.com/insanum/sncli"/>
    <d v="2014-07-14T05:58:57"/>
    <d v="2021-04-07T17:15:11"/>
    <n v="2459.4696064814852"/>
    <b v="0"/>
    <b v="0"/>
    <n v="327"/>
    <n v="18"/>
    <n v="27"/>
    <n v="3"/>
    <n v="2"/>
    <n v="13"/>
    <n v="27"/>
    <n v="3"/>
    <n v="79"/>
    <n v="21"/>
    <x v="5"/>
    <n v="2234"/>
    <n v="9"/>
    <n v="4.0286481647269475E-3"/>
    <n v="9"/>
    <n v="1"/>
    <n v="4.0286481647269475E-3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ntelAI/nauta"/>
    <s v="IntelAI"/>
    <s v="nauta"/>
    <s v="https://github.com/IntelAI/nauta"/>
    <d v="2019-01-09T20:58:33"/>
    <d v="2021-03-08T13:23:17"/>
    <n v="788.68384259259619"/>
    <b v="0"/>
    <b v="1"/>
    <n v="396"/>
    <n v="38"/>
    <n v="62"/>
    <n v="4"/>
    <n v="0"/>
    <n v="22"/>
    <n v="25"/>
    <n v="8"/>
    <n v="34"/>
    <n v="13"/>
    <x v="4"/>
    <n v="18444"/>
    <n v="311"/>
    <n v="1.6861852092821514E-2"/>
    <n v="111"/>
    <n v="0.35691318327974275"/>
    <n v="6.0182173064411192E-3"/>
    <n v="37"/>
    <n v="0.11897106109324759"/>
    <n v="2.0060724354803729E-3"/>
    <n v="12"/>
    <n v="3.8585209003215437E-2"/>
    <n v="6.5061808718282373E-4"/>
    <n v="18"/>
    <n v="5.7877813504823149E-2"/>
    <n v="9.7592713077423554E-4"/>
    <n v="1"/>
    <n v="3.2154340836012861E-3"/>
    <n v="5.4218173931901971E-5"/>
    <n v="132"/>
    <n v="0.42443729903536975"/>
    <n v="7.1567989590110605E-3"/>
    <b v="1"/>
    <b v="0"/>
    <b v="0"/>
    <b v="0"/>
    <b v="1"/>
    <b v="0"/>
    <b v="0"/>
    <b v="0"/>
    <b v="0"/>
    <b v="0"/>
    <b v="0"/>
    <b v="0"/>
    <b v="0"/>
  </r>
  <r>
    <s v="IntelLabs/coach"/>
    <s v="IntelLabs"/>
    <s v="coach"/>
    <s v="https://github.com/IntelLabs/coach"/>
    <d v="2017-10-01T19:27:43"/>
    <d v="2021-04-09T04:03:54"/>
    <n v="1285.3584606481454"/>
    <b v="0"/>
    <b v="1"/>
    <n v="1953"/>
    <n v="131"/>
    <n v="378"/>
    <n v="9"/>
    <n v="1"/>
    <n v="31"/>
    <n v="217"/>
    <n v="8"/>
    <n v="259"/>
    <n v="76"/>
    <x v="4"/>
    <n v="22551"/>
    <n v="74"/>
    <n v="3.2814509334397586E-3"/>
    <n v="0"/>
    <n v="0"/>
    <n v="0"/>
    <n v="0"/>
    <n v="0"/>
    <n v="0"/>
    <n v="20"/>
    <n v="0.27027027027027029"/>
    <n v="8.868786306593943E-4"/>
    <n v="54"/>
    <n v="0.72972972972972971"/>
    <n v="2.394572302780364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ntelLabs/nlp-architect"/>
    <s v="IntelLabs"/>
    <s v="nlp-architect"/>
    <s v="https://github.com/IntelLabs/nlp-architect"/>
    <d v="2018-05-17T21:00:13"/>
    <d v="2021-04-08T10:16:34"/>
    <n v="1056.5530208333366"/>
    <b v="0"/>
    <b v="1"/>
    <n v="2629"/>
    <n v="168"/>
    <n v="393"/>
    <n v="13"/>
    <n v="0"/>
    <n v="31"/>
    <n v="98"/>
    <n v="10"/>
    <n v="120"/>
    <n v="15"/>
    <x v="4"/>
    <n v="21839"/>
    <n v="280"/>
    <n v="1.2821099867210037E-2"/>
    <n v="1"/>
    <n v="3.5714285714285713E-3"/>
    <n v="4.5789642382892991E-5"/>
    <n v="231"/>
    <n v="0.82499999999999996"/>
    <n v="1.057740739044828E-2"/>
    <n v="8"/>
    <n v="2.8571428571428571E-2"/>
    <n v="3.6631713906314393E-4"/>
    <n v="40"/>
    <n v="0.14285714285714285"/>
    <n v="1.831585695315719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ntelowlproject/IntelOwl"/>
    <s v="intelowlproject"/>
    <s v="IntelOwl"/>
    <s v="https://github.com/intelowlproject/IntelOwl"/>
    <d v="2019-12-31T15:18:52"/>
    <d v="2021-04-08T20:26:13"/>
    <n v="464.21343750000233"/>
    <b v="0"/>
    <b v="1"/>
    <n v="1776"/>
    <n v="75"/>
    <n v="184"/>
    <n v="24"/>
    <n v="2"/>
    <n v="21"/>
    <n v="260"/>
    <n v="2"/>
    <n v="134"/>
    <n v="28"/>
    <x v="11"/>
    <n v="5636"/>
    <n v="143"/>
    <n v="2.5372604684173173E-2"/>
    <n v="9"/>
    <n v="6.2937062937062943E-2"/>
    <n v="1.5968772178850249E-3"/>
    <n v="87"/>
    <n v="0.60839160839160844"/>
    <n v="1.5436479772888574E-2"/>
    <n v="13"/>
    <n v="9.0909090909090912E-2"/>
    <n v="2.3066004258339248E-3"/>
    <n v="16"/>
    <n v="0.11188811188811189"/>
    <n v="2.8388928317955998E-3"/>
    <n v="0"/>
    <n v="0"/>
    <n v="0"/>
    <n v="18"/>
    <n v="0.12587412587412589"/>
    <n v="3.1937544357700499E-3"/>
    <b v="1"/>
    <b v="0"/>
    <b v="0"/>
    <b v="0"/>
    <b v="1"/>
    <b v="0"/>
    <b v="0"/>
    <b v="0"/>
    <b v="0"/>
    <b v="0"/>
    <b v="0"/>
    <b v="0"/>
    <b v="0"/>
  </r>
  <r>
    <s v="internetarchive/openlibrary"/>
    <s v="internetarchive"/>
    <s v="openlibrary"/>
    <s v="https://github.com/internetarchive/openlibrary"/>
    <d v="2008-10-30T05:20:14"/>
    <d v="2021-04-08T22:12:57"/>
    <n v="4543.7032754629618"/>
    <b v="0"/>
    <b v="1"/>
    <n v="2781"/>
    <n v="139"/>
    <n v="646"/>
    <n v="50"/>
    <n v="114"/>
    <n v="160"/>
    <n v="2702"/>
    <n v="76"/>
    <n v="2281"/>
    <n v="566"/>
    <x v="11"/>
    <n v="40717"/>
    <n v="277"/>
    <n v="6.8030552349141633E-3"/>
    <n v="41"/>
    <n v="0.14801444043321299"/>
    <n v="1.0069504138320604E-3"/>
    <n v="127"/>
    <n v="0.4584837545126354"/>
    <n v="3.1190903062602842E-3"/>
    <n v="25"/>
    <n v="9.0252707581227443E-2"/>
    <n v="6.1399415477564649E-4"/>
    <n v="53"/>
    <n v="0.19133574007220217"/>
    <n v="1.3016676081243706E-3"/>
    <n v="3"/>
    <n v="1.0830324909747292E-2"/>
    <n v="7.3679298573077582E-5"/>
    <n v="28"/>
    <n v="0.10108303249097472"/>
    <n v="6.8767345334872409E-4"/>
    <b v="1"/>
    <b v="1"/>
    <b v="0"/>
    <b v="0"/>
    <b v="1"/>
    <b v="0"/>
    <b v="0"/>
    <b v="0"/>
    <b v="0"/>
    <b v="0"/>
    <b v="0"/>
    <b v="0"/>
    <b v="0"/>
  </r>
  <r>
    <s v="istresearch/scrapy-cluster"/>
    <s v="istresearch"/>
    <s v="scrapy-cluster"/>
    <s v="https://github.com/istresearch/scrapy-cluster"/>
    <d v="2015-04-14T21:12:04"/>
    <d v="2021-04-08T22:36:07"/>
    <n v="2186.0583680555574"/>
    <b v="0"/>
    <b v="1"/>
    <n v="935"/>
    <n v="103"/>
    <n v="275"/>
    <n v="5"/>
    <n v="5"/>
    <n v="25"/>
    <n v="99"/>
    <n v="3"/>
    <n v="155"/>
    <n v="8"/>
    <x v="5"/>
    <n v="7956"/>
    <n v="309"/>
    <n v="3.8838612368024134E-2"/>
    <n v="137"/>
    <n v="0.44336569579288027"/>
    <n v="1.7219708396178986E-2"/>
    <n v="72"/>
    <n v="0.23300970873786409"/>
    <n v="9.0497737556561094E-3"/>
    <n v="38"/>
    <n v="0.12297734627831715"/>
    <n v="4.7762694821518355E-3"/>
    <n v="58"/>
    <n v="0.18770226537216828"/>
    <n v="7.2900955253896432E-3"/>
    <n v="4"/>
    <n v="1.2944983818770227E-2"/>
    <n v="5.0276520864756154E-4"/>
    <n v="0"/>
    <n v="0"/>
    <n v="0"/>
    <b v="0"/>
    <b v="1"/>
    <b v="0"/>
    <b v="0"/>
    <b v="1"/>
    <b v="0"/>
    <b v="0"/>
    <b v="0"/>
    <b v="0"/>
    <b v="0"/>
    <b v="0"/>
    <b v="0"/>
    <b v="0"/>
  </r>
  <r>
    <s v="italomaia/flask-empty"/>
    <s v="italomaia"/>
    <s v="flask-empty"/>
    <s v="https://github.com/italomaia/flask-empty"/>
    <d v="2011-10-26T03:31:18"/>
    <d v="2021-04-03T14:02:30"/>
    <n v="3447.4383333333317"/>
    <b v="0"/>
    <b v="0"/>
    <n v="574"/>
    <n v="14"/>
    <n v="77"/>
    <n v="1"/>
    <n v="1"/>
    <n v="12"/>
    <n v="23"/>
    <n v="0"/>
    <n v="19"/>
    <n v="5"/>
    <x v="1"/>
    <n v="863"/>
    <n v="8"/>
    <n v="9.2699884125144842E-3"/>
    <n v="0"/>
    <n v="0"/>
    <n v="0"/>
    <n v="5"/>
    <n v="0.625"/>
    <n v="5.7937427578215531E-3"/>
    <n v="1"/>
    <n v="0.125"/>
    <n v="1.1587485515643105E-3"/>
    <n v="2"/>
    <n v="0.25"/>
    <n v="2.317497103128621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iterative/dvc"/>
    <s v="iterative"/>
    <s v="dvc"/>
    <s v="https://github.com/iterative/dvc"/>
    <d v="2017-03-04T08:16:33"/>
    <d v="2021-04-09T04:12:19"/>
    <n v="1496.8303935185249"/>
    <b v="0"/>
    <b v="1"/>
    <n v="7672"/>
    <n v="124"/>
    <n v="709"/>
    <n v="324"/>
    <n v="35"/>
    <n v="208"/>
    <n v="2884"/>
    <n v="19"/>
    <n v="2841"/>
    <n v="540"/>
    <x v="4"/>
    <n v="37548"/>
    <n v="320"/>
    <n v="8.5224246298071793E-3"/>
    <n v="128"/>
    <n v="0.4"/>
    <n v="3.4089698519228721E-3"/>
    <n v="92"/>
    <n v="0.28749999999999998"/>
    <n v="2.4501970810695641E-3"/>
    <n v="35"/>
    <n v="0.109375"/>
    <n v="9.3214019388516034E-4"/>
    <n v="17"/>
    <n v="5.3124999999999999E-2"/>
    <n v="4.5275380845850643E-4"/>
    <n v="0"/>
    <n v="0"/>
    <n v="0"/>
    <n v="48"/>
    <n v="0.15"/>
    <n v="1.278363694471077E-3"/>
    <b v="0"/>
    <b v="1"/>
    <b v="0"/>
    <b v="0"/>
    <b v="1"/>
    <b v="0"/>
    <b v="0"/>
    <b v="0"/>
    <b v="0"/>
    <b v="0"/>
    <b v="0"/>
    <b v="0"/>
    <b v="0"/>
  </r>
  <r>
    <s v="its-a-feature/Mythic"/>
    <s v="its-a-feature"/>
    <s v="Mythic"/>
    <s v="https://github.com/its-a-feature/Mythic"/>
    <d v="2018-07-05T02:09:59"/>
    <d v="2021-04-08T05:17:45"/>
    <n v="1008.1303935185206"/>
    <b v="0"/>
    <b v="0"/>
    <n v="1052"/>
    <n v="41"/>
    <n v="162"/>
    <n v="0"/>
    <n v="1"/>
    <n v="12"/>
    <n v="18"/>
    <n v="4"/>
    <n v="50"/>
    <n v="7"/>
    <x v="7"/>
    <n v="29719"/>
    <n v="44"/>
    <n v="1.4805343383020963E-3"/>
    <n v="2"/>
    <n v="4.5454545454545456E-2"/>
    <n v="6.7297015377368015E-5"/>
    <n v="5"/>
    <n v="0.11363636363636363"/>
    <n v="1.6824253844342004E-4"/>
    <n v="0"/>
    <n v="0"/>
    <n v="0"/>
    <n v="5"/>
    <n v="0.11363636363636363"/>
    <n v="1.6824253844342004E-4"/>
    <n v="0"/>
    <n v="0"/>
    <n v="0"/>
    <n v="32"/>
    <n v="0.72727272727272729"/>
    <n v="1.0767522460378882E-3"/>
    <b v="1"/>
    <b v="1"/>
    <b v="0"/>
    <b v="0"/>
    <b v="1"/>
    <b v="0"/>
    <b v="0"/>
    <b v="0"/>
    <b v="0"/>
    <b v="0"/>
    <b v="0"/>
    <b v="0"/>
    <b v="0"/>
  </r>
  <r>
    <s v="izar/pytm"/>
    <s v="izar"/>
    <s v="pytm"/>
    <s v="https://github.com/izar/pytm"/>
    <d v="2018-05-14T23:16:07"/>
    <d v="2021-04-08T14:40:53"/>
    <n v="1059.6421990740782"/>
    <b v="0"/>
    <b v="0"/>
    <n v="372"/>
    <n v="26"/>
    <n v="74"/>
    <n v="2"/>
    <n v="24"/>
    <n v="14"/>
    <n v="102"/>
    <n v="9"/>
    <n v="53"/>
    <n v="20"/>
    <x v="7"/>
    <n v="2406"/>
    <n v="3"/>
    <n v="1.2468827930174563E-3"/>
    <n v="2"/>
    <n v="0.66666666666666663"/>
    <n v="8.3125519534497092E-4"/>
    <n v="0"/>
    <n v="0"/>
    <n v="0"/>
    <n v="0"/>
    <n v="0"/>
    <n v="0"/>
    <n v="1"/>
    <n v="0.33333333333333331"/>
    <n v="4.156275976724854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-bennet/wharfee"/>
    <s v="j-bennet"/>
    <s v="wharfee"/>
    <s v="https://github.com/j-bennet/wharfee"/>
    <d v="2015-04-16T18:53:35"/>
    <d v="2021-04-07T07:54:29"/>
    <n v="2182.5422916666721"/>
    <b v="0"/>
    <b v="0"/>
    <n v="645"/>
    <n v="31"/>
    <n v="35"/>
    <n v="0"/>
    <n v="1"/>
    <n v="13"/>
    <n v="38"/>
    <n v="1"/>
    <n v="125"/>
    <n v="21"/>
    <x v="2"/>
    <n v="3034"/>
    <n v="10"/>
    <n v="3.2959789057350032E-3"/>
    <n v="6"/>
    <n v="0.6"/>
    <n v="1.977587343441002E-3"/>
    <n v="0"/>
    <n v="0"/>
    <n v="0"/>
    <n v="1"/>
    <n v="0.1"/>
    <n v="3.295978905735003E-4"/>
    <n v="3"/>
    <n v="0.3"/>
    <n v="9.8879367172050102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3ssie/Osmedeus"/>
    <s v="j3ssie"/>
    <s v="Osmedeus"/>
    <s v="https://github.com/j3ssie/Osmedeus"/>
    <d v="2018-11-10T04:17:18"/>
    <d v="2021-04-08T06:48:05"/>
    <n v="880.10471064814919"/>
    <b v="0"/>
    <b v="0"/>
    <n v="3006"/>
    <n v="124"/>
    <n v="572"/>
    <n v="9"/>
    <n v="1"/>
    <n v="15"/>
    <n v="35"/>
    <n v="5"/>
    <n v="172"/>
    <n v="67"/>
    <x v="5"/>
    <n v="4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j96w/DenseFusion"/>
    <s v="j96w"/>
    <s v="DenseFusion"/>
    <s v="https://github.com/j96w/DenseFusion"/>
    <d v="2019-01-11T09:36:08"/>
    <d v="2021-04-02T07:14:20"/>
    <n v="811.90152777777985"/>
    <b v="0"/>
    <b v="0"/>
    <n v="728"/>
    <n v="26"/>
    <n v="218"/>
    <n v="0"/>
    <n v="1"/>
    <n v="4"/>
    <n v="11"/>
    <n v="2"/>
    <n v="183"/>
    <n v="39"/>
    <x v="5"/>
    <n v="2671"/>
    <n v="13"/>
    <n v="4.8670909771621118E-3"/>
    <n v="0"/>
    <n v="0"/>
    <n v="0"/>
    <n v="11"/>
    <n v="0.84615384615384615"/>
    <n v="4.1183077499064025E-3"/>
    <n v="2"/>
    <n v="0.15384615384615385"/>
    <n v="7.4878322725570952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achinlin/geektime_dl"/>
    <s v="jachinlin"/>
    <s v="geektime_dl"/>
    <s v="https://github.com/jachinlin/geektime_dl"/>
    <d v="2018-05-10T12:42:51"/>
    <d v="2021-04-02T06:52:39"/>
    <n v="1057.756805555553"/>
    <b v="0"/>
    <b v="0"/>
    <n v="1036"/>
    <n v="41"/>
    <n v="278"/>
    <n v="1"/>
    <n v="0"/>
    <n v="6"/>
    <n v="15"/>
    <n v="0"/>
    <n v="69"/>
    <n v="6"/>
    <x v="1"/>
    <n v="1519"/>
    <n v="2"/>
    <n v="1.3166556945358788E-3"/>
    <n v="0"/>
    <n v="0"/>
    <n v="0"/>
    <n v="1"/>
    <n v="0.5"/>
    <n v="6.583278472679394E-4"/>
    <n v="0"/>
    <n v="0"/>
    <n v="0"/>
    <n v="1"/>
    <n v="0.5"/>
    <n v="6.58327847267939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aegertracing/jaeger-client-python"/>
    <s v="jaegertracing"/>
    <s v="jaeger-client-python"/>
    <s v="https://github.com/jaegertracing/jaeger-client-python"/>
    <d v="2016-04-19T00:10:38"/>
    <d v="2021-04-03T00:09:32"/>
    <n v="1809.9992361111072"/>
    <b v="0"/>
    <b v="1"/>
    <n v="359"/>
    <n v="449"/>
    <n v="129"/>
    <n v="7"/>
    <n v="1"/>
    <n v="45"/>
    <n v="195"/>
    <n v="14"/>
    <n v="107"/>
    <n v="44"/>
    <x v="4"/>
    <n v="7528"/>
    <n v="41"/>
    <n v="5.446333687566419E-3"/>
    <n v="5"/>
    <n v="0.12195121951219512"/>
    <n v="6.6418703506907547E-4"/>
    <n v="17"/>
    <n v="0.41463414634146339"/>
    <n v="2.2582359192348566E-3"/>
    <n v="2"/>
    <n v="4.878048780487805E-2"/>
    <n v="2.6567481402763017E-4"/>
    <n v="15"/>
    <n v="0.36585365853658536"/>
    <n v="1.9925611052072265E-3"/>
    <n v="0"/>
    <n v="0"/>
    <n v="0"/>
    <n v="2"/>
    <n v="4.878048780487805E-2"/>
    <n v="2.6567481402763017E-4"/>
    <b v="1"/>
    <b v="1"/>
    <b v="0"/>
    <b v="0"/>
    <b v="1"/>
    <b v="0"/>
    <b v="0"/>
    <b v="0"/>
    <b v="0"/>
    <b v="0"/>
    <b v="0"/>
    <b v="0"/>
    <b v="0"/>
  </r>
  <r>
    <s v="JaidedAI/EasyOCR"/>
    <s v="JaidedAI"/>
    <s v="EasyOCR"/>
    <s v="https://github.com/JaidedAI/EasyOCR"/>
    <d v="2020-03-14T11:46:39"/>
    <d v="2021-04-09T02:20:53"/>
    <n v="390.60710648148233"/>
    <b v="0"/>
    <b v="1"/>
    <n v="11160"/>
    <n v="257"/>
    <n v="1186"/>
    <n v="11"/>
    <n v="5"/>
    <n v="66"/>
    <n v="119"/>
    <n v="0"/>
    <n v="295"/>
    <n v="115"/>
    <x v="4"/>
    <n v="1684"/>
    <n v="12"/>
    <n v="7.1258907363420431E-3"/>
    <n v="0"/>
    <n v="0"/>
    <n v="0"/>
    <n v="3"/>
    <n v="0.25"/>
    <n v="1.7814726840855108E-3"/>
    <n v="9"/>
    <n v="0.75"/>
    <n v="5.3444180522565317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amesob/tinychain"/>
    <s v="jamesob"/>
    <s v="tinychain"/>
    <s v="https://github.com/jamesob/tinychain"/>
    <d v="2017-08-05T13:20:54"/>
    <d v="2021-04-07T23:29:16"/>
    <n v="1341.4224768518543"/>
    <b v="0"/>
    <b v="0"/>
    <n v="1417"/>
    <n v="43"/>
    <n v="119"/>
    <n v="0"/>
    <n v="0"/>
    <n v="4"/>
    <n v="5"/>
    <n v="1"/>
    <n v="7"/>
    <n v="6"/>
    <x v="5"/>
    <n v="901"/>
    <n v="43"/>
    <n v="4.7724750277469481E-2"/>
    <n v="7"/>
    <n v="0.16279069767441862"/>
    <n v="7.7691453940066596E-3"/>
    <n v="29"/>
    <n v="0.67441860465116277"/>
    <n v="3.2186459489456157E-2"/>
    <n v="0"/>
    <n v="0"/>
    <n v="0"/>
    <n v="0"/>
    <n v="0"/>
    <n v="0"/>
    <n v="0"/>
    <n v="0"/>
    <n v="0"/>
    <n v="7"/>
    <n v="0.16279069767441862"/>
    <n v="7.7691453940066596E-3"/>
    <b v="1"/>
    <b v="1"/>
    <b v="0"/>
    <b v="0"/>
    <b v="1"/>
    <b v="0"/>
    <b v="0"/>
    <b v="0"/>
    <b v="0"/>
    <b v="0"/>
    <b v="0"/>
    <b v="0"/>
    <b v="0"/>
  </r>
  <r>
    <s v="jamesoff/simplemonitor"/>
    <s v="jamesoff"/>
    <s v="simplemonitor"/>
    <s v="https://github.com/jamesoff/simplemonitor"/>
    <d v="2013-07-30T12:27:25"/>
    <d v="2021-04-06T06:18:45"/>
    <n v="2806.7439814814861"/>
    <b v="0"/>
    <b v="0"/>
    <n v="333"/>
    <n v="33"/>
    <n v="143"/>
    <n v="7"/>
    <n v="0"/>
    <n v="35"/>
    <n v="576"/>
    <n v="10"/>
    <n v="132"/>
    <n v="15"/>
    <x v="2"/>
    <n v="5633"/>
    <n v="236"/>
    <n v="4.1895970175750044E-2"/>
    <n v="39"/>
    <n v="0.1652542372881356"/>
    <n v="6.92348659684005E-3"/>
    <n v="59"/>
    <n v="0.25"/>
    <n v="1.0473992543937511E-2"/>
    <n v="20"/>
    <n v="8.4745762711864403E-2"/>
    <n v="3.5505059470974615E-3"/>
    <n v="34"/>
    <n v="0.1440677966101695"/>
    <n v="6.0358601100656845E-3"/>
    <n v="41"/>
    <n v="0.17372881355932204"/>
    <n v="7.2785371915497958E-3"/>
    <n v="43"/>
    <n v="0.18220338983050846"/>
    <n v="7.6335877862595417E-3"/>
    <b v="0"/>
    <b v="1"/>
    <b v="0"/>
    <b v="0"/>
    <b v="1"/>
    <b v="0"/>
    <b v="0"/>
    <b v="0"/>
    <b v="0"/>
    <b v="0"/>
    <b v="0"/>
    <b v="0"/>
    <b v="0"/>
  </r>
  <r>
    <s v="jantman/awslimitchecker"/>
    <s v="jantman"/>
    <s v="awslimitchecker"/>
    <s v="https://github.com/jantman/awslimitchecker"/>
    <d v="2015-06-06T02:22:09"/>
    <d v="2021-04-03T21:09:17"/>
    <n v="2128.7827314814858"/>
    <b v="0"/>
    <b v="0"/>
    <n v="419"/>
    <n v="20"/>
    <n v="144"/>
    <n v="31"/>
    <n v="0"/>
    <n v="31"/>
    <n v="226"/>
    <n v="7"/>
    <n v="300"/>
    <n v="12"/>
    <x v="11"/>
    <n v="13766"/>
    <n v="365"/>
    <n v="2.6514601191340983E-2"/>
    <n v="205"/>
    <n v="0.56164383561643838"/>
    <n v="1.4891762312944937E-2"/>
    <n v="95"/>
    <n v="0.26027397260273971"/>
    <n v="6.9010605840476536E-3"/>
    <n v="36"/>
    <n v="9.8630136986301367E-2"/>
    <n v="2.6151387476391107E-3"/>
    <n v="23"/>
    <n v="6.3013698630136991E-2"/>
    <n v="1.670783088769432E-3"/>
    <n v="3"/>
    <n v="8.21917808219178E-3"/>
    <n v="2.1792822896992591E-4"/>
    <n v="3"/>
    <n v="8.21917808219178E-3"/>
    <n v="2.1792822896992591E-4"/>
    <b v="1"/>
    <b v="0"/>
    <b v="0"/>
    <b v="0"/>
    <b v="1"/>
    <b v="0"/>
    <b v="0"/>
    <b v="0"/>
    <b v="0"/>
    <b v="0"/>
    <b v="0"/>
    <b v="0"/>
    <b v="0"/>
  </r>
  <r>
    <s v="jaraco/keyring"/>
    <s v="jaraco"/>
    <s v="keyring"/>
    <s v="https://github.com/jaraco/keyring"/>
    <d v="2015-02-24T14:10:21"/>
    <d v="2021-04-08T21:13:10"/>
    <n v="2235.2936226851816"/>
    <b v="0"/>
    <b v="0"/>
    <n v="661"/>
    <n v="14"/>
    <n v="93"/>
    <n v="16"/>
    <n v="24"/>
    <n v="75"/>
    <n v="114"/>
    <n v="0"/>
    <n v="392"/>
    <n v="19"/>
    <x v="5"/>
    <n v="1403"/>
    <n v="8"/>
    <n v="5.7020669992872419E-3"/>
    <n v="1"/>
    <n v="0.125"/>
    <n v="7.1275837491090524E-4"/>
    <n v="0"/>
    <n v="0"/>
    <n v="0"/>
    <n v="3"/>
    <n v="0.375"/>
    <n v="2.1382751247327157E-3"/>
    <n v="3"/>
    <n v="0.375"/>
    <n v="2.1382751247327157E-3"/>
    <n v="0"/>
    <n v="0"/>
    <n v="0"/>
    <n v="1"/>
    <n v="0.125"/>
    <n v="7.1275837491090524E-4"/>
    <b v="1"/>
    <b v="0"/>
    <b v="0"/>
    <b v="0"/>
    <b v="1"/>
    <b v="0"/>
    <b v="0"/>
    <b v="0"/>
    <b v="0"/>
    <b v="0"/>
    <b v="0"/>
    <b v="0"/>
    <b v="0"/>
  </r>
  <r>
    <s v="jarun/buku"/>
    <s v="jarun"/>
    <s v="buku"/>
    <s v="https://github.com/jarun/buku"/>
    <d v="2015-11-01T19:53:18"/>
    <d v="2021-04-09T02:35:33"/>
    <n v="1985.2793402777825"/>
    <b v="0"/>
    <b v="0"/>
    <n v="4368"/>
    <n v="80"/>
    <n v="222"/>
    <n v="38"/>
    <n v="420"/>
    <n v="59"/>
    <n v="264"/>
    <n v="0"/>
    <n v="241"/>
    <n v="1"/>
    <x v="0"/>
    <n v="5766"/>
    <n v="10"/>
    <n v="1.734304543877905E-3"/>
    <n v="4"/>
    <n v="0.4"/>
    <n v="6.9372181755116198E-4"/>
    <n v="1"/>
    <n v="0.1"/>
    <n v="1.7343045438779049E-4"/>
    <n v="0"/>
    <n v="0"/>
    <n v="0"/>
    <n v="0"/>
    <n v="0"/>
    <n v="0"/>
    <n v="0"/>
    <n v="0"/>
    <n v="0"/>
    <n v="5"/>
    <n v="0.5"/>
    <n v="8.6715227193895252E-4"/>
    <b v="1"/>
    <b v="1"/>
    <b v="0"/>
    <b v="0"/>
    <b v="1"/>
    <b v="0"/>
    <b v="0"/>
    <b v="0"/>
    <b v="0"/>
    <b v="0"/>
    <b v="0"/>
    <b v="0"/>
    <b v="0"/>
  </r>
  <r>
    <s v="jasonrbriggs/stomp.py"/>
    <s v="jasonrbriggs"/>
    <s v="stomp.py"/>
    <s v="https://github.com/jasonrbriggs/stomp.py"/>
    <d v="2013-09-11T22:38:36"/>
    <d v="2021-04-01T21:43:49"/>
    <n v="2758.9619560185165"/>
    <b v="0"/>
    <b v="0"/>
    <n v="405"/>
    <n v="37"/>
    <n v="125"/>
    <n v="0"/>
    <n v="0"/>
    <n v="28"/>
    <n v="165"/>
    <n v="2"/>
    <n v="188"/>
    <n v="23"/>
    <x v="4"/>
    <n v="3682"/>
    <n v="79"/>
    <n v="2.1455730581205867E-2"/>
    <n v="23"/>
    <n v="0.29113924050632911"/>
    <n v="6.2466051059206955E-3"/>
    <n v="41"/>
    <n v="0.51898734177215189"/>
    <n v="1.1135252580119501E-2"/>
    <n v="7"/>
    <n v="8.8607594936708861E-2"/>
    <n v="1.9011406844106464E-3"/>
    <n v="8"/>
    <n v="0.10126582278481013"/>
    <n v="2.172732210755024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barlow83/OCRmyPDF"/>
    <s v="jbarlow83"/>
    <s v="OCRmyPDF"/>
    <s v="https://github.com/jbarlow83/OCRmyPDF"/>
    <d v="2013-12-20T08:26:28"/>
    <d v="2021-04-08T20:35:26"/>
    <n v="2666.5062268518523"/>
    <b v="0"/>
    <b v="0"/>
    <n v="4079"/>
    <n v="114"/>
    <n v="430"/>
    <n v="5"/>
    <n v="25"/>
    <n v="48"/>
    <n v="77"/>
    <n v="1"/>
    <n v="681"/>
    <n v="88"/>
    <x v="6"/>
    <n v="6846"/>
    <n v="171"/>
    <n v="2.497808939526731E-2"/>
    <n v="49"/>
    <n v="0.28654970760233917"/>
    <n v="7.1574642126789366E-3"/>
    <n v="49"/>
    <n v="0.28654970760233917"/>
    <n v="7.1574642126789366E-3"/>
    <n v="32"/>
    <n v="0.1871345029239766"/>
    <n v="4.6742623429739992E-3"/>
    <n v="37"/>
    <n v="0.21637426900584794"/>
    <n v="5.4046158340636868E-3"/>
    <n v="0"/>
    <n v="0"/>
    <n v="0"/>
    <n v="4"/>
    <n v="2.3391812865497075E-2"/>
    <n v="5.842827928717499E-4"/>
    <b v="1"/>
    <b v="0"/>
    <b v="0"/>
    <b v="0"/>
    <b v="1"/>
    <b v="0"/>
    <b v="0"/>
    <b v="0"/>
    <b v="0"/>
    <b v="0"/>
    <b v="0"/>
    <b v="0"/>
    <b v="0"/>
  </r>
  <r>
    <s v="jbesomi/texthero"/>
    <s v="jbesomi"/>
    <s v="texthero"/>
    <s v="https://github.com/jbesomi/texthero"/>
    <d v="2020-04-06T15:16:05"/>
    <d v="2021-04-09T03:21:54"/>
    <n v="367.50403935185022"/>
    <b v="0"/>
    <b v="0"/>
    <n v="2141"/>
    <n v="43"/>
    <n v="188"/>
    <n v="3"/>
    <n v="9"/>
    <n v="18"/>
    <n v="105"/>
    <n v="27"/>
    <n v="95"/>
    <n v="46"/>
    <x v="5"/>
    <n v="1362"/>
    <n v="4"/>
    <n v="2.936857562408223E-3"/>
    <n v="0"/>
    <n v="0"/>
    <n v="0"/>
    <n v="0"/>
    <n v="0"/>
    <n v="0"/>
    <n v="4"/>
    <n v="1"/>
    <n v="2.936857562408223E-3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JDAI-CV/fast-reid"/>
    <s v="JDAI-CV"/>
    <s v="fast-reid"/>
    <s v="https://github.com/JDAI-CV/fast-reid"/>
    <d v="2018-06-06T09:08:20"/>
    <d v="2021-04-08T14:19:09"/>
    <n v="1037.215844907405"/>
    <b v="0"/>
    <b v="1"/>
    <n v="1735"/>
    <n v="62"/>
    <n v="462"/>
    <n v="3"/>
    <n v="7"/>
    <n v="13"/>
    <n v="66"/>
    <n v="3"/>
    <n v="387"/>
    <n v="65"/>
    <x v="4"/>
    <n v="14155"/>
    <n v="161"/>
    <n v="1.1374072765807135E-2"/>
    <n v="0"/>
    <n v="0"/>
    <n v="0"/>
    <n v="138"/>
    <n v="0.8571428571428571"/>
    <n v="9.7492052278346873E-3"/>
    <n v="16"/>
    <n v="9.9378881987577633E-2"/>
    <n v="1.1303426351112682E-3"/>
    <n v="6"/>
    <n v="3.7267080745341616E-2"/>
    <n v="4.2387848816672556E-4"/>
    <n v="0"/>
    <n v="0"/>
    <n v="0"/>
    <n v="1"/>
    <n v="6.2111801242236021E-3"/>
    <n v="7.064641469445426E-5"/>
    <b v="1"/>
    <b v="0"/>
    <b v="0"/>
    <b v="0"/>
    <b v="1"/>
    <b v="0"/>
    <b v="0"/>
    <b v="0"/>
    <b v="0"/>
    <b v="0"/>
    <b v="0"/>
    <b v="0"/>
    <b v="0"/>
  </r>
  <r>
    <s v="jeanphix/Ghost.py"/>
    <s v="jeanphix"/>
    <s v="Ghost.py"/>
    <s v="https://github.com/jeanphix/Ghost.py"/>
    <d v="2011-11-21T19:40:24"/>
    <d v="2021-03-17T17:39:05"/>
    <n v="3403.9157523148169"/>
    <b v="0"/>
    <b v="0"/>
    <n v="2747"/>
    <n v="118"/>
    <n v="356"/>
    <n v="0"/>
    <n v="6"/>
    <n v="54"/>
    <n v="119"/>
    <n v="7"/>
    <n v="224"/>
    <n v="134"/>
    <x v="1"/>
    <n v="1210"/>
    <n v="23"/>
    <n v="1.9008264462809916E-2"/>
    <n v="6"/>
    <n v="0.2608695652173913"/>
    <n v="4.9586776859504135E-3"/>
    <n v="11"/>
    <n v="0.47826086956521741"/>
    <n v="9.0909090909090905E-3"/>
    <n v="3"/>
    <n v="0.13043478260869565"/>
    <n v="2.4793388429752068E-3"/>
    <n v="2"/>
    <n v="8.6956521739130432E-2"/>
    <n v="1.652892561983471E-3"/>
    <n v="0"/>
    <n v="0"/>
    <n v="0"/>
    <n v="1"/>
    <n v="4.3478260869565216E-2"/>
    <n v="8.2644628099173552E-4"/>
    <b v="1"/>
    <b v="0"/>
    <b v="0"/>
    <b v="0"/>
    <b v="1"/>
    <b v="0"/>
    <b v="0"/>
    <b v="0"/>
    <b v="0"/>
    <b v="0"/>
    <b v="0"/>
    <b v="0"/>
    <b v="0"/>
  </r>
  <r>
    <s v="jeffzh3ng/fuxi"/>
    <s v="jeffzh3ng"/>
    <s v="fuxi"/>
    <s v="https://github.com/jeffzh3ng/fuxi"/>
    <d v="2018-06-13T07:32:07"/>
    <d v="2021-04-09T02:14:10"/>
    <n v="1030.7792013888902"/>
    <b v="0"/>
    <b v="0"/>
    <n v="1115"/>
    <n v="84"/>
    <n v="332"/>
    <n v="0"/>
    <n v="0"/>
    <n v="0"/>
    <n v="7"/>
    <n v="4"/>
    <n v="19"/>
    <n v="3"/>
    <x v="5"/>
    <n v="11864"/>
    <n v="223"/>
    <n v="1.8796358732299394E-2"/>
    <n v="0"/>
    <n v="0"/>
    <n v="0"/>
    <n v="76"/>
    <n v="0.34080717488789236"/>
    <n v="6.4059339177343225E-3"/>
    <n v="140"/>
    <n v="0.62780269058295968"/>
    <n v="1.1800404585300068E-2"/>
    <n v="7"/>
    <n v="3.1390134529147982E-2"/>
    <n v="5.900202292650033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et-admin/jet-bridge"/>
    <s v="jet-admin"/>
    <s v="jet-bridge"/>
    <s v="https://github.com/jet-admin/jet-bridge"/>
    <d v="2018-12-26T10:27:33"/>
    <d v="2021-04-07T14:58:47"/>
    <n v="833.18835648147797"/>
    <b v="0"/>
    <b v="1"/>
    <n v="912"/>
    <n v="26"/>
    <n v="79"/>
    <n v="0"/>
    <n v="0"/>
    <n v="4"/>
    <n v="8"/>
    <n v="1"/>
    <n v="9"/>
    <n v="5"/>
    <x v="5"/>
    <n v="4259"/>
    <n v="37"/>
    <n v="8.687485325193707E-3"/>
    <n v="0"/>
    <n v="0"/>
    <n v="0"/>
    <n v="7"/>
    <n v="0.1891891891891892"/>
    <n v="1.643578304766377E-3"/>
    <n v="17"/>
    <n v="0.45945945945945948"/>
    <n v="3.9915473115754874E-3"/>
    <n v="11"/>
    <n v="0.29729729729729731"/>
    <n v="2.582765907490021E-3"/>
    <n v="0"/>
    <n v="0"/>
    <n v="0"/>
    <n v="2"/>
    <n v="5.4054054054054057E-2"/>
    <n v="4.6959380136182204E-4"/>
    <b v="1"/>
    <b v="0"/>
    <b v="0"/>
    <b v="0"/>
    <b v="1"/>
    <b v="0"/>
    <b v="0"/>
    <b v="0"/>
    <b v="0"/>
    <b v="0"/>
    <b v="0"/>
    <b v="0"/>
    <b v="0"/>
  </r>
  <r>
    <s v="jhao104/proxy_pool"/>
    <s v="jhao104"/>
    <s v="proxy_pool"/>
    <s v="https://github.com/jhao104/proxy_pool"/>
    <d v="2016-11-25T13:49:07"/>
    <d v="2021-04-09T03:28:20"/>
    <n v="1595.5689004629676"/>
    <b v="0"/>
    <b v="0"/>
    <n v="12141"/>
    <n v="437"/>
    <n v="3306"/>
    <n v="0"/>
    <n v="6"/>
    <n v="38"/>
    <n v="136"/>
    <n v="2"/>
    <n v="418"/>
    <n v="221"/>
    <x v="5"/>
    <n v="1156"/>
    <n v="22"/>
    <n v="1.9031141868512111E-2"/>
    <n v="0"/>
    <n v="0"/>
    <n v="0"/>
    <n v="16"/>
    <n v="0.72727272727272729"/>
    <n v="1.384083044982699E-2"/>
    <n v="0"/>
    <n v="0"/>
    <n v="0"/>
    <n v="6"/>
    <n v="0.27272727272727271"/>
    <n v="5.1903114186851208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jhpyle/docassemble"/>
    <s v="jhpyle"/>
    <s v="docassemble"/>
    <s v="https://github.com/jhpyle/docassemble"/>
    <d v="2015-04-18T02:09:32"/>
    <d v="2021-04-08T23:07:46"/>
    <n v="2182.8737731481451"/>
    <b v="0"/>
    <b v="0"/>
    <n v="424"/>
    <n v="39"/>
    <n v="165"/>
    <n v="0"/>
    <n v="0"/>
    <n v="36"/>
    <n v="145"/>
    <n v="0"/>
    <n v="248"/>
    <n v="47"/>
    <x v="5"/>
    <n v="65633"/>
    <n v="3"/>
    <n v="4.5708713604436789E-5"/>
    <n v="2"/>
    <n v="0.66666666666666663"/>
    <n v="3.0472475736291194E-5"/>
    <n v="0"/>
    <n v="0"/>
    <n v="0"/>
    <n v="0"/>
    <n v="0"/>
    <n v="0"/>
    <n v="1"/>
    <n v="0.33333333333333331"/>
    <n v="1.5236237868145597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immy201602/webterminal"/>
    <s v="jimmy201602"/>
    <s v="webterminal"/>
    <s v="https://github.com/jimmy201602/webterminal"/>
    <d v="2017-09-16T13:24:09"/>
    <d v="2021-04-08T05:50:21"/>
    <n v="1299.6848611111054"/>
    <b v="0"/>
    <b v="0"/>
    <n v="1135"/>
    <n v="64"/>
    <n v="459"/>
    <n v="11"/>
    <n v="0"/>
    <n v="4"/>
    <n v="84"/>
    <n v="0"/>
    <n v="83"/>
    <n v="3"/>
    <x v="0"/>
    <n v="6375"/>
    <n v="54"/>
    <n v="8.4705882352941169E-3"/>
    <n v="32"/>
    <n v="0.59259259259259256"/>
    <n v="5.019607843137255E-3"/>
    <n v="3"/>
    <n v="5.5555555555555552E-2"/>
    <n v="4.7058823529411766E-4"/>
    <n v="1"/>
    <n v="1.8518518518518517E-2"/>
    <n v="1.5686274509803922E-4"/>
    <n v="18"/>
    <n v="0.33333333333333331"/>
    <n v="2.8235294117647061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jina-ai/jina"/>
    <s v="jina-ai"/>
    <s v="jina"/>
    <s v="https://github.com/jina-ai/jina"/>
    <d v="2020-02-13T17:04:44"/>
    <d v="2021-04-09T02:29:12"/>
    <n v="420.39199074073986"/>
    <b v="0"/>
    <b v="1"/>
    <n v="2937"/>
    <n v="70"/>
    <n v="407"/>
    <n v="60"/>
    <n v="4"/>
    <n v="85"/>
    <n v="1533"/>
    <n v="15"/>
    <n v="734"/>
    <n v="64"/>
    <x v="4"/>
    <n v="29005"/>
    <n v="303"/>
    <n v="1.0446474745733495E-2"/>
    <n v="32"/>
    <n v="0.10561056105610561"/>
    <n v="1.1032580589553525E-3"/>
    <n v="96"/>
    <n v="0.31683168316831684"/>
    <n v="3.3097741768660575E-3"/>
    <n v="89"/>
    <n v="0.29372937293729373"/>
    <n v="3.0684364764695742E-3"/>
    <n v="72"/>
    <n v="0.23762376237623761"/>
    <n v="2.482330632649543E-3"/>
    <n v="14"/>
    <n v="4.6204620462046202E-2"/>
    <n v="4.8267540079296675E-4"/>
    <n v="0"/>
    <n v="0"/>
    <n v="0"/>
    <b v="1"/>
    <b v="1"/>
    <b v="0"/>
    <b v="0"/>
    <b v="1"/>
    <b v="0"/>
    <b v="0"/>
    <b v="0"/>
    <b v="0"/>
    <b v="0"/>
    <b v="0"/>
    <b v="0"/>
    <b v="0"/>
  </r>
  <r>
    <s v="jindaxiang/akshare"/>
    <s v="jindaxiang"/>
    <s v="akshare"/>
    <s v="https://github.com/jindaxiang/akshare"/>
    <d v="2019-10-01T07:34:12"/>
    <d v="2021-04-09T02:55:11"/>
    <n v="555.80623842592468"/>
    <b v="0"/>
    <b v="0"/>
    <n v="3350"/>
    <n v="128"/>
    <n v="667"/>
    <n v="429"/>
    <n v="0"/>
    <n v="11"/>
    <n v="933"/>
    <n v="0"/>
    <n v="193"/>
    <n v="3"/>
    <x v="5"/>
    <n v="18201"/>
    <n v="32"/>
    <n v="1.7581451568595132E-3"/>
    <n v="2"/>
    <n v="6.25E-2"/>
    <n v="1.0988407230371958E-4"/>
    <n v="0"/>
    <n v="0"/>
    <n v="0"/>
    <n v="29"/>
    <n v="0.90625"/>
    <n v="1.5933190484039338E-3"/>
    <n v="1"/>
    <n v="3.125E-2"/>
    <n v="5.4942036151859789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iny2001/dcscn-super-resolution"/>
    <s v="jiny2001"/>
    <s v="dcscn-super-resolution"/>
    <s v="https://github.com/jiny2001/dcscn-super-resolution"/>
    <d v="2017-06-13T07:01:27"/>
    <d v="2021-04-08T14:29:58"/>
    <n v="1395.3114699074067"/>
    <b v="0"/>
    <b v="0"/>
    <n v="612"/>
    <n v="32"/>
    <n v="201"/>
    <n v="0"/>
    <n v="0"/>
    <n v="4"/>
    <n v="13"/>
    <n v="1"/>
    <n v="102"/>
    <n v="32"/>
    <x v="5"/>
    <n v="1797"/>
    <n v="20"/>
    <n v="1.1129660545353366E-2"/>
    <n v="0"/>
    <n v="0"/>
    <n v="0"/>
    <n v="19"/>
    <n v="0.95"/>
    <n v="1.0573177518085699E-2"/>
    <n v="0"/>
    <n v="0"/>
    <n v="0"/>
    <n v="1"/>
    <n v="0.05"/>
    <n v="5.564830272676683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mathai/elodie"/>
    <s v="jmathai"/>
    <s v="elodie"/>
    <s v="https://github.com/jmathai/elodie"/>
    <d v="2015-09-09T21:53:43"/>
    <d v="2021-04-06T14:32:30"/>
    <n v="2035.6935995370368"/>
    <b v="0"/>
    <b v="0"/>
    <n v="851"/>
    <n v="40"/>
    <n v="106"/>
    <n v="1"/>
    <n v="4"/>
    <n v="30"/>
    <n v="175"/>
    <n v="18"/>
    <n v="228"/>
    <n v="68"/>
    <x v="4"/>
    <n v="5452"/>
    <n v="36"/>
    <n v="6.6030814380044021E-3"/>
    <n v="1"/>
    <n v="2.7777777777777776E-2"/>
    <n v="1.8341892883345562E-4"/>
    <n v="9"/>
    <n v="0.25"/>
    <n v="1.6507703595011005E-3"/>
    <n v="9"/>
    <n v="0.25"/>
    <n v="1.6507703595011005E-3"/>
    <n v="17"/>
    <n v="0.47222222222222221"/>
    <n v="3.118121790168745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oaoricardo000/whatsapp-bot-seed"/>
    <s v="joaoricardo000"/>
    <s v="whatsapp-bot-seed"/>
    <s v="https://github.com/joaoricardo000/whatsapp-bot-seed"/>
    <d v="2015-09-03T02:28:07"/>
    <d v="2021-04-08T11:35:34"/>
    <n v="2044.3801736111127"/>
    <b v="0"/>
    <b v="0"/>
    <n v="658"/>
    <n v="66"/>
    <n v="218"/>
    <n v="0"/>
    <n v="1"/>
    <n v="4"/>
    <n v="20"/>
    <n v="9"/>
    <n v="95"/>
    <n v="39"/>
    <x v="1"/>
    <n v="468"/>
    <n v="12"/>
    <n v="2.564102564102564E-2"/>
    <n v="0"/>
    <n v="0"/>
    <n v="0"/>
    <n v="7"/>
    <n v="0.58333333333333337"/>
    <n v="1.4957264957264958E-2"/>
    <n v="0"/>
    <n v="0"/>
    <n v="0"/>
    <n v="0"/>
    <n v="0"/>
    <n v="0"/>
    <n v="0"/>
    <n v="0"/>
    <n v="0"/>
    <n v="5"/>
    <n v="0.41666666666666669"/>
    <n v="1.0683760683760684E-2"/>
    <b v="1"/>
    <b v="0"/>
    <b v="0"/>
    <b v="0"/>
    <b v="1"/>
    <b v="0"/>
    <b v="0"/>
    <b v="0"/>
    <b v="0"/>
    <b v="0"/>
    <b v="0"/>
    <b v="0"/>
    <b v="0"/>
  </r>
  <r>
    <s v="joe-siyuan-qiao/DetectoRS"/>
    <s v="joe-siyuan-qiao"/>
    <s v="DetectoRS"/>
    <s v="https://github.com/joe-siyuan-qiao/DetectoRS"/>
    <d v="2020-05-27T05:59:19"/>
    <d v="2021-04-08T07:10:05"/>
    <n v="316.04914351851767"/>
    <b v="0"/>
    <b v="0"/>
    <n v="997"/>
    <n v="35"/>
    <n v="177"/>
    <n v="0"/>
    <n v="0"/>
    <n v="0"/>
    <n v="2"/>
    <n v="2"/>
    <n v="83"/>
    <n v="38"/>
    <x v="4"/>
    <n v="18636"/>
    <n v="14"/>
    <n v="7.5123417042283756E-4"/>
    <n v="5"/>
    <n v="0.35714285714285715"/>
    <n v="2.6829791800815628E-4"/>
    <n v="5"/>
    <n v="0.35714285714285715"/>
    <n v="2.6829791800815628E-4"/>
    <n v="4"/>
    <n v="0.2857142857142857"/>
    <n v="2.14638334406525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ohnHammond/katana"/>
    <s v="JohnHammond"/>
    <s v="katana"/>
    <s v="https://github.com/JohnHammond/katana"/>
    <d v="2020-02-25T15:35:06"/>
    <d v="2021-04-08T07:33:02"/>
    <n v="407.66523148147826"/>
    <b v="0"/>
    <b v="0"/>
    <n v="671"/>
    <n v="25"/>
    <n v="97"/>
    <n v="0"/>
    <n v="1"/>
    <n v="11"/>
    <n v="16"/>
    <n v="2"/>
    <n v="15"/>
    <n v="9"/>
    <x v="7"/>
    <n v="6118"/>
    <n v="8"/>
    <n v="1.3076168682576005E-3"/>
    <n v="0"/>
    <n v="0"/>
    <n v="0"/>
    <n v="4"/>
    <n v="0.5"/>
    <n v="6.5380843412880026E-4"/>
    <n v="2"/>
    <n v="0.25"/>
    <n v="3.2690421706440013E-4"/>
    <n v="2"/>
    <n v="0.25"/>
    <n v="3.269042170644001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ookies/jasmin"/>
    <s v="jookies"/>
    <s v="jasmin"/>
    <s v="https://github.com/jookies/jasmin"/>
    <d v="2012-11-24T02:01:23"/>
    <d v="2021-04-05T17:20:10"/>
    <n v="3054.638043981482"/>
    <b v="0"/>
    <b v="1"/>
    <n v="597"/>
    <n v="79"/>
    <n v="369"/>
    <n v="0"/>
    <n v="3"/>
    <n v="20"/>
    <n v="242"/>
    <n v="4"/>
    <n v="736"/>
    <n v="162"/>
    <x v="7"/>
    <n v="26375"/>
    <n v="638"/>
    <n v="2.4189573459715639E-2"/>
    <n v="218"/>
    <n v="0.34169278996865204"/>
    <n v="8.2654028436018965E-3"/>
    <n v="211"/>
    <n v="0.33072100313479624"/>
    <n v="8.0000000000000002E-3"/>
    <n v="26"/>
    <n v="4.0752351097178681E-2"/>
    <n v="9.857819905213271E-4"/>
    <n v="177"/>
    <n v="0.2774294670846395"/>
    <n v="6.7109004739336489E-3"/>
    <n v="5"/>
    <n v="7.8369905956112845E-3"/>
    <n v="1.8957345971563981E-4"/>
    <n v="1"/>
    <n v="1.567398119122257E-3"/>
    <n v="3.7914691943127961E-5"/>
    <b v="1"/>
    <b v="1"/>
    <b v="0"/>
    <b v="0"/>
    <b v="1"/>
    <b v="0"/>
    <b v="0"/>
    <b v="0"/>
    <b v="0"/>
    <b v="0"/>
    <b v="0"/>
    <b v="0"/>
    <b v="0"/>
  </r>
  <r>
    <s v="jopohl/urh"/>
    <s v="jopohl"/>
    <s v="urh"/>
    <s v="https://github.com/jopohl/urh"/>
    <d v="2016-04-01T19:43:07"/>
    <d v="2021-04-09T03:53:06"/>
    <n v="1833.3402662037042"/>
    <b v="0"/>
    <b v="0"/>
    <n v="7120"/>
    <n v="401"/>
    <n v="572"/>
    <n v="88"/>
    <n v="10"/>
    <n v="14"/>
    <n v="377"/>
    <n v="3"/>
    <n v="473"/>
    <n v="20"/>
    <x v="0"/>
    <n v="45901"/>
    <n v="224"/>
    <n v="4.8800679723753296E-3"/>
    <n v="55"/>
    <n v="0.24553571428571427"/>
    <n v="1.1982309753600139E-3"/>
    <n v="38"/>
    <n v="0.16964285714285715"/>
    <n v="8.2786867388510055E-4"/>
    <n v="35"/>
    <n v="0.15625"/>
    <n v="7.625106206836452E-4"/>
    <n v="34"/>
    <n v="0.15178571428571427"/>
    <n v="7.4072460294982679E-4"/>
    <n v="26"/>
    <n v="0.11607142857142858"/>
    <n v="5.6643646107927927E-4"/>
    <n v="36"/>
    <n v="0.16071428571428573"/>
    <n v="7.8429663841746372E-4"/>
    <b v="1"/>
    <b v="0"/>
    <b v="0"/>
    <b v="0"/>
    <b v="1"/>
    <b v="0"/>
    <b v="0"/>
    <b v="0"/>
    <b v="0"/>
    <b v="0"/>
    <b v="0"/>
    <b v="0"/>
    <b v="0"/>
  </r>
  <r>
    <s v="jorisroovers/gitlint"/>
    <s v="jorisroovers"/>
    <s v="gitlint"/>
    <s v="https://github.com/jorisroovers/gitlint"/>
    <d v="2015-09-02T20:06:16"/>
    <d v="2021-03-28T17:58:18"/>
    <n v="2033.9111342592587"/>
    <b v="0"/>
    <b v="0"/>
    <n v="408"/>
    <n v="12"/>
    <n v="63"/>
    <n v="22"/>
    <n v="1"/>
    <n v="26"/>
    <n v="95"/>
    <n v="1"/>
    <n v="91"/>
    <n v="24"/>
    <x v="5"/>
    <n v="5120"/>
    <n v="32"/>
    <n v="6.2500000000000003E-3"/>
    <n v="32"/>
    <n v="1"/>
    <n v="6.2500000000000003E-3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osephKJ/OWOD"/>
    <s v="JosephKJ"/>
    <s v="OWOD"/>
    <s v="https://github.com/JosephKJ/OWOD"/>
    <d v="2020-09-29T00:12:53"/>
    <d v="2021-04-09T00:37:02"/>
    <n v="192.01677083333198"/>
    <b v="0"/>
    <b v="0"/>
    <n v="383"/>
    <n v="17"/>
    <n v="37"/>
    <n v="0"/>
    <n v="0"/>
    <n v="0"/>
    <n v="0"/>
    <n v="0"/>
    <n v="32"/>
    <n v="11"/>
    <x v="4"/>
    <n v="25887"/>
    <n v="260"/>
    <n v="1.0043651253524936E-2"/>
    <n v="1"/>
    <n v="3.8461538461538464E-3"/>
    <n v="3.8629427898172826E-5"/>
    <n v="201"/>
    <n v="0.77307692307692311"/>
    <n v="7.7645150075327388E-3"/>
    <n v="45"/>
    <n v="0.17307692307692307"/>
    <n v="1.7383242554177773E-3"/>
    <n v="12"/>
    <n v="4.6153846153846156E-2"/>
    <n v="4.6355313477807391E-4"/>
    <n v="0"/>
    <n v="0"/>
    <n v="0"/>
    <n v="1"/>
    <n v="3.8461538461538464E-3"/>
    <n v="3.8629427898172826E-5"/>
    <b v="1"/>
    <b v="1"/>
    <b v="0"/>
    <b v="0"/>
    <b v="1"/>
    <b v="0"/>
    <b v="0"/>
    <b v="0"/>
    <b v="0"/>
    <b v="0"/>
    <b v="0"/>
    <b v="0"/>
    <b v="0"/>
  </r>
  <r>
    <s v="josiahcarlson/redis-in-action"/>
    <s v="josiahcarlson"/>
    <s v="redis-in-action"/>
    <s v="https://github.com/josiahcarlson/redis-in-action"/>
    <d v="2013-01-16T18:39:11"/>
    <d v="2021-04-07T12:42:14"/>
    <n v="3002.7521180555559"/>
    <b v="0"/>
    <b v="0"/>
    <n v="1981"/>
    <n v="138"/>
    <n v="1097"/>
    <n v="0"/>
    <n v="2"/>
    <n v="21"/>
    <n v="42"/>
    <n v="1"/>
    <n v="33"/>
    <n v="1"/>
    <x v="5"/>
    <n v="3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jpmens/mqttwarn"/>
    <s v="jpmens"/>
    <s v="mqttwarn"/>
    <s v="https://github.com/jpmens/mqttwarn"/>
    <d v="2014-02-09T14:32:08"/>
    <d v="2021-04-07T20:39:21"/>
    <n v="2614.2550115740742"/>
    <b v="0"/>
    <b v="0"/>
    <n v="838"/>
    <n v="90"/>
    <n v="180"/>
    <n v="0"/>
    <n v="15"/>
    <n v="68"/>
    <n v="198"/>
    <n v="3"/>
    <n v="288"/>
    <n v="28"/>
    <x v="13"/>
    <n v="4284"/>
    <n v="389"/>
    <n v="9.0802987861811388E-2"/>
    <n v="187"/>
    <n v="0.48071979434447298"/>
    <n v="4.3650793650793648E-2"/>
    <n v="21"/>
    <n v="5.3984575835475578E-2"/>
    <n v="4.9019607843137254E-3"/>
    <n v="123"/>
    <n v="0.31619537275064269"/>
    <n v="2.8711484593837534E-2"/>
    <n v="53"/>
    <n v="0.13624678663239073"/>
    <n v="1.2371615312791783E-2"/>
    <n v="0"/>
    <n v="0"/>
    <n v="0"/>
    <n v="5"/>
    <n v="1.2853470437017995E-2"/>
    <n v="1.1671335200746965E-3"/>
    <b v="1"/>
    <b v="1"/>
    <b v="0"/>
    <b v="0"/>
    <b v="1"/>
    <b v="0"/>
    <b v="0"/>
    <b v="0"/>
    <b v="0"/>
    <b v="0"/>
    <b v="0"/>
    <b v="0"/>
    <b v="0"/>
  </r>
  <r>
    <s v="jumpserver/jumpserver"/>
    <s v="jumpserver"/>
    <s v="jumpserver"/>
    <s v="https://github.com/jumpserver/jumpserver"/>
    <d v="2014-07-04T03:54:59"/>
    <d v="2021-04-09T03:16:35"/>
    <n v="2470.9733333333352"/>
    <b v="0"/>
    <b v="1"/>
    <n v="15556"/>
    <n v="646"/>
    <n v="4004"/>
    <n v="65"/>
    <n v="10"/>
    <n v="80"/>
    <n v="2543"/>
    <n v="3"/>
    <n v="3329"/>
    <n v="135"/>
    <x v="3"/>
    <n v="25918"/>
    <n v="218"/>
    <n v="8.4111428350953001E-3"/>
    <n v="89"/>
    <n v="0.40825688073394495"/>
    <n v="3.4339069372636777E-3"/>
    <n v="65"/>
    <n v="0.29816513761467889"/>
    <n v="2.5079095609229106E-3"/>
    <n v="10"/>
    <n v="4.5871559633027525E-2"/>
    <n v="3.8583224014198628E-4"/>
    <n v="52"/>
    <n v="0.23853211009174313"/>
    <n v="2.0063276487383287E-3"/>
    <n v="0"/>
    <n v="0"/>
    <n v="0"/>
    <n v="2"/>
    <n v="9.1743119266055051E-3"/>
    <n v="7.7166448028397259E-5"/>
    <b v="1"/>
    <b v="0"/>
    <b v="0"/>
    <b v="0"/>
    <b v="1"/>
    <b v="0"/>
    <b v="0"/>
    <b v="0"/>
    <b v="0"/>
    <b v="0"/>
    <b v="0"/>
    <b v="0"/>
    <b v="0"/>
  </r>
  <r>
    <s v="Juniper/py-junos-eznc"/>
    <s v="Juniper"/>
    <s v="py-junos-eznc"/>
    <s v="https://github.com/Juniper/py-junos-eznc"/>
    <d v="2013-10-12T22:21:38"/>
    <d v="2021-04-02T17:54:49"/>
    <n v="2728.8147106481483"/>
    <b v="0"/>
    <b v="1"/>
    <n v="584"/>
    <n v="123"/>
    <n v="283"/>
    <n v="55"/>
    <n v="7"/>
    <n v="69"/>
    <n v="632"/>
    <n v="25"/>
    <n v="469"/>
    <n v="71"/>
    <x v="7"/>
    <n v="14485"/>
    <n v="58"/>
    <n v="4.0041422160856056E-3"/>
    <n v="14"/>
    <n v="0.2413793103448276"/>
    <n v="9.6651708664135313E-4"/>
    <n v="8"/>
    <n v="0.13793103448275862"/>
    <n v="5.5229547808077317E-4"/>
    <n v="19"/>
    <n v="0.32758620689655171"/>
    <n v="1.3117017604418364E-3"/>
    <n v="17"/>
    <n v="0.29310344827586204"/>
    <n v="1.173627890921643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upyter-incubator/sparkmagic"/>
    <s v="jupyter-incubator"/>
    <s v="sparkmagic"/>
    <s v="https://github.com/jupyter-incubator/sparkmagic"/>
    <d v="2015-09-21T15:35:25"/>
    <d v="2021-03-30T06:31:15"/>
    <n v="2016.6221064814818"/>
    <b v="0"/>
    <b v="1"/>
    <n v="956"/>
    <n v="49"/>
    <n v="328"/>
    <n v="6"/>
    <n v="8"/>
    <n v="38"/>
    <n v="344"/>
    <n v="15"/>
    <n v="363"/>
    <n v="122"/>
    <x v="7"/>
    <n v="8026"/>
    <n v="48"/>
    <n v="5.9805631696984796E-3"/>
    <n v="18"/>
    <n v="0.375"/>
    <n v="2.24271118863693E-3"/>
    <n v="15"/>
    <n v="0.3125"/>
    <n v="1.868925990530775E-3"/>
    <n v="0"/>
    <n v="0"/>
    <n v="0"/>
    <n v="15"/>
    <n v="0.3125"/>
    <n v="1.868925990530775E-3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jupyter/docker-stacks"/>
    <s v="jupyter"/>
    <s v="docker-stacks"/>
    <s v="https://github.com/jupyter/docker-stacks"/>
    <d v="2015-07-15T15:30:00"/>
    <d v="2021-04-09T02:12:44"/>
    <n v="2094.4463425925933"/>
    <b v="0"/>
    <b v="1"/>
    <n v="5853"/>
    <n v="201"/>
    <n v="2235"/>
    <n v="0"/>
    <n v="25"/>
    <n v="167"/>
    <n v="649"/>
    <n v="5"/>
    <n v="612"/>
    <n v="58"/>
    <x v="7"/>
    <n v="612"/>
    <n v="40"/>
    <n v="6.535947712418301E-2"/>
    <n v="16"/>
    <n v="0.4"/>
    <n v="2.6143790849673203E-2"/>
    <n v="23"/>
    <n v="0.57499999999999996"/>
    <n v="3.7581699346405227E-2"/>
    <n v="1"/>
    <n v="2.5000000000000001E-2"/>
    <n v="1.6339869281045752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upyter/enterprise_gateway"/>
    <s v="jupyter"/>
    <s v="enterprise_gateway"/>
    <s v="https://github.com/jupyter/enterprise_gateway"/>
    <d v="2017-04-21T16:05:14"/>
    <d v="2021-04-06T12:53:11"/>
    <n v="1445.8666319444383"/>
    <b v="0"/>
    <b v="1"/>
    <n v="418"/>
    <n v="37"/>
    <n v="132"/>
    <n v="26"/>
    <n v="5"/>
    <n v="64"/>
    <n v="485"/>
    <n v="2"/>
    <n v="460"/>
    <n v="78"/>
    <x v="7"/>
    <n v="5673"/>
    <n v="213"/>
    <n v="3.75462718138551E-2"/>
    <n v="98"/>
    <n v="0.460093896713615"/>
    <n v="1.7274810505905167E-2"/>
    <n v="44"/>
    <n v="0.20657276995305165"/>
    <n v="7.7560373699982373E-3"/>
    <n v="56"/>
    <n v="0.26291079812206575"/>
    <n v="9.8713202890886656E-3"/>
    <n v="14"/>
    <n v="6.5727699530516437E-2"/>
    <n v="2.4678300722721664E-3"/>
    <n v="1"/>
    <n v="4.6948356807511738E-3"/>
    <n v="1.7627357659086903E-4"/>
    <n v="0"/>
    <n v="0"/>
    <n v="0"/>
    <b v="1"/>
    <b v="1"/>
    <b v="0"/>
    <b v="0"/>
    <b v="1"/>
    <b v="0"/>
    <b v="0"/>
    <b v="0"/>
    <b v="0"/>
    <b v="0"/>
    <b v="0"/>
    <b v="0"/>
    <b v="0"/>
  </r>
  <r>
    <s v="jupyter/nbviewer"/>
    <s v="jupyter"/>
    <s v="nbviewer"/>
    <s v="https://github.com/jupyter/nbviewer"/>
    <d v="2012-08-05T11:42:33"/>
    <d v="2021-04-07T21:45:09"/>
    <n v="3167.4184722222271"/>
    <b v="0"/>
    <b v="1"/>
    <n v="1830"/>
    <n v="91"/>
    <n v="459"/>
    <n v="0"/>
    <n v="9"/>
    <n v="75"/>
    <n v="423"/>
    <n v="5"/>
    <n v="544"/>
    <n v="144"/>
    <x v="7"/>
    <n v="3903"/>
    <n v="74"/>
    <n v="1.8959774532410965E-2"/>
    <n v="14"/>
    <n v="0.1891891891891892"/>
    <n v="3.5869843709966692E-3"/>
    <n v="39"/>
    <n v="0.52702702702702697"/>
    <n v="9.9923136049192927E-3"/>
    <n v="8"/>
    <n v="0.10810810810810811"/>
    <n v="2.0497053548552396E-3"/>
    <n v="13"/>
    <n v="0.17567567567567569"/>
    <n v="3.3307712016397641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jupyterhub/binderhub"/>
    <s v="jupyterhub"/>
    <s v="binderhub"/>
    <s v="https://github.com/jupyterhub/binderhub"/>
    <d v="2017-04-26T00:28:26"/>
    <d v="2021-04-09T03:45:51"/>
    <n v="1444.1370949074044"/>
    <b v="0"/>
    <b v="1"/>
    <n v="1864"/>
    <n v="79"/>
    <n v="270"/>
    <n v="1"/>
    <n v="16"/>
    <n v="70"/>
    <n v="710"/>
    <n v="34"/>
    <n v="571"/>
    <n v="240"/>
    <x v="2"/>
    <n v="4543"/>
    <n v="66"/>
    <n v="1.4527845036319613E-2"/>
    <n v="10"/>
    <n v="0.15151515151515152"/>
    <n v="2.2011886418666078E-3"/>
    <n v="31"/>
    <n v="0.46969696969696972"/>
    <n v="6.8236847897864845E-3"/>
    <n v="12"/>
    <n v="0.18181818181818182"/>
    <n v="2.6414263702399295E-3"/>
    <n v="8"/>
    <n v="0.12121212121212122"/>
    <n v="1.7609509134932863E-3"/>
    <n v="0"/>
    <n v="0"/>
    <n v="0"/>
    <n v="5"/>
    <n v="7.575757575757576E-2"/>
    <n v="1.1005943209333039E-3"/>
    <b v="1"/>
    <b v="0"/>
    <b v="0"/>
    <b v="0"/>
    <b v="1"/>
    <b v="0"/>
    <b v="0"/>
    <b v="0"/>
    <b v="0"/>
    <b v="0"/>
    <b v="0"/>
    <b v="0"/>
    <b v="0"/>
  </r>
  <r>
    <s v="jupyterhub/dockerspawner"/>
    <s v="jupyterhub"/>
    <s v="dockerspawner"/>
    <s v="https://github.com/jupyterhub/dockerspawner"/>
    <d v="2014-09-26T20:08:26"/>
    <d v="2021-04-07T06:19:41"/>
    <n v="2384.4244791666642"/>
    <b v="0"/>
    <b v="1"/>
    <n v="374"/>
    <n v="25"/>
    <n v="255"/>
    <n v="0"/>
    <n v="5"/>
    <n v="55"/>
    <n v="188"/>
    <n v="1"/>
    <n v="235"/>
    <n v="13"/>
    <x v="2"/>
    <n v="1385"/>
    <n v="42"/>
    <n v="3.032490974729242E-2"/>
    <n v="11"/>
    <n v="0.26190476190476192"/>
    <n v="7.9422382671480145E-3"/>
    <n v="15"/>
    <n v="0.35714285714285715"/>
    <n v="1.0830324909747292E-2"/>
    <n v="15"/>
    <n v="0.35714285714285715"/>
    <n v="1.0830324909747292E-2"/>
    <n v="1"/>
    <n v="2.3809523809523808E-2"/>
    <n v="7.2202166064981946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jupyterhub/jupyterhub"/>
    <s v="jupyterhub"/>
    <s v="jupyterhub"/>
    <s v="https://github.com/jupyterhub/jupyterhub"/>
    <d v="2014-06-12T23:22:10"/>
    <d v="2021-04-09T02:06:08"/>
    <n v="2492.1138657407428"/>
    <b v="0"/>
    <b v="1"/>
    <n v="6170"/>
    <n v="271"/>
    <n v="1485"/>
    <n v="0"/>
    <n v="27"/>
    <n v="215"/>
    <n v="1449"/>
    <n v="31"/>
    <n v="1924"/>
    <n v="141"/>
    <x v="7"/>
    <n v="14945"/>
    <n v="389"/>
    <n v="2.6028772164603545E-2"/>
    <n v="99"/>
    <n v="0.25449871465295631"/>
    <n v="6.6242890598862498E-3"/>
    <n v="74"/>
    <n v="0.19023136246786632"/>
    <n v="4.9514887922382069E-3"/>
    <n v="144"/>
    <n v="0.37017994858611825"/>
    <n v="9.6353295416527259E-3"/>
    <n v="50"/>
    <n v="0.12853470437017994"/>
    <n v="3.3456005352960855E-3"/>
    <n v="7"/>
    <n v="1.7994858611825194E-2"/>
    <n v="4.6838407494145199E-4"/>
    <n v="15"/>
    <n v="3.8560411311053984E-2"/>
    <n v="1.0036801605888257E-3"/>
    <b v="1"/>
    <b v="0"/>
    <b v="0"/>
    <b v="0"/>
    <b v="1"/>
    <b v="0"/>
    <b v="0"/>
    <b v="0"/>
    <b v="0"/>
    <b v="0"/>
    <b v="0"/>
    <b v="0"/>
    <b v="0"/>
  </r>
  <r>
    <s v="jupyterhub/repo2docker"/>
    <s v="jupyterhub"/>
    <s v="repo2docker"/>
    <s v="https://github.com/jupyterhub/repo2docker"/>
    <d v="2017-05-09T08:36:30"/>
    <d v="2021-04-09T02:32:28"/>
    <n v="1430.7471990740742"/>
    <b v="0"/>
    <b v="1"/>
    <n v="1184"/>
    <n v="45"/>
    <n v="239"/>
    <n v="9"/>
    <n v="1"/>
    <n v="92"/>
    <n v="611"/>
    <n v="25"/>
    <n v="422"/>
    <n v="153"/>
    <x v="2"/>
    <n v="5319"/>
    <n v="36"/>
    <n v="6.7681895093062603E-3"/>
    <n v="4"/>
    <n v="0.1111111111111111"/>
    <n v="7.5202105658958454E-4"/>
    <n v="15"/>
    <n v="0.41666666666666669"/>
    <n v="2.8200789622109417E-3"/>
    <n v="4"/>
    <n v="0.1111111111111111"/>
    <n v="7.5202105658958454E-4"/>
    <n v="11"/>
    <n v="0.30555555555555558"/>
    <n v="2.0680579056213573E-3"/>
    <n v="0"/>
    <n v="0"/>
    <n v="0"/>
    <n v="2"/>
    <n v="5.5555555555555552E-2"/>
    <n v="3.7601052829479227E-4"/>
    <b v="1"/>
    <b v="0"/>
    <b v="0"/>
    <b v="0"/>
    <b v="1"/>
    <b v="0"/>
    <b v="0"/>
    <b v="0"/>
    <b v="0"/>
    <b v="0"/>
    <b v="0"/>
    <b v="0"/>
    <b v="0"/>
  </r>
  <r>
    <s v="jupyterhub/the-littlest-jupyterhub"/>
    <s v="jupyterhub"/>
    <s v="the-littlest-jupyterhub"/>
    <s v="https://github.com/jupyterhub/the-littlest-jupyterhub"/>
    <d v="2018-06-15T22:37:12"/>
    <d v="2021-04-08T18:32:14"/>
    <n v="1027.8298842592631"/>
    <b v="0"/>
    <b v="1"/>
    <n v="658"/>
    <n v="28"/>
    <n v="226"/>
    <n v="0"/>
    <n v="0"/>
    <n v="54"/>
    <n v="289"/>
    <n v="15"/>
    <n v="391"/>
    <n v="164"/>
    <x v="2"/>
    <n v="2345"/>
    <n v="36"/>
    <n v="1.535181236673774E-2"/>
    <n v="4"/>
    <n v="0.1111111111111111"/>
    <n v="1.7057569296375266E-3"/>
    <n v="24"/>
    <n v="0.66666666666666663"/>
    <n v="1.0234541577825161E-2"/>
    <n v="3"/>
    <n v="8.3333333333333329E-2"/>
    <n v="1.2793176972281451E-3"/>
    <n v="5"/>
    <n v="0.1388888888888889"/>
    <n v="2.132196162046908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upyterhub/zero-to-jupyterhub-k8s"/>
    <s v="jupyterhub"/>
    <s v="zero-to-jupyterhub-k8s"/>
    <s v="https://github.com/jupyterhub/zero-to-jupyterhub-k8s"/>
    <d v="2017-04-10T19:25:35"/>
    <d v="2021-04-08T15:56:04"/>
    <n v="1458.8545023148108"/>
    <b v="0"/>
    <b v="1"/>
    <n v="906"/>
    <n v="57"/>
    <n v="501"/>
    <n v="20"/>
    <n v="20"/>
    <n v="171"/>
    <n v="1105"/>
    <n v="11"/>
    <n v="1020"/>
    <n v="58"/>
    <x v="7"/>
    <n v="959"/>
    <n v="7"/>
    <n v="7.2992700729927005E-3"/>
    <n v="0"/>
    <n v="0"/>
    <n v="0"/>
    <n v="5"/>
    <n v="0.7142857142857143"/>
    <n v="5.2137643378519288E-3"/>
    <n v="1"/>
    <n v="0.14285714285714285"/>
    <n v="1.0427528675703858E-3"/>
    <n v="1"/>
    <n v="0.14285714285714285"/>
    <n v="1.042752867570385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Just-Some-Bots/MusicBot"/>
    <s v="Just-Some-Bots"/>
    <s v="MusicBot"/>
    <s v="https://github.com/Just-Some-Bots/MusicBot"/>
    <d v="2015-12-29T05:30:11"/>
    <d v="2021-04-08T04:43:50"/>
    <n v="1926.9678124999991"/>
    <b v="0"/>
    <b v="1"/>
    <n v="2248"/>
    <n v="197"/>
    <n v="1862"/>
    <n v="0"/>
    <n v="38"/>
    <n v="42"/>
    <n v="431"/>
    <n v="19"/>
    <n v="1768"/>
    <n v="64"/>
    <x v="5"/>
    <n v="4315"/>
    <n v="240"/>
    <n v="5.5619930475086905E-2"/>
    <n v="65"/>
    <n v="0.27083333333333331"/>
    <n v="1.5063731170336037E-2"/>
    <n v="92"/>
    <n v="0.38333333333333336"/>
    <n v="2.1320973348783315E-2"/>
    <n v="42"/>
    <n v="0.17499999999999999"/>
    <n v="9.7334878331402086E-3"/>
    <n v="22"/>
    <n v="9.166666666666666E-2"/>
    <n v="5.0984936268829665E-3"/>
    <n v="11"/>
    <n v="4.583333333333333E-2"/>
    <n v="2.5492468134414832E-3"/>
    <n v="8"/>
    <n v="3.3333333333333333E-2"/>
    <n v="1.8539976825028969E-3"/>
    <b v="1"/>
    <b v="0"/>
    <b v="0"/>
    <b v="0"/>
    <b v="1"/>
    <b v="0"/>
    <b v="0"/>
    <b v="0"/>
    <b v="0"/>
    <b v="0"/>
    <b v="0"/>
    <b v="0"/>
    <b v="0"/>
  </r>
  <r>
    <s v="Kaggle/docker-python"/>
    <s v="Kaggle"/>
    <s v="docker-python"/>
    <s v="https://github.com/Kaggle/docker-python"/>
    <d v="2015-04-14T01:45:38"/>
    <d v="2021-04-09T03:41:00"/>
    <n v="2187.0801157407404"/>
    <b v="0"/>
    <b v="1"/>
    <n v="1593"/>
    <n v="89"/>
    <n v="685"/>
    <n v="39"/>
    <n v="8"/>
    <n v="126"/>
    <n v="735"/>
    <n v="7"/>
    <n v="254"/>
    <n v="19"/>
    <x v="4"/>
    <n v="2956"/>
    <n v="22"/>
    <n v="7.4424898511502033E-3"/>
    <n v="1"/>
    <n v="4.5454545454545456E-2"/>
    <n v="3.3829499323410016E-4"/>
    <n v="11"/>
    <n v="0.5"/>
    <n v="3.7212449255751017E-3"/>
    <n v="2"/>
    <n v="9.0909090909090912E-2"/>
    <n v="6.7658998646820032E-4"/>
    <n v="6"/>
    <n v="0.27272727272727271"/>
    <n v="2.0297699594046007E-3"/>
    <n v="1"/>
    <n v="4.5454545454545456E-2"/>
    <n v="3.3829499323410016E-4"/>
    <n v="1"/>
    <n v="4.5454545454545456E-2"/>
    <n v="3.3829499323410016E-4"/>
    <b v="1"/>
    <b v="0"/>
    <b v="0"/>
    <b v="0"/>
    <b v="1"/>
    <b v="0"/>
    <b v="0"/>
    <b v="0"/>
    <b v="0"/>
    <b v="0"/>
    <b v="0"/>
    <b v="0"/>
    <b v="0"/>
  </r>
  <r>
    <s v="kakao/buffalo"/>
    <s v="kakao"/>
    <s v="buffalo"/>
    <s v="https://github.com/kakao/buffalo"/>
    <d v="2019-08-27T14:56:48"/>
    <d v="2021-04-04T04:02:24"/>
    <n v="585.54555555555999"/>
    <b v="0"/>
    <b v="1"/>
    <n v="499"/>
    <n v="26"/>
    <n v="74"/>
    <n v="12"/>
    <n v="0"/>
    <n v="13"/>
    <n v="23"/>
    <n v="2"/>
    <n v="17"/>
    <n v="5"/>
    <x v="4"/>
    <n v="6139"/>
    <n v="105"/>
    <n v="1.7103762827822121E-2"/>
    <n v="16"/>
    <n v="0.15238095238095239"/>
    <n v="2.6062876690014659E-3"/>
    <n v="72"/>
    <n v="0.68571428571428572"/>
    <n v="1.1728294510506597E-2"/>
    <n v="7"/>
    <n v="6.6666666666666666E-2"/>
    <n v="1.1402508551881414E-3"/>
    <n v="10"/>
    <n v="9.5238095238095233E-2"/>
    <n v="1.628929793125916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akao/khaiii"/>
    <s v="kakao"/>
    <s v="khaiii"/>
    <s v="https://github.com/kakao/khaiii"/>
    <d v="2018-11-26T09:37:19"/>
    <d v="2021-04-08T14:49:07"/>
    <n v="864.21652777778218"/>
    <b v="0"/>
    <b v="1"/>
    <n v="1118"/>
    <n v="62"/>
    <n v="226"/>
    <n v="3"/>
    <n v="0"/>
    <n v="9"/>
    <n v="28"/>
    <n v="0"/>
    <n v="73"/>
    <n v="3"/>
    <x v="4"/>
    <n v="4381"/>
    <n v="128"/>
    <n v="2.9217073727459485E-2"/>
    <n v="38"/>
    <n v="0.296875"/>
    <n v="8.6738187628395344E-3"/>
    <n v="64"/>
    <n v="0.5"/>
    <n v="1.4608536863729742E-2"/>
    <n v="0"/>
    <n v="0"/>
    <n v="0"/>
    <n v="26"/>
    <n v="0.203125"/>
    <n v="5.934718100890207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akaobrain/pororo"/>
    <s v="kakaobrain"/>
    <s v="pororo"/>
    <s v="https://github.com/kakaobrain/pororo"/>
    <d v="2021-01-28T05:37:42"/>
    <d v="2021-04-08T12:12:46"/>
    <n v="70.274351851847314"/>
    <b v="0"/>
    <b v="1"/>
    <n v="839"/>
    <n v="37"/>
    <n v="115"/>
    <n v="3"/>
    <n v="0"/>
    <n v="4"/>
    <n v="23"/>
    <n v="2"/>
    <n v="30"/>
    <n v="9"/>
    <x v="7"/>
    <n v="10601"/>
    <n v="16"/>
    <n v="1.5092915762663899E-3"/>
    <n v="0"/>
    <n v="0"/>
    <n v="0"/>
    <n v="15"/>
    <n v="0.9375"/>
    <n v="1.4149608527497407E-3"/>
    <n v="1"/>
    <n v="6.25E-2"/>
    <n v="9.433072351664937E-5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apicorp/kapitan"/>
    <s v="kapicorp"/>
    <s v="kapitan"/>
    <s v="https://github.com/kapicorp/kapitan"/>
    <d v="2017-10-09T16:11:42"/>
    <d v="2021-04-04T11:53:34"/>
    <n v="1272.8207407407463"/>
    <b v="0"/>
    <b v="1"/>
    <n v="1388"/>
    <n v="35"/>
    <n v="136"/>
    <n v="101"/>
    <n v="1"/>
    <n v="42"/>
    <n v="496"/>
    <n v="28"/>
    <n v="215"/>
    <n v="63"/>
    <x v="1"/>
    <n v="6710"/>
    <n v="170"/>
    <n v="2.533532041728763E-2"/>
    <n v="96"/>
    <n v="0.56470588235294117"/>
    <n v="1.4307004470938897E-2"/>
    <n v="40"/>
    <n v="0.23529411764705882"/>
    <n v="5.9612518628912071E-3"/>
    <n v="10"/>
    <n v="5.8823529411764705E-2"/>
    <n v="1.4903129657228018E-3"/>
    <n v="17"/>
    <n v="0.1"/>
    <n v="2.533532041728763E-3"/>
    <n v="0"/>
    <n v="0"/>
    <n v="0"/>
    <n v="7"/>
    <n v="4.1176470588235294E-2"/>
    <n v="1.0432190760059613E-3"/>
    <b v="1"/>
    <b v="0"/>
    <b v="0"/>
    <b v="0"/>
    <b v="1"/>
    <b v="0"/>
    <b v="0"/>
    <b v="0"/>
    <b v="0"/>
    <b v="0"/>
    <b v="0"/>
    <b v="0"/>
    <b v="0"/>
  </r>
  <r>
    <s v="karec/cookiecutter-flask-restful"/>
    <s v="karec"/>
    <s v="cookiecutter-flask-restful"/>
    <s v="https://github.com/karec/cookiecutter-flask-restful"/>
    <d v="2016-07-26T16:29:49"/>
    <d v="2021-04-07T12:57:47"/>
    <n v="1715.8527546296318"/>
    <b v="0"/>
    <b v="0"/>
    <n v="567"/>
    <n v="15"/>
    <n v="143"/>
    <n v="0"/>
    <n v="0"/>
    <n v="8"/>
    <n v="18"/>
    <n v="0"/>
    <n v="32"/>
    <n v="5"/>
    <x v="5"/>
    <n v="606"/>
    <n v="1"/>
    <n v="1.6501650165016502E-3"/>
    <n v="0"/>
    <n v="0"/>
    <n v="0"/>
    <n v="1"/>
    <n v="1"/>
    <n v="1.6501650165016502E-3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karlicoss/promnesia"/>
    <s v="karlicoss"/>
    <s v="promnesia"/>
    <s v="https://github.com/karlicoss/promnesia"/>
    <d v="2019-04-06T14:03:08"/>
    <d v="2021-04-08T19:47:42"/>
    <n v="733.23928240740497"/>
    <b v="0"/>
    <b v="0"/>
    <n v="935"/>
    <n v="19"/>
    <n v="28"/>
    <n v="9"/>
    <n v="3"/>
    <n v="12"/>
    <n v="136"/>
    <n v="1"/>
    <n v="88"/>
    <n v="49"/>
    <x v="5"/>
    <n v="5007"/>
    <n v="112"/>
    <n v="2.2368683842620331E-2"/>
    <n v="14"/>
    <n v="0.125"/>
    <n v="2.7960854803275414E-3"/>
    <n v="41"/>
    <n v="0.36607142857142855"/>
    <n v="8.1885360495306571E-3"/>
    <n v="24"/>
    <n v="0.21428571428571427"/>
    <n v="4.793289394847214E-3"/>
    <n v="16"/>
    <n v="0.14285714285714285"/>
    <n v="3.1955262632314759E-3"/>
    <n v="1"/>
    <n v="8.9285714285714281E-3"/>
    <n v="1.9972039145196724E-4"/>
    <n v="16"/>
    <n v="0.14285714285714285"/>
    <n v="3.1955262632314759E-3"/>
    <b v="1"/>
    <b v="1"/>
    <b v="0"/>
    <b v="0"/>
    <b v="1"/>
    <b v="0"/>
    <b v="0"/>
    <b v="0"/>
    <b v="0"/>
    <b v="0"/>
    <b v="0"/>
    <b v="0"/>
    <b v="0"/>
  </r>
  <r>
    <s v="kbumsik/VirtScreen"/>
    <s v="kbumsik"/>
    <s v="VirtScreen"/>
    <s v="https://github.com/kbumsik/VirtScreen"/>
    <d v="2018-04-25T18:46:14"/>
    <d v="2021-04-09T01:25:59"/>
    <n v="1079.277604166673"/>
    <b v="0"/>
    <b v="0"/>
    <n v="907"/>
    <n v="22"/>
    <n v="67"/>
    <n v="9"/>
    <n v="0"/>
    <n v="2"/>
    <n v="6"/>
    <n v="3"/>
    <n v="90"/>
    <n v="72"/>
    <x v="0"/>
    <n v="769"/>
    <n v="13"/>
    <n v="1.6905071521456438E-2"/>
    <n v="0"/>
    <n v="0"/>
    <n v="0"/>
    <n v="11"/>
    <n v="0.84615384615384615"/>
    <n v="1.4304291287386216E-2"/>
    <n v="0"/>
    <n v="0"/>
    <n v="0"/>
    <n v="1"/>
    <n v="7.6923076923076927E-2"/>
    <n v="1.3003901170351106E-3"/>
    <n v="1"/>
    <n v="7.6923076923076927E-2"/>
    <n v="1.3003901170351106E-3"/>
    <n v="0"/>
    <n v="0"/>
    <n v="0"/>
    <b v="1"/>
    <b v="0"/>
    <b v="0"/>
    <b v="0"/>
    <b v="1"/>
    <b v="0"/>
    <b v="0"/>
    <b v="0"/>
    <b v="0"/>
    <b v="0"/>
    <b v="0"/>
    <b v="0"/>
    <b v="0"/>
  </r>
  <r>
    <s v="KDD-OpenSource/DeepADoTS"/>
    <s v="KDD-OpenSource"/>
    <s v="DeepADoTS"/>
    <s v="https://github.com/KDD-OpenSource/DeepADoTS"/>
    <d v="2018-04-20T13:54:52"/>
    <d v="2021-04-08T08:24:58"/>
    <n v="1083.7709027777819"/>
    <b v="0"/>
    <b v="1"/>
    <n v="345"/>
    <n v="18"/>
    <n v="69"/>
    <n v="0"/>
    <n v="0"/>
    <n v="7"/>
    <n v="132"/>
    <n v="1"/>
    <n v="76"/>
    <n v="7"/>
    <x v="5"/>
    <n v="2379"/>
    <n v="24"/>
    <n v="1.0088272383354351E-2"/>
    <n v="7"/>
    <n v="0.29166666666666669"/>
    <n v="2.9424127784783522E-3"/>
    <n v="9"/>
    <n v="0.375"/>
    <n v="3.7831021437578815E-3"/>
    <n v="6"/>
    <n v="0.25"/>
    <n v="2.5220680958385876E-3"/>
    <n v="2"/>
    <n v="8.3333333333333329E-2"/>
    <n v="8.406893652795292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eiohta/tf2rl"/>
    <s v="keiohta"/>
    <s v="tf2rl"/>
    <s v="https://github.com/keiohta/tf2rl"/>
    <d v="2019-04-10T13:27:05"/>
    <d v="2021-04-06T17:32:40"/>
    <n v="727.17054398148321"/>
    <b v="0"/>
    <b v="0"/>
    <n v="355"/>
    <n v="17"/>
    <n v="71"/>
    <n v="0"/>
    <n v="0"/>
    <n v="3"/>
    <n v="24"/>
    <n v="2"/>
    <n v="98"/>
    <n v="32"/>
    <x v="5"/>
    <n v="4982"/>
    <n v="17"/>
    <n v="3.4122842232035327E-3"/>
    <n v="0"/>
    <n v="0"/>
    <n v="0"/>
    <n v="16"/>
    <n v="0.94117647058823528"/>
    <n v="3.2115616218386192E-3"/>
    <n v="0"/>
    <n v="0"/>
    <n v="0"/>
    <n v="1"/>
    <n v="5.8823529411764705E-2"/>
    <n v="2.007226013649137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eithrozario/Klayers"/>
    <s v="keithrozario"/>
    <s v="Klayers"/>
    <s v="https://github.com/keithrozario/Klayers"/>
    <d v="2019-01-06T01:49:43"/>
    <d v="2021-04-09T03:00:38"/>
    <n v="824.04924768518686"/>
    <b v="0"/>
    <b v="0"/>
    <n v="582"/>
    <n v="12"/>
    <n v="73"/>
    <n v="1"/>
    <n v="0"/>
    <n v="6"/>
    <n v="88"/>
    <n v="0"/>
    <n v="65"/>
    <n v="13"/>
    <x v="7"/>
    <n v="1166"/>
    <n v="63"/>
    <n v="5.4030874785591765E-2"/>
    <n v="8"/>
    <n v="0.12698412698412698"/>
    <n v="6.8610634648370496E-3"/>
    <n v="44"/>
    <n v="0.69841269841269837"/>
    <n v="3.7735849056603772E-2"/>
    <n v="2"/>
    <n v="3.1746031746031744E-2"/>
    <n v="1.7152658662092624E-3"/>
    <n v="9"/>
    <n v="0.14285714285714285"/>
    <n v="7.718696397941681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engz/SLM-Lab"/>
    <s v="kengz"/>
    <s v="SLM-Lab"/>
    <s v="https://github.com/kengz/SLM-Lab"/>
    <d v="2017-10-02T22:20:22"/>
    <d v="2021-04-07T04:28:19"/>
    <n v="1282.255520833336"/>
    <b v="0"/>
    <b v="0"/>
    <n v="915"/>
    <n v="48"/>
    <n v="170"/>
    <n v="22"/>
    <n v="0"/>
    <n v="13"/>
    <n v="428"/>
    <n v="3"/>
    <n v="48"/>
    <n v="6"/>
    <x v="5"/>
    <n v="6622"/>
    <n v="80"/>
    <n v="1.2080942313500454E-2"/>
    <n v="26"/>
    <n v="0.32500000000000001"/>
    <n v="3.9263062518876471E-3"/>
    <n v="39"/>
    <n v="0.48749999999999999"/>
    <n v="5.8894593778314706E-3"/>
    <n v="7"/>
    <n v="8.7499999999999994E-2"/>
    <n v="1.0570824524312897E-3"/>
    <n v="2"/>
    <n v="2.5000000000000001E-2"/>
    <n v="3.0202355783751132E-4"/>
    <n v="1"/>
    <n v="1.2500000000000001E-2"/>
    <n v="1.5101177891875566E-4"/>
    <n v="5"/>
    <n v="6.25E-2"/>
    <n v="7.5505889459377836E-4"/>
    <b v="1"/>
    <b v="0"/>
    <b v="0"/>
    <b v="0"/>
    <b v="1"/>
    <b v="0"/>
    <b v="0"/>
    <b v="0"/>
    <b v="0"/>
    <b v="0"/>
    <b v="0"/>
    <b v="0"/>
    <b v="0"/>
  </r>
  <r>
    <s v="kennethreitz-archive/requests3"/>
    <s v="kennethreitz-archive"/>
    <s v="requests3"/>
    <s v="https://github.com/kennethreitz-archive/requests3"/>
    <d v="2019-04-18T12:23:31"/>
    <d v="2021-04-05T02:40:49"/>
    <n v="717.59534722222452"/>
    <b v="0"/>
    <b v="1"/>
    <n v="814"/>
    <n v="39"/>
    <n v="34"/>
    <n v="0"/>
    <n v="0"/>
    <n v="551"/>
    <n v="16"/>
    <n v="1"/>
    <n v="0"/>
    <n v="0"/>
    <x v="7"/>
    <n v="12608"/>
    <n v="46"/>
    <n v="3.6484771573604062E-3"/>
    <n v="15"/>
    <n v="0.32608695652173914"/>
    <n v="1.1897208121827412E-3"/>
    <n v="2"/>
    <n v="4.3478260869565216E-2"/>
    <n v="1.5862944162436547E-4"/>
    <n v="27"/>
    <n v="0.58695652173913049"/>
    <n v="2.1414974619289339E-3"/>
    <n v="2"/>
    <n v="4.3478260869565216E-2"/>
    <n v="1.5862944162436547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kensho-technologies/graphql-compiler"/>
    <s v="kensho-technologies"/>
    <s v="graphql-compiler"/>
    <s v="https://github.com/kensho-technologies/graphql-compiler"/>
    <d v="2017-07-18T22:03:41"/>
    <d v="2021-04-06T20:13:11"/>
    <n v="1357.9232638888934"/>
    <b v="0"/>
    <b v="1"/>
    <n v="449"/>
    <n v="20"/>
    <n v="42"/>
    <n v="0"/>
    <n v="16"/>
    <n v="24"/>
    <n v="843"/>
    <n v="5"/>
    <n v="163"/>
    <n v="100"/>
    <x v="4"/>
    <n v="22242"/>
    <n v="8"/>
    <n v="3.5967988490243682E-4"/>
    <n v="0"/>
    <n v="0"/>
    <n v="0"/>
    <n v="0"/>
    <n v="0"/>
    <n v="0"/>
    <n v="7"/>
    <n v="0.875"/>
    <n v="3.1471989928963222E-4"/>
    <n v="1"/>
    <n v="0.125"/>
    <n v="4.4959985612804602E-5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keras-team/keras-tuner"/>
    <s v="keras-team"/>
    <s v="keras-tuner"/>
    <s v="https://github.com/keras-team/keras-tuner"/>
    <d v="2019-06-06T22:38:21"/>
    <d v="2021-04-08T15:19:00"/>
    <n v="671.69489583333052"/>
    <b v="0"/>
    <b v="1"/>
    <n v="2282"/>
    <n v="66"/>
    <n v="269"/>
    <n v="2"/>
    <n v="2"/>
    <n v="31"/>
    <n v="220"/>
    <n v="16"/>
    <n v="296"/>
    <n v="141"/>
    <x v="4"/>
    <n v="5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erlomz/captcha_platform"/>
    <s v="kerlomz"/>
    <s v="captcha_platform"/>
    <s v="https://github.com/kerlomz/captcha_platform"/>
    <d v="2018-09-11T16:41:09"/>
    <d v="2021-04-08T12:12:27"/>
    <n v="939.81340277777781"/>
    <b v="0"/>
    <b v="0"/>
    <n v="465"/>
    <n v="17"/>
    <n v="176"/>
    <n v="1"/>
    <n v="0"/>
    <n v="3"/>
    <n v="20"/>
    <n v="4"/>
    <n v="2"/>
    <n v="1"/>
    <x v="7"/>
    <n v="3343"/>
    <n v="54"/>
    <n v="1.6153155848040682E-2"/>
    <n v="0"/>
    <n v="0"/>
    <n v="0"/>
    <n v="38"/>
    <n v="0.70370370370370372"/>
    <n v="1.1367035596769369E-2"/>
    <n v="2"/>
    <n v="3.7037037037037035E-2"/>
    <n v="5.9826503140891416E-4"/>
    <n v="14"/>
    <n v="0.25925925925925924"/>
    <n v="4.18785521986239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evthehermit/PasteHunter"/>
    <s v="kevthehermit"/>
    <s v="PasteHunter"/>
    <s v="https://github.com/kevthehermit/PasteHunter"/>
    <d v="2017-09-02T19:21:56"/>
    <d v="2021-04-08T07:09:34"/>
    <n v="1313.4914120370377"/>
    <b v="0"/>
    <b v="0"/>
    <n v="857"/>
    <n v="62"/>
    <n v="212"/>
    <n v="6"/>
    <n v="2"/>
    <n v="20"/>
    <n v="46"/>
    <n v="2"/>
    <n v="80"/>
    <n v="10"/>
    <x v="0"/>
    <n v="1342"/>
    <n v="69"/>
    <n v="5.1415797317436659E-2"/>
    <n v="15"/>
    <n v="0.21739130434782608"/>
    <n v="1.1177347242921014E-2"/>
    <n v="15"/>
    <n v="0.21739130434782608"/>
    <n v="1.1177347242921014E-2"/>
    <n v="1"/>
    <n v="1.4492753623188406E-2"/>
    <n v="7.4515648286140089E-4"/>
    <n v="36"/>
    <n v="0.52173913043478259"/>
    <n v="2.6825633383010434E-2"/>
    <n v="0"/>
    <n v="0"/>
    <n v="0"/>
    <n v="2"/>
    <n v="2.8985507246376812E-2"/>
    <n v="1.4903129657228018E-3"/>
    <b v="1"/>
    <b v="1"/>
    <b v="0"/>
    <b v="0"/>
    <b v="1"/>
    <b v="0"/>
    <b v="0"/>
    <b v="0"/>
    <b v="0"/>
    <b v="0"/>
    <b v="0"/>
    <b v="0"/>
    <b v="0"/>
  </r>
  <r>
    <s v="keylase/nvidia-patch"/>
    <s v="keylase"/>
    <s v="nvidia-patch"/>
    <s v="https://github.com/keylase/nvidia-patch"/>
    <d v="2016-07-15T09:30:34"/>
    <d v="2021-04-08T19:21:22"/>
    <n v="1728.4102777777807"/>
    <b v="0"/>
    <b v="0"/>
    <n v="2068"/>
    <n v="106"/>
    <n v="236"/>
    <n v="0"/>
    <n v="8"/>
    <n v="18"/>
    <n v="266"/>
    <n v="0"/>
    <n v="130"/>
    <n v="1"/>
    <x v="1"/>
    <n v="1378"/>
    <n v="1"/>
    <n v="7.2568940493468795E-4"/>
    <n v="0"/>
    <n v="0"/>
    <n v="0"/>
    <n v="0"/>
    <n v="0"/>
    <n v="0"/>
    <n v="0"/>
    <n v="0"/>
    <n v="0"/>
    <n v="1"/>
    <n v="1"/>
    <n v="7.256894049346879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fei/slack-cleaner"/>
    <s v="kfei"/>
    <s v="slack-cleaner"/>
    <s v="https://github.com/kfei/slack-cleaner"/>
    <d v="2015-09-18T23:10:38"/>
    <d v="2021-04-08T08:16:06"/>
    <n v="2028.3787962962961"/>
    <b v="0"/>
    <b v="0"/>
    <n v="1192"/>
    <n v="35"/>
    <n v="146"/>
    <n v="0"/>
    <n v="1"/>
    <n v="7"/>
    <n v="29"/>
    <n v="16"/>
    <n v="62"/>
    <n v="45"/>
    <x v="5"/>
    <n v="301"/>
    <n v="12"/>
    <n v="3.9867109634551492E-2"/>
    <n v="0"/>
    <n v="0"/>
    <n v="0"/>
    <n v="3"/>
    <n v="0.25"/>
    <n v="9.9667774086378731E-3"/>
    <n v="4"/>
    <n v="0.33333333333333331"/>
    <n v="1.3289036544850499E-2"/>
    <n v="5"/>
    <n v="0.41666666666666669"/>
    <n v="1.6611295681063124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hanrc/pt.darts"/>
    <s v="khanrc"/>
    <s v="pt.darts"/>
    <s v="https://github.com/khanrc/pt.darts"/>
    <d v="2018-11-02T07:08:20"/>
    <d v="2021-04-08T07:56:01"/>
    <n v="888.03311342593224"/>
    <b v="0"/>
    <b v="0"/>
    <n v="353"/>
    <n v="6"/>
    <n v="95"/>
    <n v="2"/>
    <n v="0"/>
    <n v="0"/>
    <n v="2"/>
    <n v="0"/>
    <n v="37"/>
    <n v="26"/>
    <x v="5"/>
    <n v="1108"/>
    <n v="22"/>
    <n v="1.9855595667870037E-2"/>
    <n v="0"/>
    <n v="0"/>
    <n v="0"/>
    <n v="22"/>
    <n v="1"/>
    <n v="1.9855595667870037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ibitzr/kibitzr"/>
    <s v="kibitzr"/>
    <s v="kibitzr"/>
    <s v="https://github.com/kibitzr/kibitzr"/>
    <d v="2016-08-26T18:45:45"/>
    <d v="2021-04-05T08:23:11"/>
    <n v="1682.5676620370359"/>
    <b v="0"/>
    <b v="1"/>
    <n v="362"/>
    <n v="11"/>
    <n v="45"/>
    <n v="6"/>
    <n v="3"/>
    <n v="15"/>
    <n v="63"/>
    <n v="5"/>
    <n v="38"/>
    <n v="17"/>
    <x v="5"/>
    <n v="2501"/>
    <n v="63"/>
    <n v="2.5189924030387844E-2"/>
    <n v="18"/>
    <n v="0.2857142857142857"/>
    <n v="7.1971211515393842E-3"/>
    <n v="23"/>
    <n v="0.36507936507936506"/>
    <n v="9.1963214714114363E-3"/>
    <n v="11"/>
    <n v="0.17460317460317459"/>
    <n v="4.3982407037185126E-3"/>
    <n v="3"/>
    <n v="4.7619047619047616E-2"/>
    <n v="1.1995201919232307E-3"/>
    <n v="0"/>
    <n v="0"/>
    <n v="0"/>
    <n v="8"/>
    <n v="0.12698412698412698"/>
    <n v="3.1987205117952819E-3"/>
    <b v="1"/>
    <b v="0"/>
    <b v="0"/>
    <b v="0"/>
    <b v="1"/>
    <b v="0"/>
    <b v="0"/>
    <b v="0"/>
    <b v="0"/>
    <b v="0"/>
    <b v="0"/>
    <b v="0"/>
    <b v="0"/>
  </r>
  <r>
    <s v="Kinto/kinto"/>
    <s v="Kinto"/>
    <s v="kinto"/>
    <s v="https://github.com/Kinto/kinto"/>
    <d v="2015-02-25T13:34:23"/>
    <d v="2021-04-03T02:48:08"/>
    <n v="2228.551215277781"/>
    <b v="0"/>
    <b v="1"/>
    <n v="4066"/>
    <n v="108"/>
    <n v="383"/>
    <n v="146"/>
    <n v="76"/>
    <n v="110"/>
    <n v="2023"/>
    <n v="13"/>
    <n v="731"/>
    <n v="92"/>
    <x v="7"/>
    <n v="21071"/>
    <n v="71"/>
    <n v="3.3695600588486544E-3"/>
    <n v="4"/>
    <n v="5.6338028169014086E-2"/>
    <n v="1.8983436951260026E-4"/>
    <n v="18"/>
    <n v="0.25352112676056338"/>
    <n v="8.5425466280670116E-4"/>
    <n v="31"/>
    <n v="0.43661971830985913"/>
    <n v="1.4712163637226521E-3"/>
    <n v="12"/>
    <n v="0.16901408450704225"/>
    <n v="5.6950310853780078E-4"/>
    <n v="1"/>
    <n v="1.4084507042253521E-2"/>
    <n v="4.7458592378150065E-5"/>
    <n v="5"/>
    <n v="7.0422535211267609E-2"/>
    <n v="2.3729296189075032E-4"/>
    <b v="1"/>
    <b v="1"/>
    <b v="0"/>
    <b v="0"/>
    <b v="1"/>
    <b v="0"/>
    <b v="0"/>
    <b v="0"/>
    <b v="0"/>
    <b v="0"/>
    <b v="0"/>
    <b v="0"/>
    <b v="0"/>
  </r>
  <r>
    <s v="Kismuz/btgym"/>
    <s v="Kismuz"/>
    <s v="btgym"/>
    <s v="https://github.com/Kismuz/btgym"/>
    <d v="2017-05-24T16:35:17"/>
    <d v="2021-04-04T12:34:33"/>
    <n v="1410.8328240740739"/>
    <b v="0"/>
    <b v="0"/>
    <n v="772"/>
    <n v="96"/>
    <n v="221"/>
    <n v="0"/>
    <n v="5"/>
    <n v="9"/>
    <n v="17"/>
    <n v="1"/>
    <n v="130"/>
    <n v="10"/>
    <x v="9"/>
    <n v="12579"/>
    <n v="385"/>
    <n v="3.0606566499721759E-2"/>
    <n v="189"/>
    <n v="0.49090909090909091"/>
    <n v="1.5025041736227046E-2"/>
    <n v="62"/>
    <n v="0.16103896103896104"/>
    <n v="4.928849670085062E-3"/>
    <n v="28"/>
    <n v="7.2727272727272724E-2"/>
    <n v="2.2259321090706734E-3"/>
    <n v="40"/>
    <n v="0.1038961038961039"/>
    <n v="3.1799030129581046E-3"/>
    <n v="0"/>
    <n v="0"/>
    <n v="0"/>
    <n v="66"/>
    <n v="0.17142857142857143"/>
    <n v="5.246839971380873E-3"/>
    <b v="1"/>
    <b v="1"/>
    <b v="0"/>
    <b v="0"/>
    <b v="0"/>
    <b v="0"/>
    <b v="0"/>
    <b v="1"/>
    <b v="0"/>
    <b v="0"/>
    <b v="0"/>
    <b v="0"/>
    <b v="0"/>
  </r>
  <r>
    <s v="kivy/python-for-android"/>
    <s v="kivy"/>
    <s v="python-for-android"/>
    <s v="https://github.com/kivy/python-for-android"/>
    <d v="2011-11-28T09:02:36"/>
    <d v="2021-04-08T23:25:37"/>
    <n v="3419.5993171296286"/>
    <b v="0"/>
    <b v="1"/>
    <n v="6436"/>
    <n v="359"/>
    <n v="1289"/>
    <n v="10"/>
    <n v="85"/>
    <n v="189"/>
    <n v="1302"/>
    <n v="39"/>
    <n v="1140"/>
    <n v="219"/>
    <x v="5"/>
    <n v="11091"/>
    <n v="16"/>
    <n v="1.4426111261383104E-3"/>
    <n v="5"/>
    <n v="0.3125"/>
    <n v="4.5081597691822196E-4"/>
    <n v="9"/>
    <n v="0.5625"/>
    <n v="8.1146875845279957E-4"/>
    <n v="1"/>
    <n v="6.25E-2"/>
    <n v="9.0163195383644401E-5"/>
    <n v="1"/>
    <n v="6.25E-2"/>
    <n v="9.0163195383644401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izniche/Mycodo"/>
    <s v="kizniche"/>
    <s v="Mycodo"/>
    <s v="https://github.com/kizniche/Mycodo"/>
    <d v="2015-02-05T22:42:26"/>
    <d v="2021-04-09T01:27:15"/>
    <n v="2254.114456018513"/>
    <b v="0"/>
    <b v="0"/>
    <n v="991"/>
    <n v="96"/>
    <n v="213"/>
    <n v="274"/>
    <n v="128"/>
    <n v="23"/>
    <n v="89"/>
    <n v="2"/>
    <n v="886"/>
    <n v="37"/>
    <x v="0"/>
    <n v="40242"/>
    <n v="1317"/>
    <n v="3.2727001640077531E-2"/>
    <n v="473"/>
    <n v="0.35914958238420652"/>
    <n v="1.1753888971721088E-2"/>
    <n v="167"/>
    <n v="0.12680334092634776"/>
    <n v="4.1498931464638931E-3"/>
    <n v="11"/>
    <n v="8.3523158694001516E-3"/>
    <n v="2.7334625515630434E-4"/>
    <n v="451"/>
    <n v="0.3424449506454062"/>
    <n v="1.1207196461408478E-2"/>
    <n v="0"/>
    <n v="0"/>
    <n v="0"/>
    <n v="215"/>
    <n v="0.16324981017463933"/>
    <n v="5.3426768053277673E-3"/>
    <b v="1"/>
    <b v="1"/>
    <b v="0"/>
    <b v="0"/>
    <b v="1"/>
    <b v="0"/>
    <b v="0"/>
    <b v="0"/>
    <b v="0"/>
    <b v="0"/>
    <b v="0"/>
    <b v="0"/>
    <b v="0"/>
  </r>
  <r>
    <s v="Kkevsterrr/geneva"/>
    <s v="Kkevsterrr"/>
    <s v="geneva"/>
    <s v="https://github.com/Kkevsterrr/geneva"/>
    <d v="2019-11-11T14:37:39"/>
    <d v="2021-04-08T18:26:54"/>
    <n v="514.1592013888876"/>
    <b v="0"/>
    <b v="0"/>
    <n v="862"/>
    <n v="40"/>
    <n v="67"/>
    <n v="0"/>
    <n v="2"/>
    <n v="7"/>
    <n v="12"/>
    <n v="2"/>
    <n v="10"/>
    <n v="4"/>
    <x v="2"/>
    <n v="9298"/>
    <n v="377"/>
    <n v="4.0546354054635407E-2"/>
    <n v="252"/>
    <n v="0.66843501326259946"/>
    <n v="2.7102602710260271E-2"/>
    <n v="36"/>
    <n v="9.5490716180371346E-2"/>
    <n v="3.8718003871800388E-3"/>
    <n v="10"/>
    <n v="2.6525198938992044E-2"/>
    <n v="1.0755001075500108E-3"/>
    <n v="31"/>
    <n v="8.2228116710875335E-2"/>
    <n v="3.3340503334050335E-3"/>
    <n v="1"/>
    <n v="2.6525198938992041E-3"/>
    <n v="1.0755001075500108E-4"/>
    <n v="47"/>
    <n v="0.12466843501326259"/>
    <n v="5.0548505054850501E-3"/>
    <b v="1"/>
    <b v="0"/>
    <b v="0"/>
    <b v="0"/>
    <b v="1"/>
    <b v="0"/>
    <b v="0"/>
    <b v="0"/>
    <b v="0"/>
    <b v="0"/>
    <b v="0"/>
    <b v="0"/>
    <b v="0"/>
  </r>
  <r>
    <s v="klen/py-frameworks-bench"/>
    <s v="klen"/>
    <s v="py-frameworks-bench"/>
    <s v="https://github.com/klen/py-frameworks-bench"/>
    <d v="2015-04-30T21:22:38"/>
    <d v="2021-04-05T14:28:20"/>
    <n v="2166.7122916666704"/>
    <b v="0"/>
    <b v="0"/>
    <n v="514"/>
    <n v="21"/>
    <n v="58"/>
    <n v="0"/>
    <n v="0"/>
    <n v="4"/>
    <n v="30"/>
    <n v="19"/>
    <n v="24"/>
    <n v="18"/>
    <x v="1"/>
    <n v="598"/>
    <n v="3"/>
    <n v="5.016722408026756E-3"/>
    <n v="0"/>
    <n v="0"/>
    <n v="0"/>
    <n v="2"/>
    <n v="0.66666666666666663"/>
    <n v="3.3444816053511705E-3"/>
    <n v="1"/>
    <n v="0.33333333333333331"/>
    <n v="1.6722408026755853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nipknap/SpiffWorkflow"/>
    <s v="knipknap"/>
    <s v="SpiffWorkflow"/>
    <s v="https://github.com/knipknap/SpiffWorkflow"/>
    <d v="2009-12-25T09:11:22"/>
    <d v="2021-04-01T07:12:29"/>
    <n v="4114.9174421296339"/>
    <b v="0"/>
    <b v="0"/>
    <n v="963"/>
    <n v="79"/>
    <n v="214"/>
    <n v="0"/>
    <n v="10"/>
    <n v="25"/>
    <n v="53"/>
    <n v="6"/>
    <n v="59"/>
    <n v="26"/>
    <x v="9"/>
    <n v="7590"/>
    <n v="47"/>
    <n v="6.1923583662714101E-3"/>
    <n v="27"/>
    <n v="0.57446808510638303"/>
    <n v="3.5573122529644267E-3"/>
    <n v="6"/>
    <n v="0.1276595744680851"/>
    <n v="7.9051383399209485E-4"/>
    <n v="8"/>
    <n v="0.1702127659574468"/>
    <n v="1.0540184453227931E-3"/>
    <n v="6"/>
    <n v="0.1276595744680851"/>
    <n v="7.905138339920948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oalalorenzo/python-digitalocean"/>
    <s v="koalalorenzo"/>
    <s v="python-digitalocean"/>
    <s v="https://github.com/koalalorenzo/python-digitalocean"/>
    <d v="2013-02-13T11:09:49"/>
    <d v="2021-04-03T01:02:51"/>
    <n v="2970.5784953703696"/>
    <b v="0"/>
    <b v="0"/>
    <n v="1088"/>
    <n v="45"/>
    <n v="259"/>
    <n v="26"/>
    <n v="12"/>
    <n v="80"/>
    <n v="199"/>
    <n v="6"/>
    <n v="137"/>
    <n v="9"/>
    <x v="9"/>
    <n v="4110"/>
    <n v="2"/>
    <n v="4.8661800486618007E-4"/>
    <n v="1"/>
    <n v="0.5"/>
    <n v="2.4330900243309004E-4"/>
    <n v="0"/>
    <n v="0"/>
    <n v="0"/>
    <n v="0"/>
    <n v="0"/>
    <n v="0"/>
    <n v="1"/>
    <n v="0.5"/>
    <n v="2.433090024330900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omodo/KomodoEdit"/>
    <s v="Komodo"/>
    <s v="KomodoEdit"/>
    <s v="https://github.com/Komodo/KomodoEdit"/>
    <d v="2013-07-31T21:57:20"/>
    <d v="2021-04-09T01:48:40"/>
    <n v="2808.1606481481504"/>
    <b v="0"/>
    <b v="1"/>
    <n v="1853"/>
    <n v="96"/>
    <n v="264"/>
    <n v="9"/>
    <n v="146"/>
    <n v="29"/>
    <n v="202"/>
    <n v="14"/>
    <n v="3725"/>
    <n v="1175"/>
    <x v="7"/>
    <n v="240077"/>
    <n v="3301"/>
    <n v="1.374975528684547E-2"/>
    <n v="1561"/>
    <n v="0.47288700393820055"/>
    <n v="6.5020805824797879E-3"/>
    <n v="600"/>
    <n v="0.18176310209027569"/>
    <n v="2.4991981739192009E-3"/>
    <n v="415"/>
    <n v="0.12571947894577401"/>
    <n v="1.7286120702941139E-3"/>
    <n v="420"/>
    <n v="0.12723417146319296"/>
    <n v="1.7494387217434407E-3"/>
    <n v="0"/>
    <n v="0"/>
    <n v="0"/>
    <n v="305"/>
    <n v="9.2396243562556796E-2"/>
    <n v="1.270425738408927E-3"/>
    <b v="1"/>
    <b v="0"/>
    <b v="0"/>
    <b v="0"/>
    <b v="1"/>
    <b v="0"/>
    <b v="0"/>
    <b v="0"/>
    <b v="0"/>
    <b v="0"/>
    <b v="0"/>
    <b v="0"/>
    <b v="0"/>
  </r>
  <r>
    <s v="kornia/kornia"/>
    <s v="kornia"/>
    <s v="kornia"/>
    <s v="https://github.com/kornia/kornia"/>
    <d v="2018-08-22T10:31:37"/>
    <d v="2021-04-09T02:15:48"/>
    <n v="960.65568287036876"/>
    <b v="0"/>
    <b v="1"/>
    <n v="3811"/>
    <n v="100"/>
    <n v="368"/>
    <n v="13"/>
    <n v="8"/>
    <n v="92"/>
    <n v="582"/>
    <n v="19"/>
    <n v="364"/>
    <n v="68"/>
    <x v="7"/>
    <n v="24187"/>
    <n v="22"/>
    <n v="9.0957952619175595E-4"/>
    <n v="3"/>
    <n v="0.13636363636363635"/>
    <n v="1.2403357175342126E-4"/>
    <n v="0"/>
    <n v="0"/>
    <n v="0"/>
    <n v="19"/>
    <n v="0.86363636363636365"/>
    <n v="7.855459544383347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oursaros-ai/nboost"/>
    <s v="koursaros-ai"/>
    <s v="nboost"/>
    <s v="https://github.com/koursaros-ai/nboost"/>
    <d v="2019-10-29T20:56:24"/>
    <d v="2021-03-30T21:37:07"/>
    <n v="518.02827546296612"/>
    <b v="0"/>
    <b v="1"/>
    <n v="556"/>
    <n v="20"/>
    <n v="61"/>
    <n v="0"/>
    <n v="2"/>
    <n v="8"/>
    <n v="21"/>
    <n v="1"/>
    <n v="78"/>
    <n v="29"/>
    <x v="4"/>
    <n v="1390"/>
    <n v="14"/>
    <n v="1.0071942446043165E-2"/>
    <n v="0"/>
    <n v="0"/>
    <n v="0"/>
    <n v="11"/>
    <n v="0.7857142857142857"/>
    <n v="7.9136690647482015E-3"/>
    <n v="0"/>
    <n v="0"/>
    <n v="0"/>
    <n v="2"/>
    <n v="0.14285714285714285"/>
    <n v="1.4388489208633094E-3"/>
    <n v="1"/>
    <n v="7.1428571428571425E-2"/>
    <n v="7.1942446043165469E-4"/>
    <n v="0"/>
    <n v="0"/>
    <n v="0"/>
    <b v="1"/>
    <b v="0"/>
    <b v="0"/>
    <b v="0"/>
    <b v="1"/>
    <b v="0"/>
    <b v="0"/>
    <b v="0"/>
    <b v="0"/>
    <b v="0"/>
    <b v="0"/>
    <b v="0"/>
    <b v="0"/>
  </r>
  <r>
    <s v="Kozea/Radicale"/>
    <s v="Kozea"/>
    <s v="Radicale"/>
    <s v="https://github.com/Kozea/Radicale"/>
    <d v="2011-08-11T08:27:37"/>
    <d v="2021-04-09T02:44:20"/>
    <n v="3528.7616087962961"/>
    <b v="0"/>
    <b v="1"/>
    <n v="2072"/>
    <n v="114"/>
    <n v="332"/>
    <n v="35"/>
    <n v="68"/>
    <n v="79"/>
    <n v="374"/>
    <n v="23"/>
    <n v="781"/>
    <n v="261"/>
    <x v="0"/>
    <n v="5597"/>
    <n v="92"/>
    <n v="1.6437377166339109E-2"/>
    <n v="34"/>
    <n v="0.36956521739130432"/>
    <n v="6.0746828658209753E-3"/>
    <n v="19"/>
    <n v="0.20652173913043478"/>
    <n v="3.3946757191352511E-3"/>
    <n v="32"/>
    <n v="0.34782608695652173"/>
    <n v="5.7173485795962119E-3"/>
    <n v="7"/>
    <n v="7.6086956521739135E-2"/>
    <n v="1.2506700017866715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ozea/wdb"/>
    <s v="Kozea"/>
    <s v="wdb"/>
    <s v="https://github.com/Kozea/wdb"/>
    <d v="2012-10-05T16:40:23"/>
    <d v="2021-04-01T10:49:28"/>
    <n v="3099.7563078703752"/>
    <b v="0"/>
    <b v="1"/>
    <n v="1512"/>
    <n v="73"/>
    <n v="98"/>
    <n v="0"/>
    <n v="8"/>
    <n v="19"/>
    <n v="41"/>
    <n v="6"/>
    <n v="106"/>
    <n v="27"/>
    <x v="0"/>
    <n v="4322"/>
    <n v="103"/>
    <n v="2.3831559463211475E-2"/>
    <n v="30"/>
    <n v="0.29126213592233008"/>
    <n v="6.9412309116149932E-3"/>
    <n v="40"/>
    <n v="0.38834951456310679"/>
    <n v="9.2549745488199903E-3"/>
    <n v="25"/>
    <n v="0.24271844660194175"/>
    <n v="5.7843590930124946E-3"/>
    <n v="3"/>
    <n v="2.9126213592233011E-2"/>
    <n v="6.941230911614993E-4"/>
    <n v="0"/>
    <n v="0"/>
    <n v="0"/>
    <n v="5"/>
    <n v="4.8543689320388349E-2"/>
    <n v="1.1568718186024988E-3"/>
    <b v="1"/>
    <b v="0"/>
    <b v="0"/>
    <b v="0"/>
    <b v="1"/>
    <b v="0"/>
    <b v="0"/>
    <b v="0"/>
    <b v="0"/>
    <b v="0"/>
    <b v="0"/>
    <b v="0"/>
    <b v="0"/>
  </r>
  <r>
    <s v="krmaxwell/maltrieve"/>
    <s v="krmaxwell"/>
    <s v="maltrieve"/>
    <s v="https://github.com/krmaxwell/maltrieve"/>
    <d v="2013-01-29T02:21:53"/>
    <d v="2021-04-08T10:41:58"/>
    <n v="2991.3472800925956"/>
    <b v="0"/>
    <b v="0"/>
    <n v="555"/>
    <n v="99"/>
    <n v="155"/>
    <n v="9"/>
    <n v="1"/>
    <n v="10"/>
    <n v="69"/>
    <n v="5"/>
    <n v="116"/>
    <n v="29"/>
    <x v="0"/>
    <n v="555"/>
    <n v="31"/>
    <n v="5.5855855855855854E-2"/>
    <n v="1"/>
    <n v="3.2258064516129031E-2"/>
    <n v="1.8018018018018018E-3"/>
    <n v="28"/>
    <n v="0.90322580645161288"/>
    <n v="5.0450450450450449E-2"/>
    <n v="0"/>
    <n v="0"/>
    <n v="0"/>
    <n v="2"/>
    <n v="6.4516129032258063E-2"/>
    <n v="3.603603603603603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uangDD/zhrtvc"/>
    <s v="KuangDD"/>
    <s v="zhrtvc"/>
    <s v="https://github.com/KuangDD/zhrtvc"/>
    <d v="2019-11-23T04:08:52"/>
    <d v="2021-04-09T01:26:05"/>
    <n v="502.88695601851214"/>
    <b v="0"/>
    <b v="0"/>
    <n v="805"/>
    <n v="50"/>
    <n v="217"/>
    <n v="0"/>
    <n v="0"/>
    <n v="3"/>
    <n v="7"/>
    <n v="1"/>
    <n v="83"/>
    <n v="79"/>
    <x v="1"/>
    <n v="10812"/>
    <n v="22"/>
    <n v="2.0347761746207916E-3"/>
    <n v="0"/>
    <n v="0"/>
    <n v="0"/>
    <n v="22"/>
    <n v="1"/>
    <n v="2.0347761746207916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ubeflow-kale/kale"/>
    <s v="kubeflow-kale"/>
    <s v="kale"/>
    <s v="https://github.com/kubeflow-kale/kale"/>
    <d v="2019-01-24T17:58:44"/>
    <d v="2021-04-09T02:20:31"/>
    <n v="805.34846064815065"/>
    <b v="0"/>
    <b v="1"/>
    <n v="340"/>
    <n v="13"/>
    <n v="62"/>
    <n v="6"/>
    <n v="0"/>
    <n v="9"/>
    <n v="224"/>
    <n v="23"/>
    <n v="103"/>
    <n v="46"/>
    <x v="4"/>
    <n v="4890"/>
    <n v="193"/>
    <n v="3.9468302658486706E-2"/>
    <n v="9"/>
    <n v="4.6632124352331605E-2"/>
    <n v="1.8404907975460123E-3"/>
    <n v="139"/>
    <n v="0.72020725388601037"/>
    <n v="2.8425357873210634E-2"/>
    <n v="8"/>
    <n v="4.145077720207254E-2"/>
    <n v="1.6359918200408998E-3"/>
    <n v="16"/>
    <n v="8.2901554404145081E-2"/>
    <n v="3.2719836400817996E-3"/>
    <n v="0"/>
    <n v="0"/>
    <n v="0"/>
    <n v="21"/>
    <n v="0.10880829015544041"/>
    <n v="4.2944785276073623E-3"/>
    <b v="1"/>
    <b v="0"/>
    <b v="0"/>
    <b v="0"/>
    <b v="1"/>
    <b v="0"/>
    <b v="0"/>
    <b v="0"/>
    <b v="0"/>
    <b v="0"/>
    <b v="0"/>
    <b v="0"/>
    <b v="0"/>
  </r>
  <r>
    <s v="kubeflow/pipelines"/>
    <s v="kubeflow"/>
    <s v="pipelines"/>
    <s v="https://github.com/kubeflow/pipelines"/>
    <d v="2018-05-12T00:31:47"/>
    <d v="2021-04-09T00:51:21"/>
    <n v="1063.0135879629597"/>
    <b v="0"/>
    <b v="1"/>
    <n v="2087"/>
    <n v="107"/>
    <n v="854"/>
    <n v="74"/>
    <n v="41"/>
    <n v="230"/>
    <n v="3345"/>
    <n v="69"/>
    <n v="2090"/>
    <n v="387"/>
    <x v="4"/>
    <n v="42088"/>
    <n v="313"/>
    <n v="7.4367990876259265E-3"/>
    <n v="7"/>
    <n v="2.2364217252396165E-2"/>
    <n v="1.6631819045808782E-4"/>
    <n v="207"/>
    <n v="0.66134185303514381"/>
    <n v="4.9182664892605966E-3"/>
    <n v="41"/>
    <n v="0.13099041533546327"/>
    <n v="9.7414940125451432E-4"/>
    <n v="48"/>
    <n v="0.15335463258785942"/>
    <n v="1.1404675917126021E-3"/>
    <n v="0"/>
    <n v="0"/>
    <n v="0"/>
    <n v="10"/>
    <n v="3.1948881789137379E-2"/>
    <n v="2.3759741494012545E-4"/>
    <b v="1"/>
    <b v="0"/>
    <b v="0"/>
    <b v="0"/>
    <b v="1"/>
    <b v="0"/>
    <b v="0"/>
    <b v="0"/>
    <b v="0"/>
    <b v="0"/>
    <b v="0"/>
    <b v="0"/>
    <b v="0"/>
  </r>
  <r>
    <s v="kubernetes-client/python"/>
    <s v="kubernetes-client"/>
    <s v="python"/>
    <s v="https://github.com/kubernetes-client/python"/>
    <d v="2016-10-31T20:08:03"/>
    <d v="2021-04-08T14:03:06"/>
    <n v="1619.7465625000041"/>
    <b v="0"/>
    <b v="1"/>
    <n v="3592"/>
    <n v="137"/>
    <n v="1997"/>
    <n v="50"/>
    <n v="3"/>
    <n v="83"/>
    <n v="529"/>
    <n v="16"/>
    <n v="878"/>
    <n v="82"/>
    <x v="4"/>
    <n v="109162"/>
    <n v="2"/>
    <n v="1.8321393891647275E-5"/>
    <n v="1"/>
    <n v="0.5"/>
    <n v="9.1606969458236375E-6"/>
    <n v="0"/>
    <n v="0"/>
    <n v="0"/>
    <n v="1"/>
    <n v="0.5"/>
    <n v="9.1606969458236375E-6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yb3r/modmail"/>
    <s v="kyb3r"/>
    <s v="modmail"/>
    <s v="https://github.com/kyb3r/modmail"/>
    <d v="2017-10-08T06:24:54"/>
    <d v="2021-04-08T17:35:20"/>
    <n v="1278.4655787037045"/>
    <b v="0"/>
    <b v="0"/>
    <n v="976"/>
    <n v="57"/>
    <n v="2942"/>
    <n v="140"/>
    <n v="43"/>
    <n v="44"/>
    <n v="295"/>
    <n v="3"/>
    <n v="603"/>
    <n v="23"/>
    <x v="11"/>
    <n v="5793"/>
    <n v="231"/>
    <n v="3.98757120662869E-2"/>
    <n v="71"/>
    <n v="0.30735930735930733"/>
    <n v="1.2256171241153116E-2"/>
    <n v="60"/>
    <n v="0.25974025974025972"/>
    <n v="1.0357327809425169E-2"/>
    <n v="60"/>
    <n v="0.25974025974025972"/>
    <n v="1.0357327809425169E-2"/>
    <n v="21"/>
    <n v="9.0909090909090912E-2"/>
    <n v="3.6250647332988087E-3"/>
    <n v="17"/>
    <n v="7.3593073593073599E-2"/>
    <n v="2.9345762126704645E-3"/>
    <n v="2"/>
    <n v="8.658008658008658E-3"/>
    <n v="3.4524426031417227E-4"/>
    <b v="1"/>
    <b v="0"/>
    <b v="0"/>
    <b v="0"/>
    <b v="1"/>
    <b v="0"/>
    <b v="0"/>
    <b v="0"/>
    <b v="0"/>
    <b v="0"/>
    <b v="0"/>
    <b v="0"/>
    <b v="0"/>
  </r>
  <r>
    <s v="kymatio/kymatio"/>
    <s v="kymatio"/>
    <s v="kymatio"/>
    <s v="https://github.com/kymatio/kymatio"/>
    <d v="2018-10-02T01:45:46"/>
    <d v="2021-04-06T10:45:36"/>
    <n v="917.37488425926131"/>
    <b v="0"/>
    <b v="1"/>
    <n v="409"/>
    <n v="26"/>
    <n v="76"/>
    <n v="0"/>
    <n v="9"/>
    <n v="23"/>
    <n v="413"/>
    <n v="12"/>
    <n v="296"/>
    <n v="48"/>
    <x v="2"/>
    <n v="5862"/>
    <n v="11"/>
    <n v="1.8764926646195838E-3"/>
    <n v="0"/>
    <n v="0"/>
    <n v="0"/>
    <n v="1"/>
    <n v="9.0909090909090912E-2"/>
    <n v="1.7059024223814399E-4"/>
    <n v="10"/>
    <n v="0.90909090909090906"/>
    <n v="1.7059024223814397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kyuupichan/electrumx"/>
    <s v="kyuupichan"/>
    <s v="electrumx"/>
    <s v="https://github.com/kyuupichan/electrumx"/>
    <d v="2016-10-08T08:00:49"/>
    <d v="2021-04-06T20:50:33"/>
    <n v="1641.5345370370414"/>
    <b v="0"/>
    <b v="0"/>
    <n v="626"/>
    <n v="57"/>
    <n v="595"/>
    <n v="1"/>
    <n v="40"/>
    <n v="146"/>
    <n v="470"/>
    <n v="3"/>
    <n v="567"/>
    <n v="18"/>
    <x v="5"/>
    <n v="6485"/>
    <n v="141"/>
    <n v="2.1742482652274478E-2"/>
    <n v="1"/>
    <n v="7.0921985815602835E-3"/>
    <n v="1.5420200462606013E-4"/>
    <n v="121"/>
    <n v="0.85815602836879434"/>
    <n v="1.8658442559753276E-2"/>
    <n v="7"/>
    <n v="4.9645390070921988E-2"/>
    <n v="1.0794140323824211E-3"/>
    <n v="8"/>
    <n v="5.6737588652482268E-2"/>
    <n v="1.233616037008481E-3"/>
    <n v="0"/>
    <n v="0"/>
    <n v="0"/>
    <n v="4"/>
    <n v="2.8368794326241134E-2"/>
    <n v="6.1680801850424051E-4"/>
    <b v="1"/>
    <b v="0"/>
    <b v="0"/>
    <b v="0"/>
    <b v="1"/>
    <b v="0"/>
    <b v="0"/>
    <b v="0"/>
    <b v="0"/>
    <b v="0"/>
    <b v="0"/>
    <b v="0"/>
    <b v="0"/>
  </r>
  <r>
    <s v="l3uddz/traktarr"/>
    <s v="l3uddz"/>
    <s v="traktarr"/>
    <s v="https://github.com/l3uddz/traktarr"/>
    <d v="2018-03-06T19:12:45"/>
    <d v="2021-04-07T06:07:54"/>
    <n v="1127.4549652777787"/>
    <b v="0"/>
    <b v="0"/>
    <n v="369"/>
    <n v="22"/>
    <n v="44"/>
    <n v="10"/>
    <n v="0"/>
    <n v="11"/>
    <n v="65"/>
    <n v="4"/>
    <n v="82"/>
    <n v="38"/>
    <x v="0"/>
    <n v="2222"/>
    <n v="315"/>
    <n v="0.14176417641764177"/>
    <n v="132"/>
    <n v="0.41904761904761906"/>
    <n v="5.9405940594059403E-2"/>
    <n v="74"/>
    <n v="0.23492063492063492"/>
    <n v="3.3303330333033301E-2"/>
    <n v="4"/>
    <n v="1.2698412698412698E-2"/>
    <n v="1.8001800180018001E-3"/>
    <n v="45"/>
    <n v="0.14285714285714285"/>
    <n v="2.025202520252025E-2"/>
    <n v="0"/>
    <n v="0"/>
    <n v="0"/>
    <n v="60"/>
    <n v="0.19047619047619047"/>
    <n v="2.7002700270027002E-2"/>
    <b v="1"/>
    <b v="0"/>
    <b v="0"/>
    <b v="0"/>
    <b v="1"/>
    <b v="0"/>
    <b v="0"/>
    <b v="0"/>
    <b v="0"/>
    <b v="0"/>
    <b v="0"/>
    <b v="0"/>
    <b v="0"/>
  </r>
  <r>
    <s v="laixintao/iredis"/>
    <s v="laixintao"/>
    <s v="iredis"/>
    <s v="https://github.com/laixintao/iredis"/>
    <d v="2019-01-18T08:31:15"/>
    <d v="2021-04-08T02:16:42"/>
    <n v="810.73989583333605"/>
    <b v="0"/>
    <b v="0"/>
    <n v="1424"/>
    <n v="17"/>
    <n v="55"/>
    <n v="29"/>
    <n v="0"/>
    <n v="17"/>
    <n v="204"/>
    <n v="3"/>
    <n v="177"/>
    <n v="58"/>
    <x v="7"/>
    <n v="4034"/>
    <n v="57"/>
    <n v="1.412989588497769E-2"/>
    <n v="22"/>
    <n v="0.38596491228070173"/>
    <n v="5.4536440257808624E-3"/>
    <n v="22"/>
    <n v="0.38596491228070173"/>
    <n v="5.4536440257808624E-3"/>
    <n v="6"/>
    <n v="0.10526315789473684"/>
    <n v="1.4873574615765989E-3"/>
    <n v="3"/>
    <n v="5.2631578947368418E-2"/>
    <n v="7.4367873078829945E-4"/>
    <n v="0"/>
    <n v="0"/>
    <n v="0"/>
    <n v="4"/>
    <n v="7.0175438596491224E-2"/>
    <n v="9.9157164105106587E-4"/>
    <b v="1"/>
    <b v="0"/>
    <b v="0"/>
    <b v="0"/>
    <b v="1"/>
    <b v="0"/>
    <b v="0"/>
    <b v="0"/>
    <b v="0"/>
    <b v="0"/>
    <b v="0"/>
    <b v="0"/>
    <b v="0"/>
  </r>
  <r>
    <s v="lancachenet/steamcache"/>
    <s v="lancachenet"/>
    <s v="steamcache"/>
    <s v="https://github.com/lancachenet/steamcache"/>
    <d v="2015-03-14T12:25:47"/>
    <d v="2021-03-07T00:15:35"/>
    <n v="2184.4929166666625"/>
    <b v="0"/>
    <b v="1"/>
    <n v="351"/>
    <n v="32"/>
    <n v="34"/>
    <n v="0"/>
    <n v="1"/>
    <n v="5"/>
    <n v="9"/>
    <n v="0"/>
    <n v="0"/>
    <n v="0"/>
    <x v="5"/>
    <n v="119"/>
    <n v="6"/>
    <n v="5.0420168067226892E-2"/>
    <n v="3"/>
    <n v="0.5"/>
    <n v="2.5210084033613446E-2"/>
    <n v="0"/>
    <n v="0"/>
    <n v="0"/>
    <n v="0"/>
    <n v="0"/>
    <n v="0"/>
    <n v="0"/>
    <n v="0"/>
    <n v="0"/>
    <n v="0"/>
    <n v="0"/>
    <n v="0"/>
    <n v="3"/>
    <n v="0.5"/>
    <n v="2.5210084033613446E-2"/>
    <b v="1"/>
    <b v="0"/>
    <b v="0"/>
    <b v="0"/>
    <b v="1"/>
    <b v="0"/>
    <b v="0"/>
    <b v="0"/>
    <b v="0"/>
    <b v="0"/>
    <b v="0"/>
    <b v="0"/>
    <b v="0"/>
  </r>
  <r>
    <s v="langgithub/CloudControl"/>
    <s v="langgithub"/>
    <s v="CloudControl"/>
    <s v="https://github.com/langgithub/CloudControl"/>
    <d v="2019-05-30T02:27:51"/>
    <d v="2021-04-06T13:51:01"/>
    <n v="677.47442129629781"/>
    <b v="0"/>
    <b v="0"/>
    <n v="355"/>
    <n v="19"/>
    <n v="120"/>
    <n v="0"/>
    <n v="0"/>
    <n v="0"/>
    <n v="3"/>
    <n v="3"/>
    <n v="5"/>
    <n v="1"/>
    <x v="1"/>
    <n v="805"/>
    <n v="30"/>
    <n v="3.7267080745341616E-2"/>
    <n v="23"/>
    <n v="0.76666666666666672"/>
    <n v="2.8571428571428571E-2"/>
    <n v="3"/>
    <n v="0.1"/>
    <n v="3.7267080745341614E-3"/>
    <n v="1"/>
    <n v="3.3333333333333333E-2"/>
    <n v="1.2422360248447205E-3"/>
    <n v="3"/>
    <n v="0.1"/>
    <n v="3.726708074534161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lanjelot/patator"/>
    <s v="lanjelot"/>
    <s v="patator"/>
    <s v="https://github.com/lanjelot/patator"/>
    <d v="2014-08-25T00:56:21"/>
    <d v="2021-04-09T02:10:22"/>
    <n v="2419.0514004629586"/>
    <b v="0"/>
    <b v="0"/>
    <n v="2475"/>
    <n v="150"/>
    <n v="609"/>
    <n v="0"/>
    <n v="0"/>
    <n v="10"/>
    <n v="33"/>
    <n v="4"/>
    <n v="127"/>
    <n v="14"/>
    <x v="3"/>
    <n v="2851"/>
    <n v="71"/>
    <n v="2.4903542616625744E-2"/>
    <n v="54"/>
    <n v="0.76056338028169013"/>
    <n v="1.8940722553490004E-2"/>
    <n v="12"/>
    <n v="0.16901408450704225"/>
    <n v="4.2090494563311121E-3"/>
    <n v="3"/>
    <n v="4.2253521126760563E-2"/>
    <n v="1.052262364082778E-3"/>
    <n v="1"/>
    <n v="1.4084507042253521E-2"/>
    <n v="3.5075412136092597E-4"/>
    <n v="0"/>
    <n v="0"/>
    <n v="0"/>
    <n v="1"/>
    <n v="1.4084507042253521E-2"/>
    <n v="3.5075412136092597E-4"/>
    <b v="1"/>
    <b v="1"/>
    <b v="0"/>
    <b v="0"/>
    <b v="1"/>
    <b v="0"/>
    <b v="0"/>
    <b v="0"/>
    <b v="0"/>
    <b v="0"/>
    <b v="0"/>
    <b v="0"/>
    <b v="0"/>
  </r>
  <r>
    <s v="lardbit/nefarious"/>
    <s v="lardbit"/>
    <s v="nefarious"/>
    <s v="https://github.com/lardbit/nefarious"/>
    <d v="2018-11-17T15:21:01"/>
    <d v="2021-04-07T17:07:29"/>
    <n v="872.07393518518802"/>
    <b v="0"/>
    <b v="0"/>
    <n v="378"/>
    <n v="16"/>
    <n v="33"/>
    <n v="0"/>
    <n v="0"/>
    <n v="3"/>
    <n v="59"/>
    <n v="6"/>
    <n v="44"/>
    <n v="13"/>
    <x v="0"/>
    <n v="2552"/>
    <n v="73"/>
    <n v="2.8605015673981191E-2"/>
    <n v="0"/>
    <n v="0"/>
    <n v="0"/>
    <n v="40"/>
    <n v="0.54794520547945202"/>
    <n v="1.5673981191222569E-2"/>
    <n v="13"/>
    <n v="0.17808219178082191"/>
    <n v="5.0940438871473351E-3"/>
    <n v="9"/>
    <n v="0.12328767123287671"/>
    <n v="3.5266457680250786E-3"/>
    <n v="0"/>
    <n v="0"/>
    <n v="0"/>
    <n v="11"/>
    <n v="0.15068493150684931"/>
    <n v="4.3103448275862068E-3"/>
    <b v="1"/>
    <b v="1"/>
    <b v="0"/>
    <b v="0"/>
    <b v="1"/>
    <b v="0"/>
    <b v="0"/>
    <b v="0"/>
    <b v="0"/>
    <b v="0"/>
    <b v="0"/>
    <b v="0"/>
    <b v="0"/>
  </r>
  <r>
    <s v="learningequality/ka-lite"/>
    <s v="learningequality"/>
    <s v="ka-lite"/>
    <s v="https://github.com/learningequality/ka-lite"/>
    <d v="2012-09-09T20:01:40"/>
    <d v="2021-04-06T15:03:15"/>
    <n v="3130.7927662037036"/>
    <b v="0"/>
    <b v="1"/>
    <n v="451"/>
    <n v="70"/>
    <n v="294"/>
    <n v="25"/>
    <n v="184"/>
    <n v="80"/>
    <n v="2736"/>
    <n v="3"/>
    <n v="2892"/>
    <n v="73"/>
    <x v="7"/>
    <n v="88684"/>
    <n v="293"/>
    <n v="3.3038654097695187E-3"/>
    <n v="45"/>
    <n v="0.15358361774744028"/>
    <n v="5.074196021830319E-4"/>
    <n v="74"/>
    <n v="0.25255972696245732"/>
    <n v="8.3442334581209688E-4"/>
    <n v="113"/>
    <n v="0.38566552901023893"/>
    <n v="1.2741870010373913E-3"/>
    <n v="57"/>
    <n v="0.19453924914675769"/>
    <n v="6.4273149609850701E-4"/>
    <n v="0"/>
    <n v="0"/>
    <n v="0"/>
    <n v="4"/>
    <n v="1.3651877133105802E-2"/>
    <n v="4.5103964638491723E-5"/>
    <b v="1"/>
    <b v="0"/>
    <b v="0"/>
    <b v="0"/>
    <b v="1"/>
    <b v="0"/>
    <b v="0"/>
    <b v="0"/>
    <b v="0"/>
    <b v="0"/>
    <b v="0"/>
    <b v="0"/>
    <b v="0"/>
  </r>
  <r>
    <s v="leeroybrun/glacier-vault-remove"/>
    <s v="leeroybrun"/>
    <s v="glacier-vault-remove"/>
    <s v="https://github.com/leeroybrun/glacier-vault-remove"/>
    <d v="2013-07-02T05:59:20"/>
    <d v="2021-03-31T14:38:31"/>
    <n v="2829.3605439814783"/>
    <b v="0"/>
    <b v="0"/>
    <n v="329"/>
    <n v="13"/>
    <n v="45"/>
    <n v="0"/>
    <n v="0"/>
    <n v="12"/>
    <n v="22"/>
    <n v="0"/>
    <n v="27"/>
    <n v="0"/>
    <x v="1"/>
    <n v="172"/>
    <n v="32"/>
    <n v="0.18604651162790697"/>
    <n v="0"/>
    <n v="0"/>
    <n v="0"/>
    <n v="27"/>
    <n v="0.84375"/>
    <n v="0.15697674418604651"/>
    <n v="0"/>
    <n v="0"/>
    <n v="0"/>
    <n v="5"/>
    <n v="0.15625"/>
    <n v="2.9069767441860465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levlaz/braindump"/>
    <s v="levlaz"/>
    <s v="braindump"/>
    <s v="https://github.com/levlaz/braindump"/>
    <d v="2015-11-22T20:15:55"/>
    <d v="2021-02-06T08:25:47"/>
    <n v="1902.5068518518456"/>
    <b v="0"/>
    <b v="0"/>
    <n v="534"/>
    <n v="16"/>
    <n v="50"/>
    <n v="10"/>
    <n v="18"/>
    <n v="13"/>
    <n v="142"/>
    <n v="0"/>
    <n v="0"/>
    <n v="0"/>
    <x v="5"/>
    <n v="1531"/>
    <n v="1"/>
    <n v="6.5316786414108428E-4"/>
    <n v="0"/>
    <n v="0"/>
    <n v="0"/>
    <n v="1"/>
    <n v="1"/>
    <n v="6.5316786414108428E-4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liangliangyy/DjangoBlog"/>
    <s v="liangliangyy"/>
    <s v="DjangoBlog"/>
    <s v="https://github.com/liangliangyy/DjangoBlog"/>
    <d v="2016-11-02T13:07:55"/>
    <d v="2021-04-09T01:54:58"/>
    <n v="1618.5326736111092"/>
    <b v="0"/>
    <b v="0"/>
    <n v="3711"/>
    <n v="172"/>
    <n v="1788"/>
    <n v="14"/>
    <n v="2"/>
    <n v="9"/>
    <n v="196"/>
    <n v="2"/>
    <n v="257"/>
    <n v="21"/>
    <x v="5"/>
    <n v="4034"/>
    <n v="55"/>
    <n v="1.3634110064452157E-2"/>
    <n v="1"/>
    <n v="1.8181818181818181E-2"/>
    <n v="2.4789291026276647E-4"/>
    <n v="24"/>
    <n v="0.43636363636363634"/>
    <n v="5.9494298463063956E-3"/>
    <n v="4"/>
    <n v="7.2727272727272724E-2"/>
    <n v="9.9157164105106587E-4"/>
    <n v="26"/>
    <n v="0.47272727272727272"/>
    <n v="6.445215666831928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liberapay/liberapay.com"/>
    <s v="liberapay"/>
    <s v="liberapay.com"/>
    <s v="https://github.com/liberapay/liberapay.com"/>
    <d v="2015-05-22T14:03:52"/>
    <d v="2021-04-09T02:06:36"/>
    <n v="2148.501898148148"/>
    <b v="0"/>
    <b v="1"/>
    <n v="1037"/>
    <n v="44"/>
    <n v="146"/>
    <n v="0"/>
    <n v="44"/>
    <n v="368"/>
    <n v="986"/>
    <n v="15"/>
    <n v="1001"/>
    <n v="429"/>
    <x v="1"/>
    <n v="18629"/>
    <n v="31"/>
    <n v="1.6640721455794729E-3"/>
    <n v="10"/>
    <n v="0.32258064516129031"/>
    <n v="5.3679746631595904E-4"/>
    <n v="6"/>
    <n v="0.19354838709677419"/>
    <n v="3.2207847978957537E-4"/>
    <n v="6"/>
    <n v="0.19354838709677419"/>
    <n v="3.2207847978957537E-4"/>
    <n v="9"/>
    <n v="0.29032258064516131"/>
    <n v="4.831177196843630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lightbulb-framework/lightbulb-framework"/>
    <s v="lightbulb-framework"/>
    <s v="lightbulb-framework"/>
    <s v="https://github.com/lightbulb-framework/lightbulb-framework"/>
    <d v="2016-11-03T18:16:45"/>
    <d v="2021-03-14T19:16:42"/>
    <n v="1592.0416319444485"/>
    <b v="0"/>
    <b v="1"/>
    <n v="443"/>
    <n v="32"/>
    <n v="66"/>
    <n v="0"/>
    <n v="0"/>
    <n v="3"/>
    <n v="11"/>
    <n v="0"/>
    <n v="9"/>
    <n v="4"/>
    <x v="5"/>
    <n v="10323"/>
    <n v="28"/>
    <n v="2.7123898091640027E-3"/>
    <n v="19"/>
    <n v="0.6785714285714286"/>
    <n v="1.8405502276470018E-3"/>
    <n v="1"/>
    <n v="3.5714285714285712E-2"/>
    <n v="9.6871064613000092E-5"/>
    <n v="8"/>
    <n v="0.2857142857142857"/>
    <n v="7.7496851690400073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liiight/notifiers"/>
    <s v="liiight"/>
    <s v="notifiers"/>
    <s v="https://github.com/liiight/notifiers"/>
    <d v="2017-06-01T10:20:18"/>
    <d v="2021-04-08T15:28:40"/>
    <n v="1407.2141435185185"/>
    <b v="0"/>
    <b v="0"/>
    <n v="1823"/>
    <n v="38"/>
    <n v="71"/>
    <n v="5"/>
    <n v="0"/>
    <n v="14"/>
    <n v="316"/>
    <n v="10"/>
    <n v="80"/>
    <n v="27"/>
    <x v="5"/>
    <n v="2777"/>
    <n v="21"/>
    <n v="7.562117392870004E-3"/>
    <n v="16"/>
    <n v="0.76190476190476186"/>
    <n v="5.7616132517104793E-3"/>
    <n v="5"/>
    <n v="0.23809523809523808"/>
    <n v="1.8005041411595247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line/promgen"/>
    <s v="line"/>
    <s v="promgen"/>
    <s v="https://github.com/line/promgen"/>
    <d v="2016-08-02T02:35:13"/>
    <d v="2021-04-09T01:03:36"/>
    <n v="1710.9363773148143"/>
    <b v="0"/>
    <b v="1"/>
    <n v="764"/>
    <n v="54"/>
    <n v="123"/>
    <n v="43"/>
    <n v="0"/>
    <n v="13"/>
    <n v="260"/>
    <n v="13"/>
    <n v="79"/>
    <n v="18"/>
    <x v="5"/>
    <n v="3837"/>
    <n v="96"/>
    <n v="2.5019546520719312E-2"/>
    <n v="37"/>
    <n v="0.38541666666666669"/>
    <n v="9.6429502215272349E-3"/>
    <n v="29"/>
    <n v="0.30208333333333331"/>
    <n v="7.5579880114672923E-3"/>
    <n v="22"/>
    <n v="0.22916666666666666"/>
    <n v="5.7336460776648427E-3"/>
    <n v="4"/>
    <n v="4.1666666666666664E-2"/>
    <n v="1.0424811050299713E-3"/>
    <n v="0"/>
    <n v="0"/>
    <n v="0"/>
    <n v="4"/>
    <n v="4.1666666666666664E-2"/>
    <n v="1.0424811050299713E-3"/>
    <b v="1"/>
    <b v="1"/>
    <b v="0"/>
    <b v="0"/>
    <b v="1"/>
    <b v="0"/>
    <b v="0"/>
    <b v="0"/>
    <b v="0"/>
    <b v="0"/>
    <b v="0"/>
    <b v="0"/>
    <b v="0"/>
  </r>
  <r>
    <s v="linkchecker/linkchecker"/>
    <s v="linkchecker"/>
    <s v="linkchecker"/>
    <s v="https://github.com/linkchecker/linkchecker"/>
    <d v="2017-01-31T15:46:03"/>
    <d v="2021-04-07T22:22:46"/>
    <n v="1527.2754976851793"/>
    <b v="0"/>
    <b v="1"/>
    <n v="405"/>
    <n v="17"/>
    <n v="88"/>
    <n v="4"/>
    <n v="2"/>
    <n v="43"/>
    <n v="308"/>
    <n v="6"/>
    <n v="226"/>
    <n v="77"/>
    <x v="3"/>
    <n v="11606"/>
    <n v="160"/>
    <n v="1.3785972772703775E-2"/>
    <n v="98"/>
    <n v="0.61250000000000004"/>
    <n v="8.4439083232810616E-3"/>
    <n v="4"/>
    <n v="2.5000000000000001E-2"/>
    <n v="3.4464931931759432E-4"/>
    <n v="54"/>
    <n v="0.33750000000000002"/>
    <n v="4.6527658107875236E-3"/>
    <n v="3"/>
    <n v="1.8749999999999999E-2"/>
    <n v="2.5848698948819574E-4"/>
    <n v="1"/>
    <n v="6.2500000000000003E-3"/>
    <n v="8.6162329829398581E-5"/>
    <n v="0"/>
    <n v="0"/>
    <n v="0"/>
    <b v="1"/>
    <b v="0"/>
    <b v="0"/>
    <b v="0"/>
    <b v="1"/>
    <b v="0"/>
    <b v="0"/>
    <b v="0"/>
    <b v="0"/>
    <b v="0"/>
    <b v="0"/>
    <b v="0"/>
    <b v="0"/>
  </r>
  <r>
    <s v="linkedin/iris"/>
    <s v="linkedin"/>
    <s v="iris"/>
    <s v="https://github.com/linkedin/iris"/>
    <d v="2017-01-18T21:20:21"/>
    <d v="2021-03-29T23:36:20"/>
    <n v="1531.0944328703699"/>
    <b v="0"/>
    <b v="1"/>
    <n v="602"/>
    <n v="38"/>
    <n v="107"/>
    <n v="35"/>
    <n v="2"/>
    <n v="24"/>
    <n v="528"/>
    <n v="5"/>
    <n v="79"/>
    <n v="27"/>
    <x v="8"/>
    <n v="11428"/>
    <n v="468"/>
    <n v="4.0952047602380116E-2"/>
    <n v="21"/>
    <n v="4.4871794871794872E-2"/>
    <n v="1.8375918795939796E-3"/>
    <n v="163"/>
    <n v="0.34829059829059827"/>
    <n v="1.4263213160658032E-2"/>
    <n v="89"/>
    <n v="0.19017094017094016"/>
    <n v="7.7878893944697235E-3"/>
    <n v="61"/>
    <n v="0.13034188034188035"/>
    <n v="5.337766888344417E-3"/>
    <n v="1"/>
    <n v="2.136752136752137E-3"/>
    <n v="8.7504375218760936E-5"/>
    <n v="133"/>
    <n v="0.28418803418803418"/>
    <n v="1.1638081904095205E-2"/>
    <b v="1"/>
    <b v="0"/>
    <b v="0"/>
    <b v="0"/>
    <b v="1"/>
    <b v="0"/>
    <b v="0"/>
    <b v="0"/>
    <b v="0"/>
    <b v="0"/>
    <b v="0"/>
    <b v="0"/>
    <b v="0"/>
  </r>
  <r>
    <s v="linkedin/oncall"/>
    <s v="linkedin"/>
    <s v="oncall"/>
    <s v="https://github.com/linkedin/oncall"/>
    <d v="2017-05-02T23:29:23"/>
    <d v="2021-04-03T20:45:45"/>
    <n v="1431.8863657407419"/>
    <b v="0"/>
    <b v="1"/>
    <n v="712"/>
    <n v="47"/>
    <n v="144"/>
    <n v="23"/>
    <n v="1"/>
    <n v="30"/>
    <n v="252"/>
    <n v="3"/>
    <n v="93"/>
    <n v="42"/>
    <x v="8"/>
    <n v="7446"/>
    <n v="96"/>
    <n v="1.2892828364222401E-2"/>
    <n v="28"/>
    <n v="0.29166666666666669"/>
    <n v="3.7604082728982004E-3"/>
    <n v="38"/>
    <n v="0.39583333333333331"/>
    <n v="5.1034112275047004E-3"/>
    <n v="6"/>
    <n v="6.25E-2"/>
    <n v="8.0580177276390005E-4"/>
    <n v="12"/>
    <n v="0.125"/>
    <n v="1.6116035455278001E-3"/>
    <n v="0"/>
    <n v="0"/>
    <n v="0"/>
    <n v="12"/>
    <n v="0.125"/>
    <n v="1.6116035455278001E-3"/>
    <b v="1"/>
    <b v="1"/>
    <b v="0"/>
    <b v="0"/>
    <b v="1"/>
    <b v="0"/>
    <b v="0"/>
    <b v="0"/>
    <b v="0"/>
    <b v="0"/>
    <b v="0"/>
    <b v="0"/>
    <b v="0"/>
  </r>
  <r>
    <s v="LinOTP/LinOTP"/>
    <s v="LinOTP"/>
    <s v="LinOTP"/>
    <s v="https://github.com/LinOTP/LinOTP"/>
    <d v="2014-05-20T11:26:38"/>
    <d v="2021-04-04T16:24:09"/>
    <n v="2511.206608796303"/>
    <b v="0"/>
    <b v="1"/>
    <n v="416"/>
    <n v="47"/>
    <n v="98"/>
    <n v="0"/>
    <n v="0"/>
    <n v="14"/>
    <n v="20"/>
    <n v="3"/>
    <n v="138"/>
    <n v="88"/>
    <x v="7"/>
    <n v="65569"/>
    <n v="1581"/>
    <n v="2.411200414830179E-2"/>
    <n v="594"/>
    <n v="0.37571157495256169"/>
    <n v="9.0591590538211652E-3"/>
    <n v="242"/>
    <n v="0.15306767868437698"/>
    <n v="3.690768503408623E-3"/>
    <n v="182"/>
    <n v="0.11511701454775458"/>
    <n v="2.7757019323155761E-3"/>
    <n v="226"/>
    <n v="0.14294750158127767"/>
    <n v="3.4467507511171439E-3"/>
    <n v="3"/>
    <n v="1.8975332068311196E-3"/>
    <n v="4.575332855465235E-5"/>
    <n v="334"/>
    <n v="0.21125869702719799"/>
    <n v="5.0938705790846287E-3"/>
    <b v="1"/>
    <b v="1"/>
    <b v="0"/>
    <b v="0"/>
    <b v="1"/>
    <b v="0"/>
    <b v="0"/>
    <b v="0"/>
    <b v="0"/>
    <b v="0"/>
    <b v="0"/>
    <b v="0"/>
    <b v="0"/>
  </r>
  <r>
    <s v="LiuRoy/zhihu_spider"/>
    <s v="LiuRoy"/>
    <s v="zhihu_spider"/>
    <s v="https://github.com/LiuRoy/zhihu_spider"/>
    <d v="2016-03-16T05:39:17"/>
    <d v="2021-04-08T09:07:15"/>
    <n v="1849.1444212962961"/>
    <b v="0"/>
    <b v="0"/>
    <n v="971"/>
    <n v="100"/>
    <n v="581"/>
    <n v="0"/>
    <n v="0"/>
    <n v="0"/>
    <n v="3"/>
    <n v="1"/>
    <n v="14"/>
    <n v="7"/>
    <x v="1"/>
    <n v="228"/>
    <n v="3"/>
    <n v="1.3157894736842105E-2"/>
    <n v="0"/>
    <n v="0"/>
    <n v="0"/>
    <n v="1"/>
    <n v="0.33333333333333331"/>
    <n v="4.3859649122807015E-3"/>
    <n v="0"/>
    <n v="0"/>
    <n v="0"/>
    <n v="2"/>
    <n v="0.66666666666666663"/>
    <n v="8.771929824561403E-3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llimllib/limbo"/>
    <s v="llimllib"/>
    <s v="limbo"/>
    <s v="https://github.com/llimllib/limbo"/>
    <d v="2014-03-26T19:26:59"/>
    <d v="2021-04-07T15:08:46"/>
    <n v="2568.8206828703696"/>
    <b v="0"/>
    <b v="0"/>
    <n v="387"/>
    <n v="26"/>
    <n v="138"/>
    <n v="1"/>
    <n v="11"/>
    <n v="17"/>
    <n v="129"/>
    <n v="15"/>
    <n v="86"/>
    <n v="32"/>
    <x v="5"/>
    <n v="1852"/>
    <n v="19"/>
    <n v="1.0259179265658747E-2"/>
    <n v="8"/>
    <n v="0.42105263157894735"/>
    <n v="4.3196544276457886E-3"/>
    <n v="1"/>
    <n v="5.2631578947368418E-2"/>
    <n v="5.3995680345572358E-4"/>
    <n v="8"/>
    <n v="0.42105263157894735"/>
    <n v="4.3196544276457886E-3"/>
    <n v="2"/>
    <n v="0.10526315789473684"/>
    <n v="1.079913606911447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llSourcell/AI_Startup_Prototype"/>
    <s v="llSourcell"/>
    <s v="AI_Startup_Prototype"/>
    <s v="https://github.com/llSourcell/AI_Startup_Prototype"/>
    <d v="2019-03-27T06:47:54"/>
    <d v="2021-03-31T19:14:06"/>
    <n v="735.51819444444845"/>
    <b v="0"/>
    <b v="0"/>
    <n v="353"/>
    <n v="25"/>
    <n v="251"/>
    <n v="0"/>
    <n v="0"/>
    <n v="3"/>
    <n v="3"/>
    <n v="0"/>
    <n v="18"/>
    <n v="15"/>
    <x v="1"/>
    <n v="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1"/>
    <b v="0"/>
  </r>
  <r>
    <s v="lmco/laikaboss"/>
    <s v="lmco"/>
    <s v="laikaboss"/>
    <s v="https://github.com/lmco/laikaboss"/>
    <d v="2015-06-12T14:49:03"/>
    <d v="2021-04-08T11:36:50"/>
    <n v="2126.8665162037069"/>
    <b v="0"/>
    <b v="1"/>
    <n v="681"/>
    <n v="138"/>
    <n v="145"/>
    <n v="0"/>
    <n v="2"/>
    <n v="17"/>
    <n v="51"/>
    <n v="12"/>
    <n v="28"/>
    <n v="13"/>
    <x v="4"/>
    <n v="4373"/>
    <n v="165"/>
    <n v="3.7731534415732904E-2"/>
    <n v="136"/>
    <n v="0.82424242424242422"/>
    <n v="3.1099931397210154E-2"/>
    <n v="2"/>
    <n v="1.2121212121212121E-2"/>
    <n v="4.5735193231191402E-4"/>
    <n v="3"/>
    <n v="1.8181818181818181E-2"/>
    <n v="6.8602789846787104E-4"/>
    <n v="0"/>
    <n v="0"/>
    <n v="0"/>
    <n v="0"/>
    <n v="0"/>
    <n v="0"/>
    <n v="24"/>
    <n v="0.14545454545454545"/>
    <n v="5.4882231877429683E-3"/>
    <b v="1"/>
    <b v="1"/>
    <b v="0"/>
    <b v="0"/>
    <b v="1"/>
    <b v="0"/>
    <b v="0"/>
    <b v="0"/>
    <b v="0"/>
    <b v="0"/>
    <b v="0"/>
    <b v="0"/>
    <b v="0"/>
  </r>
  <r>
    <s v="localstack/localstack"/>
    <s v="localstack"/>
    <s v="localstack"/>
    <s v="https://github.com/localstack/localstack"/>
    <d v="2016-10-25T23:48:03"/>
    <d v="2021-04-09T02:12:51"/>
    <n v="1626.100555555553"/>
    <b v="0"/>
    <b v="1"/>
    <n v="29528"/>
    <n v="461"/>
    <n v="2265"/>
    <n v="29"/>
    <n v="15"/>
    <n v="337"/>
    <n v="1461"/>
    <n v="18"/>
    <n v="2379"/>
    <n v="254"/>
    <x v="7"/>
    <n v="28746"/>
    <n v="271"/>
    <n v="9.4273985945870723E-3"/>
    <n v="91"/>
    <n v="0.33579335793357934"/>
    <n v="3.1656578306546996E-3"/>
    <n v="71"/>
    <n v="0.26199261992619927"/>
    <n v="2.4699088568844361E-3"/>
    <n v="88"/>
    <n v="0.32472324723247231"/>
    <n v="3.0612954845891604E-3"/>
    <n v="20"/>
    <n v="7.3800738007380073E-2"/>
    <n v="6.9574897377026369E-4"/>
    <n v="0"/>
    <n v="0"/>
    <n v="0"/>
    <n v="1"/>
    <n v="3.6900369003690036E-3"/>
    <n v="3.4787448688513187E-5"/>
    <b v="1"/>
    <b v="1"/>
    <b v="0"/>
    <b v="0"/>
    <b v="1"/>
    <b v="0"/>
    <b v="0"/>
    <b v="0"/>
    <b v="0"/>
    <b v="0"/>
    <b v="0"/>
    <b v="0"/>
    <b v="0"/>
  </r>
  <r>
    <s v="locustio/locust"/>
    <s v="locustio"/>
    <s v="locust"/>
    <s v="https://github.com/locustio/locust"/>
    <d v="2011-02-17T11:08:03"/>
    <d v="2021-04-08T18:46:11"/>
    <n v="3703.3181481481515"/>
    <b v="0"/>
    <b v="1"/>
    <n v="15789"/>
    <n v="452"/>
    <n v="2034"/>
    <n v="41"/>
    <n v="39"/>
    <n v="166"/>
    <n v="612"/>
    <n v="3"/>
    <n v="1126"/>
    <n v="51"/>
    <x v="5"/>
    <n v="8212"/>
    <n v="103"/>
    <n v="1.2542620555284949E-2"/>
    <n v="10"/>
    <n v="9.7087378640776698E-2"/>
    <n v="1.2177301509985387E-3"/>
    <n v="61"/>
    <n v="0.59223300970873782"/>
    <n v="7.4281539210910861E-3"/>
    <n v="12"/>
    <n v="0.11650485436893204"/>
    <n v="1.4612761811982464E-3"/>
    <n v="19"/>
    <n v="0.18446601941747573"/>
    <n v="2.3136872868972235E-3"/>
    <n v="0"/>
    <n v="0"/>
    <n v="0"/>
    <n v="1"/>
    <n v="9.7087378640776691E-3"/>
    <n v="1.2177301509985388E-4"/>
    <b v="1"/>
    <b v="1"/>
    <b v="0"/>
    <b v="0"/>
    <b v="1"/>
    <b v="0"/>
    <b v="0"/>
    <b v="0"/>
    <b v="0"/>
    <b v="0"/>
    <b v="0"/>
    <b v="0"/>
    <b v="0"/>
  </r>
  <r>
    <s v="log2timeline/plaso"/>
    <s v="log2timeline"/>
    <s v="plaso"/>
    <s v="https://github.com/log2timeline/plaso"/>
    <d v="2014-09-08T23:29:28"/>
    <d v="2021-04-08T16:56:51"/>
    <n v="2403.7273495370391"/>
    <b v="0"/>
    <b v="1"/>
    <n v="1074"/>
    <n v="83"/>
    <n v="235"/>
    <n v="34"/>
    <n v="5"/>
    <n v="67"/>
    <n v="1858"/>
    <n v="8"/>
    <n v="1686"/>
    <n v="276"/>
    <x v="4"/>
    <n v="60593"/>
    <n v="434"/>
    <n v="7.1625435281303124E-3"/>
    <n v="202"/>
    <n v="0.46543778801843316"/>
    <n v="3.3337184163187168E-3"/>
    <n v="14"/>
    <n v="3.2258064516129031E-2"/>
    <n v="2.3104979123001008E-4"/>
    <n v="110"/>
    <n v="0.25345622119815669"/>
    <n v="1.8153912168072219E-3"/>
    <n v="103"/>
    <n v="0.23732718894009217"/>
    <n v="1.6998663211922169E-3"/>
    <n v="0"/>
    <n v="0"/>
    <n v="0"/>
    <n v="5"/>
    <n v="1.1520737327188941E-2"/>
    <n v="8.2517782582146448E-5"/>
    <b v="1"/>
    <b v="0"/>
    <b v="0"/>
    <b v="0"/>
    <b v="1"/>
    <b v="0"/>
    <b v="0"/>
    <b v="0"/>
    <b v="0"/>
    <b v="0"/>
    <b v="0"/>
    <b v="0"/>
    <b v="0"/>
  </r>
  <r>
    <s v="Lonero-Team/Decentralized-Internet"/>
    <s v="Lonero-Team"/>
    <s v="Decentralized-Internet"/>
    <s v="https://github.com/Lonero-Team/Decentralized-Internet"/>
    <d v="2019-10-31T16:18:59"/>
    <d v="2021-04-08T23:24:44"/>
    <n v="525.2956597222219"/>
    <b v="0"/>
    <b v="1"/>
    <n v="409"/>
    <n v="25"/>
    <n v="167"/>
    <n v="13"/>
    <n v="41"/>
    <n v="10"/>
    <n v="2025"/>
    <n v="0"/>
    <n v="155"/>
    <n v="0"/>
    <x v="5"/>
    <n v="12698"/>
    <n v="112"/>
    <n v="8.8202866593164279E-3"/>
    <n v="40"/>
    <n v="0.35714285714285715"/>
    <n v="3.1501023783272958E-3"/>
    <n v="34"/>
    <n v="0.30357142857142855"/>
    <n v="2.6775870215782014E-3"/>
    <n v="12"/>
    <n v="0.10714285714285714"/>
    <n v="9.4503071349818872E-4"/>
    <n v="22"/>
    <n v="0.19642857142857142"/>
    <n v="1.7325563080800126E-3"/>
    <n v="4"/>
    <n v="3.5714285714285712E-2"/>
    <n v="3.1501023783272954E-4"/>
    <n v="0"/>
    <n v="0"/>
    <n v="0"/>
    <b v="1"/>
    <b v="1"/>
    <b v="0"/>
    <b v="0"/>
    <b v="1"/>
    <b v="0"/>
    <b v="0"/>
    <b v="0"/>
    <b v="0"/>
    <b v="0"/>
    <b v="0"/>
    <b v="0"/>
    <b v="0"/>
  </r>
  <r>
    <s v="Lookyloo/lookyloo"/>
    <s v="Lookyloo"/>
    <s v="lookyloo"/>
    <s v="https://github.com/Lookyloo/lookyloo"/>
    <d v="2017-07-23T17:53:24"/>
    <d v="2021-04-08T17:17:00"/>
    <n v="1354.9747222222213"/>
    <b v="0"/>
    <b v="1"/>
    <n v="382"/>
    <n v="21"/>
    <n v="44"/>
    <n v="3"/>
    <n v="1"/>
    <n v="10"/>
    <n v="74"/>
    <n v="0"/>
    <n v="120"/>
    <n v="45"/>
    <x v="7"/>
    <n v="3275"/>
    <n v="41"/>
    <n v="1.2519083969465649E-2"/>
    <n v="0"/>
    <n v="0"/>
    <n v="0"/>
    <n v="14"/>
    <n v="0.34146341463414637"/>
    <n v="4.2748091603053437E-3"/>
    <n v="23"/>
    <n v="0.56097560975609762"/>
    <n v="7.0229007633587784E-3"/>
    <n v="0"/>
    <n v="0"/>
    <n v="0"/>
    <n v="2"/>
    <n v="4.878048780487805E-2"/>
    <n v="6.1068702290076337E-4"/>
    <n v="2"/>
    <n v="4.878048780487805E-2"/>
    <n v="6.1068702290076337E-4"/>
    <b v="1"/>
    <b v="1"/>
    <b v="0"/>
    <b v="0"/>
    <b v="1"/>
    <b v="0"/>
    <b v="0"/>
    <b v="0"/>
    <b v="0"/>
    <b v="0"/>
    <b v="0"/>
    <b v="0"/>
    <b v="0"/>
  </r>
  <r>
    <s v="lowerquality/gentle"/>
    <s v="lowerquality"/>
    <s v="gentle"/>
    <s v="https://github.com/lowerquality/gentle"/>
    <d v="2015-10-23T10:00:45"/>
    <d v="2021-04-01T07:02:58"/>
    <n v="1986.8765393518479"/>
    <b v="0"/>
    <b v="1"/>
    <n v="925"/>
    <n v="38"/>
    <n v="208"/>
    <n v="8"/>
    <n v="30"/>
    <n v="14"/>
    <n v="99"/>
    <n v="9"/>
    <n v="191"/>
    <n v="122"/>
    <x v="5"/>
    <n v="1138"/>
    <n v="16"/>
    <n v="1.4059753954305799E-2"/>
    <n v="2"/>
    <n v="0.125"/>
    <n v="1.7574692442882249E-3"/>
    <n v="13"/>
    <n v="0.8125"/>
    <n v="1.1423550087873463E-2"/>
    <n v="0"/>
    <n v="0"/>
    <n v="0"/>
    <n v="1"/>
    <n v="6.25E-2"/>
    <n v="8.787346221441124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lspvic/jupyter_tensorboard"/>
    <s v="lspvic"/>
    <s v="jupyter_tensorboard"/>
    <s v="https://github.com/lspvic/jupyter_tensorboard"/>
    <d v="2017-08-22T08:05:13"/>
    <d v="2021-04-08T08:40:50"/>
    <n v="1325.024733796301"/>
    <b v="0"/>
    <b v="0"/>
    <n v="450"/>
    <n v="17"/>
    <n v="66"/>
    <n v="0"/>
    <n v="0"/>
    <n v="4"/>
    <n v="8"/>
    <n v="3"/>
    <n v="65"/>
    <n v="38"/>
    <x v="5"/>
    <n v="410"/>
    <n v="5"/>
    <n v="1.2195121951219513E-2"/>
    <n v="3"/>
    <n v="0.6"/>
    <n v="7.3170731707317077E-3"/>
    <n v="2"/>
    <n v="0.4"/>
    <n v="4.8780487804878049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LTD-Beget/sprutio"/>
    <s v="LTD-Beget"/>
    <s v="sprutio"/>
    <s v="https://github.com/LTD-Beget/sprutio"/>
    <d v="2015-12-16T11:36:48"/>
    <d v="2021-03-28T18:39:29"/>
    <n v="1929.2935300925892"/>
    <b v="0"/>
    <b v="1"/>
    <n v="436"/>
    <n v="36"/>
    <n v="80"/>
    <n v="0"/>
    <n v="2"/>
    <n v="8"/>
    <n v="34"/>
    <n v="4"/>
    <n v="76"/>
    <n v="46"/>
    <x v="0"/>
    <n v="3443"/>
    <n v="28"/>
    <n v="8.1324426372349698E-3"/>
    <n v="0"/>
    <n v="0"/>
    <n v="0"/>
    <n v="4"/>
    <n v="0.14285714285714285"/>
    <n v="1.1617775196049957E-3"/>
    <n v="0"/>
    <n v="0"/>
    <n v="0"/>
    <n v="24"/>
    <n v="0.8571428571428571"/>
    <n v="6.9706651176299735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ludwig-ai/ludwig"/>
    <s v="ludwig-ai"/>
    <s v="ludwig"/>
    <s v="https://github.com/ludwig-ai/ludwig"/>
    <d v="2018-12-27T23:58:12"/>
    <d v="2021-04-09T01:46:07"/>
    <n v="833.07494212962774"/>
    <b v="0"/>
    <b v="1"/>
    <n v="7638"/>
    <n v="183"/>
    <n v="861"/>
    <n v="10"/>
    <n v="54"/>
    <n v="87"/>
    <n v="613"/>
    <n v="18"/>
    <n v="529"/>
    <n v="107"/>
    <x v="4"/>
    <n v="19805"/>
    <n v="377"/>
    <n v="1.9035597071446603E-2"/>
    <n v="136"/>
    <n v="0.36074270557029176"/>
    <n v="6.8669527896995704E-3"/>
    <n v="157"/>
    <n v="0.41644562334217505"/>
    <n v="7.927291088109063E-3"/>
    <n v="26"/>
    <n v="6.8965517241379309E-2"/>
    <n v="1.3127997980308002E-3"/>
    <n v="46"/>
    <n v="0.1220159151193634"/>
    <n v="2.3226457965160314E-3"/>
    <n v="4"/>
    <n v="1.0610079575596816E-2"/>
    <n v="2.019691996970462E-4"/>
    <n v="8"/>
    <n v="2.1220159151193633E-2"/>
    <n v="4.039383993940924E-4"/>
    <b v="1"/>
    <b v="0"/>
    <b v="0"/>
    <b v="0"/>
    <b v="1"/>
    <b v="0"/>
    <b v="0"/>
    <b v="0"/>
    <b v="0"/>
    <b v="0"/>
    <b v="0"/>
    <b v="0"/>
    <b v="0"/>
  </r>
  <r>
    <s v="lyft/confidant"/>
    <s v="lyft"/>
    <s v="confidant"/>
    <s v="https://github.com/lyft/confidant"/>
    <d v="2015-09-11T18:02:12"/>
    <d v="2021-04-08T21:02:15"/>
    <n v="2036.1250347222231"/>
    <b v="0"/>
    <b v="1"/>
    <n v="1633"/>
    <n v="297"/>
    <n v="88"/>
    <n v="7"/>
    <n v="6"/>
    <n v="23"/>
    <n v="231"/>
    <n v="10"/>
    <n v="87"/>
    <n v="23"/>
    <x v="4"/>
    <n v="5486"/>
    <n v="130"/>
    <n v="2.3696682464454975E-2"/>
    <n v="11"/>
    <n v="8.461538461538462E-2"/>
    <n v="2.0051039008384978E-3"/>
    <n v="38"/>
    <n v="0.29230769230769232"/>
    <n v="6.926722566532993E-3"/>
    <n v="38"/>
    <n v="0.29230769230769232"/>
    <n v="6.926722566532993E-3"/>
    <n v="30"/>
    <n v="0.23076923076923078"/>
    <n v="5.4684651841049947E-3"/>
    <n v="0"/>
    <n v="0"/>
    <n v="0"/>
    <n v="13"/>
    <n v="0.1"/>
    <n v="2.3696682464454978E-3"/>
    <b v="1"/>
    <b v="1"/>
    <b v="0"/>
    <b v="0"/>
    <b v="1"/>
    <b v="0"/>
    <b v="0"/>
    <b v="0"/>
    <b v="0"/>
    <b v="0"/>
    <b v="0"/>
    <b v="0"/>
    <b v="0"/>
  </r>
  <r>
    <s v="lyft/metadataproxy"/>
    <s v="lyft"/>
    <s v="metadataproxy"/>
    <s v="https://github.com/lyft/metadataproxy"/>
    <d v="2016-03-02T21:56:23"/>
    <d v="2021-04-08T21:41:36"/>
    <n v="1862.9897337962975"/>
    <b v="0"/>
    <b v="1"/>
    <n v="412"/>
    <n v="235"/>
    <n v="56"/>
    <n v="0"/>
    <n v="0"/>
    <n v="34"/>
    <n v="74"/>
    <n v="3"/>
    <n v="31"/>
    <n v="6"/>
    <x v="7"/>
    <n v="665"/>
    <n v="24"/>
    <n v="3.6090225563909777E-2"/>
    <n v="10"/>
    <n v="0.41666666666666669"/>
    <n v="1.5037593984962405E-2"/>
    <n v="1"/>
    <n v="4.1666666666666664E-2"/>
    <n v="1.5037593984962407E-3"/>
    <n v="0"/>
    <n v="0"/>
    <n v="0"/>
    <n v="11"/>
    <n v="0.45833333333333331"/>
    <n v="1.6541353383458645E-2"/>
    <n v="0"/>
    <n v="0"/>
    <n v="0"/>
    <n v="2"/>
    <n v="8.3333333333333329E-2"/>
    <n v="3.0075187969924814E-3"/>
    <b v="1"/>
    <b v="0"/>
    <b v="0"/>
    <b v="0"/>
    <b v="1"/>
    <b v="0"/>
    <b v="0"/>
    <b v="0"/>
    <b v="0"/>
    <b v="0"/>
    <b v="0"/>
    <b v="0"/>
    <b v="0"/>
  </r>
  <r>
    <s v="lzzy12/python-aria-mirror-bot"/>
    <s v="lzzy12"/>
    <s v="python-aria-mirror-bot"/>
    <s v="https://github.com/lzzy12/python-aria-mirror-bot"/>
    <d v="2019-09-21T13:11:12"/>
    <d v="2021-04-09T02:52:43"/>
    <n v="565.57049768518482"/>
    <b v="0"/>
    <b v="0"/>
    <n v="395"/>
    <n v="48"/>
    <n v="710"/>
    <n v="3"/>
    <n v="11"/>
    <n v="13"/>
    <n v="70"/>
    <n v="8"/>
    <n v="146"/>
    <n v="27"/>
    <x v="0"/>
    <n v="2324"/>
    <n v="67"/>
    <n v="2.8829604130808949E-2"/>
    <n v="2"/>
    <n v="2.9850746268656716E-2"/>
    <n v="8.6058519793459555E-4"/>
    <n v="48"/>
    <n v="0.71641791044776115"/>
    <n v="2.0654044750430294E-2"/>
    <n v="3"/>
    <n v="4.4776119402985072E-2"/>
    <n v="1.2908777969018934E-3"/>
    <n v="14"/>
    <n v="0.20895522388059701"/>
    <n v="6.02409638554216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4n3dw0lf/pythem"/>
    <s v="m4n3dw0lf"/>
    <s v="pythem"/>
    <s v="https://github.com/m4n3dw0lf/pythem"/>
    <d v="2016-04-18T19:38:32"/>
    <d v="2021-04-06T14:48:55"/>
    <n v="1813.7988773148099"/>
    <b v="0"/>
    <b v="0"/>
    <n v="1060"/>
    <n v="82"/>
    <n v="307"/>
    <n v="0"/>
    <n v="0"/>
    <n v="6"/>
    <n v="11"/>
    <n v="1"/>
    <n v="36"/>
    <n v="9"/>
    <x v="0"/>
    <n v="3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adflojo/automatron"/>
    <s v="madflojo"/>
    <s v="automatron"/>
    <s v="https://github.com/madflojo/automatron"/>
    <d v="2016-05-15T22:25:35"/>
    <d v="2021-04-04T07:39:09"/>
    <n v="1784.384421296294"/>
    <b v="0"/>
    <b v="0"/>
    <n v="382"/>
    <n v="29"/>
    <n v="55"/>
    <n v="8"/>
    <n v="0"/>
    <n v="3"/>
    <n v="87"/>
    <n v="0"/>
    <n v="40"/>
    <n v="4"/>
    <x v="4"/>
    <n v="1921"/>
    <n v="94"/>
    <n v="4.8932847475273294E-2"/>
    <n v="54"/>
    <n v="0.57446808510638303"/>
    <n v="2.8110359187922956E-2"/>
    <n v="19"/>
    <n v="0.20212765957446807"/>
    <n v="9.8906819364914106E-3"/>
    <n v="10"/>
    <n v="0.10638297872340426"/>
    <n v="5.2056220718375845E-3"/>
    <n v="11"/>
    <n v="0.11702127659574468"/>
    <n v="5.726184279021343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adhawav/YOLO3-4-Py"/>
    <s v="madhawav"/>
    <s v="YOLO3-4-Py"/>
    <s v="https://github.com/madhawav/YOLO3-4-Py"/>
    <d v="2018-04-01T15:26:25"/>
    <d v="2021-04-02T13:08:22"/>
    <n v="1096.9041319444441"/>
    <b v="0"/>
    <b v="0"/>
    <n v="503"/>
    <n v="25"/>
    <n v="156"/>
    <n v="1"/>
    <n v="0"/>
    <n v="4"/>
    <n v="16"/>
    <n v="0"/>
    <n v="116"/>
    <n v="2"/>
    <x v="4"/>
    <n v="446"/>
    <n v="18"/>
    <n v="4.0358744394618833E-2"/>
    <n v="0"/>
    <n v="0"/>
    <n v="0"/>
    <n v="18"/>
    <n v="1"/>
    <n v="4.0358744394618833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ahyarnajibi/SNIPER"/>
    <s v="mahyarnajibi"/>
    <s v="SNIPER"/>
    <s v="https://github.com/mahyarnajibi/SNIPER"/>
    <d v="2018-01-13T14:45:42"/>
    <d v="2021-04-08T05:02:00"/>
    <n v="1180.5946527777778"/>
    <b v="0"/>
    <b v="0"/>
    <n v="2615"/>
    <n v="84"/>
    <n v="433"/>
    <n v="0"/>
    <n v="0"/>
    <n v="5"/>
    <n v="8"/>
    <n v="2"/>
    <n v="176"/>
    <n v="111"/>
    <x v="7"/>
    <n v="6671"/>
    <n v="1"/>
    <n v="1.4990256333383302E-4"/>
    <n v="0"/>
    <n v="0"/>
    <n v="0"/>
    <n v="1"/>
    <n v="1"/>
    <n v="1.4990256333383302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aicius/QQZoneMood"/>
    <s v="Maicius"/>
    <s v="QQZoneMood"/>
    <s v="https://github.com/Maicius/QQZoneMood"/>
    <d v="2017-02-14T13:31:07"/>
    <d v="2021-04-07T16:44:59"/>
    <n v="1513.1346296296324"/>
    <b v="0"/>
    <b v="0"/>
    <n v="439"/>
    <n v="19"/>
    <n v="121"/>
    <n v="4"/>
    <n v="0"/>
    <n v="3"/>
    <n v="37"/>
    <n v="0"/>
    <n v="19"/>
    <n v="1"/>
    <x v="5"/>
    <n v="3654"/>
    <n v="9"/>
    <n v="2.4630541871921183E-3"/>
    <n v="0"/>
    <n v="0"/>
    <n v="0"/>
    <n v="3"/>
    <n v="0.33333333333333331"/>
    <n v="8.2101806239737272E-4"/>
    <n v="0"/>
    <n v="0"/>
    <n v="0"/>
    <n v="3"/>
    <n v="0.33333333333333331"/>
    <n v="8.2101806239737272E-4"/>
    <n v="0"/>
    <n v="0"/>
    <n v="0"/>
    <n v="3"/>
    <n v="0.33333333333333331"/>
    <n v="8.2101806239737272E-4"/>
    <b v="1"/>
    <b v="1"/>
    <b v="0"/>
    <b v="0"/>
    <b v="1"/>
    <b v="0"/>
    <b v="0"/>
    <b v="0"/>
    <b v="0"/>
    <b v="0"/>
    <b v="0"/>
    <b v="0"/>
    <b v="0"/>
  </r>
  <r>
    <s v="mailpile/Mailpile"/>
    <s v="mailpile"/>
    <s v="Mailpile"/>
    <s v="https://github.com/mailpile/Mailpile"/>
    <d v="2011-10-30T23:45:22"/>
    <d v="2021-04-08T20:38:36"/>
    <n v="3447.8703009259261"/>
    <b v="0"/>
    <b v="1"/>
    <n v="8374"/>
    <n v="414"/>
    <n v="1003"/>
    <n v="8"/>
    <n v="60"/>
    <n v="166"/>
    <n v="600"/>
    <n v="17"/>
    <n v="1685"/>
    <n v="382"/>
    <x v="7"/>
    <n v="38343"/>
    <n v="193"/>
    <n v="5.0335132879534726E-3"/>
    <n v="108"/>
    <n v="0.55958549222797926"/>
    <n v="2.8166810108755185E-3"/>
    <n v="9"/>
    <n v="4.6632124352331605E-2"/>
    <n v="2.3472341757295988E-4"/>
    <n v="48"/>
    <n v="0.24870466321243523"/>
    <n v="1.2518582270557859E-3"/>
    <n v="27"/>
    <n v="0.13989637305699482"/>
    <n v="7.0417025271887963E-4"/>
    <n v="0"/>
    <n v="0"/>
    <n v="0"/>
    <n v="1"/>
    <n v="5.1813471502590676E-3"/>
    <n v="2.6080379730328874E-5"/>
    <b v="1"/>
    <b v="1"/>
    <b v="0"/>
    <b v="0"/>
    <b v="1"/>
    <b v="0"/>
    <b v="0"/>
    <b v="0"/>
    <b v="0"/>
    <b v="0"/>
    <b v="0"/>
    <b v="0"/>
    <b v="0"/>
  </r>
  <r>
    <s v="Mailu/Mailu"/>
    <s v="Mailu"/>
    <s v="Mailu"/>
    <s v="https://github.com/Mailu/Mailu"/>
    <d v="2016-01-10T21:35:55"/>
    <d v="2021-04-08T12:10:30"/>
    <n v="1914.6073495370365"/>
    <b v="0"/>
    <b v="1"/>
    <n v="2611"/>
    <n v="86"/>
    <n v="482"/>
    <n v="2"/>
    <n v="24"/>
    <n v="133"/>
    <n v="680"/>
    <n v="39"/>
    <n v="1118"/>
    <n v="126"/>
    <x v="7"/>
    <n v="3170"/>
    <n v="5"/>
    <n v="1.5772870662460567E-3"/>
    <n v="0"/>
    <n v="0"/>
    <n v="0"/>
    <n v="5"/>
    <n v="1"/>
    <n v="1.5772870662460567E-3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akerdao/market-maker-keeper"/>
    <s v="makerdao"/>
    <s v="market-maker-keeper"/>
    <s v="https://github.com/makerdao/market-maker-keeper"/>
    <d v="2017-11-30T18:52:44"/>
    <d v="2021-03-31T22:23:49"/>
    <n v="1217.1465856481518"/>
    <b v="0"/>
    <b v="1"/>
    <n v="349"/>
    <n v="31"/>
    <n v="131"/>
    <n v="0"/>
    <n v="0"/>
    <n v="14"/>
    <n v="204"/>
    <n v="2"/>
    <n v="23"/>
    <n v="7"/>
    <x v="11"/>
    <n v="9092"/>
    <n v="209"/>
    <n v="2.2987241531016278E-2"/>
    <n v="82"/>
    <n v="0.3923444976076555"/>
    <n v="9.0189177298724155E-3"/>
    <n v="93"/>
    <n v="0.44497607655502391"/>
    <n v="1.0228772547294325E-2"/>
    <n v="24"/>
    <n v="0.11483253588516747"/>
    <n v="2.6396832380114386E-3"/>
    <n v="4"/>
    <n v="1.9138755980861243E-2"/>
    <n v="4.399472063352398E-4"/>
    <n v="0"/>
    <n v="0"/>
    <n v="0"/>
    <n v="6"/>
    <n v="2.8708133971291867E-2"/>
    <n v="6.5992080950285964E-4"/>
    <b v="1"/>
    <b v="1"/>
    <b v="0"/>
    <b v="0"/>
    <b v="1"/>
    <b v="0"/>
    <b v="0"/>
    <b v="0"/>
    <b v="0"/>
    <b v="0"/>
    <b v="0"/>
    <b v="0"/>
    <b v="0"/>
  </r>
  <r>
    <s v="manateelazycat/emacs-application-framework"/>
    <s v="manateelazycat"/>
    <s v="emacs-application-framework"/>
    <s v="https://github.com/manateelazycat/emacs-application-framework"/>
    <d v="2018-06-24T14:32:17"/>
    <d v="2021-04-07T19:01:18"/>
    <n v="1018.1868171296301"/>
    <b v="0"/>
    <b v="0"/>
    <n v="1502"/>
    <n v="58"/>
    <n v="119"/>
    <n v="0"/>
    <n v="32"/>
    <n v="43"/>
    <n v="370"/>
    <n v="0"/>
    <n v="245"/>
    <n v="5"/>
    <x v="0"/>
    <n v="4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animCommunity/manim"/>
    <s v="ManimCommunity"/>
    <s v="manim"/>
    <s v="https://github.com/ManimCommunity/manim"/>
    <d v="2020-05-19T02:37:13"/>
    <d v="2021-04-09T04:09:08"/>
    <n v="325.06383101852407"/>
    <b v="0"/>
    <b v="1"/>
    <n v="2021"/>
    <n v="35"/>
    <n v="230"/>
    <n v="6"/>
    <n v="10"/>
    <n v="163"/>
    <n v="771"/>
    <n v="29"/>
    <n v="523"/>
    <n v="127"/>
    <x v="5"/>
    <n v="19313"/>
    <n v="70"/>
    <n v="3.6245016310257339E-3"/>
    <n v="19"/>
    <n v="0.27142857142857141"/>
    <n v="9.8379329984984217E-4"/>
    <n v="19"/>
    <n v="0.27142857142857141"/>
    <n v="9.8379329984984217E-4"/>
    <n v="22"/>
    <n v="0.31428571428571428"/>
    <n v="1.1391290840366592E-3"/>
    <n v="10"/>
    <n v="0.14285714285714285"/>
    <n v="5.177859472893905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antl/mantl"/>
    <s v="mantl"/>
    <s v="mantl"/>
    <s v="https://github.com/mantl/mantl"/>
    <d v="2015-01-27T17:36:52"/>
    <d v="2021-03-29T23:07:01"/>
    <n v="2253.2292708333334"/>
    <b v="0"/>
    <b v="1"/>
    <n v="3050"/>
    <n v="201"/>
    <n v="418"/>
    <n v="29"/>
    <n v="156"/>
    <n v="103"/>
    <n v="1063"/>
    <n v="14"/>
    <n v="969"/>
    <n v="158"/>
    <x v="4"/>
    <n v="1877"/>
    <n v="31"/>
    <n v="1.6515716568993075E-2"/>
    <n v="0"/>
    <n v="0"/>
    <n v="0"/>
    <n v="13"/>
    <n v="0.41935483870967744"/>
    <n v="6.9259456579648373E-3"/>
    <n v="11"/>
    <n v="0.35483870967741937"/>
    <n v="5.8604155567394782E-3"/>
    <n v="5"/>
    <n v="0.16129032258064516"/>
    <n v="2.6638252530633991E-3"/>
    <n v="2"/>
    <n v="6.4516129032258063E-2"/>
    <n v="1.0655301012253596E-3"/>
    <n v="0"/>
    <n v="0"/>
    <n v="0"/>
    <b v="1"/>
    <b v="0"/>
    <b v="0"/>
    <b v="0"/>
    <b v="1"/>
    <b v="0"/>
    <b v="0"/>
    <b v="0"/>
    <b v="0"/>
    <b v="0"/>
    <b v="0"/>
    <b v="0"/>
    <b v="0"/>
  </r>
  <r>
    <s v="mar10/wsgidav"/>
    <d v="2021-03-10T00:00:00"/>
    <s v="wsgidav"/>
    <s v="https://github.com/mar10/wsgidav"/>
    <d v="2013-12-22T14:38:24"/>
    <d v="2021-04-07T01:21:40"/>
    <n v="2662.4467129629629"/>
    <b v="0"/>
    <b v="0"/>
    <n v="481"/>
    <n v="20"/>
    <n v="90"/>
    <n v="28"/>
    <n v="3"/>
    <n v="34"/>
    <n v="100"/>
    <n v="1"/>
    <n v="114"/>
    <n v="3"/>
    <x v="5"/>
    <n v="8058"/>
    <n v="279"/>
    <n v="3.4623976172747581E-2"/>
    <n v="103"/>
    <n v="0.36917562724014336"/>
    <n v="1.2782328121121867E-2"/>
    <n v="77"/>
    <n v="0.27598566308243727"/>
    <n v="9.5557210225862502E-3"/>
    <n v="41"/>
    <n v="0.14695340501792115"/>
    <n v="5.0881111938446263E-3"/>
    <n v="50"/>
    <n v="0.17921146953405018"/>
    <n v="6.2050136510300325E-3"/>
    <n v="0"/>
    <n v="0"/>
    <n v="0"/>
    <n v="8"/>
    <n v="2.8673835125448029E-2"/>
    <n v="9.9280218416480524E-4"/>
    <b v="1"/>
    <b v="1"/>
    <b v="0"/>
    <b v="0"/>
    <b v="1"/>
    <b v="0"/>
    <b v="0"/>
    <b v="0"/>
    <b v="0"/>
    <b v="0"/>
    <b v="0"/>
    <b v="0"/>
    <b v="0"/>
  </r>
  <r>
    <s v="Mariewelt/OpenChem"/>
    <s v="Mariewelt"/>
    <s v="OpenChem"/>
    <s v="https://github.com/Mariewelt/OpenChem"/>
    <d v="2018-07-10T01:27:33"/>
    <d v="2021-04-04T22:50:59"/>
    <n v="999.89127314814687"/>
    <b v="0"/>
    <b v="0"/>
    <n v="364"/>
    <n v="33"/>
    <n v="59"/>
    <n v="0"/>
    <n v="0"/>
    <n v="2"/>
    <n v="10"/>
    <n v="0"/>
    <n v="13"/>
    <n v="11"/>
    <x v="5"/>
    <n v="4383"/>
    <n v="15"/>
    <n v="3.4223134839151265E-3"/>
    <n v="0"/>
    <n v="0"/>
    <n v="0"/>
    <n v="12"/>
    <n v="0.8"/>
    <n v="2.7378507871321013E-3"/>
    <n v="3"/>
    <n v="0.2"/>
    <n v="6.8446269678302531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ariusmotea/diyHue"/>
    <s v="mariusmotea"/>
    <s v="diyHue"/>
    <s v="https://github.com/mariusmotea/diyHue"/>
    <d v="2017-03-20T20:01:18"/>
    <d v="2021-03-30T00:37:16"/>
    <n v="1470.1916435185194"/>
    <b v="0"/>
    <b v="0"/>
    <n v="587"/>
    <n v="61"/>
    <n v="109"/>
    <n v="6"/>
    <n v="15"/>
    <n v="41"/>
    <n v="130"/>
    <n v="0"/>
    <n v="383"/>
    <n v="4"/>
    <x v="7"/>
    <n v="2183"/>
    <n v="100"/>
    <n v="4.5808520384791572E-2"/>
    <n v="14"/>
    <n v="0.14000000000000001"/>
    <n v="6.4131928538708203E-3"/>
    <n v="80"/>
    <n v="0.8"/>
    <n v="3.6646816307833258E-2"/>
    <n v="0"/>
    <n v="0"/>
    <n v="0"/>
    <n v="0"/>
    <n v="0"/>
    <n v="0"/>
    <n v="0"/>
    <n v="0"/>
    <n v="0"/>
    <n v="6"/>
    <n v="0.06"/>
    <n v="2.7485112230874941E-3"/>
    <b v="0"/>
    <b v="1"/>
    <b v="0"/>
    <b v="0"/>
    <b v="1"/>
    <b v="0"/>
    <b v="0"/>
    <b v="0"/>
    <b v="0"/>
    <b v="0"/>
    <b v="0"/>
    <b v="0"/>
    <b v="0"/>
  </r>
  <r>
    <s v="mars-project/mars"/>
    <s v="mars-project"/>
    <s v="mars"/>
    <s v="https://github.com/mars-project/mars"/>
    <d v="2018-12-05T16:04:03"/>
    <d v="2021-04-09T00:07:37"/>
    <n v="855.33581018518453"/>
    <b v="0"/>
    <b v="1"/>
    <n v="2085"/>
    <n v="86"/>
    <n v="245"/>
    <n v="78"/>
    <n v="0"/>
    <n v="19"/>
    <n v="1290"/>
    <n v="2"/>
    <n v="793"/>
    <n v="116"/>
    <x v="4"/>
    <n v="127646"/>
    <n v="271"/>
    <n v="2.1230590852827349E-3"/>
    <n v="153"/>
    <n v="0.56457564575645758"/>
    <n v="1.1986274540526144E-3"/>
    <n v="22"/>
    <n v="8.1180811808118078E-2"/>
    <n v="1.7235166005985302E-4"/>
    <n v="64"/>
    <n v="0.23616236162361623"/>
    <n v="5.013866474468452E-4"/>
    <n v="11"/>
    <n v="4.0590405904059039E-2"/>
    <n v="8.6175830029926512E-5"/>
    <n v="0"/>
    <n v="0"/>
    <n v="0"/>
    <n v="21"/>
    <n v="7.7490774907749083E-2"/>
    <n v="1.6451749369349609E-4"/>
    <b v="1"/>
    <b v="0"/>
    <b v="0"/>
    <b v="0"/>
    <b v="1"/>
    <b v="0"/>
    <b v="0"/>
    <b v="0"/>
    <b v="0"/>
    <b v="0"/>
    <b v="0"/>
    <b v="0"/>
    <b v="0"/>
  </r>
  <r>
    <s v="Marten4n6/EvilOSX"/>
    <s v="Marten4n6"/>
    <s v="EvilOSX"/>
    <s v="https://github.com/Marten4n6/EvilOSX"/>
    <d v="2018-02-14T18:38:55"/>
    <d v="2021-04-08T07:01:22"/>
    <n v="1148.5155902777769"/>
    <b v="0"/>
    <b v="0"/>
    <n v="1660"/>
    <n v="105"/>
    <n v="367"/>
    <n v="0"/>
    <n v="2"/>
    <n v="7"/>
    <n v="13"/>
    <n v="2"/>
    <n v="109"/>
    <n v="39"/>
    <x v="0"/>
    <n v="3094"/>
    <n v="24"/>
    <n v="7.7569489334195219E-3"/>
    <n v="9"/>
    <n v="0.375"/>
    <n v="2.9088558500323207E-3"/>
    <n v="7"/>
    <n v="0.29166666666666669"/>
    <n v="2.2624434389140274E-3"/>
    <n v="0"/>
    <n v="0"/>
    <n v="0"/>
    <n v="8"/>
    <n v="0.33333333333333331"/>
    <n v="2.585649644473173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artomo/SublimeTextXdebug"/>
    <s v="martomo"/>
    <s v="SublimeTextXdebug"/>
    <s v="https://github.com/martomo/SublimeTextXdebug"/>
    <d v="2013-04-01T12:48:51"/>
    <d v="2021-03-23T16:58:50"/>
    <n v="2913.17359953704"/>
    <b v="0"/>
    <b v="0"/>
    <n v="564"/>
    <n v="26"/>
    <n v="93"/>
    <n v="0"/>
    <n v="2"/>
    <n v="0"/>
    <n v="37"/>
    <n v="9"/>
    <n v="171"/>
    <n v="64"/>
    <x v="5"/>
    <n v="3873"/>
    <n v="2"/>
    <n v="5.1639555899819257E-4"/>
    <n v="1"/>
    <n v="0.5"/>
    <n v="2.5819777949909629E-4"/>
    <n v="1"/>
    <n v="0.5"/>
    <n v="2.5819777949909629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atrix-org/synapse"/>
    <s v="matrix-org"/>
    <s v="synapse"/>
    <s v="https://github.com/matrix-org/synapse"/>
    <d v="2014-08-11T15:51:42"/>
    <d v="2021-04-08T23:40:36"/>
    <n v="2432.3256249999977"/>
    <b v="0"/>
    <b v="1"/>
    <n v="7704"/>
    <n v="251"/>
    <n v="1339"/>
    <n v="321"/>
    <n v="59"/>
    <n v="296"/>
    <n v="5728"/>
    <n v="59"/>
    <n v="4013"/>
    <n v="1200"/>
    <x v="4"/>
    <n v="84319"/>
    <n v="1242"/>
    <n v="1.4729776207023327E-2"/>
    <n v="355"/>
    <n v="0.285829307568438"/>
    <n v="4.2102017338915311E-3"/>
    <n v="460"/>
    <n v="0.37037037037037035"/>
    <n v="5.4554726692678992E-3"/>
    <n v="272"/>
    <n v="0.21900161030595813"/>
    <n v="3.2258447087844971E-3"/>
    <n v="58"/>
    <n v="4.6698872785829307E-2"/>
    <n v="6.8786394525551778E-4"/>
    <n v="1"/>
    <n v="8.0515297906602254E-4"/>
    <n v="1.1859723194060651E-5"/>
    <n v="96"/>
    <n v="7.7294685990338161E-2"/>
    <n v="1.1385334266298226E-3"/>
    <b v="1"/>
    <b v="1"/>
    <b v="0"/>
    <b v="0"/>
    <b v="1"/>
    <b v="0"/>
    <b v="0"/>
    <b v="0"/>
    <b v="0"/>
    <b v="0"/>
    <b v="0"/>
    <b v="0"/>
    <b v="0"/>
  </r>
  <r>
    <s v="mattupstate/overholt"/>
    <s v="mattupstate"/>
    <s v="overholt"/>
    <s v="https://github.com/mattupstate/overholt"/>
    <d v="2013-06-26T16:39:12"/>
    <d v="2021-04-02T17:31:54"/>
    <n v="2837.0365972222207"/>
    <b v="0"/>
    <b v="0"/>
    <n v="1566"/>
    <n v="60"/>
    <n v="237"/>
    <n v="0"/>
    <n v="0"/>
    <n v="4"/>
    <n v="15"/>
    <n v="7"/>
    <n v="36"/>
    <n v="18"/>
    <x v="5"/>
    <n v="1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aurosoria/dirsearch"/>
    <s v="maurosoria"/>
    <s v="dirsearch"/>
    <s v="https://github.com/maurosoria/dirsearch"/>
    <d v="2013-04-30T15:57:40"/>
    <d v="2021-04-09T00:09:22"/>
    <n v="2900.341458333336"/>
    <b v="0"/>
    <b v="0"/>
    <n v="5838"/>
    <n v="257"/>
    <n v="1413"/>
    <n v="14"/>
    <n v="4"/>
    <n v="63"/>
    <n v="504"/>
    <n v="9"/>
    <n v="273"/>
    <n v="50"/>
    <x v="1"/>
    <n v="10424"/>
    <n v="60"/>
    <n v="5.7559478127398311E-3"/>
    <n v="26"/>
    <n v="0.43333333333333335"/>
    <n v="2.4942440521872602E-3"/>
    <n v="6"/>
    <n v="0.1"/>
    <n v="5.7559478127398314E-4"/>
    <n v="15"/>
    <n v="0.25"/>
    <n v="1.4389869531849578E-3"/>
    <n v="13"/>
    <n v="0.21666666666666667"/>
    <n v="1.247122026093630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axbbraun/trump2cash"/>
    <s v="maxbbraun"/>
    <s v="trump2cash"/>
    <s v="https://github.com/maxbbraun/trump2cash"/>
    <d v="2017-01-22T03:54:56"/>
    <d v="2021-04-09T02:32:19"/>
    <n v="1537.9426273148201"/>
    <b v="0"/>
    <b v="0"/>
    <n v="5927"/>
    <n v="291"/>
    <n v="822"/>
    <n v="0"/>
    <n v="1"/>
    <n v="0"/>
    <n v="11"/>
    <n v="8"/>
    <n v="56"/>
    <n v="25"/>
    <x v="5"/>
    <n v="1646"/>
    <n v="119"/>
    <n v="7.2296476306196844E-2"/>
    <n v="45"/>
    <n v="0.37815126050420167"/>
    <n v="2.7339003645200487E-2"/>
    <n v="9"/>
    <n v="7.5630252100840331E-2"/>
    <n v="5.4678007290400975E-3"/>
    <n v="27"/>
    <n v="0.22689075630252101"/>
    <n v="1.6403402187120292E-2"/>
    <n v="37"/>
    <n v="0.31092436974789917"/>
    <n v="2.2478736330498177E-2"/>
    <n v="1"/>
    <n v="8.4033613445378148E-3"/>
    <n v="6.0753341433778852E-4"/>
    <n v="0"/>
    <n v="0"/>
    <n v="0"/>
    <b v="1"/>
    <b v="0"/>
    <b v="0"/>
    <b v="0"/>
    <b v="1"/>
    <b v="0"/>
    <b v="0"/>
    <b v="0"/>
    <b v="0"/>
    <b v="0"/>
    <b v="0"/>
    <b v="0"/>
    <b v="0"/>
  </r>
  <r>
    <s v="mdn/kuma"/>
    <s v="mdn"/>
    <s v="kuma"/>
    <s v="https://github.com/mdn/kuma"/>
    <d v="2011-02-10T21:48:06"/>
    <d v="2021-04-08T13:57:35"/>
    <n v="3709.6732523148166"/>
    <b v="0"/>
    <b v="1"/>
    <n v="1863"/>
    <n v="138"/>
    <n v="689"/>
    <n v="0"/>
    <n v="362"/>
    <n v="285"/>
    <n v="6450"/>
    <n v="11"/>
    <n v="1230"/>
    <n v="203"/>
    <x v="6"/>
    <n v="28089"/>
    <n v="82"/>
    <n v="2.9192922496350886E-3"/>
    <n v="15"/>
    <n v="0.18292682926829268"/>
    <n v="5.3401687493324793E-4"/>
    <n v="34"/>
    <n v="0.41463414634146339"/>
    <n v="1.2104382498486952E-3"/>
    <n v="15"/>
    <n v="0.18292682926829268"/>
    <n v="5.3401687493324793E-4"/>
    <n v="18"/>
    <n v="0.21951219512195122"/>
    <n v="6.4082024991989745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eetMe/newrelic-plugin-agent"/>
    <s v="MeetMe"/>
    <s v="newrelic-plugin-agent"/>
    <s v="https://github.com/MeetMe/newrelic-plugin-agent"/>
    <d v="2013-06-18T23:50:20"/>
    <d v="2021-03-11T12:18:00"/>
    <n v="2822.5192129629577"/>
    <b v="0"/>
    <b v="1"/>
    <n v="433"/>
    <n v="34"/>
    <n v="253"/>
    <n v="0"/>
    <n v="8"/>
    <n v="50"/>
    <n v="119"/>
    <n v="31"/>
    <n v="444"/>
    <n v="192"/>
    <x v="2"/>
    <n v="1661"/>
    <n v="54"/>
    <n v="3.2510535821794098E-2"/>
    <n v="21"/>
    <n v="0.3888888888888889"/>
    <n v="1.2642986152919929E-2"/>
    <n v="9"/>
    <n v="0.16666666666666666"/>
    <n v="5.4184226369656833E-3"/>
    <n v="3"/>
    <n v="5.5555555555555552E-2"/>
    <n v="1.8061408789885611E-3"/>
    <n v="17"/>
    <n v="0.31481481481481483"/>
    <n v="1.0234798314268514E-2"/>
    <n v="3"/>
    <n v="5.5555555555555552E-2"/>
    <n v="1.8061408789885611E-3"/>
    <n v="1"/>
    <n v="1.8518518518518517E-2"/>
    <n v="6.020469596628537E-4"/>
    <b v="1"/>
    <b v="0"/>
    <b v="0"/>
    <b v="0"/>
    <b v="1"/>
    <b v="0"/>
    <b v="0"/>
    <b v="0"/>
    <b v="0"/>
    <b v="0"/>
    <b v="0"/>
    <b v="0"/>
    <b v="0"/>
  </r>
  <r>
    <s v="megvii-model/YOLOF"/>
    <s v="megvii-model"/>
    <s v="YOLOF"/>
    <s v="https://github.com/megvii-model/YOLOF"/>
    <d v="2021-03-11T06:42:12"/>
    <d v="2021-04-08T18:26:16"/>
    <n v="28.488935185188893"/>
    <b v="0"/>
    <b v="0"/>
    <n v="516"/>
    <n v="25"/>
    <n v="63"/>
    <n v="0"/>
    <n v="0"/>
    <n v="2"/>
    <n v="1"/>
    <n v="1"/>
    <n v="20"/>
    <n v="3"/>
    <x v="5"/>
    <n v="29969"/>
    <n v="216"/>
    <n v="7.2074476959524845E-3"/>
    <n v="0"/>
    <n v="0"/>
    <n v="0"/>
    <n v="154"/>
    <n v="0.71296296296296291"/>
    <n v="5.1386432647068641E-3"/>
    <n v="49"/>
    <n v="0.22685185185185186"/>
    <n v="1.635022856952184E-3"/>
    <n v="12"/>
    <n v="5.5555555555555552E-2"/>
    <n v="4.004137608862491E-4"/>
    <n v="0"/>
    <n v="0"/>
    <n v="0"/>
    <n v="1"/>
    <n v="4.6296296296296294E-3"/>
    <n v="3.3367813407187425E-5"/>
    <b v="1"/>
    <b v="0"/>
    <b v="0"/>
    <b v="0"/>
    <b v="1"/>
    <b v="0"/>
    <b v="0"/>
    <b v="0"/>
    <b v="0"/>
    <b v="0"/>
    <b v="0"/>
    <b v="0"/>
    <b v="0"/>
  </r>
  <r>
    <s v="MegviiDetection/video_analyst"/>
    <s v="MegviiDetection"/>
    <s v="video_analyst"/>
    <s v="https://github.com/MegviiDetection/video_analyst"/>
    <d v="2019-12-23T06:13:00"/>
    <d v="2021-04-01T03:18:46"/>
    <n v="464.87900462962716"/>
    <b v="0"/>
    <b v="1"/>
    <n v="554"/>
    <n v="25"/>
    <n v="136"/>
    <n v="0"/>
    <n v="0"/>
    <n v="4"/>
    <n v="96"/>
    <n v="0"/>
    <n v="92"/>
    <n v="8"/>
    <x v="5"/>
    <n v="14624"/>
    <n v="196"/>
    <n v="1.3402625820568928E-2"/>
    <n v="20"/>
    <n v="0.10204081632653061"/>
    <n v="1.3676148796498905E-3"/>
    <n v="147"/>
    <n v="0.75"/>
    <n v="1.0051969365426695E-2"/>
    <n v="6"/>
    <n v="3.0612244897959183E-2"/>
    <n v="4.1028446389496716E-4"/>
    <n v="23"/>
    <n v="0.11734693877551021"/>
    <n v="1.5727571115973743E-3"/>
    <n v="0"/>
    <n v="0"/>
    <n v="0"/>
    <n v="0"/>
    <n v="0"/>
    <n v="0"/>
    <b v="1"/>
    <b v="0"/>
    <b v="0"/>
    <b v="0"/>
    <b v="0"/>
    <b v="0"/>
    <b v="0"/>
    <b v="0"/>
    <b v="1"/>
    <b v="0"/>
    <b v="0"/>
    <b v="0"/>
    <b v="0"/>
  </r>
  <r>
    <s v="Meituan-Dianping/lyrebird"/>
    <s v="Meituan-Dianping"/>
    <s v="lyrebird"/>
    <s v="https://github.com/Meituan-Dianping/lyrebird"/>
    <d v="2018-07-12T08:50:59"/>
    <d v="2021-04-08T11:17:45"/>
    <n v="1001.1019212963001"/>
    <b v="0"/>
    <b v="1"/>
    <n v="678"/>
    <n v="37"/>
    <n v="143"/>
    <n v="132"/>
    <n v="0"/>
    <n v="13"/>
    <n v="358"/>
    <n v="3"/>
    <n v="123"/>
    <n v="38"/>
    <x v="5"/>
    <n v="4933"/>
    <n v="67"/>
    <n v="1.3581998783701602E-2"/>
    <n v="15"/>
    <n v="0.22388059701492538"/>
    <n v="3.040745996351105E-3"/>
    <n v="9"/>
    <n v="0.13432835820895522"/>
    <n v="1.8244475978106628E-3"/>
    <n v="20"/>
    <n v="0.29850746268656714"/>
    <n v="4.0543279951348061E-3"/>
    <n v="23"/>
    <n v="0.34328358208955223"/>
    <n v="4.662477194405027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elissa-AI/Melissa-Core"/>
    <s v="Melissa-AI"/>
    <s v="Melissa-Core"/>
    <s v="https://github.com/Melissa-AI/Melissa-Core"/>
    <d v="2015-11-30T03:18:05"/>
    <d v="2021-04-06T17:29:30"/>
    <n v="1954.5912615740672"/>
    <b v="0"/>
    <b v="1"/>
    <n v="458"/>
    <n v="78"/>
    <n v="196"/>
    <n v="0"/>
    <n v="3"/>
    <n v="20"/>
    <n v="115"/>
    <n v="4"/>
    <n v="104"/>
    <n v="7"/>
    <x v="5"/>
    <n v="2756"/>
    <n v="6"/>
    <n v="2.1770682148040637E-3"/>
    <n v="4"/>
    <n v="0.66666666666666663"/>
    <n v="1.4513788098693759E-3"/>
    <n v="1"/>
    <n v="0.16666666666666666"/>
    <n v="3.6284470246734398E-4"/>
    <n v="1"/>
    <n v="0.16666666666666666"/>
    <n v="3.6284470246734398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engskysama/shadowsocks-rm"/>
    <s v="mengskysama"/>
    <s v="shadowsocks-rm"/>
    <s v="https://github.com/mengskysama/shadowsocks-rm"/>
    <d v="2015-10-26T02:04:19"/>
    <d v="2021-04-02T07:14:32"/>
    <n v="1985.2154282407428"/>
    <b v="0"/>
    <b v="0"/>
    <n v="425"/>
    <n v="42"/>
    <n v="274"/>
    <n v="0"/>
    <n v="0"/>
    <n v="42"/>
    <n v="18"/>
    <n v="3"/>
    <n v="73"/>
    <n v="43"/>
    <x v="4"/>
    <n v="3196"/>
    <n v="113"/>
    <n v="3.53566958698373E-2"/>
    <n v="24"/>
    <n v="0.21238938053097345"/>
    <n v="7.5093867334167707E-3"/>
    <n v="15"/>
    <n v="0.13274336283185842"/>
    <n v="4.6933667083854822E-3"/>
    <n v="35"/>
    <n v="0.30973451327433627"/>
    <n v="1.095118898623279E-2"/>
    <n v="39"/>
    <n v="0.34513274336283184"/>
    <n v="1.2202753441802253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eolu/walle-web"/>
    <s v="meolu"/>
    <s v="walle-web"/>
    <s v="https://github.com/meolu/walle-web"/>
    <d v="2015-09-11T05:18:44"/>
    <d v="2021-04-08T14:09:45"/>
    <n v="2036.368761574071"/>
    <b v="0"/>
    <b v="0"/>
    <n v="10823"/>
    <n v="533"/>
    <n v="2576"/>
    <n v="20"/>
    <n v="3"/>
    <n v="50"/>
    <n v="227"/>
    <n v="8"/>
    <n v="939"/>
    <n v="365"/>
    <x v="4"/>
    <n v="4597"/>
    <n v="71"/>
    <n v="1.5444855340439417E-2"/>
    <n v="0"/>
    <n v="0"/>
    <n v="0"/>
    <n v="56"/>
    <n v="0.78873239436619713"/>
    <n v="1.218185773330433E-2"/>
    <n v="1"/>
    <n v="1.4084507042253521E-2"/>
    <n v="2.1753317380900588E-4"/>
    <n v="10"/>
    <n v="0.14084507042253522"/>
    <n v="2.1753317380900587E-3"/>
    <n v="0"/>
    <n v="0"/>
    <n v="0"/>
    <n v="4"/>
    <n v="5.6338028169014086E-2"/>
    <n v="8.7013269523602351E-4"/>
    <b v="1"/>
    <b v="1"/>
    <b v="0"/>
    <b v="0"/>
    <b v="1"/>
    <b v="0"/>
    <b v="0"/>
    <b v="0"/>
    <b v="0"/>
    <b v="0"/>
    <b v="0"/>
    <b v="0"/>
    <b v="0"/>
  </r>
  <r>
    <s v="mesalock-linux/mesapy"/>
    <s v="mesalock-linux"/>
    <s v="mesapy"/>
    <s v="https://github.com/mesalock-linux/mesapy"/>
    <d v="2018-06-04T20:45:17"/>
    <d v="2021-04-06T06:50:29"/>
    <n v="1036.4202777777828"/>
    <b v="0"/>
    <b v="1"/>
    <n v="347"/>
    <n v="8"/>
    <n v="21"/>
    <n v="1"/>
    <n v="0"/>
    <n v="2"/>
    <n v="13"/>
    <n v="0"/>
    <n v="11"/>
    <n v="7"/>
    <x v="7"/>
    <n v="83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esosphere/marathon-lb"/>
    <s v="mesosphere"/>
    <s v="marathon-lb"/>
    <s v="https://github.com/mesosphere/marathon-lb"/>
    <d v="2015-10-07T16:36:32"/>
    <d v="2021-03-17T07:14:56"/>
    <n v="1987.6100000000006"/>
    <b v="0"/>
    <b v="1"/>
    <n v="449"/>
    <n v="147"/>
    <n v="280"/>
    <n v="52"/>
    <n v="9"/>
    <n v="78"/>
    <n v="359"/>
    <n v="4"/>
    <n v="317"/>
    <n v="81"/>
    <x v="4"/>
    <n v="4445"/>
    <n v="136"/>
    <n v="3.0596175478065243E-2"/>
    <n v="50"/>
    <n v="0.36764705882352944"/>
    <n v="1.1248593925759279E-2"/>
    <n v="44"/>
    <n v="0.3235294117647059"/>
    <n v="9.8987626546681671E-3"/>
    <n v="15"/>
    <n v="0.11029411764705882"/>
    <n v="3.3745781777277839E-3"/>
    <n v="17"/>
    <n v="0.125"/>
    <n v="3.8245219347581554E-3"/>
    <n v="0"/>
    <n v="0"/>
    <n v="0"/>
    <n v="10"/>
    <n v="7.3529411764705885E-2"/>
    <n v="2.2497187851518562E-3"/>
    <b v="1"/>
    <b v="0"/>
    <b v="0"/>
    <b v="0"/>
    <b v="1"/>
    <b v="0"/>
    <b v="0"/>
    <b v="0"/>
    <b v="0"/>
    <b v="0"/>
    <b v="0"/>
    <b v="0"/>
    <b v="0"/>
  </r>
  <r>
    <s v="metabrainz/listenbrainz-server"/>
    <s v="metabrainz"/>
    <s v="listenbrainz-server"/>
    <s v="https://github.com/metabrainz/listenbrainz-server"/>
    <d v="2015-09-05T12:30:49"/>
    <d v="2021-04-08T18:39:08"/>
    <n v="2042.255775462967"/>
    <b v="0"/>
    <b v="1"/>
    <n v="425"/>
    <n v="31"/>
    <n v="90"/>
    <n v="93"/>
    <n v="90"/>
    <n v="57"/>
    <n v="1381"/>
    <n v="25"/>
    <n v="0"/>
    <n v="0"/>
    <x v="3"/>
    <n v="24195"/>
    <n v="450"/>
    <n v="1.8598884066955982E-2"/>
    <n v="63"/>
    <n v="0.14000000000000001"/>
    <n v="2.6038437693738374E-3"/>
    <n v="151"/>
    <n v="0.33555555555555555"/>
    <n v="6.2409588758007856E-3"/>
    <n v="11"/>
    <n v="2.4444444444444446E-2"/>
    <n v="4.5463938830336847E-4"/>
    <n v="180"/>
    <n v="0.4"/>
    <n v="7.4395536267823931E-3"/>
    <n v="45"/>
    <n v="0.1"/>
    <n v="1.8598884066955983E-3"/>
    <n v="0"/>
    <n v="0"/>
    <n v="0"/>
    <b v="1"/>
    <b v="1"/>
    <b v="0"/>
    <b v="0"/>
    <b v="1"/>
    <b v="0"/>
    <b v="0"/>
    <b v="0"/>
    <b v="0"/>
    <b v="0"/>
    <b v="0"/>
    <b v="0"/>
    <b v="0"/>
  </r>
  <r>
    <s v="mhallsmoore/qstrader"/>
    <s v="mhallsmoore"/>
    <s v="qstrader"/>
    <s v="https://github.com/mhallsmoore/qstrader"/>
    <d v="2015-12-04T10:32:46"/>
    <d v="2021-04-09T00:24:03"/>
    <n v="1952.5772800925915"/>
    <b v="0"/>
    <b v="0"/>
    <n v="1731"/>
    <n v="252"/>
    <n v="647"/>
    <n v="1"/>
    <n v="6"/>
    <n v="14"/>
    <n v="152"/>
    <n v="10"/>
    <n v="215"/>
    <n v="88"/>
    <x v="5"/>
    <n v="3813"/>
    <n v="6"/>
    <n v="1.5735641227380016E-3"/>
    <n v="0"/>
    <n v="0"/>
    <n v="0"/>
    <n v="6"/>
    <n v="1"/>
    <n v="1.5735641227380016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her/flower"/>
    <s v="mher"/>
    <s v="flower"/>
    <s v="https://github.com/mher/flower"/>
    <d v="2012-07-08T13:35:09"/>
    <d v="2021-04-08T10:29:37"/>
    <n v="3195.8711574074114"/>
    <b v="0"/>
    <b v="0"/>
    <n v="4715"/>
    <n v="143"/>
    <n v="785"/>
    <n v="0"/>
    <n v="33"/>
    <n v="158"/>
    <n v="334"/>
    <n v="6"/>
    <n v="755"/>
    <n v="46"/>
    <x v="7"/>
    <n v="3042"/>
    <n v="51"/>
    <n v="1.6765285996055226E-2"/>
    <n v="16"/>
    <n v="0.31372549019607843"/>
    <n v="5.2596975673898753E-3"/>
    <n v="16"/>
    <n v="0.31372549019607843"/>
    <n v="5.2596975673898753E-3"/>
    <n v="1"/>
    <n v="1.9607843137254902E-2"/>
    <n v="3.2873109796186721E-4"/>
    <n v="15"/>
    <n v="0.29411764705882354"/>
    <n v="4.9309664694280079E-3"/>
    <n v="0"/>
    <n v="0"/>
    <n v="0"/>
    <n v="3"/>
    <n v="5.8823529411764705E-2"/>
    <n v="9.8619329388560163E-4"/>
    <b v="1"/>
    <b v="1"/>
    <b v="0"/>
    <b v="0"/>
    <b v="1"/>
    <b v="0"/>
    <b v="0"/>
    <b v="0"/>
    <b v="0"/>
    <b v="0"/>
    <b v="0"/>
    <b v="0"/>
    <b v="0"/>
  </r>
  <r>
    <s v="mherrmann/fbs"/>
    <s v="mherrmann"/>
    <s v="fbs"/>
    <s v="https://github.com/mherrmann/fbs"/>
    <d v="2017-12-15T09:07:55"/>
    <d v="2021-04-09T00:35:25"/>
    <n v="1210.6440972222263"/>
    <b v="0"/>
    <b v="0"/>
    <n v="3033"/>
    <n v="63"/>
    <n v="137"/>
    <n v="88"/>
    <n v="0"/>
    <n v="11"/>
    <n v="30"/>
    <n v="4"/>
    <n v="202"/>
    <n v="43"/>
    <x v="0"/>
    <n v="2186"/>
    <n v="25"/>
    <n v="1.1436413540713633E-2"/>
    <n v="0"/>
    <n v="0"/>
    <n v="0"/>
    <n v="21"/>
    <n v="0.84"/>
    <n v="9.6065873741994507E-3"/>
    <n v="1"/>
    <n v="0.04"/>
    <n v="4.5745654162854531E-4"/>
    <n v="3"/>
    <n v="0.12"/>
    <n v="1.372369624885635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icahhausler/container-transform"/>
    <s v="micahhausler"/>
    <s v="container-transform"/>
    <s v="https://github.com/micahhausler/container-transform"/>
    <d v="2014-12-18T16:44:20"/>
    <d v="2021-04-06T20:44:04"/>
    <n v="2301.1664814814794"/>
    <b v="0"/>
    <b v="0"/>
    <n v="1262"/>
    <n v="55"/>
    <n v="122"/>
    <n v="0"/>
    <n v="1"/>
    <n v="6"/>
    <n v="53"/>
    <n v="8"/>
    <n v="47"/>
    <n v="22"/>
    <x v="5"/>
    <n v="1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icrosoft/botbuilder-python"/>
    <s v="microsoft"/>
    <s v="botbuilder-python"/>
    <s v="https://github.com/microsoft/botbuilder-python"/>
    <d v="2018-01-10T23:07:09"/>
    <d v="2021-04-07T17:58:00"/>
    <n v="1182.7853125000038"/>
    <b v="0"/>
    <b v="1"/>
    <n v="461"/>
    <n v="74"/>
    <n v="175"/>
    <n v="13"/>
    <n v="3"/>
    <n v="56"/>
    <n v="619"/>
    <n v="9"/>
    <n v="1004"/>
    <n v="140"/>
    <x v="5"/>
    <n v="28737"/>
    <n v="44"/>
    <n v="1.5311271183491666E-3"/>
    <n v="1"/>
    <n v="2.2727272727272728E-2"/>
    <n v="3.4798343598844697E-5"/>
    <n v="33"/>
    <n v="0.75"/>
    <n v="1.1483453387618749E-3"/>
    <n v="6"/>
    <n v="0.13636363636363635"/>
    <n v="2.0879006159306817E-4"/>
    <n v="4"/>
    <n v="9.0909090909090912E-2"/>
    <n v="1.3919337439537879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icrosoft/DeBERTa"/>
    <s v="microsoft"/>
    <s v="DeBERTa"/>
    <s v="https://github.com/microsoft/DeBERTa"/>
    <d v="2020-06-08T15:57:14"/>
    <d v="2021-04-09T03:51:12"/>
    <n v="304.49581018518802"/>
    <b v="0"/>
    <b v="1"/>
    <n v="581"/>
    <n v="31"/>
    <n v="74"/>
    <n v="1"/>
    <n v="2"/>
    <n v="7"/>
    <n v="13"/>
    <n v="2"/>
    <n v="36"/>
    <n v="15"/>
    <x v="5"/>
    <n v="3587"/>
    <n v="20"/>
    <n v="5.5756899916364648E-3"/>
    <n v="0"/>
    <n v="0"/>
    <n v="0"/>
    <n v="17"/>
    <n v="0.85"/>
    <n v="4.7393364928909956E-3"/>
    <n v="2"/>
    <n v="0.1"/>
    <n v="5.575689991636465E-4"/>
    <n v="0"/>
    <n v="0"/>
    <n v="0"/>
    <n v="0"/>
    <n v="0"/>
    <n v="0"/>
    <n v="1"/>
    <n v="0.05"/>
    <n v="2.7878449958182325E-4"/>
    <b v="1"/>
    <b v="0"/>
    <b v="0"/>
    <b v="0"/>
    <b v="1"/>
    <b v="0"/>
    <b v="0"/>
    <b v="0"/>
    <b v="0"/>
    <b v="0"/>
    <b v="0"/>
    <b v="0"/>
    <b v="0"/>
  </r>
  <r>
    <s v="microsoft/DeepSpeed"/>
    <s v="microsoft"/>
    <s v="DeepSpeed"/>
    <s v="https://github.com/microsoft/DeepSpeed"/>
    <d v="2020-01-23T18:35:18"/>
    <d v="2021-04-09T03:58:23"/>
    <n v="441.3910300925927"/>
    <b v="0"/>
    <b v="1"/>
    <n v="4620"/>
    <n v="105"/>
    <n v="427"/>
    <n v="7"/>
    <n v="8"/>
    <n v="50"/>
    <n v="539"/>
    <n v="27"/>
    <n v="391"/>
    <n v="172"/>
    <x v="5"/>
    <n v="19342"/>
    <n v="153"/>
    <n v="7.9102471305966295E-3"/>
    <n v="0"/>
    <n v="0"/>
    <n v="0"/>
    <n v="121"/>
    <n v="0.79084967320261434"/>
    <n v="6.2558163581842626E-3"/>
    <n v="29"/>
    <n v="0.18954248366013071"/>
    <n v="1.4993278874987075E-3"/>
    <n v="3"/>
    <n v="1.9607843137254902E-2"/>
    <n v="1.5510288491365939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icrosoft/fastformers"/>
    <s v="microsoft"/>
    <s v="fastformers"/>
    <s v="https://github.com/microsoft/fastformers"/>
    <d v="2020-08-28T07:32:22"/>
    <d v="2021-04-05T04:02:44"/>
    <n v="219.85442129629519"/>
    <b v="0"/>
    <b v="1"/>
    <n v="488"/>
    <n v="17"/>
    <n v="23"/>
    <n v="1"/>
    <n v="0"/>
    <n v="193"/>
    <n v="1"/>
    <n v="0"/>
    <n v="12"/>
    <n v="5"/>
    <x v="7"/>
    <n v="56777"/>
    <n v="955"/>
    <n v="1.6820191274635857E-2"/>
    <n v="48"/>
    <n v="5.0261780104712044E-2"/>
    <n v="8.4541275516494352E-4"/>
    <n v="734"/>
    <n v="0.76858638743455499"/>
    <n v="1.2927770047730595E-2"/>
    <n v="109"/>
    <n v="0.11413612565445026"/>
    <n v="1.9197914648537259E-3"/>
    <n v="55"/>
    <n v="5.7591623036649213E-2"/>
    <n v="9.6870211529316444E-4"/>
    <n v="0"/>
    <n v="0"/>
    <n v="0"/>
    <n v="9"/>
    <n v="9.4240837696335077E-3"/>
    <n v="1.5851489159342692E-4"/>
    <b v="1"/>
    <b v="0"/>
    <b v="0"/>
    <b v="0"/>
    <b v="1"/>
    <b v="0"/>
    <b v="0"/>
    <b v="0"/>
    <b v="0"/>
    <b v="0"/>
    <b v="0"/>
    <b v="0"/>
    <b v="0"/>
  </r>
  <r>
    <s v="microsoft/maro"/>
    <s v="microsoft"/>
    <s v="maro"/>
    <s v="https://github.com/microsoft/maro"/>
    <d v="2019-12-27T06:48:27"/>
    <d v="2021-04-08T02:18:49"/>
    <n v="467.81275462963094"/>
    <b v="0"/>
    <b v="1"/>
    <n v="385"/>
    <n v="20"/>
    <n v="61"/>
    <n v="7"/>
    <n v="1"/>
    <n v="20"/>
    <n v="287"/>
    <n v="9"/>
    <n v="31"/>
    <n v="5"/>
    <x v="5"/>
    <n v="20475"/>
    <n v="195"/>
    <n v="9.5238095238095247E-3"/>
    <n v="37"/>
    <n v="0.18974358974358974"/>
    <n v="1.8070818070818071E-3"/>
    <n v="93"/>
    <n v="0.47692307692307695"/>
    <n v="4.5421245421245421E-3"/>
    <n v="45"/>
    <n v="0.23076923076923078"/>
    <n v="2.1978021978021978E-3"/>
    <n v="18"/>
    <n v="9.2307692307692313E-2"/>
    <n v="8.7912087912087912E-4"/>
    <n v="2"/>
    <n v="1.0256410256410256E-2"/>
    <n v="9.768009768009768E-5"/>
    <n v="0"/>
    <n v="0"/>
    <n v="0"/>
    <b v="1"/>
    <b v="1"/>
    <b v="0"/>
    <b v="0"/>
    <b v="1"/>
    <b v="0"/>
    <b v="0"/>
    <b v="0"/>
    <b v="0"/>
    <b v="0"/>
    <b v="0"/>
    <b v="0"/>
    <b v="0"/>
  </r>
  <r>
    <s v="microsoft/nlp-recipes"/>
    <s v="microsoft"/>
    <s v="nlp-recipes"/>
    <s v="https://github.com/microsoft/nlp-recipes"/>
    <d v="2019-04-05T17:42:41"/>
    <d v="2021-04-08T15:28:20"/>
    <n v="733.90670138889254"/>
    <b v="0"/>
    <b v="1"/>
    <n v="5457"/>
    <n v="186"/>
    <n v="762"/>
    <n v="5"/>
    <n v="2"/>
    <n v="38"/>
    <n v="417"/>
    <n v="2"/>
    <n v="200"/>
    <n v="54"/>
    <x v="5"/>
    <n v="12077"/>
    <n v="199"/>
    <n v="1.6477602053490106E-2"/>
    <n v="30"/>
    <n v="0.15075376884422109"/>
    <n v="2.4840606110789103E-3"/>
    <n v="143"/>
    <n v="0.71859296482412061"/>
    <n v="1.1840688912809472E-2"/>
    <n v="18"/>
    <n v="9.0452261306532666E-2"/>
    <n v="1.4904363666473461E-3"/>
    <n v="8"/>
    <n v="4.0201005025125629E-2"/>
    <n v="6.62416162954376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icrosoft/nni"/>
    <s v="microsoft"/>
    <s v="nni"/>
    <s v="https://github.com/microsoft/nni"/>
    <d v="2018-06-01T05:51:44"/>
    <d v="2021-04-09T02:45:35"/>
    <n v="1042.8707291666724"/>
    <b v="0"/>
    <b v="1"/>
    <n v="9425"/>
    <n v="272"/>
    <n v="1249"/>
    <n v="28"/>
    <n v="4"/>
    <n v="120"/>
    <n v="2335"/>
    <n v="23"/>
    <n v="1166"/>
    <n v="241"/>
    <x v="5"/>
    <n v="55944"/>
    <n v="895"/>
    <n v="1.5998140998140998E-2"/>
    <n v="343"/>
    <n v="0.38324022346368714"/>
    <n v="6.1311311311311309E-3"/>
    <n v="413"/>
    <n v="0.46145251396648046"/>
    <n v="7.3823823823823825E-3"/>
    <n v="86"/>
    <n v="9.6089385474860331E-2"/>
    <n v="1.5372515372515372E-3"/>
    <n v="13"/>
    <n v="1.452513966480447E-2"/>
    <n v="2.3237523237523239E-4"/>
    <n v="1"/>
    <n v="1.1173184357541898E-3"/>
    <n v="1.7875017875017876E-5"/>
    <n v="39"/>
    <n v="4.357541899441341E-2"/>
    <n v="6.9712569712569717E-4"/>
    <b v="1"/>
    <b v="0"/>
    <b v="0"/>
    <b v="0"/>
    <b v="1"/>
    <b v="0"/>
    <b v="0"/>
    <b v="0"/>
    <b v="0"/>
    <b v="0"/>
    <b v="0"/>
    <b v="0"/>
    <b v="0"/>
  </r>
  <r>
    <s v="microsoft/presidio"/>
    <s v="microsoft"/>
    <s v="presidio"/>
    <s v="https://github.com/microsoft/presidio"/>
    <d v="2018-05-04T11:08:58"/>
    <d v="2021-04-08T15:29:23"/>
    <n v="1070.1808449074015"/>
    <b v="0"/>
    <b v="1"/>
    <n v="1335"/>
    <n v="53"/>
    <n v="192"/>
    <n v="16"/>
    <n v="1"/>
    <n v="34"/>
    <n v="500"/>
    <n v="7"/>
    <n v="129"/>
    <n v="8"/>
    <x v="5"/>
    <n v="4355"/>
    <n v="55"/>
    <n v="1.2629161882893225E-2"/>
    <n v="19"/>
    <n v="0.34545454545454546"/>
    <n v="4.3628013777267513E-3"/>
    <n v="19"/>
    <n v="0.34545454545454546"/>
    <n v="4.3628013777267513E-3"/>
    <n v="7"/>
    <n v="0.12727272727272726"/>
    <n v="1.6073478760045925E-3"/>
    <n v="10"/>
    <n v="0.18181818181818182"/>
    <n v="2.2962112514351321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icrosoft/recommenders"/>
    <s v="microsoft"/>
    <s v="recommenders"/>
    <s v="https://github.com/microsoft/recommenders"/>
    <d v="2018-09-19T10:06:07"/>
    <d v="2021-04-08T16:15:32"/>
    <n v="932.25653935185255"/>
    <b v="0"/>
    <b v="1"/>
    <n v="9469"/>
    <n v="243"/>
    <n v="1621"/>
    <n v="7"/>
    <n v="11"/>
    <n v="71"/>
    <n v="810"/>
    <n v="6"/>
    <n v="559"/>
    <n v="119"/>
    <x v="5"/>
    <n v="14717"/>
    <n v="196"/>
    <n v="1.331793164367738E-2"/>
    <n v="94"/>
    <n v="0.47959183673469385"/>
    <n v="6.3871712984983351E-3"/>
    <n v="78"/>
    <n v="0.39795918367346939"/>
    <n v="5.2999932051369164E-3"/>
    <n v="15"/>
    <n v="7.6530612244897961E-2"/>
    <n v="1.0192294625263301E-3"/>
    <n v="7"/>
    <n v="3.5714285714285712E-2"/>
    <n v="4.7564041584562073E-4"/>
    <n v="0"/>
    <n v="0"/>
    <n v="0"/>
    <n v="2"/>
    <n v="1.020408163265306E-2"/>
    <n v="1.3589726167017734E-4"/>
    <b v="1"/>
    <b v="0"/>
    <b v="0"/>
    <b v="0"/>
    <b v="1"/>
    <b v="0"/>
    <b v="0"/>
    <b v="0"/>
    <b v="0"/>
    <b v="0"/>
    <b v="0"/>
    <b v="0"/>
    <b v="0"/>
  </r>
  <r>
    <s v="microsoft/restler-fuzzer"/>
    <s v="microsoft"/>
    <s v="restler-fuzzer"/>
    <s v="https://github.com/microsoft/restler-fuzzer"/>
    <d v="2020-07-24T21:40:11"/>
    <d v="2021-04-08T02:12:02"/>
    <n v="257.18878472222423"/>
    <b v="0"/>
    <b v="1"/>
    <n v="741"/>
    <n v="26"/>
    <n v="74"/>
    <n v="0"/>
    <n v="0"/>
    <n v="9"/>
    <n v="90"/>
    <n v="2"/>
    <n v="94"/>
    <n v="25"/>
    <x v="5"/>
    <n v="9569"/>
    <n v="3"/>
    <n v="3.1351238373915769E-4"/>
    <n v="0"/>
    <n v="0"/>
    <n v="0"/>
    <n v="1"/>
    <n v="0.33333333333333331"/>
    <n v="1.0450412791305256E-4"/>
    <n v="1"/>
    <n v="0.33333333333333331"/>
    <n v="1.0450412791305256E-4"/>
    <n v="0"/>
    <n v="0"/>
    <n v="0"/>
    <n v="0"/>
    <n v="0"/>
    <n v="0"/>
    <n v="1"/>
    <n v="0.33333333333333331"/>
    <n v="1.0450412791305256E-4"/>
    <b v="1"/>
    <b v="0"/>
    <b v="0"/>
    <b v="0"/>
    <b v="1"/>
    <b v="0"/>
    <b v="0"/>
    <b v="0"/>
    <b v="0"/>
    <b v="0"/>
    <b v="0"/>
    <b v="0"/>
    <b v="0"/>
  </r>
  <r>
    <s v="microsoft/TextWorld"/>
    <s v="microsoft"/>
    <s v="TextWorld"/>
    <s v="https://github.com/microsoft/TextWorld"/>
    <d v="2018-06-26T18:00:55"/>
    <d v="2021-04-07T08:11:38"/>
    <n v="1015.5907754629588"/>
    <b v="0"/>
    <b v="1"/>
    <n v="901"/>
    <n v="40"/>
    <n v="133"/>
    <n v="9"/>
    <n v="1"/>
    <n v="24"/>
    <n v="197"/>
    <n v="7"/>
    <n v="58"/>
    <n v="10"/>
    <x v="7"/>
    <n v="13944"/>
    <n v="18"/>
    <n v="1.2908777969018934E-3"/>
    <n v="4"/>
    <n v="0.22222222222222221"/>
    <n v="2.8686173264486515E-4"/>
    <n v="7"/>
    <n v="0.3888888888888889"/>
    <n v="5.0200803212851401E-4"/>
    <n v="3"/>
    <n v="0.16666666666666666"/>
    <n v="2.1514629948364889E-4"/>
    <n v="1"/>
    <n v="5.5555555555555552E-2"/>
    <n v="7.1715433161216287E-5"/>
    <n v="3"/>
    <n v="0.16666666666666666"/>
    <n v="2.1514629948364889E-4"/>
    <n v="0"/>
    <n v="0"/>
    <n v="0"/>
    <b v="1"/>
    <b v="0"/>
    <b v="0"/>
    <b v="0"/>
    <b v="1"/>
    <b v="0"/>
    <b v="0"/>
    <b v="0"/>
    <b v="0"/>
    <b v="0"/>
    <b v="0"/>
    <b v="0"/>
    <b v="0"/>
  </r>
  <r>
    <s v="miguelgrinberg/flasky"/>
    <s v="miguelgrinberg"/>
    <s v="flasky"/>
    <s v="https://github.com/miguelgrinberg/flasky"/>
    <d v="2013-12-24T05:38:12"/>
    <d v="2021-04-08T11:52:44"/>
    <n v="2662.2600925925944"/>
    <b v="0"/>
    <b v="0"/>
    <n v="7171"/>
    <n v="408"/>
    <n v="3718"/>
    <n v="0"/>
    <n v="133"/>
    <n v="0"/>
    <n v="62"/>
    <n v="11"/>
    <n v="444"/>
    <n v="1"/>
    <x v="5"/>
    <n v="1744"/>
    <n v="1"/>
    <n v="5.7339449541284407E-4"/>
    <n v="0"/>
    <n v="0"/>
    <n v="0"/>
    <n v="0"/>
    <n v="0"/>
    <n v="0"/>
    <n v="1"/>
    <n v="1"/>
    <n v="5.7339449541284407E-4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iguelgrinberg/microblog"/>
    <s v="miguelgrinberg"/>
    <s v="microblog"/>
    <s v="https://github.com/miguelgrinberg/microblog"/>
    <d v="2012-12-17T06:01:19"/>
    <d v="2021-04-07T17:47:42"/>
    <n v="3033.4905439814756"/>
    <b v="0"/>
    <b v="0"/>
    <n v="3531"/>
    <n v="180"/>
    <n v="1238"/>
    <n v="0"/>
    <n v="19"/>
    <n v="0"/>
    <n v="35"/>
    <n v="3"/>
    <n v="257"/>
    <n v="9"/>
    <x v="5"/>
    <n v="1089"/>
    <n v="3"/>
    <n v="2.7548209366391185E-3"/>
    <n v="0"/>
    <n v="0"/>
    <n v="0"/>
    <n v="2"/>
    <n v="0.66666666666666663"/>
    <n v="1.8365472910927456E-3"/>
    <n v="0"/>
    <n v="0"/>
    <n v="0"/>
    <n v="1"/>
    <n v="0.33333333333333331"/>
    <n v="9.182736455463728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ike-grant/haaska"/>
    <s v="mike-grant"/>
    <s v="haaska"/>
    <s v="https://github.com/mike-grant/haaska"/>
    <d v="2017-12-21T09:18:08"/>
    <d v="2021-04-08T17:44:23"/>
    <n v="1204.3515625"/>
    <b v="0"/>
    <b v="0"/>
    <n v="374"/>
    <n v="38"/>
    <n v="94"/>
    <n v="2"/>
    <n v="4"/>
    <n v="21"/>
    <n v="59"/>
    <n v="2"/>
    <n v="152"/>
    <n v="41"/>
    <x v="5"/>
    <n v="90"/>
    <n v="2"/>
    <n v="2.2222222222222223E-2"/>
    <n v="2"/>
    <n v="1"/>
    <n v="2.2222222222222223E-2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ikedh/trimesh"/>
    <s v="mikedh"/>
    <s v="trimesh"/>
    <s v="https://github.com/mikedh/trimesh"/>
    <d v="2013-07-29T17:25:42"/>
    <d v="2021-04-08T08:04:51"/>
    <n v="2809.610520833332"/>
    <b v="0"/>
    <b v="0"/>
    <n v="1337"/>
    <n v="41"/>
    <n v="309"/>
    <n v="316"/>
    <n v="13"/>
    <n v="80"/>
    <n v="389"/>
    <n v="1"/>
    <n v="823"/>
    <n v="118"/>
    <x v="5"/>
    <n v="25957"/>
    <n v="204"/>
    <n v="7.8591516739222565E-3"/>
    <n v="55"/>
    <n v="0.26960784313725489"/>
    <n v="2.1188889316947259E-3"/>
    <n v="38"/>
    <n v="0.18627450980392157"/>
    <n v="1.4639596255345379E-3"/>
    <n v="88"/>
    <n v="0.43137254901960786"/>
    <n v="3.3902222907115616E-3"/>
    <n v="23"/>
    <n v="0.11274509803921569"/>
    <n v="8.860808259814308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ikeyy/nonoCAPTCHA"/>
    <s v="mikeyy"/>
    <s v="nonoCAPTCHA"/>
    <s v="https://github.com/mikeyy/nonoCAPTCHA"/>
    <d v="2018-06-14T08:03:23"/>
    <d v="2021-04-06T02:24:21"/>
    <n v="1026.7645601851837"/>
    <b v="0"/>
    <b v="0"/>
    <n v="748"/>
    <n v="39"/>
    <n v="114"/>
    <n v="0"/>
    <n v="5"/>
    <n v="6"/>
    <n v="24"/>
    <n v="3"/>
    <n v="45"/>
    <n v="21"/>
    <x v="0"/>
    <n v="1262"/>
    <n v="1"/>
    <n v="7.9239302694136295E-4"/>
    <n v="1"/>
    <n v="1"/>
    <n v="7.9239302694136295E-4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il-tokyo/webdnn"/>
    <s v="mil-tokyo"/>
    <s v="webdnn"/>
    <s v="https://github.com/mil-tokyo/webdnn"/>
    <d v="2017-04-06T08:11:46"/>
    <d v="2021-04-07T09:57:53"/>
    <n v="1462.0736921296339"/>
    <b v="0"/>
    <b v="1"/>
    <n v="1808"/>
    <n v="61"/>
    <n v="142"/>
    <n v="9"/>
    <n v="6"/>
    <n v="13"/>
    <n v="558"/>
    <n v="11"/>
    <n v="387"/>
    <n v="66"/>
    <x v="7"/>
    <n v="29157"/>
    <n v="88"/>
    <n v="3.018143156017423E-3"/>
    <n v="49"/>
    <n v="0.55681818181818177"/>
    <n v="1.6805569846006104E-3"/>
    <n v="0"/>
    <n v="0"/>
    <n v="0"/>
    <n v="34"/>
    <n v="0.38636363636363635"/>
    <n v="1.1661007648249135E-3"/>
    <n v="5"/>
    <n v="5.6818181818181816E-2"/>
    <n v="1.714854065918990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ila-iqia/babyai"/>
    <s v="mila-iqia"/>
    <s v="babyai"/>
    <s v="https://github.com/mila-iqia/babyai"/>
    <d v="2018-10-02T17:58:24"/>
    <d v="2021-04-09T02:07:24"/>
    <n v="919.3395833333343"/>
    <b v="0"/>
    <b v="1"/>
    <n v="502"/>
    <n v="36"/>
    <n v="92"/>
    <n v="0"/>
    <n v="0"/>
    <n v="11"/>
    <n v="70"/>
    <n v="0"/>
    <n v="38"/>
    <n v="2"/>
    <x v="2"/>
    <n v="4748"/>
    <n v="68"/>
    <n v="1.4321819713563605E-2"/>
    <n v="0"/>
    <n v="0"/>
    <n v="0"/>
    <n v="65"/>
    <n v="0.95588235294117652"/>
    <n v="1.3689974726200505E-2"/>
    <n v="0"/>
    <n v="0"/>
    <n v="0"/>
    <n v="0"/>
    <n v="0"/>
    <n v="0"/>
    <n v="0"/>
    <n v="0"/>
    <n v="0"/>
    <n v="3"/>
    <n v="4.4117647058823532E-2"/>
    <n v="6.3184498736310025E-4"/>
    <b v="1"/>
    <b v="0"/>
    <b v="0"/>
    <b v="0"/>
    <b v="1"/>
    <b v="0"/>
    <b v="0"/>
    <b v="0"/>
    <b v="0"/>
    <b v="0"/>
    <b v="0"/>
    <b v="0"/>
    <b v="0"/>
  </r>
  <r>
    <s v="milesmcc/shynet"/>
    <s v="milesmcc"/>
    <s v="shynet"/>
    <s v="https://github.com/milesmcc/shynet"/>
    <d v="2020-04-09T17:51:58"/>
    <d v="2021-04-08T12:57:13"/>
    <n v="363.79531249999854"/>
    <b v="0"/>
    <b v="0"/>
    <n v="1318"/>
    <n v="19"/>
    <n v="57"/>
    <n v="30"/>
    <n v="2"/>
    <n v="18"/>
    <n v="27"/>
    <n v="2"/>
    <n v="88"/>
    <n v="28"/>
    <x v="4"/>
    <n v="1094"/>
    <n v="9"/>
    <n v="8.2266910420475316E-3"/>
    <n v="6"/>
    <n v="0.66666666666666663"/>
    <n v="5.4844606946983544E-3"/>
    <n v="0"/>
    <n v="0"/>
    <n v="0"/>
    <n v="1"/>
    <n v="0.1111111111111111"/>
    <n v="9.1407678244972577E-4"/>
    <n v="0"/>
    <n v="0"/>
    <n v="0"/>
    <n v="0"/>
    <n v="0"/>
    <n v="0"/>
    <n v="2"/>
    <n v="0.22222222222222221"/>
    <n v="1.8281535648994515E-3"/>
    <b v="1"/>
    <b v="1"/>
    <b v="0"/>
    <b v="0"/>
    <b v="1"/>
    <b v="0"/>
    <b v="0"/>
    <b v="0"/>
    <b v="0"/>
    <b v="0"/>
    <b v="0"/>
    <b v="0"/>
    <b v="0"/>
  </r>
  <r>
    <s v="milvus-io/bootcamp"/>
    <s v="milvus-io"/>
    <s v="bootcamp"/>
    <s v="https://github.com/milvus-io/bootcamp"/>
    <d v="2019-08-09T10:00:06"/>
    <d v="2021-04-08T07:13:03"/>
    <n v="607.88399305555504"/>
    <b v="0"/>
    <b v="1"/>
    <n v="402"/>
    <n v="17"/>
    <n v="156"/>
    <n v="0"/>
    <n v="1"/>
    <n v="17"/>
    <n v="355"/>
    <n v="0"/>
    <n v="68"/>
    <n v="6"/>
    <x v="4"/>
    <n v="4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inimaxir/aitextgen"/>
    <s v="minimaxir"/>
    <s v="aitextgen"/>
    <s v="https://github.com/minimaxir/aitextgen"/>
    <d v="2019-12-29T05:08:14"/>
    <d v="2021-04-07T20:03:09"/>
    <n v="465.62146990740439"/>
    <b v="0"/>
    <b v="0"/>
    <n v="1042"/>
    <n v="29"/>
    <n v="83"/>
    <n v="9"/>
    <n v="0"/>
    <n v="5"/>
    <n v="10"/>
    <n v="1"/>
    <n v="102"/>
    <n v="65"/>
    <x v="5"/>
    <n v="759"/>
    <n v="23"/>
    <n v="3.0303030303030304E-2"/>
    <n v="0"/>
    <n v="0"/>
    <n v="0"/>
    <n v="20"/>
    <n v="0.86956521739130432"/>
    <n v="2.6350461133069828E-2"/>
    <n v="3"/>
    <n v="0.13043478260869565"/>
    <n v="3.952569169960474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inimaxir/person-blocker"/>
    <s v="minimaxir"/>
    <s v="person-blocker"/>
    <s v="https://github.com/minimaxir/person-blocker"/>
    <d v="2018-03-26T14:10:47"/>
    <d v="2021-04-06T00:30:06"/>
    <n v="1106.4300810185159"/>
    <b v="0"/>
    <b v="0"/>
    <n v="2014"/>
    <n v="68"/>
    <n v="204"/>
    <n v="0"/>
    <n v="0"/>
    <n v="4"/>
    <n v="8"/>
    <n v="4"/>
    <n v="8"/>
    <n v="8"/>
    <x v="7"/>
    <n v="2241"/>
    <n v="1"/>
    <n v="4.4622936189201248E-4"/>
    <n v="0"/>
    <n v="0"/>
    <n v="0"/>
    <n v="0"/>
    <n v="0"/>
    <n v="0"/>
    <n v="0"/>
    <n v="0"/>
    <n v="0"/>
    <n v="0"/>
    <n v="0"/>
    <n v="0"/>
    <n v="0"/>
    <n v="0"/>
    <n v="0"/>
    <n v="1"/>
    <n v="1"/>
    <n v="4.4622936189201248E-4"/>
    <b v="1"/>
    <b v="0"/>
    <b v="0"/>
    <b v="0"/>
    <b v="1"/>
    <b v="0"/>
    <b v="0"/>
    <b v="0"/>
    <b v="0"/>
    <b v="0"/>
    <b v="0"/>
    <b v="0"/>
    <b v="0"/>
  </r>
  <r>
    <s v="mirumee/saleor"/>
    <s v="mirumee"/>
    <s v="saleor"/>
    <s v="https://github.com/mirumee/saleor"/>
    <d v="2013-02-12T16:46:39"/>
    <d v="2021-04-09T03:16:29"/>
    <n v="2977.437384259254"/>
    <b v="0"/>
    <b v="1"/>
    <n v="10812"/>
    <n v="365"/>
    <n v="3522"/>
    <n v="70"/>
    <n v="73"/>
    <n v="169"/>
    <n v="3985"/>
    <n v="24"/>
    <n v="2924"/>
    <n v="180"/>
    <x v="7"/>
    <n v="85315"/>
    <n v="44"/>
    <n v="5.1573580261384281E-4"/>
    <n v="3"/>
    <n v="6.8181818181818177E-2"/>
    <n v="3.5163804723671104E-5"/>
    <n v="4"/>
    <n v="9.0909090909090912E-2"/>
    <n v="4.6885072964894803E-5"/>
    <n v="21"/>
    <n v="0.47727272727272729"/>
    <n v="2.4614663306569772E-4"/>
    <n v="5"/>
    <n v="0.11363636363636363"/>
    <n v="5.8606341206118502E-5"/>
    <n v="0"/>
    <n v="0"/>
    <n v="0"/>
    <n v="11"/>
    <n v="0.25"/>
    <n v="1.289339506534607E-4"/>
    <b v="1"/>
    <b v="0"/>
    <b v="0"/>
    <b v="0"/>
    <b v="1"/>
    <b v="0"/>
    <b v="0"/>
    <b v="0"/>
    <b v="0"/>
    <b v="0"/>
    <b v="0"/>
    <b v="0"/>
    <b v="0"/>
  </r>
  <r>
    <s v="mit-han-lab/data-efficient-gans"/>
    <s v="mit-han-lab"/>
    <s v="data-efficient-gans"/>
    <s v="https://github.com/mit-han-lab/data-efficient-gans"/>
    <d v="2020-06-15T16:07:24"/>
    <d v="2021-04-09T03:26:00"/>
    <n v="297.47125000000233"/>
    <b v="0"/>
    <b v="1"/>
    <n v="722"/>
    <n v="15"/>
    <n v="95"/>
    <n v="0"/>
    <n v="0"/>
    <n v="3"/>
    <n v="1"/>
    <n v="0"/>
    <n v="60"/>
    <n v="7"/>
    <x v="8"/>
    <n v="18681"/>
    <n v="154"/>
    <n v="8.2436700390771372E-3"/>
    <n v="5"/>
    <n v="3.2467532467532464E-2"/>
    <n v="2.6765162464536157E-4"/>
    <n v="128"/>
    <n v="0.83116883116883122"/>
    <n v="6.851881590921257E-3"/>
    <n v="13"/>
    <n v="8.4415584415584416E-2"/>
    <n v="6.9589422407794019E-4"/>
    <n v="7"/>
    <n v="4.5454545454545456E-2"/>
    <n v="3.7471227450350622E-4"/>
    <n v="0"/>
    <n v="0"/>
    <n v="0"/>
    <n v="1"/>
    <n v="6.4935064935064939E-3"/>
    <n v="5.353032492907232E-5"/>
    <b v="1"/>
    <b v="0"/>
    <b v="0"/>
    <b v="0"/>
    <b v="1"/>
    <b v="0"/>
    <b v="0"/>
    <b v="0"/>
    <b v="0"/>
    <b v="0"/>
    <b v="0"/>
    <b v="0"/>
    <b v="0"/>
  </r>
  <r>
    <s v="mitmproxy/mitmproxy"/>
    <s v="mitmproxy"/>
    <s v="mitmproxy"/>
    <s v="https://github.com/mitmproxy/mitmproxy"/>
    <d v="2010-02-16T04:10:13"/>
    <d v="2021-04-09T01:00:33"/>
    <n v="4069.8682870370394"/>
    <b v="0"/>
    <b v="1"/>
    <n v="22018"/>
    <n v="594"/>
    <n v="2701"/>
    <n v="38"/>
    <n v="81"/>
    <n v="341"/>
    <n v="2041"/>
    <n v="10"/>
    <n v="2501"/>
    <n v="227"/>
    <x v="5"/>
    <n v="36342"/>
    <n v="130"/>
    <n v="3.5771283913928788E-3"/>
    <n v="11"/>
    <n v="8.461538461538462E-2"/>
    <n v="3.0268009465632054E-4"/>
    <n v="32"/>
    <n v="0.24615384615384617"/>
    <n v="8.8052391172747783E-4"/>
    <n v="45"/>
    <n v="0.34615384615384615"/>
    <n v="1.2382367508667657E-3"/>
    <n v="42"/>
    <n v="0.32307692307692309"/>
    <n v="1.155687634142314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itre/caldera"/>
    <s v="mitre"/>
    <s v="caldera"/>
    <s v="https://github.com/mitre/caldera"/>
    <d v="2017-11-29T01:25:10"/>
    <d v="2021-04-09T01:50:14"/>
    <n v="1227.0174074074093"/>
    <b v="0"/>
    <b v="1"/>
    <n v="2551"/>
    <n v="138"/>
    <n v="494"/>
    <n v="23"/>
    <n v="8"/>
    <n v="57"/>
    <n v="1714"/>
    <n v="6"/>
    <n v="361"/>
    <n v="6"/>
    <x v="4"/>
    <n v="6753"/>
    <n v="121"/>
    <n v="1.7917962387087219E-2"/>
    <n v="47"/>
    <n v="0.38842975206611569"/>
    <n v="6.9598696875462756E-3"/>
    <n v="5"/>
    <n v="4.1322314049586778E-2"/>
    <n v="7.4041166888790162E-4"/>
    <n v="32"/>
    <n v="0.26446280991735538"/>
    <n v="4.7386346808825711E-3"/>
    <n v="37"/>
    <n v="0.30578512396694213"/>
    <n v="5.4790463497704726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itre/multiscanner"/>
    <s v="mitre"/>
    <s v="multiscanner"/>
    <s v="https://github.com/mitre/multiscanner"/>
    <d v="2015-04-13T14:58:48"/>
    <d v="2021-03-30T19:04:28"/>
    <n v="2178.1706018518526"/>
    <b v="0"/>
    <b v="1"/>
    <n v="496"/>
    <n v="57"/>
    <n v="110"/>
    <n v="7"/>
    <n v="1"/>
    <n v="15"/>
    <n v="136"/>
    <n v="4"/>
    <n v="72"/>
    <n v="31"/>
    <x v="6"/>
    <n v="8869"/>
    <n v="15"/>
    <n v="1.6912842485060323E-3"/>
    <n v="5"/>
    <n v="0.33333333333333331"/>
    <n v="5.637614161686774E-4"/>
    <n v="3"/>
    <n v="0.2"/>
    <n v="3.3825684970120647E-4"/>
    <n v="2"/>
    <n v="0.13333333333333333"/>
    <n v="2.2550456646747095E-4"/>
    <n v="3"/>
    <n v="0.2"/>
    <n v="3.3825684970120647E-4"/>
    <n v="0"/>
    <n v="0"/>
    <n v="0"/>
    <n v="2"/>
    <n v="0.13333333333333333"/>
    <n v="2.2550456646747095E-4"/>
    <b v="1"/>
    <b v="1"/>
    <b v="0"/>
    <b v="0"/>
    <b v="1"/>
    <b v="0"/>
    <b v="0"/>
    <b v="0"/>
    <b v="0"/>
    <b v="0"/>
    <b v="0"/>
    <b v="0"/>
    <b v="0"/>
  </r>
  <r>
    <s v="MITRECND/chopshop"/>
    <s v="MITRECND"/>
    <s v="chopshop"/>
    <s v="https://github.com/MITRECND/chopshop"/>
    <d v="2012-09-18T17:51:38"/>
    <d v="2021-03-19T20:30:33"/>
    <n v="3104.1103587962934"/>
    <b v="0"/>
    <b v="1"/>
    <n v="444"/>
    <n v="72"/>
    <n v="87"/>
    <n v="2"/>
    <n v="4"/>
    <n v="17"/>
    <n v="40"/>
    <n v="3"/>
    <n v="26"/>
    <n v="10"/>
    <x v="1"/>
    <n v="9076"/>
    <n v="20"/>
    <n v="2.2036139268400176E-3"/>
    <n v="7"/>
    <n v="0.35"/>
    <n v="7.7126487439400622E-4"/>
    <n v="11"/>
    <n v="0.55000000000000004"/>
    <n v="1.2119876597620097E-3"/>
    <n v="0"/>
    <n v="0"/>
    <n v="0"/>
    <n v="0"/>
    <n v="0"/>
    <n v="0"/>
    <n v="2"/>
    <n v="0.1"/>
    <n v="2.2036139268400177E-4"/>
    <n v="0"/>
    <n v="0"/>
    <n v="0"/>
    <b v="1"/>
    <b v="0"/>
    <b v="0"/>
    <b v="0"/>
    <b v="1"/>
    <b v="0"/>
    <b v="0"/>
    <b v="0"/>
    <b v="0"/>
    <b v="0"/>
    <b v="0"/>
    <b v="0"/>
    <b v="0"/>
  </r>
  <r>
    <s v="mlbvn/d2l-vn"/>
    <s v="mlbvn"/>
    <s v="d2l-vn"/>
    <s v="https://github.com/mlbvn/d2l-vn"/>
    <d v="2019-11-19T08:45:29"/>
    <d v="2021-04-07T04:30:32"/>
    <n v="504.8229513888873"/>
    <b v="0"/>
    <b v="1"/>
    <n v="406"/>
    <n v="44"/>
    <n v="183"/>
    <n v="1"/>
    <n v="1"/>
    <n v="61"/>
    <n v="1763"/>
    <n v="0"/>
    <n v="1334"/>
    <n v="3"/>
    <x v="7"/>
    <n v="6171"/>
    <n v="28"/>
    <n v="4.5373521309350186E-3"/>
    <n v="0"/>
    <n v="0"/>
    <n v="0"/>
    <n v="24"/>
    <n v="0.8571428571428571"/>
    <n v="3.889158969372873E-3"/>
    <n v="2"/>
    <n v="7.1428571428571425E-2"/>
    <n v="3.2409658078107277E-4"/>
    <n v="2"/>
    <n v="7.1428571428571425E-2"/>
    <n v="3.2409658078107277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lcommons/inference"/>
    <s v="mlcommons"/>
    <s v="inference"/>
    <s v="https://github.com/mlcommons/inference"/>
    <d v="2018-09-13T01:53:57"/>
    <d v="2021-04-08T21:50:32"/>
    <n v="938.8309606481489"/>
    <b v="0"/>
    <b v="1"/>
    <n v="423"/>
    <n v="60"/>
    <n v="229"/>
    <n v="1"/>
    <n v="12"/>
    <n v="62"/>
    <n v="511"/>
    <n v="13"/>
    <n v="396"/>
    <n v="47"/>
    <x v="4"/>
    <n v="14822"/>
    <n v="163"/>
    <n v="1.099716637430846E-2"/>
    <n v="0"/>
    <n v="0"/>
    <n v="0"/>
    <n v="85"/>
    <n v="0.5214723926380368"/>
    <n v="5.7347186614491973E-3"/>
    <n v="11"/>
    <n v="6.7484662576687116E-2"/>
    <n v="7.4214006206989606E-4"/>
    <n v="67"/>
    <n v="0.41104294478527609"/>
    <n v="4.520307650789367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lcommons/training"/>
    <s v="mlcommons"/>
    <s v="training"/>
    <s v="https://github.com/mlcommons/training"/>
    <d v="2018-03-29T21:56:06"/>
    <d v="2021-04-08T13:41:24"/>
    <n v="1105.6564583333384"/>
    <b v="0"/>
    <b v="1"/>
    <n v="1131"/>
    <n v="129"/>
    <n v="383"/>
    <n v="1"/>
    <n v="5"/>
    <n v="40"/>
    <n v="256"/>
    <n v="83"/>
    <n v="203"/>
    <n v="131"/>
    <x v="4"/>
    <n v="36671"/>
    <n v="461"/>
    <n v="1.2571241580540482E-2"/>
    <n v="1"/>
    <n v="2.1691973969631237E-3"/>
    <n v="2.7269504513102996E-5"/>
    <n v="434"/>
    <n v="0.9414316702819957"/>
    <n v="1.1834964958686701E-2"/>
    <n v="17"/>
    <n v="3.6876355748373099E-2"/>
    <n v="4.6358157672275095E-4"/>
    <n v="9"/>
    <n v="1.9522776572668113E-2"/>
    <n v="2.454255406179269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lflow/mlflow"/>
    <s v="mlflow"/>
    <s v="mlflow"/>
    <s v="https://github.com/mlflow/mlflow"/>
    <d v="2018-06-05T16:05:58"/>
    <d v="2021-04-09T02:53:28"/>
    <n v="1038.449652777781"/>
    <b v="0"/>
    <b v="1"/>
    <n v="8726"/>
    <n v="264"/>
    <n v="1899"/>
    <n v="38"/>
    <n v="35"/>
    <n v="292"/>
    <n v="2585"/>
    <n v="169"/>
    <n v="1648"/>
    <n v="587"/>
    <x v="4"/>
    <n v="47853"/>
    <n v="206"/>
    <n v="4.3048502706204417E-3"/>
    <n v="15"/>
    <n v="7.281553398058252E-2"/>
    <n v="3.1345997116168263E-4"/>
    <n v="108"/>
    <n v="0.52427184466019416"/>
    <n v="2.2569117923641152E-3"/>
    <n v="65"/>
    <n v="0.3155339805825243"/>
    <n v="1.3583265417006249E-3"/>
    <n v="9"/>
    <n v="4.3689320388349516E-2"/>
    <n v="1.880759826970096E-4"/>
    <n v="2"/>
    <n v="9.7087378640776691E-3"/>
    <n v="4.179466282155769E-5"/>
    <n v="7"/>
    <n v="3.3980582524271843E-2"/>
    <n v="1.462813198754519E-4"/>
    <b v="1"/>
    <b v="0"/>
    <b v="0"/>
    <b v="0"/>
    <b v="1"/>
    <b v="0"/>
    <b v="0"/>
    <b v="0"/>
    <b v="0"/>
    <b v="0"/>
    <b v="0"/>
    <b v="0"/>
    <b v="0"/>
  </r>
  <r>
    <s v="mlsecproject/combine"/>
    <s v="mlsecproject"/>
    <s v="combine"/>
    <s v="https://github.com/mlsecproject/combine"/>
    <d v="2014-02-21T17:33:21"/>
    <d v="2021-03-22T14:17:21"/>
    <n v="2585.8638888888891"/>
    <b v="0"/>
    <b v="1"/>
    <n v="605"/>
    <n v="86"/>
    <n v="161"/>
    <n v="5"/>
    <n v="8"/>
    <n v="10"/>
    <n v="77"/>
    <n v="10"/>
    <n v="100"/>
    <n v="36"/>
    <x v="0"/>
    <n v="817"/>
    <n v="50"/>
    <n v="6.1199510403916767E-2"/>
    <n v="0"/>
    <n v="0"/>
    <n v="0"/>
    <n v="30"/>
    <n v="0.6"/>
    <n v="3.6719706242350061E-2"/>
    <n v="0"/>
    <n v="0"/>
    <n v="0"/>
    <n v="20"/>
    <n v="0.4"/>
    <n v="2.4479804161566709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obier/shadowsocksr-speed"/>
    <s v="mobier"/>
    <s v="shadowsocksr-speed"/>
    <s v="https://github.com/mobier/shadowsocksr-speed"/>
    <d v="2018-10-27T16:39:36"/>
    <d v="2021-04-09T02:16:55"/>
    <n v="894.40091435184877"/>
    <b v="0"/>
    <b v="0"/>
    <n v="940"/>
    <n v="29"/>
    <n v="218"/>
    <n v="0"/>
    <n v="3"/>
    <n v="3"/>
    <n v="4"/>
    <n v="1"/>
    <n v="93"/>
    <n v="20"/>
    <x v="1"/>
    <n v="9948"/>
    <n v="258"/>
    <n v="2.5934861278648975E-2"/>
    <n v="48"/>
    <n v="0.18604651162790697"/>
    <n v="4.8250904704463205E-3"/>
    <n v="69"/>
    <n v="0.26744186046511625"/>
    <n v="6.936067551266586E-3"/>
    <n v="62"/>
    <n v="0.24031007751937986"/>
    <n v="6.2324085243264981E-3"/>
    <n v="79"/>
    <n v="0.30620155038759689"/>
    <n v="7.9412947326095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obSF/Mobile-Security-Framework-MobSF"/>
    <s v="MobSF"/>
    <s v="Mobile-Security-Framework-MobSF"/>
    <s v="https://github.com/MobSF/Mobile-Security-Framework-MobSF"/>
    <d v="2015-01-31T04:36:01"/>
    <d v="2021-04-09T03:52:02"/>
    <n v="2259.9694560185162"/>
    <b v="0"/>
    <b v="1"/>
    <n v="8522"/>
    <n v="478"/>
    <n v="2008"/>
    <n v="37"/>
    <n v="28"/>
    <n v="66"/>
    <n v="608"/>
    <n v="1"/>
    <n v="1098"/>
    <n v="5"/>
    <x v="0"/>
    <n v="8353"/>
    <n v="513"/>
    <n v="6.1415060457320723E-2"/>
    <n v="1"/>
    <n v="1.9493177387914229E-3"/>
    <n v="1.1971746677840296E-4"/>
    <n v="283"/>
    <n v="0.55165692007797273"/>
    <n v="3.3880043098288043E-2"/>
    <n v="35"/>
    <n v="6.8226120857699801E-2"/>
    <n v="4.190111337244104E-3"/>
    <n v="61"/>
    <n v="0.1189083820662768"/>
    <n v="7.3027654734825814E-3"/>
    <n v="0"/>
    <n v="0"/>
    <n v="0"/>
    <n v="133"/>
    <n v="0.25925925925925924"/>
    <n v="1.5922423081527595E-2"/>
    <b v="1"/>
    <b v="1"/>
    <b v="0"/>
    <b v="0"/>
    <b v="1"/>
    <b v="0"/>
    <b v="0"/>
    <b v="0"/>
    <b v="0"/>
    <b v="0"/>
    <b v="0"/>
    <b v="0"/>
    <b v="0"/>
  </r>
  <r>
    <s v="mobvoi/wenet"/>
    <s v="mobvoi"/>
    <s v="wenet"/>
    <s v="https://github.com/mobvoi/wenet"/>
    <d v="2020-11-17T03:57:23"/>
    <d v="2021-04-09T03:27:56"/>
    <n v="142.97954861111066"/>
    <b v="0"/>
    <b v="1"/>
    <n v="671"/>
    <n v="38"/>
    <n v="122"/>
    <n v="1"/>
    <n v="5"/>
    <n v="21"/>
    <n v="238"/>
    <n v="5"/>
    <n v="58"/>
    <n v="14"/>
    <x v="4"/>
    <n v="3493"/>
    <n v="13"/>
    <n v="3.7217291726309764E-3"/>
    <n v="2"/>
    <n v="0.15384615384615385"/>
    <n v="5.7257371886630399E-4"/>
    <n v="8"/>
    <n v="0.61538461538461542"/>
    <n v="2.290294875465216E-3"/>
    <n v="1"/>
    <n v="7.6923076923076927E-2"/>
    <n v="2.8628685943315199E-4"/>
    <n v="2"/>
    <n v="0.15384615384615385"/>
    <n v="5.7257371886630399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odin-project/modin"/>
    <s v="modin-project"/>
    <s v="modin"/>
    <s v="https://github.com/modin-project/modin"/>
    <d v="2018-06-21T21:35:05"/>
    <d v="2021-04-08T18:20:13"/>
    <n v="1021.8646759259282"/>
    <b v="0"/>
    <b v="1"/>
    <n v="5943"/>
    <n v="106"/>
    <n v="408"/>
    <n v="35"/>
    <n v="24"/>
    <n v="75"/>
    <n v="1305"/>
    <n v="40"/>
    <n v="1658"/>
    <n v="465"/>
    <x v="7"/>
    <n v="33105"/>
    <n v="97"/>
    <n v="2.9300709862558525E-3"/>
    <n v="16"/>
    <n v="0.16494845360824742"/>
    <n v="4.8331067814529527E-4"/>
    <n v="47"/>
    <n v="0.4845360824742268"/>
    <n v="1.4197251170518048E-3"/>
    <n v="34"/>
    <n v="0.35051546391752575"/>
    <n v="1.0270351910587525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odoboa/modoboa"/>
    <s v="modoboa"/>
    <s v="modoboa"/>
    <s v="https://github.com/modoboa/modoboa"/>
    <d v="2013-04-16T09:43:55"/>
    <d v="2021-04-08T13:00:08"/>
    <n v="2914.1362615740727"/>
    <b v="0"/>
    <b v="1"/>
    <n v="1786"/>
    <n v="90"/>
    <n v="249"/>
    <n v="4"/>
    <n v="27"/>
    <n v="77"/>
    <n v="534"/>
    <n v="10"/>
    <n v="1539"/>
    <n v="68"/>
    <x v="14"/>
    <n v="16822"/>
    <n v="28"/>
    <n v="1.6644869813339674E-3"/>
    <n v="5"/>
    <n v="0.17857142857142858"/>
    <n v="2.9722981809535132E-4"/>
    <n v="12"/>
    <n v="0.42857142857142855"/>
    <n v="7.1335156342884317E-4"/>
    <n v="4"/>
    <n v="0.14285714285714285"/>
    <n v="2.3778385447628106E-4"/>
    <n v="4"/>
    <n v="0.14285714285714285"/>
    <n v="2.3778385447628106E-4"/>
    <n v="3"/>
    <n v="0.10714285714285714"/>
    <n v="1.7833789085721079E-4"/>
    <n v="0"/>
    <n v="0"/>
    <n v="0"/>
    <b v="0"/>
    <b v="1"/>
    <b v="0"/>
    <b v="0"/>
    <b v="1"/>
    <b v="0"/>
    <b v="0"/>
    <b v="0"/>
    <b v="0"/>
    <b v="0"/>
    <b v="0"/>
    <b v="0"/>
    <b v="0"/>
  </r>
  <r>
    <s v="molecularsets/moses"/>
    <s v="molecularsets"/>
    <s v="moses"/>
    <s v="https://github.com/molecularsets/moses"/>
    <d v="2018-11-28T11:51:17"/>
    <d v="2021-04-08T06:44:34"/>
    <n v="861.78700231482071"/>
    <b v="0"/>
    <b v="1"/>
    <n v="445"/>
    <n v="31"/>
    <n v="140"/>
    <n v="0"/>
    <n v="0"/>
    <n v="16"/>
    <n v="52"/>
    <n v="2"/>
    <n v="38"/>
    <n v="9"/>
    <x v="5"/>
    <n v="3442"/>
    <n v="6"/>
    <n v="1.7431725740848344E-3"/>
    <n v="0"/>
    <n v="0"/>
    <n v="0"/>
    <n v="3"/>
    <n v="0.5"/>
    <n v="8.7158628704241722E-4"/>
    <n v="3"/>
    <n v="0.5"/>
    <n v="8.7158628704241722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omosecurity/aswan"/>
    <s v="momosecurity"/>
    <s v="aswan"/>
    <s v="https://github.com/momosecurity/aswan"/>
    <d v="2019-06-14T10:03:28"/>
    <d v="2021-04-09T02:50:11"/>
    <n v="664.69910879629606"/>
    <b v="0"/>
    <b v="1"/>
    <n v="2412"/>
    <n v="84"/>
    <n v="663"/>
    <n v="0"/>
    <n v="4"/>
    <n v="6"/>
    <n v="27"/>
    <n v="1"/>
    <n v="43"/>
    <n v="1"/>
    <x v="15"/>
    <n v="5526"/>
    <n v="37"/>
    <n v="6.6956207021353605E-3"/>
    <n v="2"/>
    <n v="5.4054054054054057E-2"/>
    <n v="3.6192544335866811E-4"/>
    <n v="10"/>
    <n v="0.27027027027027029"/>
    <n v="1.8096272167933405E-3"/>
    <n v="0"/>
    <n v="0"/>
    <n v="0"/>
    <n v="21"/>
    <n v="0.56756756756756754"/>
    <n v="3.8002171552660152E-3"/>
    <n v="0"/>
    <n v="0"/>
    <n v="0"/>
    <n v="4"/>
    <n v="0.10810810810810811"/>
    <n v="7.2385088671733622E-4"/>
    <b v="0"/>
    <b v="1"/>
    <b v="0"/>
    <b v="0"/>
    <b v="1"/>
    <b v="0"/>
    <b v="0"/>
    <b v="0"/>
    <b v="0"/>
    <b v="0"/>
    <b v="0"/>
    <b v="0"/>
    <b v="0"/>
  </r>
  <r>
    <s v="mouse-reeve/bookwyrm"/>
    <s v="mouse-reeve"/>
    <s v="bookwyrm"/>
    <s v="https://github.com/mouse-reeve/bookwyrm"/>
    <d v="2020-01-27T03:51:54"/>
    <d v="2021-04-08T23:54:30"/>
    <n v="437.83513888889138"/>
    <b v="0"/>
    <b v="0"/>
    <n v="508"/>
    <n v="25"/>
    <n v="40"/>
    <n v="0"/>
    <n v="10"/>
    <n v="24"/>
    <n v="573"/>
    <n v="11"/>
    <n v="341"/>
    <n v="67"/>
    <x v="7"/>
    <n v="12762"/>
    <n v="4"/>
    <n v="3.1343049678733741E-4"/>
    <n v="0"/>
    <n v="0"/>
    <n v="0"/>
    <n v="0"/>
    <n v="0"/>
    <n v="0"/>
    <n v="0"/>
    <n v="0"/>
    <n v="0"/>
    <n v="0"/>
    <n v="0"/>
    <n v="0"/>
    <n v="0"/>
    <n v="0"/>
    <n v="0"/>
    <n v="4"/>
    <n v="1"/>
    <n v="3.1343049678733741E-4"/>
    <b v="1"/>
    <b v="1"/>
    <b v="0"/>
    <b v="0"/>
    <b v="1"/>
    <b v="0"/>
    <b v="0"/>
    <b v="0"/>
    <b v="0"/>
    <b v="0"/>
    <b v="0"/>
    <b v="0"/>
    <b v="0"/>
  </r>
  <r>
    <s v="mozilla-services/socorro"/>
    <s v="mozilla-services"/>
    <s v="socorro"/>
    <s v="https://github.com/mozilla-services/socorro"/>
    <d v="2011-08-24T19:21:49"/>
    <d v="2021-04-08T17:30:41"/>
    <n v="3514.9228240740704"/>
    <b v="0"/>
    <b v="1"/>
    <n v="510"/>
    <n v="38"/>
    <n v="216"/>
    <n v="192"/>
    <n v="56"/>
    <n v="107"/>
    <n v="5738"/>
    <n v="0"/>
    <n v="0"/>
    <n v="0"/>
    <x v="6"/>
    <n v="22839"/>
    <n v="136"/>
    <n v="5.9547265642103421E-3"/>
    <n v="40"/>
    <n v="0.29411764705882354"/>
    <n v="1.7513901659442182E-3"/>
    <n v="38"/>
    <n v="0.27941176470588236"/>
    <n v="1.6638206576470073E-3"/>
    <n v="26"/>
    <n v="0.19117647058823528"/>
    <n v="1.1384036078637418E-3"/>
    <n v="21"/>
    <n v="0.15441176470588236"/>
    <n v="9.1947983712071461E-4"/>
    <n v="3"/>
    <n v="2.2058823529411766E-2"/>
    <n v="1.3135426244581636E-4"/>
    <n v="8"/>
    <n v="5.8823529411764705E-2"/>
    <n v="3.5027803318884364E-4"/>
    <b v="1"/>
    <b v="1"/>
    <b v="0"/>
    <b v="0"/>
    <b v="1"/>
    <b v="0"/>
    <b v="0"/>
    <b v="0"/>
    <b v="0"/>
    <b v="0"/>
    <b v="0"/>
    <b v="0"/>
    <b v="0"/>
  </r>
  <r>
    <s v="mozilla-services/syncserver"/>
    <s v="mozilla-services"/>
    <s v="syncserver"/>
    <s v="https://github.com/mozilla-services/syncserver"/>
    <d v="2014-02-11T03:32:53"/>
    <d v="2021-04-07T15:31:07"/>
    <n v="2612.4987731481524"/>
    <b v="0"/>
    <b v="1"/>
    <n v="1336"/>
    <n v="72"/>
    <n v="115"/>
    <n v="0"/>
    <n v="4"/>
    <n v="41"/>
    <n v="88"/>
    <n v="0"/>
    <n v="184"/>
    <n v="55"/>
    <x v="6"/>
    <n v="332"/>
    <n v="1"/>
    <n v="3.0120481927710845E-3"/>
    <n v="0"/>
    <n v="0"/>
    <n v="0"/>
    <n v="0"/>
    <n v="0"/>
    <n v="0"/>
    <n v="0"/>
    <n v="0"/>
    <n v="0"/>
    <n v="1"/>
    <n v="1"/>
    <n v="3.0120481927710845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ozilla/addons-server"/>
    <s v="mozilla"/>
    <s v="addons-server"/>
    <s v="https://github.com/mozilla/addons-server"/>
    <d v="2014-01-31T18:44:15"/>
    <d v="2021-04-09T00:34:30"/>
    <n v="2624.2432291666628"/>
    <b v="0"/>
    <b v="1"/>
    <n v="707"/>
    <n v="84"/>
    <n v="445"/>
    <n v="0"/>
    <n v="122"/>
    <n v="612"/>
    <n v="10581"/>
    <n v="21"/>
    <n v="6212"/>
    <n v="193"/>
    <x v="2"/>
    <n v="87501"/>
    <n v="464"/>
    <n v="5.3027965394681206E-3"/>
    <n v="7"/>
    <n v="1.5086206896551725E-2"/>
    <n v="7.999908572473458E-5"/>
    <n v="349"/>
    <n v="0.75215517241379315"/>
    <n v="3.9885258454189091E-3"/>
    <n v="20"/>
    <n v="4.3103448275862072E-2"/>
    <n v="2.2856881635638449E-4"/>
    <n v="57"/>
    <n v="0.12284482758620689"/>
    <n v="6.514211266156958E-4"/>
    <n v="5"/>
    <n v="1.0775862068965518E-2"/>
    <n v="5.7142204089096124E-5"/>
    <n v="26"/>
    <n v="5.6034482758620691E-2"/>
    <n v="2.9713946126329983E-4"/>
    <b v="1"/>
    <b v="1"/>
    <b v="0"/>
    <b v="0"/>
    <b v="1"/>
    <b v="0"/>
    <b v="0"/>
    <b v="0"/>
    <b v="0"/>
    <b v="0"/>
    <b v="0"/>
    <b v="0"/>
    <b v="0"/>
  </r>
  <r>
    <s v="mozilla/bugbug"/>
    <s v="mozilla"/>
    <s v="bugbug"/>
    <s v="https://github.com/mozilla/bugbug"/>
    <d v="2018-03-12T15:29:09"/>
    <d v="2021-04-08T15:02:19"/>
    <n v="1122.9813657407358"/>
    <b v="0"/>
    <b v="1"/>
    <n v="336"/>
    <n v="19"/>
    <n v="214"/>
    <n v="0"/>
    <n v="86"/>
    <n v="77"/>
    <n v="1530"/>
    <n v="9"/>
    <n v="752"/>
    <n v="215"/>
    <x v="6"/>
    <n v="12300"/>
    <n v="250"/>
    <n v="2.032520325203252E-2"/>
    <n v="14"/>
    <n v="5.6000000000000001E-2"/>
    <n v="1.1382113821138211E-3"/>
    <n v="214"/>
    <n v="0.85599999999999998"/>
    <n v="1.7398373983739838E-2"/>
    <n v="18"/>
    <n v="7.1999999999999995E-2"/>
    <n v="1.4634146341463415E-3"/>
    <n v="4"/>
    <n v="1.6E-2"/>
    <n v="3.2520325203252032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ozilla/dxr"/>
    <s v="mozilla"/>
    <s v="dxr"/>
    <s v="https://github.com/mozilla/dxr"/>
    <d v="2011-05-24T18:52:38"/>
    <d v="2021-03-30T02:46:47"/>
    <n v="3597.329270833332"/>
    <b v="0"/>
    <b v="1"/>
    <n v="768"/>
    <n v="48"/>
    <n v="193"/>
    <n v="0"/>
    <n v="22"/>
    <n v="57"/>
    <n v="613"/>
    <n v="20"/>
    <n v="88"/>
    <n v="37"/>
    <x v="7"/>
    <n v="8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ozilla/http-observatory"/>
    <s v="mozilla"/>
    <s v="http-observatory"/>
    <s v="https://github.com/mozilla/http-observatory"/>
    <d v="2016-02-03T23:09:17"/>
    <d v="2021-04-03T07:57:04"/>
    <n v="1885.3665162036996"/>
    <b v="0"/>
    <b v="1"/>
    <n v="1552"/>
    <n v="64"/>
    <n v="125"/>
    <n v="0"/>
    <n v="10"/>
    <n v="19"/>
    <n v="243"/>
    <n v="11"/>
    <n v="198"/>
    <n v="57"/>
    <x v="6"/>
    <n v="2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ozilla/ichnaea"/>
    <s v="mozilla"/>
    <s v="ichnaea"/>
    <s v="https://github.com/mozilla/ichnaea"/>
    <d v="2013-04-18T12:51:09"/>
    <d v="2021-04-01T13:43:26"/>
    <n v="2905.0363078703667"/>
    <b v="0"/>
    <b v="1"/>
    <n v="445"/>
    <n v="51"/>
    <n v="124"/>
    <n v="2"/>
    <n v="22"/>
    <n v="35"/>
    <n v="1014"/>
    <n v="13"/>
    <n v="542"/>
    <n v="70"/>
    <x v="4"/>
    <n v="16147"/>
    <n v="60"/>
    <n v="3.715860531368056E-3"/>
    <n v="17"/>
    <n v="0.28333333333333333"/>
    <n v="1.0528271505542825E-3"/>
    <n v="32"/>
    <n v="0.53333333333333333"/>
    <n v="1.9817922833962965E-3"/>
    <n v="5"/>
    <n v="8.3333333333333329E-2"/>
    <n v="3.0965504428067135E-4"/>
    <n v="6"/>
    <n v="0.1"/>
    <n v="3.7158605313680559E-4"/>
    <n v="0"/>
    <n v="0"/>
    <n v="0"/>
    <n v="0"/>
    <n v="0"/>
    <n v="0"/>
    <b v="1"/>
    <b v="1"/>
    <b v="0"/>
    <b v="0"/>
    <b v="1"/>
    <b v="0"/>
    <b v="0"/>
    <b v="0"/>
    <b v="0"/>
    <b v="0"/>
    <b v="0"/>
    <b v="1"/>
    <b v="0"/>
  </r>
  <r>
    <s v="mozilla/kitsune"/>
    <s v="mozilla"/>
    <s v="kitsune"/>
    <s v="https://github.com/mozilla/kitsune"/>
    <d v="2010-01-26T18:53:57"/>
    <d v="2021-04-08T13:08:08"/>
    <n v="4089.7598495370403"/>
    <b v="0"/>
    <b v="1"/>
    <n v="761"/>
    <n v="266"/>
    <n v="533"/>
    <n v="4"/>
    <n v="1297"/>
    <n v="109"/>
    <n v="4089"/>
    <n v="16"/>
    <n v="504"/>
    <n v="50"/>
    <x v="2"/>
    <n v="41725"/>
    <n v="149"/>
    <n v="3.5710005991611742E-3"/>
    <n v="29"/>
    <n v="0.19463087248322147"/>
    <n v="6.9502696225284604E-4"/>
    <n v="66"/>
    <n v="0.44295302013422821"/>
    <n v="1.5817855002995807E-3"/>
    <n v="24"/>
    <n v="0.16107382550335569"/>
    <n v="5.7519472738166565E-4"/>
    <n v="18"/>
    <n v="0.12080536912751678"/>
    <n v="4.3139604553624927E-4"/>
    <n v="1"/>
    <n v="6.7114093959731542E-3"/>
    <n v="2.396644697423607E-5"/>
    <n v="11"/>
    <n v="7.3825503355704702E-2"/>
    <n v="2.6363091671659678E-4"/>
    <b v="1"/>
    <b v="1"/>
    <b v="0"/>
    <b v="0"/>
    <b v="1"/>
    <b v="0"/>
    <b v="0"/>
    <b v="0"/>
    <b v="0"/>
    <b v="0"/>
    <b v="0"/>
    <b v="0"/>
    <b v="0"/>
  </r>
  <r>
    <s v="mozilla/MozDef"/>
    <s v="mozilla"/>
    <s v="MozDef"/>
    <s v="https://github.com/mozilla/MozDef"/>
    <d v="2014-02-18T07:43:31"/>
    <d v="2021-04-01T11:38:57"/>
    <n v="2599.163495370376"/>
    <b v="0"/>
    <b v="1"/>
    <n v="2106"/>
    <n v="154"/>
    <n v="273"/>
    <n v="52"/>
    <n v="8"/>
    <n v="40"/>
    <n v="1320"/>
    <n v="8"/>
    <n v="387"/>
    <n v="70"/>
    <x v="6"/>
    <n v="19260"/>
    <n v="343"/>
    <n v="1.7808930425752857E-2"/>
    <n v="134"/>
    <n v="0.39067055393586003"/>
    <n v="6.9574247144340599E-3"/>
    <n v="46"/>
    <n v="0.13411078717201166"/>
    <n v="2.3883696780893043E-3"/>
    <n v="4"/>
    <n v="1.1661807580174927E-2"/>
    <n v="2.0768431983385254E-4"/>
    <n v="110"/>
    <n v="0.32069970845481049"/>
    <n v="5.711318795430945E-3"/>
    <n v="0"/>
    <n v="0"/>
    <n v="0"/>
    <n v="49"/>
    <n v="0.14285714285714285"/>
    <n v="2.5441329179646936E-3"/>
    <b v="1"/>
    <b v="1"/>
    <b v="0"/>
    <b v="0"/>
    <b v="1"/>
    <b v="0"/>
    <b v="0"/>
    <b v="0"/>
    <b v="0"/>
    <b v="0"/>
    <b v="0"/>
    <b v="0"/>
    <b v="0"/>
  </r>
  <r>
    <s v="mozilla/OpenWPM"/>
    <s v="mozilla"/>
    <s v="OpenWPM"/>
    <s v="https://github.com/mozilla/OpenWPM"/>
    <d v="2014-06-10T16:59:27"/>
    <d v="2021-04-06T12:26:52"/>
    <n v="2491.8107060185212"/>
    <b v="0"/>
    <b v="1"/>
    <n v="1118"/>
    <n v="61"/>
    <n v="232"/>
    <n v="18"/>
    <n v="6"/>
    <n v="46"/>
    <n v="373"/>
    <n v="7"/>
    <n v="503"/>
    <n v="117"/>
    <x v="7"/>
    <n v="5982"/>
    <n v="142"/>
    <n v="2.3737880307589436E-2"/>
    <n v="55"/>
    <n v="0.38732394366197181"/>
    <n v="9.1942494149114002E-3"/>
    <n v="41"/>
    <n v="0.28873239436619719"/>
    <n v="6.8538950183884987E-3"/>
    <n v="9"/>
    <n v="6.3380281690140844E-2"/>
    <n v="1.5045135406218655E-3"/>
    <n v="29"/>
    <n v="0.20422535211267606"/>
    <n v="4.8478769642260116E-3"/>
    <n v="8"/>
    <n v="5.6338028169014086E-2"/>
    <n v="1.3373453694416582E-3"/>
    <n v="0"/>
    <n v="0"/>
    <n v="0"/>
    <b v="1"/>
    <b v="0"/>
    <b v="0"/>
    <b v="0"/>
    <b v="1"/>
    <b v="0"/>
    <b v="0"/>
    <b v="0"/>
    <b v="0"/>
    <b v="0"/>
    <b v="0"/>
    <b v="0"/>
    <b v="0"/>
  </r>
  <r>
    <s v="mozilla/zamboni"/>
    <s v="mozilla"/>
    <s v="zamboni"/>
    <s v="https://github.com/mozilla/zamboni"/>
    <d v="2009-10-23T19:35:34"/>
    <d v="2021-03-21T14:27:58"/>
    <n v="4166.7863888888896"/>
    <b v="0"/>
    <b v="1"/>
    <n v="478"/>
    <n v="29"/>
    <n v="228"/>
    <n v="9"/>
    <n v="6258"/>
    <n v="185"/>
    <n v="3521"/>
    <n v="0"/>
    <n v="0"/>
    <n v="0"/>
    <x v="2"/>
    <n v="70096"/>
    <n v="463"/>
    <n v="6.6052271170965529E-3"/>
    <n v="40"/>
    <n v="8.6393088552915762E-2"/>
    <n v="5.7064597123944309E-4"/>
    <n v="286"/>
    <n v="0.6177105831533477"/>
    <n v="4.0801186943620182E-3"/>
    <n v="17"/>
    <n v="3.6717062634989202E-2"/>
    <n v="2.4252453777676329E-4"/>
    <n v="114"/>
    <n v="0.24622030237580994"/>
    <n v="1.6263410180324127E-3"/>
    <n v="2"/>
    <n v="4.3196544276457886E-3"/>
    <n v="2.8532298561972153E-5"/>
    <n v="4"/>
    <n v="8.6393088552915772E-3"/>
    <n v="5.7064597123944306E-5"/>
    <b v="1"/>
    <b v="0"/>
    <b v="0"/>
    <b v="0"/>
    <b v="1"/>
    <b v="0"/>
    <b v="0"/>
    <b v="0"/>
    <b v="0"/>
    <b v="0"/>
    <b v="0"/>
    <b v="0"/>
    <b v="0"/>
  </r>
  <r>
    <s v="MozillaSecurity/dharma"/>
    <s v="MozillaSecurity"/>
    <s v="dharma"/>
    <s v="https://github.com/MozillaSecurity/dharma"/>
    <d v="2015-03-25T17:56:23"/>
    <d v="2021-03-28T15:25:40"/>
    <n v="2194.8953356481434"/>
    <b v="0"/>
    <b v="1"/>
    <n v="417"/>
    <n v="27"/>
    <n v="76"/>
    <n v="3"/>
    <n v="0"/>
    <n v="11"/>
    <n v="17"/>
    <n v="4"/>
    <n v="17"/>
    <n v="4"/>
    <x v="6"/>
    <n v="852"/>
    <n v="41"/>
    <n v="4.8122065727699531E-2"/>
    <n v="2"/>
    <n v="4.878048780487805E-2"/>
    <n v="2.3474178403755869E-3"/>
    <n v="5"/>
    <n v="0.12195121951219512"/>
    <n v="5.8685446009389668E-3"/>
    <n v="5"/>
    <n v="0.12195121951219512"/>
    <n v="5.8685446009389668E-3"/>
    <n v="29"/>
    <n v="0.70731707317073167"/>
    <n v="3.4037558685446008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ps-youtube/mps-youtube"/>
    <s v="mps-youtube"/>
    <s v="mps-youtube"/>
    <s v="https://github.com/mps-youtube/mps-youtube"/>
    <d v="2014-02-03T04:17:46"/>
    <d v="2021-04-09T02:10:06"/>
    <n v="2621.9113425925898"/>
    <b v="0"/>
    <b v="1"/>
    <n v="6654"/>
    <n v="200"/>
    <n v="539"/>
    <n v="27"/>
    <n v="30"/>
    <n v="87"/>
    <n v="251"/>
    <n v="27"/>
    <n v="905"/>
    <n v="297"/>
    <x v="1"/>
    <n v="5285"/>
    <n v="4"/>
    <n v="7.5685903500473037E-4"/>
    <n v="1"/>
    <n v="0.25"/>
    <n v="1.8921475875118259E-4"/>
    <n v="3"/>
    <n v="0.75"/>
    <n v="5.6764427625354778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tianyan/VueDjangoAntdProBookShop"/>
    <s v="mtianyan"/>
    <s v="VueDjangoAntdProBookShop"/>
    <s v="https://github.com/mtianyan/VueDjangoAntdProBookShop"/>
    <d v="2018-02-13T20:04:07"/>
    <d v="2021-04-08T07:27:34"/>
    <n v="1149.4746180555521"/>
    <b v="0"/>
    <b v="0"/>
    <n v="850"/>
    <n v="57"/>
    <n v="340"/>
    <n v="0"/>
    <n v="0"/>
    <n v="2"/>
    <n v="34"/>
    <n v="21"/>
    <n v="20"/>
    <n v="2"/>
    <x v="1"/>
    <n v="14574"/>
    <n v="5"/>
    <n v="3.4307671195279267E-4"/>
    <n v="0"/>
    <n v="0"/>
    <n v="0"/>
    <n v="0"/>
    <n v="0"/>
    <n v="0"/>
    <n v="3"/>
    <n v="0.6"/>
    <n v="2.0584602717167559E-4"/>
    <n v="2"/>
    <n v="0.4"/>
    <n v="1.3723068478111705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mukulhase/WebWhatsapp-Wrapper"/>
    <s v="mukulhase"/>
    <s v="WebWhatsapp-Wrapper"/>
    <s v="https://github.com/mukulhase/WebWhatsapp-Wrapper"/>
    <d v="2016-05-06T13:17:41"/>
    <d v="2021-04-07T22:29:35"/>
    <n v="1797.3832638888853"/>
    <b v="0"/>
    <b v="0"/>
    <n v="1705"/>
    <n v="190"/>
    <n v="696"/>
    <n v="4"/>
    <n v="19"/>
    <n v="60"/>
    <n v="184"/>
    <n v="30"/>
    <n v="814"/>
    <n v="421"/>
    <x v="5"/>
    <n v="1781"/>
    <n v="12"/>
    <n v="6.7377877596855699E-3"/>
    <n v="2"/>
    <n v="0.16666666666666666"/>
    <n v="1.1229646266142617E-3"/>
    <n v="8"/>
    <n v="0.66666666666666663"/>
    <n v="4.4918585064570469E-3"/>
    <n v="0"/>
    <n v="0"/>
    <n v="0"/>
    <n v="1"/>
    <n v="8.3333333333333329E-2"/>
    <n v="5.6148231330713087E-4"/>
    <n v="1"/>
    <n v="8.3333333333333329E-2"/>
    <n v="5.6148231330713087E-4"/>
    <n v="0"/>
    <n v="0"/>
    <n v="0"/>
    <b v="1"/>
    <b v="1"/>
    <b v="0"/>
    <b v="0"/>
    <b v="1"/>
    <b v="0"/>
    <b v="0"/>
    <b v="0"/>
    <b v="0"/>
    <b v="0"/>
    <b v="0"/>
    <b v="0"/>
    <b v="0"/>
  </r>
  <r>
    <s v="MultiAgentLearning/playground"/>
    <s v="MultiAgentLearning"/>
    <s v="playground"/>
    <s v="https://github.com/MultiAgentLearning/playground"/>
    <d v="2017-12-26T03:05:13"/>
    <d v="2021-03-25T08:22:31"/>
    <n v="1185.2203472222172"/>
    <b v="0"/>
    <b v="1"/>
    <n v="650"/>
    <n v="29"/>
    <n v="185"/>
    <n v="0"/>
    <n v="4"/>
    <n v="32"/>
    <n v="131"/>
    <n v="7"/>
    <n v="108"/>
    <n v="9"/>
    <x v="4"/>
    <n v="3684"/>
    <n v="29"/>
    <n v="7.8718783930510315E-3"/>
    <n v="0"/>
    <n v="0"/>
    <n v="0"/>
    <n v="24"/>
    <n v="0.82758620689655171"/>
    <n v="6.5146579804560263E-3"/>
    <n v="5"/>
    <n v="0.17241379310344829"/>
    <n v="1.3572204125950054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mushorg/conpot"/>
    <s v="mushorg"/>
    <s v="conpot"/>
    <s v="https://github.com/mushorg/conpot"/>
    <d v="2013-03-20T13:04:04"/>
    <d v="2021-04-03T20:55:54"/>
    <n v="2936.3276620370307"/>
    <b v="0"/>
    <b v="1"/>
    <n v="860"/>
    <n v="91"/>
    <n v="314"/>
    <n v="2"/>
    <n v="86"/>
    <n v="42"/>
    <n v="192"/>
    <n v="7"/>
    <n v="361"/>
    <n v="93"/>
    <x v="3"/>
    <n v="11316"/>
    <n v="382"/>
    <n v="3.3757511488158358E-2"/>
    <n v="94"/>
    <n v="0.24607329842931938"/>
    <n v="8.30682219865677E-3"/>
    <n v="209"/>
    <n v="0.54712041884816753"/>
    <n v="1.846942382467303E-2"/>
    <n v="39"/>
    <n v="0.10209424083769633"/>
    <n v="3.4464475079533405E-3"/>
    <n v="23"/>
    <n v="6.0209424083769635E-2"/>
    <n v="2.0325203252032522E-3"/>
    <n v="2"/>
    <n v="5.235602094240838E-3"/>
    <n v="1.7674089784376105E-4"/>
    <n v="15"/>
    <n v="3.9267015706806283E-2"/>
    <n v="1.3255567338282079E-3"/>
    <b v="1"/>
    <b v="1"/>
    <b v="0"/>
    <b v="0"/>
    <b v="1"/>
    <b v="0"/>
    <b v="0"/>
    <b v="0"/>
    <b v="0"/>
    <b v="0"/>
    <b v="0"/>
    <b v="0"/>
    <b v="0"/>
  </r>
  <r>
    <s v="mushorg/glastopf"/>
    <s v="mushorg"/>
    <s v="glastopf"/>
    <s v="https://github.com/mushorg/glastopf"/>
    <d v="2012-11-15T21:57:07"/>
    <d v="2021-04-06T02:57:13"/>
    <n v="3063.2084027777746"/>
    <b v="0"/>
    <b v="1"/>
    <n v="447"/>
    <n v="52"/>
    <n v="151"/>
    <n v="1"/>
    <n v="67"/>
    <n v="40"/>
    <n v="96"/>
    <n v="1"/>
    <n v="209"/>
    <n v="1"/>
    <x v="1"/>
    <n v="4024"/>
    <n v="109"/>
    <n v="2.7087475149105367E-2"/>
    <n v="14"/>
    <n v="0.12844036697247707"/>
    <n v="3.4791252485089465E-3"/>
    <n v="23"/>
    <n v="0.21100917431192662"/>
    <n v="5.7157057654075548E-3"/>
    <n v="46"/>
    <n v="0.42201834862385323"/>
    <n v="1.143141153081511E-2"/>
    <n v="13"/>
    <n v="0.11926605504587157"/>
    <n v="3.2306163021868788E-3"/>
    <n v="0"/>
    <n v="0"/>
    <n v="0"/>
    <n v="13"/>
    <n v="0.11926605504587157"/>
    <n v="3.2306163021868788E-3"/>
    <b v="1"/>
    <b v="0"/>
    <b v="0"/>
    <b v="0"/>
    <b v="1"/>
    <b v="0"/>
    <b v="0"/>
    <b v="0"/>
    <b v="0"/>
    <b v="0"/>
    <b v="0"/>
    <b v="0"/>
    <b v="0"/>
  </r>
  <r>
    <s v="mvantellingen/localshop"/>
    <s v="mvantellingen"/>
    <s v="localshop"/>
    <s v="https://github.com/mvantellingen/localshop"/>
    <d v="2012-02-05T12:03:50"/>
    <d v="2021-01-13T19:33:35"/>
    <n v="3265.312326388892"/>
    <b v="0"/>
    <b v="0"/>
    <n v="371"/>
    <n v="18"/>
    <n v="107"/>
    <n v="0"/>
    <n v="7"/>
    <n v="36"/>
    <n v="106"/>
    <n v="10"/>
    <n v="110"/>
    <n v="34"/>
    <x v="5"/>
    <n v="2695"/>
    <n v="18"/>
    <n v="6.6790352504638223E-3"/>
    <n v="1"/>
    <n v="5.5555555555555552E-2"/>
    <n v="3.7105751391465676E-4"/>
    <n v="14"/>
    <n v="0.77777777777777779"/>
    <n v="5.1948051948051948E-3"/>
    <n v="0"/>
    <n v="0"/>
    <n v="0"/>
    <n v="2"/>
    <n v="0.1111111111111111"/>
    <n v="7.4211502782931351E-4"/>
    <n v="0"/>
    <n v="0"/>
    <n v="0"/>
    <n v="1"/>
    <n v="5.5555555555555552E-2"/>
    <n v="3.7105751391465676E-4"/>
    <b v="1"/>
    <b v="1"/>
    <b v="0"/>
    <b v="0"/>
    <b v="1"/>
    <b v="0"/>
    <b v="0"/>
    <b v="0"/>
    <b v="0"/>
    <b v="0"/>
    <b v="0"/>
    <b v="0"/>
    <b v="0"/>
  </r>
  <r>
    <s v="mwarkentin/django-watchman"/>
    <s v="mwarkentin"/>
    <s v="django-watchman"/>
    <s v="https://github.com/mwarkentin/django-watchman"/>
    <d v="2014-02-08T23:10:54"/>
    <d v="2021-04-08T15:30:36"/>
    <n v="2615.6803472222236"/>
    <b v="0"/>
    <b v="0"/>
    <n v="358"/>
    <n v="10"/>
    <n v="47"/>
    <n v="27"/>
    <n v="2"/>
    <n v="22"/>
    <n v="84"/>
    <n v="2"/>
    <n v="81"/>
    <n v="13"/>
    <x v="2"/>
    <n v="908"/>
    <n v="5"/>
    <n v="5.5066079295154188E-3"/>
    <n v="2"/>
    <n v="0.4"/>
    <n v="2.2026431718061676E-3"/>
    <n v="0"/>
    <n v="0"/>
    <n v="0"/>
    <n v="1"/>
    <n v="0.2"/>
    <n v="1.1013215859030838E-3"/>
    <n v="0"/>
    <n v="0"/>
    <n v="0"/>
    <n v="0"/>
    <n v="0"/>
    <n v="0"/>
    <n v="2"/>
    <n v="0.4"/>
    <n v="2.2026431718061676E-3"/>
    <b v="1"/>
    <b v="0"/>
    <b v="0"/>
    <b v="0"/>
    <b v="1"/>
    <b v="0"/>
    <b v="0"/>
    <b v="0"/>
    <b v="0"/>
    <b v="0"/>
    <b v="0"/>
    <b v="0"/>
    <b v="0"/>
  </r>
  <r>
    <s v="mwielgoszewski/doorman"/>
    <s v="mwielgoszewski"/>
    <s v="doorman"/>
    <s v="https://github.com/mwielgoszewski/doorman"/>
    <d v="2016-04-22T19:31:53"/>
    <d v="2021-03-31T15:04:50"/>
    <n v="1803.8145486111098"/>
    <b v="0"/>
    <b v="0"/>
    <n v="566"/>
    <n v="33"/>
    <n v="82"/>
    <n v="7"/>
    <n v="2"/>
    <n v="15"/>
    <n v="97"/>
    <n v="6"/>
    <n v="56"/>
    <n v="14"/>
    <x v="5"/>
    <n v="4140"/>
    <n v="45"/>
    <n v="1.0869565217391304E-2"/>
    <n v="14"/>
    <n v="0.31111111111111112"/>
    <n v="3.3816425120772949E-3"/>
    <n v="10"/>
    <n v="0.22222222222222221"/>
    <n v="2.4154589371980675E-3"/>
    <n v="4"/>
    <n v="8.8888888888888892E-2"/>
    <n v="9.6618357487922703E-4"/>
    <n v="14"/>
    <n v="0.31111111111111112"/>
    <n v="3.3816425120772949E-3"/>
    <n v="0"/>
    <n v="0"/>
    <n v="0"/>
    <n v="3"/>
    <n v="6.6666666666666666E-2"/>
    <n v="7.246376811594203E-4"/>
    <b v="1"/>
    <b v="0"/>
    <b v="0"/>
    <b v="0"/>
    <b v="1"/>
    <b v="0"/>
    <b v="0"/>
    <b v="0"/>
    <b v="0"/>
    <b v="0"/>
    <b v="0"/>
    <b v="0"/>
    <b v="0"/>
  </r>
  <r>
    <s v="MycroftAI/mycroft-core"/>
    <s v="MycroftAI"/>
    <s v="mycroft-core"/>
    <s v="https://github.com/MycroftAI/mycroft-core"/>
    <d v="2016-05-20T14:11:07"/>
    <d v="2021-04-08T23:15:29"/>
    <n v="1784.3780324074032"/>
    <b v="0"/>
    <b v="1"/>
    <n v="5023"/>
    <n v="297"/>
    <n v="1026"/>
    <n v="125"/>
    <n v="17"/>
    <n v="148"/>
    <n v="1913"/>
    <n v="35"/>
    <n v="940"/>
    <n v="108"/>
    <x v="4"/>
    <n v="20423"/>
    <n v="459"/>
    <n v="2.2474660921510063E-2"/>
    <n v="100"/>
    <n v="0.2178649237472767"/>
    <n v="4.8964402879106885E-3"/>
    <n v="155"/>
    <n v="0.33769063180827885"/>
    <n v="7.5894824462615675E-3"/>
    <n v="51"/>
    <n v="0.1111111111111111"/>
    <n v="2.4971845468344514E-3"/>
    <n v="89"/>
    <n v="0.19389978213507625"/>
    <n v="4.3578318562405129E-3"/>
    <n v="0"/>
    <n v="0"/>
    <n v="0"/>
    <n v="64"/>
    <n v="0.13943355119825709"/>
    <n v="3.1337217842628408E-3"/>
    <b v="1"/>
    <b v="0"/>
    <b v="0"/>
    <b v="0"/>
    <b v="1"/>
    <b v="0"/>
    <b v="0"/>
    <b v="0"/>
    <b v="0"/>
    <b v="0"/>
    <b v="0"/>
    <b v="0"/>
    <b v="0"/>
  </r>
  <r>
    <s v="Naategh/PyCk"/>
    <s v="Naategh"/>
    <s v="PyCk"/>
    <s v="https://github.com/Naategh/PyCk"/>
    <d v="2018-09-25T10:00:52"/>
    <d v="2021-04-07T14:39:27"/>
    <n v="925.19346064814454"/>
    <b v="0"/>
    <b v="0"/>
    <n v="356"/>
    <n v="24"/>
    <n v="68"/>
    <n v="0"/>
    <n v="0"/>
    <n v="8"/>
    <n v="15"/>
    <n v="1"/>
    <n v="0"/>
    <n v="0"/>
    <x v="0"/>
    <n v="992"/>
    <n v="2"/>
    <n v="2.0161290322580645E-3"/>
    <n v="0"/>
    <n v="0"/>
    <n v="0"/>
    <n v="0"/>
    <n v="0"/>
    <n v="0"/>
    <n v="0"/>
    <n v="0"/>
    <n v="0"/>
    <n v="2"/>
    <n v="1"/>
    <n v="2.0161290322580645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abla-c0d3/sslyze"/>
    <s v="nabla-c0d3"/>
    <s v="sslyze"/>
    <s v="https://github.com/nabla-c0d3/sslyze"/>
    <d v="2014-08-18T04:33:30"/>
    <d v="2021-04-08T04:06:50"/>
    <n v="2424.9814814814818"/>
    <b v="0"/>
    <b v="0"/>
    <n v="2449"/>
    <n v="143"/>
    <n v="340"/>
    <n v="57"/>
    <n v="10"/>
    <n v="47"/>
    <n v="93"/>
    <n v="0"/>
    <n v="425"/>
    <n v="21"/>
    <x v="11"/>
    <n v="6150"/>
    <n v="14"/>
    <n v="2.2764227642276423E-3"/>
    <n v="0"/>
    <n v="0"/>
    <n v="0"/>
    <n v="2"/>
    <n v="0.14285714285714285"/>
    <n v="3.2520325203252032E-4"/>
    <n v="12"/>
    <n v="0.8571428571428571"/>
    <n v="1.9512195121951219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amisan/mt-dnn"/>
    <s v="namisan"/>
    <s v="mt-dnn"/>
    <s v="https://github.com/namisan/mt-dnn"/>
    <d v="2019-02-19T22:58:26"/>
    <d v="2021-04-08T06:12:33"/>
    <n v="778.30146990740468"/>
    <b v="0"/>
    <b v="0"/>
    <n v="1680"/>
    <n v="59"/>
    <n v="341"/>
    <n v="0"/>
    <n v="11"/>
    <n v="16"/>
    <n v="58"/>
    <n v="1"/>
    <n v="150"/>
    <n v="11"/>
    <x v="5"/>
    <n v="10174"/>
    <n v="118"/>
    <n v="1.1598191468448987E-2"/>
    <n v="0"/>
    <n v="0"/>
    <n v="0"/>
    <n v="104"/>
    <n v="0.88135593220338981"/>
    <n v="1.0222134853548261E-2"/>
    <n v="9"/>
    <n v="7.6271186440677971E-2"/>
    <n v="8.8460782386475326E-4"/>
    <n v="5"/>
    <n v="4.2372881355932202E-2"/>
    <n v="4.914487910359740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andaka/PixivUtil2"/>
    <s v="Nandaka"/>
    <s v="PixivUtil2"/>
    <s v="https://github.com/Nandaka/PixivUtil2"/>
    <d v="2011-11-28T01:14:34"/>
    <d v="2021-04-07T22:48:58"/>
    <n v="3418.8988888888925"/>
    <b v="0"/>
    <b v="0"/>
    <n v="1394"/>
    <n v="87"/>
    <n v="152"/>
    <n v="148"/>
    <n v="16"/>
    <n v="35"/>
    <n v="127"/>
    <n v="1"/>
    <n v="799"/>
    <n v="26"/>
    <x v="8"/>
    <n v="8647"/>
    <n v="41"/>
    <n v="4.7415288539377817E-3"/>
    <n v="1"/>
    <n v="2.4390243902439025E-2"/>
    <n v="1.1564704521799469E-4"/>
    <n v="34"/>
    <n v="0.82926829268292679"/>
    <n v="3.9319995374118193E-3"/>
    <n v="0"/>
    <n v="0"/>
    <n v="0"/>
    <n v="2"/>
    <n v="4.878048780487805E-2"/>
    <n v="2.3129409043598937E-4"/>
    <n v="0"/>
    <n v="0"/>
    <n v="0"/>
    <n v="4"/>
    <n v="9.7560975609756101E-2"/>
    <n v="4.6258818087197874E-4"/>
    <b v="1"/>
    <b v="0"/>
    <b v="0"/>
    <b v="0"/>
    <b v="1"/>
    <b v="0"/>
    <b v="0"/>
    <b v="0"/>
    <b v="0"/>
    <b v="0"/>
    <b v="0"/>
    <b v="0"/>
    <b v="0"/>
  </r>
  <r>
    <s v="napalm-automation/napalm"/>
    <s v="napalm-automation"/>
    <s v="napalm"/>
    <s v="https://github.com/napalm-automation/napalm"/>
    <d v="2015-03-23T14:43:45"/>
    <d v="2021-04-06T20:50:54"/>
    <n v="2206.2549652777743"/>
    <b v="0"/>
    <b v="1"/>
    <n v="1661"/>
    <n v="171"/>
    <n v="447"/>
    <n v="31"/>
    <n v="5"/>
    <n v="142"/>
    <n v="919"/>
    <n v="5"/>
    <n v="496"/>
    <n v="99"/>
    <x v="4"/>
    <n v="12166"/>
    <n v="55"/>
    <n v="4.5207956600361665E-3"/>
    <n v="32"/>
    <n v="0.58181818181818179"/>
    <n v="2.6302811112937697E-3"/>
    <n v="0"/>
    <n v="0"/>
    <n v="0"/>
    <n v="1"/>
    <n v="1.8181818181818181E-2"/>
    <n v="8.2196284727930303E-5"/>
    <n v="22"/>
    <n v="0.4"/>
    <n v="1.8083182640144665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apari/napari"/>
    <s v="napari"/>
    <s v="napari"/>
    <s v="https://github.com/napari/napari"/>
    <d v="2018-08-13T01:12:28"/>
    <d v="2021-04-08T20:50:10"/>
    <n v="969.81784722222073"/>
    <b v="0"/>
    <b v="1"/>
    <n v="872"/>
    <n v="34"/>
    <n v="171"/>
    <n v="64"/>
    <n v="11"/>
    <n v="74"/>
    <n v="1404"/>
    <n v="68"/>
    <n v="1118"/>
    <n v="445"/>
    <x v="2"/>
    <n v="45183"/>
    <n v="103"/>
    <n v="2.2796184405639288E-3"/>
    <n v="26"/>
    <n v="0.25242718446601942"/>
    <n v="5.7543766460837044E-4"/>
    <n v="20"/>
    <n v="0.1941747572815534"/>
    <n v="4.4264435739105416E-4"/>
    <n v="53"/>
    <n v="0.5145631067961165"/>
    <n v="1.1730075470862936E-3"/>
    <n v="4"/>
    <n v="3.8834951456310676E-2"/>
    <n v="8.8528871478210834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aresh1318/Topaz"/>
    <s v="Naresh1318"/>
    <s v="Topaz"/>
    <s v="https://github.com/Naresh1318/Topaz"/>
    <d v="2019-07-09T02:05:35"/>
    <d v="2021-04-09T01:57:38"/>
    <n v="639.99447916666395"/>
    <b v="0"/>
    <b v="0"/>
    <n v="362"/>
    <n v="10"/>
    <n v="40"/>
    <n v="2"/>
    <n v="0"/>
    <n v="4"/>
    <n v="26"/>
    <n v="10"/>
    <n v="31"/>
    <n v="9"/>
    <x v="7"/>
    <n v="725"/>
    <n v="5"/>
    <n v="6.8965517241379309E-3"/>
    <n v="0"/>
    <n v="0"/>
    <n v="0"/>
    <n v="0"/>
    <n v="0"/>
    <n v="0"/>
    <n v="1"/>
    <n v="0.2"/>
    <n v="1.3793103448275861E-3"/>
    <n v="4"/>
    <n v="0.8"/>
    <n v="5.5172413793103444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natlas/natlas"/>
    <s v="natlas"/>
    <s v="natlas"/>
    <s v="https://github.com/natlas/natlas"/>
    <d v="2018-05-08T19:56:43"/>
    <d v="2021-04-06T00:12:31"/>
    <n v="1063.1776388888902"/>
    <b v="0"/>
    <b v="1"/>
    <n v="336"/>
    <n v="15"/>
    <n v="51"/>
    <n v="18"/>
    <n v="14"/>
    <n v="15"/>
    <n v="441"/>
    <n v="4"/>
    <n v="293"/>
    <n v="71"/>
    <x v="4"/>
    <n v="4256"/>
    <n v="60"/>
    <n v="1.4097744360902255E-2"/>
    <n v="0"/>
    <n v="0"/>
    <n v="0"/>
    <n v="27"/>
    <n v="0.45"/>
    <n v="6.3439849624060147E-3"/>
    <n v="22"/>
    <n v="0.36666666666666664"/>
    <n v="5.1691729323308268E-3"/>
    <n v="9"/>
    <n v="0.15"/>
    <n v="2.1146616541353382E-3"/>
    <n v="2"/>
    <n v="3.3333333333333333E-2"/>
    <n v="4.6992481203007516E-4"/>
    <n v="0"/>
    <n v="0"/>
    <n v="0"/>
    <b v="1"/>
    <b v="1"/>
    <b v="0"/>
    <b v="0"/>
    <b v="1"/>
    <b v="0"/>
    <b v="0"/>
    <b v="0"/>
    <b v="0"/>
    <b v="0"/>
    <b v="0"/>
    <b v="0"/>
    <b v="0"/>
  </r>
  <r>
    <s v="nccgroup/ScoutSuite"/>
    <s v="nccgroup"/>
    <s v="ScoutSuite"/>
    <s v="https://github.com/nccgroup/ScoutSuite"/>
    <d v="2018-10-30T11:46:54"/>
    <d v="2021-04-08T16:59:42"/>
    <n v="891.21722222222161"/>
    <b v="0"/>
    <b v="1"/>
    <n v="3031"/>
    <n v="95"/>
    <n v="429"/>
    <n v="28"/>
    <n v="3"/>
    <n v="36"/>
    <n v="562"/>
    <n v="11"/>
    <n v="651"/>
    <n v="169"/>
    <x v="3"/>
    <n v="12490"/>
    <n v="11"/>
    <n v="8.807045636509207E-4"/>
    <n v="1"/>
    <n v="9.0909090909090912E-2"/>
    <n v="8.0064051240992797E-5"/>
    <n v="1"/>
    <n v="9.0909090909090912E-2"/>
    <n v="8.0064051240992797E-5"/>
    <n v="0"/>
    <n v="0"/>
    <n v="0"/>
    <n v="8"/>
    <n v="0.72727272727272729"/>
    <n v="6.4051240992794238E-4"/>
    <n v="0"/>
    <n v="0"/>
    <n v="0"/>
    <n v="1"/>
    <n v="9.0909090909090912E-2"/>
    <n v="8.0064051240992797E-5"/>
    <b v="1"/>
    <b v="1"/>
    <b v="0"/>
    <b v="0"/>
    <b v="1"/>
    <b v="0"/>
    <b v="0"/>
    <b v="0"/>
    <b v="0"/>
    <b v="0"/>
    <b v="0"/>
    <b v="0"/>
    <b v="0"/>
  </r>
  <r>
    <s v="nccgroup/Winpayloads"/>
    <s v="nccgroup"/>
    <s v="Winpayloads"/>
    <s v="https://github.com/nccgroup/Winpayloads"/>
    <d v="2015-10-09T09:29:49"/>
    <d v="2021-04-08T00:39:10"/>
    <n v="2007.6314930555527"/>
    <b v="0"/>
    <b v="1"/>
    <n v="1215"/>
    <n v="109"/>
    <n v="302"/>
    <n v="0"/>
    <n v="0"/>
    <n v="3"/>
    <n v="10"/>
    <n v="0"/>
    <n v="74"/>
    <n v="12"/>
    <x v="4"/>
    <n v="1422"/>
    <n v="10"/>
    <n v="7.0323488045007029E-3"/>
    <n v="0"/>
    <n v="0"/>
    <n v="0"/>
    <n v="4"/>
    <n v="0.4"/>
    <n v="2.8129395218002813E-3"/>
    <n v="0"/>
    <n v="0"/>
    <n v="0"/>
    <n v="2"/>
    <n v="0.2"/>
    <n v="1.4064697609001407E-3"/>
    <n v="4"/>
    <n v="0.4"/>
    <n v="2.8129395218002813E-3"/>
    <n v="0"/>
    <n v="0"/>
    <n v="0"/>
    <b v="1"/>
    <b v="0"/>
    <b v="0"/>
    <b v="0"/>
    <b v="1"/>
    <b v="0"/>
    <b v="0"/>
    <b v="0"/>
    <b v="0"/>
    <b v="0"/>
    <b v="0"/>
    <b v="0"/>
    <b v="0"/>
  </r>
  <r>
    <s v="Nekmo/amazon-dash"/>
    <s v="Nekmo"/>
    <s v="amazon-dash"/>
    <s v="https://github.com/Nekmo/amazon-dash"/>
    <d v="2016-11-16T01:44:08"/>
    <d v="2021-04-05T05:21:13"/>
    <n v="1601.1507523148102"/>
    <b v="0"/>
    <b v="0"/>
    <n v="709"/>
    <n v="29"/>
    <n v="61"/>
    <n v="25"/>
    <n v="0"/>
    <n v="7"/>
    <n v="20"/>
    <n v="2"/>
    <n v="150"/>
    <n v="26"/>
    <x v="5"/>
    <n v="2114"/>
    <n v="4"/>
    <n v="1.8921475875118259E-3"/>
    <n v="1"/>
    <n v="0.25"/>
    <n v="4.7303689687795648E-4"/>
    <n v="1"/>
    <n v="0.25"/>
    <n v="4.7303689687795648E-4"/>
    <n v="2"/>
    <n v="0.5"/>
    <n v="9.4607379375591296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eo4j/neo4j-python-driver"/>
    <s v="neo4j"/>
    <s v="neo4j-python-driver"/>
    <s v="https://github.com/neo4j/neo4j-python-driver"/>
    <d v="2015-05-05T13:08:20"/>
    <d v="2021-04-07T15:38:26"/>
    <n v="2164.1042361111176"/>
    <b v="0"/>
    <b v="1"/>
    <n v="613"/>
    <n v="88"/>
    <n v="134"/>
    <n v="46"/>
    <n v="0"/>
    <n v="24"/>
    <n v="354"/>
    <n v="5"/>
    <n v="176"/>
    <n v="3"/>
    <x v="4"/>
    <n v="12611"/>
    <n v="77"/>
    <n v="6.1057806676710806E-3"/>
    <n v="66"/>
    <n v="0.8571428571428571"/>
    <n v="5.233526286575212E-3"/>
    <n v="0"/>
    <n v="0"/>
    <n v="0"/>
    <n v="1"/>
    <n v="1.2987012987012988E-2"/>
    <n v="7.9295852826897147E-5"/>
    <n v="10"/>
    <n v="0.12987012987012986"/>
    <n v="7.92958528268971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erdvegas/rez"/>
    <s v="nerdvegas"/>
    <s v="rez"/>
    <s v="https://github.com/nerdvegas/rez"/>
    <d v="2012-04-17T12:02:03"/>
    <d v="2021-04-08T05:09:14"/>
    <n v="3277.7133217592636"/>
    <b v="0"/>
    <b v="0"/>
    <n v="560"/>
    <n v="93"/>
    <n v="196"/>
    <n v="172"/>
    <n v="14"/>
    <n v="36"/>
    <n v="511"/>
    <n v="30"/>
    <n v="535"/>
    <n v="228"/>
    <x v="9"/>
    <n v="66162"/>
    <n v="273"/>
    <n v="4.1262356035186359E-3"/>
    <n v="85"/>
    <n v="0.31135531135531136"/>
    <n v="1.284725371058916E-3"/>
    <n v="66"/>
    <n v="0.24175824175824176"/>
    <n v="9.9755146458692292E-4"/>
    <n v="86"/>
    <n v="0.31501831501831501"/>
    <n v="1.2998397871890209E-3"/>
    <n v="20"/>
    <n v="7.3260073260073263E-2"/>
    <n v="3.0228832260209787E-4"/>
    <n v="5"/>
    <n v="1.8315018315018316E-2"/>
    <n v="7.5572080650524468E-5"/>
    <n v="11"/>
    <n v="4.0293040293040296E-2"/>
    <n v="1.6625857743115383E-4"/>
    <b v="1"/>
    <b v="0"/>
    <b v="0"/>
    <b v="0"/>
    <b v="1"/>
    <b v="0"/>
    <b v="0"/>
    <b v="0"/>
    <b v="0"/>
    <b v="0"/>
    <b v="0"/>
    <b v="0"/>
    <b v="0"/>
  </r>
  <r>
    <s v="NervanaSystems/neon"/>
    <s v="NervanaSystems"/>
    <s v="neon"/>
    <s v="https://github.com/NervanaSystems/neon"/>
    <d v="2014-10-16T01:00:17"/>
    <d v="2021-03-29T00:27:58"/>
    <n v="2355.9775578703702"/>
    <b v="0"/>
    <b v="1"/>
    <n v="3851"/>
    <n v="340"/>
    <n v="812"/>
    <n v="32"/>
    <n v="6"/>
    <n v="80"/>
    <n v="89"/>
    <n v="9"/>
    <n v="387"/>
    <n v="82"/>
    <x v="4"/>
    <n v="34992"/>
    <n v="73"/>
    <n v="2.0861911294010058E-3"/>
    <n v="6"/>
    <n v="8.2191780821917804E-2"/>
    <n v="1.7146776406035664E-4"/>
    <n v="23"/>
    <n v="0.31506849315068491"/>
    <n v="6.5729309556470045E-4"/>
    <n v="27"/>
    <n v="0.36986301369863012"/>
    <n v="7.716049382716049E-4"/>
    <n v="10"/>
    <n v="0.13698630136986301"/>
    <n v="2.8577960676726111E-4"/>
    <n v="0"/>
    <n v="0"/>
    <n v="0"/>
    <n v="7"/>
    <n v="9.5890410958904104E-2"/>
    <n v="2.0004572473708275E-4"/>
    <b v="1"/>
    <b v="0"/>
    <b v="0"/>
    <b v="0"/>
    <b v="1"/>
    <b v="0"/>
    <b v="0"/>
    <b v="0"/>
    <b v="0"/>
    <b v="0"/>
    <b v="0"/>
    <b v="0"/>
    <b v="0"/>
  </r>
  <r>
    <s v="NetEaseGame/git-webhook"/>
    <s v="NetEaseGame"/>
    <s v="git-webhook"/>
    <s v="https://github.com/NetEaseGame/git-webhook"/>
    <d v="2016-09-29T08:56:12"/>
    <d v="2021-04-09T03:02:35"/>
    <n v="1652.7544328703661"/>
    <b v="0"/>
    <b v="1"/>
    <n v="1403"/>
    <n v="87"/>
    <n v="383"/>
    <n v="0"/>
    <n v="0"/>
    <n v="5"/>
    <n v="8"/>
    <n v="1"/>
    <n v="49"/>
    <n v="13"/>
    <x v="5"/>
    <n v="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Netflix-Skunkworks/aardvark"/>
    <s v="Netflix-Skunkworks"/>
    <s v="aardvark"/>
    <s v="https://github.com/Netflix-Skunkworks/aardvark"/>
    <d v="2017-05-26T19:39:23"/>
    <d v="2021-03-31T22:50:04"/>
    <n v="1405.1324189814768"/>
    <b v="0"/>
    <b v="1"/>
    <n v="382"/>
    <n v="127"/>
    <n v="61"/>
    <n v="2"/>
    <n v="1"/>
    <n v="21"/>
    <n v="104"/>
    <n v="5"/>
    <n v="26"/>
    <n v="4"/>
    <x v="4"/>
    <n v="1208"/>
    <n v="57"/>
    <n v="4.7185430463576157E-2"/>
    <n v="8"/>
    <n v="0.14035087719298245"/>
    <n v="6.6225165562913907E-3"/>
    <n v="30"/>
    <n v="0.52631578947368418"/>
    <n v="2.4834437086092714E-2"/>
    <n v="7"/>
    <n v="0.12280701754385964"/>
    <n v="5.794701986754967E-3"/>
    <n v="9"/>
    <n v="0.15789473684210525"/>
    <n v="7.4503311258278145E-3"/>
    <n v="0"/>
    <n v="0"/>
    <n v="0"/>
    <n v="3"/>
    <n v="5.2631578947368418E-2"/>
    <n v="2.4834437086092716E-3"/>
    <b v="1"/>
    <b v="1"/>
    <b v="0"/>
    <b v="0"/>
    <b v="1"/>
    <b v="0"/>
    <b v="0"/>
    <b v="0"/>
    <b v="0"/>
    <b v="0"/>
    <b v="0"/>
    <b v="0"/>
    <b v="0"/>
  </r>
  <r>
    <s v="Netflix-Skunkworks/stethoscope"/>
    <s v="Netflix-Skunkworks"/>
    <s v="stethoscope"/>
    <s v="https://github.com/Netflix-Skunkworks/stethoscope"/>
    <d v="2017-01-09T21:39:48"/>
    <d v="2021-04-08T21:00:12"/>
    <n v="1549.9725000000035"/>
    <b v="0"/>
    <b v="1"/>
    <n v="1940"/>
    <n v="353"/>
    <n v="106"/>
    <n v="0"/>
    <n v="1"/>
    <n v="6"/>
    <n v="93"/>
    <n v="8"/>
    <n v="37"/>
    <n v="14"/>
    <x v="4"/>
    <n v="4318"/>
    <n v="82"/>
    <n v="1.8990273274664196E-2"/>
    <n v="41"/>
    <n v="0.5"/>
    <n v="9.4951366373320981E-3"/>
    <n v="8"/>
    <n v="9.7560975609756101E-2"/>
    <n v="1.8527095877721167E-3"/>
    <n v="13"/>
    <n v="0.15853658536585366"/>
    <n v="3.0106530801296896E-3"/>
    <n v="10"/>
    <n v="0.12195121951219512"/>
    <n v="2.3158869847151459E-3"/>
    <n v="1"/>
    <n v="1.2195121951219513E-2"/>
    <n v="2.3158869847151459E-4"/>
    <n v="9"/>
    <n v="0.10975609756097561"/>
    <n v="2.0842982862436313E-3"/>
    <b v="1"/>
    <b v="1"/>
    <b v="0"/>
    <b v="0"/>
    <b v="1"/>
    <b v="0"/>
    <b v="0"/>
    <b v="1"/>
    <b v="0"/>
    <b v="0"/>
    <b v="0"/>
    <b v="0"/>
    <b v="0"/>
  </r>
  <r>
    <s v="Netflix/consoleme"/>
    <s v="Netflix"/>
    <s v="consoleme"/>
    <s v="https://github.com/Netflix/consoleme"/>
    <d v="2019-11-13T15:21:01"/>
    <d v="2021-04-09T04:14:43"/>
    <n v="512.53729166666744"/>
    <b v="0"/>
    <b v="1"/>
    <n v="1771"/>
    <n v="63"/>
    <n v="92"/>
    <n v="6"/>
    <n v="1"/>
    <n v="23"/>
    <n v="353"/>
    <n v="5"/>
    <n v="49"/>
    <n v="19"/>
    <x v="4"/>
    <n v="12912"/>
    <n v="328"/>
    <n v="2.5402726146220571E-2"/>
    <n v="122"/>
    <n v="0.37195121951219512"/>
    <n v="9.448574969021066E-3"/>
    <n v="25"/>
    <n v="7.621951219512195E-2"/>
    <n v="1.9361833952912021E-3"/>
    <n v="25"/>
    <n v="7.621951219512195E-2"/>
    <n v="1.9361833952912021E-3"/>
    <n v="156"/>
    <n v="0.47560975609756095"/>
    <n v="1.2081784386617101E-2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Netflix/dispatch"/>
    <s v="Netflix"/>
    <s v="dispatch"/>
    <s v="https://github.com/Netflix/dispatch"/>
    <d v="2020-02-10T17:21:28"/>
    <d v="2021-04-09T00:02:45"/>
    <n v="423.27866898148204"/>
    <b v="0"/>
    <b v="1"/>
    <n v="2840"/>
    <n v="157"/>
    <n v="237"/>
    <n v="19"/>
    <n v="8"/>
    <n v="42"/>
    <n v="841"/>
    <n v="5"/>
    <n v="154"/>
    <n v="6"/>
    <x v="4"/>
    <n v="13930"/>
    <n v="169"/>
    <n v="1.2132089016511126E-2"/>
    <n v="72"/>
    <n v="0.42603550295857989"/>
    <n v="5.168700646087581E-3"/>
    <n v="16"/>
    <n v="9.4674556213017749E-2"/>
    <n v="1.148600143575018E-3"/>
    <n v="49"/>
    <n v="0.28994082840236685"/>
    <n v="3.5175879396984926E-3"/>
    <n v="10"/>
    <n v="5.9171597633136092E-2"/>
    <n v="7.1787508973438624E-4"/>
    <n v="0"/>
    <n v="0"/>
    <n v="0"/>
    <n v="22"/>
    <n v="0.13017751479289941"/>
    <n v="1.5793251974156497E-3"/>
    <b v="1"/>
    <b v="1"/>
    <b v="0"/>
    <b v="0"/>
    <b v="1"/>
    <b v="0"/>
    <b v="0"/>
    <b v="0"/>
    <b v="0"/>
    <b v="0"/>
    <b v="0"/>
    <b v="0"/>
    <b v="0"/>
  </r>
  <r>
    <s v="Netflix/lemur"/>
    <s v="Netflix"/>
    <s v="lemur"/>
    <s v="https://github.com/Netflix/lemur"/>
    <d v="2015-06-16T16:36:07"/>
    <d v="2021-04-08T23:31:55"/>
    <n v="2123.2887499999997"/>
    <b v="0"/>
    <b v="1"/>
    <n v="1458"/>
    <n v="369"/>
    <n v="268"/>
    <n v="16"/>
    <n v="8"/>
    <n v="111"/>
    <n v="3012"/>
    <n v="3"/>
    <n v="455"/>
    <n v="96"/>
    <x v="4"/>
    <n v="17281"/>
    <n v="321"/>
    <n v="1.8575313928592095E-2"/>
    <n v="149"/>
    <n v="0.46417445482866043"/>
    <n v="8.6221862160754583E-3"/>
    <n v="56"/>
    <n v="0.17445482866043613"/>
    <n v="3.2405532087263467E-3"/>
    <n v="34"/>
    <n v="0.1059190031152648"/>
    <n v="1.9674787338695679E-3"/>
    <n v="61"/>
    <n v="0.19003115264797507"/>
    <n v="3.5298883166483422E-3"/>
    <n v="0"/>
    <n v="0"/>
    <n v="0"/>
    <n v="21"/>
    <n v="6.5420560747663545E-2"/>
    <n v="1.21520745327238E-3"/>
    <b v="1"/>
    <b v="1"/>
    <b v="0"/>
    <b v="0"/>
    <b v="1"/>
    <b v="0"/>
    <b v="0"/>
    <b v="0"/>
    <b v="0"/>
    <b v="0"/>
    <b v="0"/>
    <b v="0"/>
    <b v="0"/>
  </r>
  <r>
    <s v="Netflix/repokid"/>
    <s v="Netflix"/>
    <s v="repokid"/>
    <s v="https://github.com/Netflix/repokid"/>
    <d v="2017-05-25T20:39:04"/>
    <d v="2021-04-08T13:54:38"/>
    <n v="1413.7191435185159"/>
    <b v="0"/>
    <b v="1"/>
    <n v="886"/>
    <n v="304"/>
    <n v="81"/>
    <n v="28"/>
    <n v="0"/>
    <n v="17"/>
    <n v="199"/>
    <n v="4"/>
    <n v="28"/>
    <n v="9"/>
    <x v="4"/>
    <n v="3321"/>
    <n v="84"/>
    <n v="2.5293586269196026E-2"/>
    <n v="18"/>
    <n v="0.21428571428571427"/>
    <n v="5.4200542005420054E-3"/>
    <n v="30"/>
    <n v="0.35714285714285715"/>
    <n v="9.0334236675700084E-3"/>
    <n v="10"/>
    <n v="0.11904761904761904"/>
    <n v="3.0111412225233363E-3"/>
    <n v="21"/>
    <n v="0.25"/>
    <n v="6.3233965672990066E-3"/>
    <n v="3"/>
    <n v="3.5714285714285712E-2"/>
    <n v="9.0334236675700087E-4"/>
    <n v="2"/>
    <n v="2.3809523809523808E-2"/>
    <n v="6.0222824450466728E-4"/>
    <b v="1"/>
    <b v="1"/>
    <b v="0"/>
    <b v="0"/>
    <b v="1"/>
    <b v="0"/>
    <b v="0"/>
    <b v="0"/>
    <b v="0"/>
    <b v="0"/>
    <b v="0"/>
    <b v="0"/>
    <b v="0"/>
  </r>
  <r>
    <s v="Netflix/security_monkey"/>
    <s v="Netflix"/>
    <s v="security_monkey"/>
    <s v="https://github.com/Netflix/security_monkey"/>
    <d v="2014-06-27T21:49:56"/>
    <d v="2021-04-09T02:49:08"/>
    <n v="2477.207777777774"/>
    <b v="0"/>
    <b v="1"/>
    <n v="4154"/>
    <n v="577"/>
    <n v="740"/>
    <n v="18"/>
    <n v="21"/>
    <n v="109"/>
    <n v="688"/>
    <n v="5"/>
    <n v="547"/>
    <n v="80"/>
    <x v="4"/>
    <n v="19790"/>
    <n v="399"/>
    <n v="2.0161697827185448E-2"/>
    <n v="204"/>
    <n v="0.51127819548872178"/>
    <n v="1.0308236483072259E-2"/>
    <n v="108"/>
    <n v="0.27067669172932329"/>
    <n v="5.4573016675088428E-3"/>
    <n v="18"/>
    <n v="4.5112781954887216E-2"/>
    <n v="9.095502779181405E-4"/>
    <n v="57"/>
    <n v="0.14285714285714285"/>
    <n v="2.880242546740778E-3"/>
    <n v="0"/>
    <n v="0"/>
    <n v="0"/>
    <n v="12"/>
    <n v="3.007518796992481E-2"/>
    <n v="6.0636685194542697E-4"/>
    <b v="1"/>
    <b v="1"/>
    <b v="0"/>
    <b v="0"/>
    <b v="1"/>
    <b v="0"/>
    <b v="0"/>
    <b v="0"/>
    <b v="0"/>
    <b v="0"/>
    <b v="0"/>
    <b v="0"/>
    <b v="0"/>
  </r>
  <r>
    <s v="Netflix/vmaf"/>
    <s v="Netflix"/>
    <s v="vmaf"/>
    <s v="https://github.com/Netflix/vmaf"/>
    <d v="2016-02-08T18:41:38"/>
    <d v="2021-04-09T03:09:03"/>
    <n v="1886.3523726851854"/>
    <b v="0"/>
    <b v="1"/>
    <n v="2253"/>
    <n v="428"/>
    <n v="493"/>
    <n v="17"/>
    <n v="33"/>
    <n v="66"/>
    <n v="483"/>
    <n v="9"/>
    <n v="368"/>
    <n v="64"/>
    <x v="7"/>
    <n v="17623"/>
    <n v="22"/>
    <n v="1.2483686092038813E-3"/>
    <n v="0"/>
    <n v="0"/>
    <n v="0"/>
    <n v="21"/>
    <n v="0.95454545454545459"/>
    <n v="1.1916245815127959E-3"/>
    <n v="1"/>
    <n v="4.5454545454545456E-2"/>
    <n v="5.6744027691085513E-5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etzob/netzob"/>
    <s v="netzob"/>
    <s v="netzob"/>
    <s v="https://github.com/netzob/netzob"/>
    <d v="2012-06-15T12:38:05"/>
    <d v="2021-04-04T15:21:47"/>
    <n v="3215.1136805555579"/>
    <b v="0"/>
    <b v="1"/>
    <n v="587"/>
    <n v="46"/>
    <n v="132"/>
    <n v="3"/>
    <n v="0"/>
    <n v="21"/>
    <n v="111"/>
    <n v="8"/>
    <n v="59"/>
    <n v="40"/>
    <x v="1"/>
    <n v="14878"/>
    <n v="250"/>
    <n v="1.6803333781422233E-2"/>
    <n v="159"/>
    <n v="0.63600000000000001"/>
    <n v="1.068692028498454E-2"/>
    <n v="37"/>
    <n v="0.14799999999999999"/>
    <n v="2.4868933996504907E-3"/>
    <n v="32"/>
    <n v="0.128"/>
    <n v="2.1508267240220461E-3"/>
    <n v="22"/>
    <n v="8.7999999999999995E-2"/>
    <n v="1.4786933727651565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ewFuture/DDNS"/>
    <s v="NewFuture"/>
    <s v="DDNS"/>
    <s v="https://github.com/NewFuture/DDNS"/>
    <d v="2016-06-10T11:51:51"/>
    <d v="2021-04-08T16:24:07"/>
    <n v="1763.189074074071"/>
    <b v="0"/>
    <b v="0"/>
    <n v="1938"/>
    <n v="42"/>
    <n v="349"/>
    <n v="27"/>
    <n v="4"/>
    <n v="19"/>
    <n v="71"/>
    <n v="3"/>
    <n v="170"/>
    <n v="21"/>
    <x v="5"/>
    <n v="1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exB/scancode-toolkit"/>
    <s v="nexB"/>
    <s v="scancode-toolkit"/>
    <s v="https://github.com/nexB/scancode-toolkit"/>
    <d v="2015-07-01T13:43:06"/>
    <d v="2021-04-08T23:30:15"/>
    <n v="2108.4077430555553"/>
    <b v="0"/>
    <b v="1"/>
    <n v="1151"/>
    <n v="64"/>
    <n v="340"/>
    <n v="35"/>
    <n v="87"/>
    <n v="109"/>
    <n v="880"/>
    <n v="26"/>
    <n v="1567"/>
    <n v="518"/>
    <x v="1"/>
    <n v="50122"/>
    <n v="202"/>
    <n v="4.0301663939986436E-3"/>
    <n v="39"/>
    <n v="0.19306930693069307"/>
    <n v="7.7810143250468854E-4"/>
    <n v="47"/>
    <n v="0.23267326732673269"/>
    <n v="9.3771198276206057E-4"/>
    <n v="52"/>
    <n v="0.25742574257425743"/>
    <n v="1.0374685766729181E-3"/>
    <n v="64"/>
    <n v="0.31683168316831684"/>
    <n v="1.27688440205897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extdoor/ndscheduler"/>
    <s v="Nextdoor"/>
    <s v="ndscheduler"/>
    <s v="https://github.com/Nextdoor/ndscheduler"/>
    <d v="2015-07-30T17:41:48"/>
    <d v="2021-04-02T04:56:08"/>
    <n v="2072.468287037038"/>
    <b v="0"/>
    <b v="1"/>
    <n v="962"/>
    <n v="53"/>
    <n v="147"/>
    <n v="3"/>
    <n v="0"/>
    <n v="13"/>
    <n v="41"/>
    <n v="15"/>
    <n v="53"/>
    <n v="27"/>
    <x v="8"/>
    <n v="1365"/>
    <n v="8"/>
    <n v="5.8608058608058608E-3"/>
    <n v="0"/>
    <n v="0"/>
    <n v="0"/>
    <n v="4"/>
    <n v="0.5"/>
    <n v="2.9304029304029304E-3"/>
    <n v="3"/>
    <n v="0.375"/>
    <n v="2.1978021978021978E-3"/>
    <n v="1"/>
    <n v="0.125"/>
    <n v="7.32600732600732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ginx-proxy/nginx-proxy"/>
    <s v="nginx-proxy"/>
    <s v="nginx-proxy"/>
    <s v="https://github.com/nginx-proxy/nginx-proxy"/>
    <d v="2014-05-05T17:01:40"/>
    <d v="2021-04-09T01:04:55"/>
    <n v="2530.3355902777839"/>
    <b v="0"/>
    <b v="1"/>
    <n v="14631"/>
    <n v="293"/>
    <n v="2383"/>
    <n v="0"/>
    <n v="15"/>
    <n v="90"/>
    <n v="415"/>
    <n v="91"/>
    <n v="1165"/>
    <n v="577"/>
    <x v="5"/>
    <n v="959"/>
    <n v="25"/>
    <n v="2.6068821689259645E-2"/>
    <n v="7"/>
    <n v="0.28000000000000003"/>
    <n v="7.2992700729927005E-3"/>
    <n v="13"/>
    <n v="0.52"/>
    <n v="1.3555787278415016E-2"/>
    <n v="4"/>
    <n v="0.16"/>
    <n v="4.1710114702815434E-3"/>
    <n v="1"/>
    <n v="0.04"/>
    <n v="1.0427528675703858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ngoduykhanh/PowerDNS-Admin"/>
    <s v="ngoduykhanh"/>
    <s v="PowerDNS-Admin"/>
    <s v="https://github.com/ngoduykhanh/PowerDNS-Admin"/>
    <d v="2015-12-13T09:38:33"/>
    <d v="2021-04-09T03:12:06"/>
    <n v="1943.7316319444435"/>
    <b v="0"/>
    <b v="0"/>
    <n v="1191"/>
    <n v="89"/>
    <n v="397"/>
    <n v="5"/>
    <n v="10"/>
    <n v="90"/>
    <n v="280"/>
    <n v="10"/>
    <n v="635"/>
    <n v="215"/>
    <x v="5"/>
    <n v="6891"/>
    <n v="300"/>
    <n v="4.3535045711797997E-2"/>
    <n v="105"/>
    <n v="0.35"/>
    <n v="1.5237265999129298E-2"/>
    <n v="54"/>
    <n v="0.18"/>
    <n v="7.8363082281236399E-3"/>
    <n v="11"/>
    <n v="3.6666666666666667E-2"/>
    <n v="1.5962850094325932E-3"/>
    <n v="129"/>
    <n v="0.43"/>
    <n v="1.8720069656073139E-2"/>
    <n v="0"/>
    <n v="0"/>
    <n v="0"/>
    <n v="1"/>
    <n v="3.3333333333333335E-3"/>
    <n v="1.4511681903932666E-4"/>
    <b v="1"/>
    <b v="1"/>
    <b v="0"/>
    <b v="0"/>
    <b v="1"/>
    <b v="0"/>
    <b v="0"/>
    <b v="0"/>
    <b v="0"/>
    <b v="0"/>
    <b v="0"/>
    <b v="0"/>
    <b v="0"/>
  </r>
  <r>
    <s v="nicolargo/glances"/>
    <s v="nicolargo"/>
    <s v="glances"/>
    <s v="https://github.com/nicolargo/glances"/>
    <d v="2011-12-04T08:49:15"/>
    <d v="2021-04-09T02:15:59"/>
    <n v="3413.7268981481466"/>
    <b v="0"/>
    <b v="0"/>
    <n v="18151"/>
    <n v="508"/>
    <n v="1163"/>
    <n v="21"/>
    <n v="82"/>
    <n v="126"/>
    <n v="487"/>
    <n v="0"/>
    <n v="1343"/>
    <n v="202"/>
    <x v="9"/>
    <n v="10986"/>
    <n v="361"/>
    <n v="3.2860003640997636E-2"/>
    <n v="194"/>
    <n v="0.53739612188365649"/>
    <n v="1.7658838521754962E-2"/>
    <n v="56"/>
    <n v="0.15512465373961218"/>
    <n v="5.0973966866921534E-3"/>
    <n v="27"/>
    <n v="7.4792243767313013E-2"/>
    <n v="2.4576734025122883E-3"/>
    <n v="50"/>
    <n v="0.13850415512465375"/>
    <n v="4.5512470416894232E-3"/>
    <n v="34"/>
    <n v="9.4182825484764546E-2"/>
    <n v="3.0948479883488077E-3"/>
    <n v="0"/>
    <n v="0"/>
    <n v="0"/>
    <b v="1"/>
    <b v="1"/>
    <b v="0"/>
    <b v="0"/>
    <b v="1"/>
    <b v="0"/>
    <b v="0"/>
    <b v="0"/>
    <b v="0"/>
    <b v="0"/>
    <b v="0"/>
    <b v="0"/>
    <b v="0"/>
  </r>
  <r>
    <s v="nicolas-chaulet/torch-points3d"/>
    <s v="nicolas-chaulet"/>
    <s v="torch-points3d"/>
    <s v="https://github.com/nicolas-chaulet/torch-points3d"/>
    <d v="2019-12-06T11:33:34"/>
    <d v="2021-04-08T12:12:28"/>
    <n v="489.02701388888818"/>
    <b v="0"/>
    <b v="0"/>
    <n v="1175"/>
    <n v="45"/>
    <n v="171"/>
    <n v="10"/>
    <n v="7"/>
    <n v="16"/>
    <n v="364"/>
    <n v="12"/>
    <n v="218"/>
    <n v="46"/>
    <x v="7"/>
    <n v="20812"/>
    <n v="159"/>
    <n v="7.6398231789352299E-3"/>
    <n v="3"/>
    <n v="1.8867924528301886E-2"/>
    <n v="1.4414760714972133E-4"/>
    <n v="118"/>
    <n v="0.74213836477987416"/>
    <n v="5.669805881222372E-3"/>
    <n v="31"/>
    <n v="0.19496855345911951"/>
    <n v="1.4895252738804535E-3"/>
    <n v="3"/>
    <n v="1.8867924528301886E-2"/>
    <n v="1.4414760714972133E-4"/>
    <n v="0"/>
    <n v="0"/>
    <n v="0"/>
    <n v="4"/>
    <n v="2.5157232704402517E-2"/>
    <n v="1.9219680953296174E-4"/>
    <b v="1"/>
    <b v="0"/>
    <b v="0"/>
    <b v="0"/>
    <b v="1"/>
    <b v="0"/>
    <b v="0"/>
    <b v="0"/>
    <b v="0"/>
    <b v="0"/>
    <b v="0"/>
    <b v="0"/>
    <b v="0"/>
  </r>
  <r>
    <s v="nidhaloff/igel"/>
    <s v="nidhaloff"/>
    <s v="igel"/>
    <s v="https://github.com/nidhaloff/igel"/>
    <d v="2020-08-27T20:54:59"/>
    <d v="2021-04-08T04:25:56"/>
    <n v="223.31315972222365"/>
    <b v="0"/>
    <b v="0"/>
    <n v="2624"/>
    <n v="68"/>
    <n v="122"/>
    <n v="9"/>
    <n v="5"/>
    <n v="11"/>
    <n v="23"/>
    <n v="0"/>
    <n v="32"/>
    <n v="7"/>
    <x v="5"/>
    <n v="889"/>
    <n v="63"/>
    <n v="7.0866141732283464E-2"/>
    <n v="1"/>
    <n v="1.5873015873015872E-2"/>
    <n v="1.1248593925759281E-3"/>
    <n v="54"/>
    <n v="0.8571428571428571"/>
    <n v="6.074240719910011E-2"/>
    <n v="2"/>
    <n v="3.1746031746031744E-2"/>
    <n v="2.2497187851518562E-3"/>
    <n v="1"/>
    <n v="1.5873015873015872E-2"/>
    <n v="1.1248593925759281E-3"/>
    <n v="0"/>
    <n v="0"/>
    <n v="0"/>
    <n v="5"/>
    <n v="7.9365079365079361E-2"/>
    <n v="5.6242969628796397E-3"/>
    <b v="1"/>
    <b v="0"/>
    <b v="0"/>
    <b v="0"/>
    <b v="1"/>
    <b v="0"/>
    <b v="0"/>
    <b v="0"/>
    <b v="0"/>
    <b v="0"/>
    <b v="0"/>
    <b v="0"/>
    <b v="0"/>
  </r>
  <r>
    <s v="nimia/public_drown_scanner"/>
    <s v="nimia"/>
    <s v="public_drown_scanner"/>
    <s v="https://github.com/nimia/public_drown_scanner"/>
    <d v="2016-03-01T12:47:22"/>
    <d v="2021-01-29T09:37:46"/>
    <n v="1794.868333333332"/>
    <b v="0"/>
    <b v="0"/>
    <n v="441"/>
    <n v="35"/>
    <n v="113"/>
    <n v="0"/>
    <n v="1"/>
    <n v="13"/>
    <n v="26"/>
    <n v="0"/>
    <n v="30"/>
    <n v="0"/>
    <x v="3"/>
    <n v="2331"/>
    <n v="11"/>
    <n v="4.7190047190047192E-3"/>
    <n v="4"/>
    <n v="0.36363636363636365"/>
    <n v="1.716001716001716E-3"/>
    <n v="2"/>
    <n v="0.18181818181818182"/>
    <n v="8.5800085800085801E-4"/>
    <n v="0"/>
    <n v="0"/>
    <n v="0"/>
    <n v="5"/>
    <n v="0.45454545454545453"/>
    <n v="2.145002145002144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ixawk/labs"/>
    <s v="nixawk"/>
    <s v="labs"/>
    <s v="https://github.com/nixawk/labs"/>
    <d v="2016-12-15T05:07:39"/>
    <d v="2021-04-06T18:23:59"/>
    <n v="1573.5530092592599"/>
    <b v="0"/>
    <b v="0"/>
    <n v="1010"/>
    <n v="109"/>
    <n v="402"/>
    <n v="0"/>
    <n v="0"/>
    <n v="3"/>
    <n v="4"/>
    <n v="1"/>
    <n v="19"/>
    <n v="11"/>
    <x v="1"/>
    <n v="1478"/>
    <n v="62"/>
    <n v="4.1948579161028419E-2"/>
    <n v="21"/>
    <n v="0.33870967741935482"/>
    <n v="1.4208389715832206E-2"/>
    <n v="30"/>
    <n v="0.4838709677419355"/>
    <n v="2.0297699594046009E-2"/>
    <n v="0"/>
    <n v="0"/>
    <n v="0"/>
    <n v="5"/>
    <n v="8.0645161290322578E-2"/>
    <n v="3.3829499323410014E-3"/>
    <n v="0"/>
    <n v="0"/>
    <n v="0"/>
    <n v="6"/>
    <n v="9.6774193548387094E-2"/>
    <n v="4.0595399188092015E-3"/>
    <b v="1"/>
    <b v="0"/>
    <b v="0"/>
    <b v="0"/>
    <b v="1"/>
    <b v="0"/>
    <b v="0"/>
    <b v="0"/>
    <b v="0"/>
    <b v="0"/>
    <b v="0"/>
    <b v="0"/>
    <b v="0"/>
  </r>
  <r>
    <s v="nornir-automation/nornir"/>
    <s v="nornir-automation"/>
    <s v="nornir"/>
    <s v="https://github.com/nornir-automation/nornir"/>
    <d v="2016-12-16T08:27:09"/>
    <d v="2021-04-05T06:49:06"/>
    <n v="1570.9319097222251"/>
    <b v="0"/>
    <b v="1"/>
    <n v="803"/>
    <n v="86"/>
    <n v="155"/>
    <n v="21"/>
    <n v="6"/>
    <n v="41"/>
    <n v="380"/>
    <n v="12"/>
    <n v="263"/>
    <n v="47"/>
    <x v="4"/>
    <n v="2259"/>
    <n v="6"/>
    <n v="2.6560424966799467E-3"/>
    <n v="1"/>
    <n v="0.16666666666666666"/>
    <n v="4.4267374944665782E-4"/>
    <n v="1"/>
    <n v="0.16666666666666666"/>
    <n v="4.4267374944665782E-4"/>
    <n v="2"/>
    <n v="0.33333333333333331"/>
    <n v="8.8534749889331564E-4"/>
    <n v="2"/>
    <n v="0.33333333333333331"/>
    <n v="8.853474988933156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sacyber/WALKOFF"/>
    <s v="nsacyber"/>
    <s v="WALKOFF"/>
    <s v="https://github.com/nsacyber/WALKOFF"/>
    <d v="2016-06-08T16:34:46"/>
    <d v="2021-04-08T04:48:06"/>
    <n v="1764.5092592592555"/>
    <b v="0"/>
    <b v="1"/>
    <n v="861"/>
    <n v="88"/>
    <n v="189"/>
    <n v="40"/>
    <n v="1"/>
    <n v="33"/>
    <n v="145"/>
    <n v="9"/>
    <n v="134"/>
    <n v="33"/>
    <x v="7"/>
    <n v="20382"/>
    <n v="300"/>
    <n v="1.4718869590815425E-2"/>
    <n v="43"/>
    <n v="0.14333333333333334"/>
    <n v="2.1097046413502108E-3"/>
    <n v="177"/>
    <n v="0.59"/>
    <n v="8.6841330585811002E-3"/>
    <n v="17"/>
    <n v="5.6666666666666664E-2"/>
    <n v="8.3406927681287405E-4"/>
    <n v="36"/>
    <n v="0.12"/>
    <n v="1.766264350897851E-3"/>
    <n v="1"/>
    <n v="3.3333333333333335E-3"/>
    <n v="4.9062898636051415E-5"/>
    <n v="26"/>
    <n v="8.666666666666667E-2"/>
    <n v="1.275635364537337E-3"/>
    <b v="1"/>
    <b v="1"/>
    <b v="0"/>
    <b v="0"/>
    <b v="1"/>
    <b v="0"/>
    <b v="0"/>
    <b v="0"/>
    <b v="0"/>
    <b v="0"/>
    <b v="0"/>
    <b v="0"/>
    <b v="0"/>
  </r>
  <r>
    <s v="nsidnev/fastapi-realworld-example-app"/>
    <s v="nsidnev"/>
    <s v="fastapi-realworld-example-app"/>
    <s v="https://github.com/nsidnev/fastapi-realworld-example-app"/>
    <d v="2019-01-28T23:47:19"/>
    <d v="2021-04-09T00:31:38"/>
    <n v="801.03077546296117"/>
    <b v="0"/>
    <b v="0"/>
    <n v="977"/>
    <n v="25"/>
    <n v="176"/>
    <n v="0"/>
    <n v="0"/>
    <n v="5"/>
    <n v="122"/>
    <n v="11"/>
    <n v="18"/>
    <n v="5"/>
    <x v="5"/>
    <n v="1656"/>
    <n v="4"/>
    <n v="2.4154589371980675E-3"/>
    <n v="0"/>
    <n v="0"/>
    <n v="0"/>
    <n v="4"/>
    <n v="1"/>
    <n v="2.4154589371980675E-3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1"/>
    <b v="0"/>
    <b v="0"/>
    <b v="0"/>
    <b v="0"/>
  </r>
  <r>
    <s v="numenta/nupic"/>
    <s v="numenta"/>
    <s v="nupic"/>
    <s v="https://github.com/numenta/nupic"/>
    <d v="2013-04-05T23:14:27"/>
    <d v="2021-04-08T11:40:54"/>
    <n v="2924.5183680555565"/>
    <b v="0"/>
    <b v="1"/>
    <n v="6221"/>
    <n v="641"/>
    <n v="1552"/>
    <n v="47"/>
    <n v="53"/>
    <n v="86"/>
    <n v="2110"/>
    <n v="11"/>
    <n v="1784"/>
    <n v="447"/>
    <x v="11"/>
    <n v="94265"/>
    <n v="374"/>
    <n v="3.9675383228133451E-3"/>
    <n v="81"/>
    <n v="0.21657754010695188"/>
    <n v="8.5927969023497585E-4"/>
    <n v="156"/>
    <n v="0.41711229946524064"/>
    <n v="1.6549090330451387E-3"/>
    <n v="110"/>
    <n v="0.29411764705882354"/>
    <n v="1.1669230361215721E-3"/>
    <n v="16"/>
    <n v="4.2780748663101602E-2"/>
    <n v="1.6973425979950141E-4"/>
    <n v="4"/>
    <n v="1.06951871657754E-2"/>
    <n v="4.2433564949875352E-5"/>
    <n v="7"/>
    <n v="1.871657754010695E-2"/>
    <n v="7.425873866228186E-5"/>
    <b v="1"/>
    <b v="0"/>
    <b v="0"/>
    <b v="0"/>
    <b v="1"/>
    <b v="0"/>
    <b v="0"/>
    <b v="0"/>
    <b v="0"/>
    <b v="0"/>
    <b v="0"/>
    <b v="0"/>
    <b v="0"/>
  </r>
  <r>
    <s v="nv-tlabs/GSCNN"/>
    <s v="nv-tlabs"/>
    <s v="GSCNN"/>
    <s v="https://github.com/nv-tlabs/GSCNN"/>
    <d v="2019-07-11T18:43:07"/>
    <d v="2021-04-08T14:24:09"/>
    <n v="636.82016203703824"/>
    <b v="0"/>
    <b v="1"/>
    <n v="727"/>
    <n v="35"/>
    <n v="161"/>
    <n v="0"/>
    <n v="0"/>
    <n v="3"/>
    <n v="4"/>
    <n v="2"/>
    <n v="78"/>
    <n v="47"/>
    <x v="7"/>
    <n v="2674"/>
    <n v="23"/>
    <n v="8.6013462976813754E-3"/>
    <n v="0"/>
    <n v="0"/>
    <n v="0"/>
    <n v="23"/>
    <n v="1"/>
    <n v="8.6013462976813754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VIDIA/semantic-segmentation"/>
    <s v="NVIDIA"/>
    <s v="semantic-segmentation"/>
    <s v="https://github.com/NVIDIA/semantic-segmentation"/>
    <d v="2019-06-14T19:20:20"/>
    <d v="2021-04-08T06:45:29"/>
    <n v="663.47579861110717"/>
    <b v="0"/>
    <b v="1"/>
    <n v="1144"/>
    <n v="35"/>
    <n v="244"/>
    <n v="0"/>
    <n v="0"/>
    <n v="4"/>
    <n v="19"/>
    <n v="1"/>
    <n v="117"/>
    <n v="37"/>
    <x v="2"/>
    <n v="5773"/>
    <n v="2"/>
    <n v="3.4644032565390613E-4"/>
    <n v="0"/>
    <n v="0"/>
    <n v="0"/>
    <n v="1"/>
    <n v="0.5"/>
    <n v="1.7322016282695306E-4"/>
    <n v="1"/>
    <n v="0.5"/>
    <n v="1.7322016282695306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VIDIAGameWorks/kaolin"/>
    <s v="NVIDIAGameWorks"/>
    <s v="kaolin"/>
    <s v="https://github.com/NVIDIAGameWorks/kaolin"/>
    <d v="2019-11-14T21:09:40"/>
    <d v="2021-04-09T00:00:01"/>
    <n v="511.11829861111619"/>
    <b v="0"/>
    <b v="1"/>
    <n v="2421"/>
    <n v="108"/>
    <n v="327"/>
    <n v="3"/>
    <n v="0"/>
    <n v="15"/>
    <n v="145"/>
    <n v="32"/>
    <n v="226"/>
    <n v="172"/>
    <x v="7"/>
    <n v="5474"/>
    <n v="15"/>
    <n v="2.7402265253927659E-3"/>
    <n v="3"/>
    <n v="0.2"/>
    <n v="5.4804530507855317E-4"/>
    <n v="3"/>
    <n v="0.2"/>
    <n v="5.4804530507855317E-4"/>
    <n v="9"/>
    <n v="0.6"/>
    <n v="1.6441359152356595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Vlabs/NVAE"/>
    <s v="NVlabs"/>
    <s v="NVAE"/>
    <s v="https://github.com/NVlabs/NVAE"/>
    <d v="2020-08-18T18:59:20"/>
    <d v="2021-04-08T02:50:57"/>
    <n v="232.3275115740762"/>
    <b v="0"/>
    <b v="1"/>
    <n v="582"/>
    <n v="16"/>
    <n v="64"/>
    <n v="0"/>
    <n v="0"/>
    <n v="0"/>
    <n v="3"/>
    <n v="3"/>
    <n v="25"/>
    <n v="9"/>
    <x v="7"/>
    <n v="2200"/>
    <n v="32"/>
    <n v="1.4545454545454545E-2"/>
    <n v="0"/>
    <n v="0"/>
    <n v="0"/>
    <n v="32"/>
    <n v="1"/>
    <n v="1.4545454545454545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Vlabs/stylegan2"/>
    <s v="NVlabs"/>
    <s v="stylegan2"/>
    <s v="https://github.com/NVlabs/stylegan2"/>
    <d v="2019-11-26T20:52:23"/>
    <d v="2021-04-08T21:56:05"/>
    <n v="499.0442361111127"/>
    <b v="0"/>
    <b v="1"/>
    <n v="7502"/>
    <n v="342"/>
    <n v="1418"/>
    <n v="0"/>
    <n v="2"/>
    <n v="0"/>
    <n v="22"/>
    <n v="17"/>
    <n v="0"/>
    <n v="0"/>
    <x v="7"/>
    <n v="5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Vlabs/stylegan2-ada"/>
    <s v="NVlabs"/>
    <s v="stylegan2-ada"/>
    <s v="https://github.com/NVlabs/stylegan2-ada"/>
    <d v="2020-10-07T16:25:05"/>
    <d v="2021-04-08T19:11:38"/>
    <n v="183.11565972222161"/>
    <b v="0"/>
    <b v="1"/>
    <n v="1160"/>
    <n v="27"/>
    <n v="244"/>
    <n v="0"/>
    <n v="1"/>
    <n v="0"/>
    <n v="6"/>
    <n v="2"/>
    <n v="85"/>
    <n v="51"/>
    <x v="7"/>
    <n v="5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nyaadevs/nyaa"/>
    <s v="nyaadevs"/>
    <s v="nyaa"/>
    <s v="https://github.com/nyaadevs/nyaa"/>
    <d v="2017-05-12T18:35:30"/>
    <d v="2021-04-08T09:46:23"/>
    <n v="1426.6325578703691"/>
    <b v="0"/>
    <b v="1"/>
    <n v="2787"/>
    <n v="176"/>
    <n v="318"/>
    <n v="0"/>
    <n v="46"/>
    <n v="44"/>
    <n v="288"/>
    <n v="15"/>
    <n v="0"/>
    <n v="0"/>
    <x v="0"/>
    <n v="4815"/>
    <n v="9"/>
    <n v="1.869158878504673E-3"/>
    <n v="1"/>
    <n v="0.1111111111111111"/>
    <n v="2.0768431983385254E-4"/>
    <n v="3"/>
    <n v="0.33333333333333331"/>
    <n v="6.2305295950155766E-4"/>
    <n v="2"/>
    <n v="0.22222222222222221"/>
    <n v="4.1536863966770509E-4"/>
    <n v="2"/>
    <n v="0.22222222222222221"/>
    <n v="4.1536863966770509E-4"/>
    <n v="0"/>
    <n v="0"/>
    <n v="0"/>
    <n v="1"/>
    <n v="0.1111111111111111"/>
    <n v="2.0768431983385254E-4"/>
    <b v="1"/>
    <b v="0"/>
    <b v="0"/>
    <b v="0"/>
    <b v="1"/>
    <b v="0"/>
    <b v="0"/>
    <b v="0"/>
    <b v="0"/>
    <b v="0"/>
    <b v="0"/>
    <b v="0"/>
    <b v="0"/>
  </r>
  <r>
    <s v="oarriaga/face_classification"/>
    <s v="oarriaga"/>
    <s v="face_classification"/>
    <s v="https://github.com/oarriaga/face_classification"/>
    <d v="2017-02-09T14:44:32"/>
    <d v="2021-04-07T13:03:36"/>
    <n v="1517.9299074074079"/>
    <b v="0"/>
    <b v="0"/>
    <n v="5062"/>
    <n v="233"/>
    <n v="1474"/>
    <n v="0"/>
    <n v="2"/>
    <n v="6"/>
    <n v="27"/>
    <n v="9"/>
    <n v="116"/>
    <n v="38"/>
    <x v="5"/>
    <n v="1358"/>
    <n v="2"/>
    <n v="1.4727540500736377E-3"/>
    <n v="0"/>
    <n v="0"/>
    <n v="0"/>
    <n v="0"/>
    <n v="0"/>
    <n v="0"/>
    <n v="0"/>
    <n v="0"/>
    <n v="0"/>
    <n v="2"/>
    <n v="1"/>
    <n v="1.472754050073637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bsidianforensics/unfurl"/>
    <s v="obsidianforensics"/>
    <s v="unfurl"/>
    <s v="https://github.com/obsidianforensics/unfurl"/>
    <d v="2019-11-04T23:06:57"/>
    <d v="2021-04-05T03:23:56"/>
    <n v="517.17846064814512"/>
    <b v="0"/>
    <b v="0"/>
    <n v="359"/>
    <n v="24"/>
    <n v="41"/>
    <n v="3"/>
    <n v="0"/>
    <n v="7"/>
    <n v="65"/>
    <n v="0"/>
    <n v="49"/>
    <n v="27"/>
    <x v="4"/>
    <n v="1864"/>
    <n v="10"/>
    <n v="5.3648068669527897E-3"/>
    <n v="0"/>
    <n v="0"/>
    <n v="0"/>
    <n v="1"/>
    <n v="0.1"/>
    <n v="5.3648068669527897E-4"/>
    <n v="1"/>
    <n v="0.1"/>
    <n v="5.3648068669527897E-4"/>
    <n v="0"/>
    <n v="0"/>
    <n v="0"/>
    <n v="0"/>
    <n v="0"/>
    <n v="0"/>
    <n v="8"/>
    <n v="0.8"/>
    <n v="4.2918454935622317E-3"/>
    <b v="1"/>
    <b v="1"/>
    <b v="0"/>
    <b v="0"/>
    <b v="1"/>
    <b v="0"/>
    <b v="0"/>
    <b v="0"/>
    <b v="0"/>
    <b v="0"/>
    <b v="0"/>
    <b v="0"/>
    <b v="0"/>
  </r>
  <r>
    <s v="obspy/obspy"/>
    <s v="obspy"/>
    <s v="obspy"/>
    <s v="https://github.com/obspy/obspy"/>
    <d v="2012-09-08T19:17:46"/>
    <d v="2021-04-08T14:28:37"/>
    <n v="3133.799201388887"/>
    <b v="0"/>
    <b v="1"/>
    <n v="765"/>
    <n v="123"/>
    <n v="424"/>
    <n v="20"/>
    <n v="497"/>
    <n v="93"/>
    <n v="1334"/>
    <n v="118"/>
    <n v="1483"/>
    <n v="273"/>
    <x v="7"/>
    <n v="90636"/>
    <n v="512"/>
    <n v="5.6489695043911914E-3"/>
    <n v="46"/>
    <n v="8.984375E-2"/>
    <n v="5.0752460391014604E-4"/>
    <n v="55"/>
    <n v="0.107421875"/>
    <n v="6.0682289597952248E-4"/>
    <n v="354"/>
    <n v="0.69140625"/>
    <n v="3.9057328213954719E-3"/>
    <n v="46"/>
    <n v="8.984375E-2"/>
    <n v="5.0752460391014604E-4"/>
    <n v="11"/>
    <n v="2.1484375E-2"/>
    <n v="1.2136457919590449E-4"/>
    <n v="0"/>
    <n v="0"/>
    <n v="0"/>
    <b v="1"/>
    <b v="0"/>
    <b v="0"/>
    <b v="0"/>
    <b v="1"/>
    <b v="0"/>
    <b v="0"/>
    <b v="0"/>
    <b v="0"/>
    <b v="0"/>
    <b v="0"/>
    <b v="0"/>
    <b v="0"/>
  </r>
  <r>
    <s v="oduwsdl/ipwb"/>
    <s v="oduwsdl"/>
    <s v="ipwb"/>
    <s v="https://github.com/oduwsdl/ipwb"/>
    <d v="2016-03-04T15:01:33"/>
    <d v="2021-04-05T06:44:32"/>
    <n v="1857.6548495370371"/>
    <b v="0"/>
    <b v="1"/>
    <n v="352"/>
    <n v="21"/>
    <n v="26"/>
    <n v="44"/>
    <n v="58"/>
    <n v="3"/>
    <n v="287"/>
    <n v="3"/>
    <n v="439"/>
    <n v="136"/>
    <x v="5"/>
    <n v="1880"/>
    <n v="1"/>
    <n v="5.3191489361702129E-4"/>
    <n v="0"/>
    <n v="0"/>
    <n v="0"/>
    <n v="0"/>
    <n v="0"/>
    <n v="0"/>
    <n v="0"/>
    <n v="0"/>
    <n v="0"/>
    <n v="0"/>
    <n v="0"/>
    <n v="0"/>
    <n v="1"/>
    <n v="1"/>
    <n v="5.3191489361702129E-4"/>
    <n v="0"/>
    <n v="0"/>
    <n v="0"/>
    <b v="1"/>
    <b v="0"/>
    <b v="0"/>
    <b v="0"/>
    <b v="1"/>
    <b v="0"/>
    <b v="0"/>
    <b v="0"/>
    <b v="0"/>
    <b v="0"/>
    <b v="0"/>
    <b v="0"/>
    <b v="0"/>
  </r>
  <r>
    <s v="ohld/igbot"/>
    <s v="ohld"/>
    <s v="igbot"/>
    <s v="https://github.com/ohld/igbot"/>
    <d v="2017-01-13T19:34:27"/>
    <d v="2021-04-08T11:48:45"/>
    <n v="1545.6765972222202"/>
    <b v="0"/>
    <b v="0"/>
    <n v="3879"/>
    <n v="316"/>
    <n v="1290"/>
    <n v="57"/>
    <n v="49"/>
    <n v="113"/>
    <n v="475"/>
    <n v="0"/>
    <n v="960"/>
    <n v="35"/>
    <x v="4"/>
    <n v="7540"/>
    <n v="315"/>
    <n v="4.1777188328912467E-2"/>
    <n v="11"/>
    <n v="3.4920634920634921E-2"/>
    <n v="1.4588859416445623E-3"/>
    <n v="197"/>
    <n v="0.6253968253968254"/>
    <n v="2.6127320954907163E-2"/>
    <n v="39"/>
    <n v="0.12380952380952381"/>
    <n v="5.1724137931034482E-3"/>
    <n v="66"/>
    <n v="0.20952380952380953"/>
    <n v="8.7533156498673746E-3"/>
    <n v="1"/>
    <n v="3.1746031746031746E-3"/>
    <n v="1.326259946949602E-4"/>
    <n v="1"/>
    <n v="3.1746031746031746E-3"/>
    <n v="1.326259946949602E-4"/>
    <b v="1"/>
    <b v="0"/>
    <b v="0"/>
    <b v="0"/>
    <b v="1"/>
    <b v="0"/>
    <b v="0"/>
    <b v="0"/>
    <b v="0"/>
    <b v="0"/>
    <b v="0"/>
    <b v="0"/>
    <b v="0"/>
  </r>
  <r>
    <s v="okfn-brasil/serenata-de-amor"/>
    <s v="okfn-brasil"/>
    <s v="serenata-de-amor"/>
    <s v="https://github.com/okfn-brasil/serenata-de-amor"/>
    <d v="2016-06-27T20:55:11"/>
    <d v="2021-04-07T03:23:14"/>
    <n v="1744.2694791666727"/>
    <b v="0"/>
    <b v="1"/>
    <n v="4254"/>
    <n v="393"/>
    <n v="672"/>
    <n v="0"/>
    <n v="16"/>
    <n v="103"/>
    <n v="370"/>
    <n v="17"/>
    <n v="179"/>
    <n v="46"/>
    <x v="5"/>
    <n v="6044"/>
    <n v="34"/>
    <n v="5.6254136333553934E-3"/>
    <n v="7"/>
    <n v="0.20588235294117646"/>
    <n v="1.158173395102581E-3"/>
    <n v="22"/>
    <n v="0.6470588235294118"/>
    <n v="3.639973527465255E-3"/>
    <n v="1"/>
    <n v="2.9411764705882353E-2"/>
    <n v="1.6545334215751158E-4"/>
    <n v="3"/>
    <n v="8.8235294117647065E-2"/>
    <n v="4.9636002647253472E-4"/>
    <n v="0"/>
    <n v="0"/>
    <n v="0"/>
    <n v="1"/>
    <n v="2.9411764705882353E-2"/>
    <n v="1.6545334215751158E-4"/>
    <b v="1"/>
    <b v="1"/>
    <b v="0"/>
    <b v="0"/>
    <b v="1"/>
    <b v="0"/>
    <b v="0"/>
    <b v="0"/>
    <b v="0"/>
    <b v="0"/>
    <b v="0"/>
    <b v="0"/>
    <b v="0"/>
  </r>
  <r>
    <s v="okigan/awscurl"/>
    <s v="okigan"/>
    <s v="awscurl"/>
    <s v="https://github.com/okigan/awscurl"/>
    <d v="2015-10-21T20:22:38"/>
    <d v="2021-04-06T00:12:04"/>
    <n v="1993.1593287037031"/>
    <b v="0"/>
    <b v="0"/>
    <n v="358"/>
    <n v="4"/>
    <n v="55"/>
    <n v="7"/>
    <n v="0"/>
    <n v="18"/>
    <n v="74"/>
    <n v="4"/>
    <n v="36"/>
    <n v="8"/>
    <x v="5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-mmlab/mmaction"/>
    <s v="open-mmlab"/>
    <s v="mmaction"/>
    <s v="https://github.com/open-mmlab/mmaction"/>
    <d v="2019-06-13T14:26:23"/>
    <d v="2021-04-09T03:18:22"/>
    <n v="665.53609953703562"/>
    <b v="0"/>
    <b v="1"/>
    <n v="1614"/>
    <n v="49"/>
    <n v="320"/>
    <n v="0"/>
    <n v="1"/>
    <n v="21"/>
    <n v="46"/>
    <n v="0"/>
    <n v="180"/>
    <n v="43"/>
    <x v="4"/>
    <n v="10681"/>
    <n v="28"/>
    <n v="2.6214773897575133E-3"/>
    <n v="0"/>
    <n v="0"/>
    <n v="0"/>
    <n v="27"/>
    <n v="0.9642857142857143"/>
    <n v="2.5278531972661735E-3"/>
    <n v="1"/>
    <n v="3.5714285714285712E-2"/>
    <n v="9.3624192491339759E-5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-mmlab/mmaction2"/>
    <s v="open-mmlab"/>
    <s v="mmaction2"/>
    <s v="https://github.com/open-mmlab/mmaction2"/>
    <d v="2020-07-11T07:19:10"/>
    <d v="2021-04-09T03:18:19"/>
    <n v="271.83274305555096"/>
    <b v="0"/>
    <b v="1"/>
    <n v="745"/>
    <n v="26"/>
    <n v="177"/>
    <n v="9"/>
    <n v="0"/>
    <n v="23"/>
    <n v="473"/>
    <n v="13"/>
    <n v="296"/>
    <n v="22"/>
    <x v="4"/>
    <n v="23254"/>
    <n v="60"/>
    <n v="2.5802012556979444E-3"/>
    <n v="0"/>
    <n v="0"/>
    <n v="0"/>
    <n v="32"/>
    <n v="0.53333333333333333"/>
    <n v="1.376107336372237E-3"/>
    <n v="28"/>
    <n v="0.46666666666666667"/>
    <n v="1.2040939193257074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-mmlab/mmcv"/>
    <s v="open-mmlab"/>
    <s v="mmcv"/>
    <s v="https://github.com/open-mmlab/mmcv"/>
    <d v="2018-08-22T07:05:26"/>
    <d v="2021-04-09T03:40:18"/>
    <n v="960.8575462962981"/>
    <b v="0"/>
    <b v="1"/>
    <n v="2349"/>
    <n v="73"/>
    <n v="606"/>
    <n v="17"/>
    <n v="3"/>
    <n v="88"/>
    <n v="647"/>
    <n v="43"/>
    <n v="284"/>
    <n v="24"/>
    <x v="4"/>
    <n v="18069"/>
    <n v="41"/>
    <n v="2.2690796391609939E-3"/>
    <n v="0"/>
    <n v="0"/>
    <n v="0"/>
    <n v="14"/>
    <n v="0.34146341463414637"/>
    <n v="7.7480768166472962E-4"/>
    <n v="27"/>
    <n v="0.65853658536585369"/>
    <n v="1.4942719574962643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-mmlab/mmdetection"/>
    <s v="open-mmlab"/>
    <s v="mmdetection"/>
    <s v="https://github.com/open-mmlab/mmdetection"/>
    <d v="2018-08-22T07:06:06"/>
    <d v="2021-04-09T03:46:09"/>
    <n v="960.86114583333256"/>
    <b v="0"/>
    <b v="1"/>
    <n v="14323"/>
    <n v="356"/>
    <n v="4619"/>
    <n v="11"/>
    <n v="10"/>
    <n v="201"/>
    <n v="1365"/>
    <n v="49"/>
    <n v="3547"/>
    <n v="264"/>
    <x v="4"/>
    <n v="32491"/>
    <n v="42"/>
    <n v="1.2926656612600412E-3"/>
    <n v="5"/>
    <n v="0.11904761904761904"/>
    <n v="1.5388876919762395E-4"/>
    <n v="7"/>
    <n v="0.16666666666666666"/>
    <n v="2.1544427687667354E-4"/>
    <n v="29"/>
    <n v="0.69047619047619047"/>
    <n v="8.9255486134621901E-4"/>
    <n v="1"/>
    <n v="2.3809523809523808E-2"/>
    <n v="3.0777753839524793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-mmlab/mmdetection3d"/>
    <s v="open-mmlab"/>
    <s v="mmdetection3d"/>
    <s v="https://github.com/open-mmlab/mmdetection3d"/>
    <d v="2020-07-08T03:39:45"/>
    <d v="2021-04-08T14:20:49"/>
    <n v="274.44518518518453"/>
    <b v="0"/>
    <b v="1"/>
    <n v="992"/>
    <n v="36"/>
    <n v="228"/>
    <n v="8"/>
    <n v="1"/>
    <n v="25"/>
    <n v="218"/>
    <n v="7"/>
    <n v="210"/>
    <n v="34"/>
    <x v="4"/>
    <n v="22105"/>
    <n v="13"/>
    <n v="5.8810223931237272E-4"/>
    <n v="0"/>
    <n v="0"/>
    <n v="0"/>
    <n v="8"/>
    <n v="0.61538461538461542"/>
    <n v="3.6190907034607553E-4"/>
    <n v="5"/>
    <n v="0.38461538461538464"/>
    <n v="2.2619316896629722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-mmlab/mmediting"/>
    <s v="open-mmlab"/>
    <s v="mmediting"/>
    <s v="https://github.com/open-mmlab/mmediting"/>
    <d v="2019-08-23T13:04:29"/>
    <d v="2021-04-08T12:43:46"/>
    <n v="593.98561342593166"/>
    <b v="0"/>
    <b v="1"/>
    <n v="1886"/>
    <n v="70"/>
    <n v="346"/>
    <n v="2"/>
    <n v="0"/>
    <n v="21"/>
    <n v="111"/>
    <n v="6"/>
    <n v="134"/>
    <n v="8"/>
    <x v="4"/>
    <n v="16371"/>
    <n v="7"/>
    <n v="4.2758536436381404E-4"/>
    <n v="0"/>
    <n v="0"/>
    <n v="0"/>
    <n v="5"/>
    <n v="0.7142857142857143"/>
    <n v="3.0541811740272432E-4"/>
    <n v="2"/>
    <n v="0.2857142857142857"/>
    <n v="1.2216724696108972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-mmlab/mmfashion"/>
    <s v="open-mmlab"/>
    <s v="mmfashion"/>
    <s v="https://github.com/open-mmlab/mmfashion"/>
    <d v="2019-10-25T05:15:34"/>
    <d v="2021-04-09T02:45:40"/>
    <n v="531.89590277778188"/>
    <b v="0"/>
    <b v="1"/>
    <n v="716"/>
    <n v="42"/>
    <n v="159"/>
    <n v="0"/>
    <n v="0"/>
    <n v="5"/>
    <n v="10"/>
    <n v="3"/>
    <n v="120"/>
    <n v="56"/>
    <x v="4"/>
    <n v="6249"/>
    <n v="23"/>
    <n v="3.6805888942230756E-3"/>
    <n v="0"/>
    <n v="0"/>
    <n v="0"/>
    <n v="21"/>
    <n v="0.91304347826086951"/>
    <n v="3.3605376860297649E-3"/>
    <n v="2"/>
    <n v="8.6956521739130432E-2"/>
    <n v="3.2005120819331091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-mmlab/mmpose"/>
    <s v="open-mmlab"/>
    <s v="mmpose"/>
    <s v="https://github.com/open-mmlab/mmpose"/>
    <d v="2020-07-08T06:02:55"/>
    <d v="2021-04-08T09:57:09"/>
    <n v="274.16266203703708"/>
    <b v="0"/>
    <b v="1"/>
    <n v="725"/>
    <n v="28"/>
    <n v="148"/>
    <n v="8"/>
    <n v="14"/>
    <n v="26"/>
    <n v="336"/>
    <n v="6"/>
    <n v="219"/>
    <n v="23"/>
    <x v="4"/>
    <n v="22454"/>
    <n v="25"/>
    <n v="1.1133873697336777E-3"/>
    <n v="0"/>
    <n v="0"/>
    <n v="0"/>
    <n v="8"/>
    <n v="0.32"/>
    <n v="3.5628395831477686E-4"/>
    <n v="17"/>
    <n v="0.68"/>
    <n v="7.5710341141890086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-mmlab/mmsegmentation"/>
    <s v="open-mmlab"/>
    <s v="mmsegmentation"/>
    <s v="https://github.com/open-mmlab/mmsegmentation"/>
    <d v="2020-06-14T04:32:33"/>
    <d v="2021-04-09T03:37:02"/>
    <n v="298.96144675926189"/>
    <b v="0"/>
    <b v="1"/>
    <n v="1572"/>
    <n v="40"/>
    <n v="362"/>
    <n v="7"/>
    <n v="0"/>
    <n v="28"/>
    <n v="158"/>
    <n v="19"/>
    <n v="305"/>
    <n v="58"/>
    <x v="4"/>
    <n v="10630"/>
    <n v="12"/>
    <n v="1.1288805268109125E-3"/>
    <n v="0"/>
    <n v="0"/>
    <n v="0"/>
    <n v="6"/>
    <n v="0.5"/>
    <n v="5.6444026340545623E-4"/>
    <n v="6"/>
    <n v="0.5"/>
    <n v="5.6444026340545623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-telemetry/opentelemetry-python"/>
    <s v="open-telemetry"/>
    <s v="opentelemetry-python"/>
    <s v="https://github.com/open-telemetry/opentelemetry-python"/>
    <d v="2019-05-07T21:13:30"/>
    <d v="2021-04-08T21:29:54"/>
    <n v="702.01138888888818"/>
    <b v="0"/>
    <b v="1"/>
    <n v="527"/>
    <n v="29"/>
    <n v="178"/>
    <n v="23"/>
    <n v="9"/>
    <n v="100"/>
    <n v="1016"/>
    <n v="5"/>
    <n v="677"/>
    <n v="108"/>
    <x v="4"/>
    <n v="14276"/>
    <n v="80"/>
    <n v="5.6038105912020178E-3"/>
    <n v="6"/>
    <n v="7.4999999999999997E-2"/>
    <n v="4.2028579434015128E-4"/>
    <n v="11"/>
    <n v="0.13750000000000001"/>
    <n v="7.7052395629027739E-4"/>
    <n v="34"/>
    <n v="0.42499999999999999"/>
    <n v="2.3816195012608572E-3"/>
    <n v="8"/>
    <n v="0.1"/>
    <n v="5.6038105912020178E-4"/>
    <n v="0"/>
    <n v="0"/>
    <n v="0"/>
    <n v="21"/>
    <n v="0.26250000000000001"/>
    <n v="1.4710002801905295E-3"/>
    <b v="0"/>
    <b v="1"/>
    <b v="0"/>
    <b v="0"/>
    <b v="1"/>
    <b v="0"/>
    <b v="0"/>
    <b v="0"/>
    <b v="0"/>
    <b v="0"/>
    <b v="0"/>
    <b v="0"/>
    <b v="0"/>
  </r>
  <r>
    <s v="openai/baselines"/>
    <s v="openai"/>
    <s v="baselines"/>
    <s v="https://github.com/openai/baselines"/>
    <d v="2017-05-24T01:58:13"/>
    <d v="2021-04-09T03:43:03"/>
    <n v="1416.0728009259328"/>
    <b v="0"/>
    <b v="1"/>
    <n v="11348"/>
    <n v="567"/>
    <n v="3154"/>
    <n v="0"/>
    <n v="30"/>
    <n v="112"/>
    <n v="351"/>
    <n v="68"/>
    <n v="812"/>
    <n v="386"/>
    <x v="5"/>
    <n v="10832"/>
    <n v="38"/>
    <n v="3.5081240768094534E-3"/>
    <n v="1"/>
    <n v="2.6315789473684209E-2"/>
    <n v="9.2319054652880361E-5"/>
    <n v="26"/>
    <n v="0.68421052631578949"/>
    <n v="2.4002954209748893E-3"/>
    <n v="11"/>
    <n v="0.28947368421052633"/>
    <n v="1.0155096011816838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ai/jukebox"/>
    <s v="openai"/>
    <s v="jukebox"/>
    <s v="https://github.com/openai/jukebox"/>
    <d v="2020-04-29T17:16:12"/>
    <d v="2021-04-08T23:02:12"/>
    <n v="344.24027777778247"/>
    <b v="0"/>
    <b v="1"/>
    <n v="4235"/>
    <n v="170"/>
    <n v="597"/>
    <n v="0"/>
    <n v="0"/>
    <n v="7"/>
    <n v="30"/>
    <n v="7"/>
    <n v="186"/>
    <n v="128"/>
    <x v="7"/>
    <n v="15176"/>
    <n v="6"/>
    <n v="3.9536109646810753E-4"/>
    <n v="0"/>
    <n v="0"/>
    <n v="0"/>
    <n v="1"/>
    <n v="0.16666666666666666"/>
    <n v="6.5893516078017927E-5"/>
    <n v="5"/>
    <n v="0.83333333333333337"/>
    <n v="3.2946758039008962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ai/kubernetes-ec2-autoscaler"/>
    <s v="openai"/>
    <s v="kubernetes-ec2-autoscaler"/>
    <s v="https://github.com/openai/kubernetes-ec2-autoscaler"/>
    <d v="2016-03-03T18:20:09"/>
    <d v="2021-03-23T18:01:22"/>
    <n v="1845.9869560185252"/>
    <b v="0"/>
    <b v="1"/>
    <n v="839"/>
    <n v="138"/>
    <n v="137"/>
    <n v="0"/>
    <n v="2"/>
    <n v="19"/>
    <n v="84"/>
    <n v="0"/>
    <n v="0"/>
    <n v="0"/>
    <x v="5"/>
    <n v="2560"/>
    <n v="101"/>
    <n v="3.9453124999999999E-2"/>
    <n v="22"/>
    <n v="0.21782178217821782"/>
    <n v="8.5937500000000007E-3"/>
    <n v="47"/>
    <n v="0.46534653465346537"/>
    <n v="1.8359375000000001E-2"/>
    <n v="22"/>
    <n v="0.21782178217821782"/>
    <n v="8.5937500000000007E-3"/>
    <n v="5"/>
    <n v="4.9504950495049507E-2"/>
    <n v="1.953125E-3"/>
    <n v="5"/>
    <n v="4.9504950495049507E-2"/>
    <n v="1.953125E-3"/>
    <n v="0"/>
    <n v="0"/>
    <n v="0"/>
    <b v="1"/>
    <b v="0"/>
    <b v="0"/>
    <b v="0"/>
    <b v="1"/>
    <b v="0"/>
    <b v="0"/>
    <b v="0"/>
    <b v="0"/>
    <b v="0"/>
    <b v="0"/>
    <b v="0"/>
    <b v="0"/>
  </r>
  <r>
    <s v="openai/mlsh"/>
    <s v="openai"/>
    <s v="mlsh"/>
    <s v="https://github.com/openai/mlsh"/>
    <d v="2017-10-26T06:47:59"/>
    <d v="2021-03-15T00:43:01"/>
    <n v="1235.7465509259273"/>
    <b v="0"/>
    <b v="1"/>
    <n v="548"/>
    <n v="43"/>
    <n v="138"/>
    <n v="0"/>
    <n v="0"/>
    <n v="3"/>
    <n v="8"/>
    <n v="4"/>
    <n v="14"/>
    <n v="12"/>
    <x v="1"/>
    <n v="12079"/>
    <n v="63"/>
    <n v="5.2156635483069794E-3"/>
    <n v="13"/>
    <n v="0.20634920634920634"/>
    <n v="1.0762480337776306E-3"/>
    <n v="27"/>
    <n v="0.42857142857142855"/>
    <n v="2.2352843778458481E-3"/>
    <n v="18"/>
    <n v="0.2857142857142857"/>
    <n v="1.4901895852305655E-3"/>
    <n v="5"/>
    <n v="7.9365079365079361E-2"/>
    <n v="4.139415514529348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ai/universe"/>
    <s v="openai"/>
    <s v="universe"/>
    <s v="https://github.com/openai/universe"/>
    <d v="2016-12-04T21:53:35"/>
    <d v="2021-04-08T05:24:21"/>
    <n v="1585.3130324074082"/>
    <b v="0"/>
    <b v="1"/>
    <n v="7258"/>
    <n v="477"/>
    <n v="875"/>
    <n v="2"/>
    <n v="3"/>
    <n v="23"/>
    <n v="43"/>
    <n v="0"/>
    <n v="193"/>
    <n v="0"/>
    <x v="5"/>
    <n v="9389"/>
    <n v="241"/>
    <n v="2.5668335285972947E-2"/>
    <n v="55"/>
    <n v="0.22821576763485477"/>
    <n v="5.8579188411971459E-3"/>
    <n v="154"/>
    <n v="0.63900414937759331"/>
    <n v="1.6402172755352006E-2"/>
    <n v="12"/>
    <n v="4.9792531120331947E-2"/>
    <n v="1.2780913835339226E-3"/>
    <n v="20"/>
    <n v="8.2987551867219914E-2"/>
    <n v="2.130152305889871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bmc/openbmc"/>
    <s v="openbmc"/>
    <s v="openbmc"/>
    <s v="https://github.com/openbmc/openbmc"/>
    <d v="2015-09-15T19:51:42"/>
    <d v="2021-04-09T04:00:25"/>
    <n v="2032.3393865740727"/>
    <b v="0"/>
    <b v="1"/>
    <n v="778"/>
    <n v="216"/>
    <n v="427"/>
    <n v="19"/>
    <n v="20"/>
    <n v="184"/>
    <n v="268"/>
    <n v="0"/>
    <n v="3507"/>
    <n v="64"/>
    <x v="7"/>
    <n v="100355"/>
    <n v="1587"/>
    <n v="1.5813860794180658E-2"/>
    <n v="526"/>
    <n v="0.33144297416509139"/>
    <n v="5.2413930546559712E-3"/>
    <n v="334"/>
    <n v="0.21045998739760555"/>
    <n v="3.3281849434507499E-3"/>
    <n v="317"/>
    <n v="0.19974795211090107"/>
    <n v="3.1587863086044543E-3"/>
    <n v="377"/>
    <n v="0.23755513547574039"/>
    <n v="3.7566638433560859E-3"/>
    <n v="23"/>
    <n v="1.4492753623188406E-2"/>
    <n v="2.2918638832145882E-4"/>
    <n v="10"/>
    <n v="6.3011972274732196E-3"/>
    <n v="9.9646255791938616E-5"/>
    <b v="1"/>
    <b v="0"/>
    <b v="0"/>
    <b v="0"/>
    <b v="1"/>
    <b v="0"/>
    <b v="0"/>
    <b v="0"/>
    <b v="0"/>
    <b v="0"/>
    <b v="0"/>
    <b v="0"/>
    <b v="0"/>
  </r>
  <r>
    <s v="OpenDroneMap/ODM"/>
    <s v="OpenDroneMap"/>
    <s v="ODM"/>
    <s v="https://github.com/OpenDroneMap/ODM"/>
    <d v="2014-09-25T18:29:10"/>
    <d v="2021-04-09T03:40:25"/>
    <n v="2387.3828125"/>
    <b v="0"/>
    <b v="1"/>
    <n v="3035"/>
    <n v="246"/>
    <n v="768"/>
    <n v="22"/>
    <n v="30"/>
    <n v="83"/>
    <n v="469"/>
    <n v="1"/>
    <n v="789"/>
    <n v="49"/>
    <x v="11"/>
    <n v="8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Geoscience/geonotebook"/>
    <s v="OpenGeoscience"/>
    <s v="geonotebook"/>
    <s v="https://github.com/OpenGeoscience/geonotebook"/>
    <d v="2016-07-26T19:48:45"/>
    <d v="2021-04-09T03:33:32"/>
    <n v="1717.3227662037025"/>
    <b v="0"/>
    <b v="1"/>
    <n v="1011"/>
    <n v="66"/>
    <n v="136"/>
    <n v="0"/>
    <n v="0"/>
    <n v="7"/>
    <n v="90"/>
    <n v="2"/>
    <n v="83"/>
    <n v="37"/>
    <x v="4"/>
    <n v="8489"/>
    <n v="35"/>
    <n v="4.1229826834727297E-3"/>
    <n v="0"/>
    <n v="0"/>
    <n v="0"/>
    <n v="9"/>
    <n v="0.25714285714285712"/>
    <n v="1.0601955471787018E-3"/>
    <n v="16"/>
    <n v="0.45714285714285713"/>
    <n v="1.8847920838732477E-3"/>
    <n v="10"/>
    <n v="0.2857142857142857"/>
    <n v="1.177995052420779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IDC/pyoidc"/>
    <s v="OpenIDC"/>
    <s v="pyoidc"/>
    <s v="https://github.com/OpenIDC/pyoidc"/>
    <d v="2011-11-10T08:28:04"/>
    <d v="2021-04-08T13:23:02"/>
    <n v="3437.2048379629632"/>
    <b v="0"/>
    <b v="1"/>
    <n v="554"/>
    <n v="28"/>
    <n v="189"/>
    <n v="26"/>
    <n v="13"/>
    <n v="45"/>
    <n v="483"/>
    <n v="9"/>
    <n v="291"/>
    <n v="48"/>
    <x v="7"/>
    <n v="25036"/>
    <n v="395"/>
    <n v="1.5777280715769292E-2"/>
    <n v="155"/>
    <n v="0.39240506329113922"/>
    <n v="6.1910848378335199E-3"/>
    <n v="82"/>
    <n v="0.20759493670886076"/>
    <n v="3.2752835916280555E-3"/>
    <n v="61"/>
    <n v="0.15443037974683543"/>
    <n v="2.4364914523086756E-3"/>
    <n v="88"/>
    <n v="0.22278481012658227"/>
    <n v="3.5149384885764497E-3"/>
    <n v="1"/>
    <n v="2.5316455696202532E-3"/>
    <n v="3.9942482824732382E-5"/>
    <n v="8"/>
    <n v="2.0253164556962026E-2"/>
    <n v="3.1953986259785906E-4"/>
    <b v="1"/>
    <b v="1"/>
    <b v="0"/>
    <b v="0"/>
    <b v="1"/>
    <b v="0"/>
    <b v="0"/>
    <b v="0"/>
    <b v="0"/>
    <b v="0"/>
    <b v="0"/>
    <b v="0"/>
    <b v="0"/>
  </r>
  <r>
    <s v="OpenMined/PyGrid"/>
    <s v="OpenMined"/>
    <s v="PyGrid"/>
    <s v="https://github.com/OpenMined/PyGrid"/>
    <d v="2018-01-26T20:53:03"/>
    <d v="2021-04-08T18:07:01"/>
    <n v="1167.8846990740712"/>
    <b v="0"/>
    <b v="1"/>
    <n v="536"/>
    <n v="64"/>
    <n v="195"/>
    <n v="1"/>
    <n v="0"/>
    <n v="70"/>
    <n v="515"/>
    <n v="2"/>
    <n v="316"/>
    <n v="48"/>
    <x v="4"/>
    <n v="15627"/>
    <n v="46"/>
    <n v="2.9436232162283228E-3"/>
    <n v="0"/>
    <n v="0"/>
    <n v="0"/>
    <n v="35"/>
    <n v="0.76086956521739135"/>
    <n v="2.2397133166954628E-3"/>
    <n v="7"/>
    <n v="0.15217391304347827"/>
    <n v="4.4794266333909259E-4"/>
    <n v="3"/>
    <n v="6.5217391304347824E-2"/>
    <n v="1.9197542714532539E-4"/>
    <n v="0"/>
    <n v="0"/>
    <n v="0"/>
    <n v="1"/>
    <n v="2.1739130434782608E-2"/>
    <n v="6.3991809048441798E-5"/>
    <b v="1"/>
    <b v="1"/>
    <b v="0"/>
    <b v="0"/>
    <b v="1"/>
    <b v="0"/>
    <b v="0"/>
    <b v="0"/>
    <b v="1"/>
    <b v="0"/>
    <b v="0"/>
    <b v="0"/>
    <b v="0"/>
  </r>
  <r>
    <s v="openshift/openshift-ansible"/>
    <s v="openshift"/>
    <s v="openshift-ansible"/>
    <s v="https://github.com/openshift/openshift-ansible"/>
    <d v="2014-09-16T17:07:51"/>
    <d v="2021-04-03T02:46:23"/>
    <n v="2390.4017592592572"/>
    <b v="0"/>
    <b v="1"/>
    <n v="1986"/>
    <n v="156"/>
    <n v="2203"/>
    <n v="0"/>
    <n v="157"/>
    <n v="412"/>
    <n v="9577"/>
    <n v="3"/>
    <n v="2744"/>
    <n v="12"/>
    <x v="4"/>
    <n v="1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penstack/cinder"/>
    <s v="openstack"/>
    <s v="cinder"/>
    <s v="https://github.com/openstack/cinder"/>
    <d v="2012-11-29T22:34:37"/>
    <d v="2021-04-08T07:16:23"/>
    <n v="3051.3623379629644"/>
    <b v="0"/>
    <b v="1"/>
    <n v="573"/>
    <n v="154"/>
    <n v="788"/>
    <n v="0"/>
    <n v="32"/>
    <n v="751"/>
    <n v="60"/>
    <n v="0"/>
    <n v="0"/>
    <n v="0"/>
    <x v="4"/>
    <n v="291101"/>
    <n v="6965"/>
    <n v="2.3926403550657675E-2"/>
    <n v="2911"/>
    <n v="0.41794687724335966"/>
    <n v="9.9999656476618074E-3"/>
    <n v="1184"/>
    <n v="0.16999282124910264"/>
    <n v="4.0673168419208452E-3"/>
    <n v="587"/>
    <n v="8.4278535534816942E-2"/>
    <n v="2.0164822518644733E-3"/>
    <n v="1850"/>
    <n v="0.26561378320172291"/>
    <n v="6.3551825655013211E-3"/>
    <n v="1"/>
    <n v="1.4357501794687725E-4"/>
    <n v="3.4352338191899032E-6"/>
    <n v="432"/>
    <n v="6.2024407753050972E-2"/>
    <n v="1.4840210098900381E-3"/>
    <b v="0"/>
    <b v="1"/>
    <b v="0"/>
    <b v="0"/>
    <b v="1"/>
    <b v="0"/>
    <b v="0"/>
    <b v="0"/>
    <b v="0"/>
    <b v="0"/>
    <b v="0"/>
    <b v="0"/>
    <b v="0"/>
  </r>
  <r>
    <s v="openstack/swift"/>
    <s v="openstack"/>
    <s v="swift"/>
    <s v="https://github.com/openstack/swift"/>
    <d v="2010-07-22T01:50:07"/>
    <d v="2021-04-08T22:23:13"/>
    <n v="3913.8563194444432"/>
    <b v="0"/>
    <b v="1"/>
    <n v="2184"/>
    <n v="330"/>
    <n v="959"/>
    <n v="0"/>
    <n v="17"/>
    <n v="309"/>
    <n v="32"/>
    <n v="0"/>
    <n v="0"/>
    <n v="0"/>
    <x v="4"/>
    <n v="176499"/>
    <n v="777"/>
    <n v="4.4022912311117912E-3"/>
    <n v="205"/>
    <n v="0.26383526383526384"/>
    <n v="1.1614796684400479E-3"/>
    <n v="178"/>
    <n v="0.22908622908622908"/>
    <n v="1.0085042974747732E-3"/>
    <n v="146"/>
    <n v="0.18790218790218791"/>
    <n v="8.2720015410852189E-4"/>
    <n v="116"/>
    <n v="0.14929214929214929"/>
    <n v="6.5722751970266125E-4"/>
    <n v="2"/>
    <n v="2.5740025740025739E-3"/>
    <n v="1.1331508960390711E-5"/>
    <n v="130"/>
    <n v="0.16731016731016732"/>
    <n v="7.3654808242539622E-4"/>
    <b v="1"/>
    <b v="0"/>
    <b v="0"/>
    <b v="0"/>
    <b v="1"/>
    <b v="0"/>
    <b v="0"/>
    <b v="0"/>
    <b v="0"/>
    <b v="0"/>
    <b v="0"/>
    <b v="0"/>
    <b v="0"/>
  </r>
  <r>
    <s v="openstates/openstates-scrapers"/>
    <s v="openstates"/>
    <s v="openstates-scrapers"/>
    <s v="https://github.com/openstates/openstates-scrapers"/>
    <d v="2009-02-26T22:49:19"/>
    <d v="2021-04-07T18:10:56"/>
    <n v="4422.8066782407404"/>
    <b v="0"/>
    <b v="1"/>
    <n v="699"/>
    <n v="54"/>
    <n v="375"/>
    <n v="0"/>
    <n v="81"/>
    <n v="135"/>
    <n v="2116"/>
    <n v="2"/>
    <n v="1505"/>
    <n v="1"/>
    <x v="0"/>
    <n v="27055"/>
    <n v="512"/>
    <n v="1.8924413232304566E-2"/>
    <n v="9"/>
    <n v="1.7578125E-2"/>
    <n v="3.3265570134910369E-4"/>
    <n v="178"/>
    <n v="0.34765625"/>
    <n v="6.579190537793384E-3"/>
    <n v="312"/>
    <n v="0.609375"/>
    <n v="1.1532064313435593E-2"/>
    <n v="12"/>
    <n v="2.34375E-2"/>
    <n v="4.4354093513213825E-4"/>
    <n v="1"/>
    <n v="1.953125E-3"/>
    <n v="3.6961744594344855E-5"/>
    <n v="0"/>
    <n v="0"/>
    <n v="0"/>
    <b v="1"/>
    <b v="1"/>
    <b v="0"/>
    <b v="0"/>
    <b v="1"/>
    <b v="0"/>
    <b v="0"/>
    <b v="0"/>
    <b v="0"/>
    <b v="0"/>
    <b v="0"/>
    <b v="0"/>
    <b v="0"/>
  </r>
  <r>
    <s v="OpnTec/open-event-server"/>
    <s v="OpnTec"/>
    <s v="open-event-server"/>
    <s v="https://github.com/OpnTec/open-event-server"/>
    <d v="2018-01-23T21:55:13"/>
    <d v="2021-04-06T16:42:30"/>
    <n v="1168.7828356481477"/>
    <b v="0"/>
    <b v="1"/>
    <n v="1117"/>
    <n v="2"/>
    <n v="3"/>
    <n v="0"/>
    <n v="0"/>
    <n v="106"/>
    <n v="0"/>
    <n v="0"/>
    <n v="0"/>
    <n v="0"/>
    <x v="7"/>
    <n v="18719"/>
    <n v="9"/>
    <n v="4.8079491425824029E-4"/>
    <n v="0"/>
    <n v="0"/>
    <n v="0"/>
    <n v="8"/>
    <n v="0.88888888888888884"/>
    <n v="4.273732571184358E-4"/>
    <n v="0"/>
    <n v="0"/>
    <n v="0"/>
    <n v="1"/>
    <n v="0.1111111111111111"/>
    <n v="5.3421657139804475E-5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opsdroid/opsdroid"/>
    <s v="opsdroid"/>
    <s v="opsdroid"/>
    <s v="https://github.com/opsdroid/opsdroid"/>
    <d v="2016-07-23T20:18:56"/>
    <d v="2021-04-07T10:50:50"/>
    <n v="1718.6054861111115"/>
    <b v="0"/>
    <b v="1"/>
    <n v="570"/>
    <n v="26"/>
    <n v="316"/>
    <n v="39"/>
    <n v="3"/>
    <n v="152"/>
    <n v="1335"/>
    <n v="6"/>
    <n v="427"/>
    <n v="71"/>
    <x v="4"/>
    <n v="14537"/>
    <n v="327"/>
    <n v="2.2494324826305291E-2"/>
    <n v="149"/>
    <n v="0.45565749235474007"/>
    <n v="1.0249707642567243E-2"/>
    <n v="60"/>
    <n v="0.1834862385321101"/>
    <n v="4.1273990506982185E-3"/>
    <n v="35"/>
    <n v="0.10703363914373089"/>
    <n v="2.4076494462406273E-3"/>
    <n v="69"/>
    <n v="0.21100917431192662"/>
    <n v="4.7465089083029511E-3"/>
    <n v="11"/>
    <n v="3.3639143730886847E-2"/>
    <n v="7.5668982596134007E-4"/>
    <n v="3"/>
    <n v="9.1743119266055051E-3"/>
    <n v="2.0636995253491092E-4"/>
    <b v="1"/>
    <b v="0"/>
    <b v="0"/>
    <b v="0"/>
    <b v="1"/>
    <b v="0"/>
    <b v="0"/>
    <b v="0"/>
    <b v="0"/>
    <b v="0"/>
    <b v="0"/>
    <b v="0"/>
    <b v="0"/>
  </r>
  <r>
    <s v="optuna/optuna"/>
    <s v="optuna"/>
    <s v="optuna"/>
    <s v="https://github.com/optuna/optuna"/>
    <d v="2018-02-21T06:12:56"/>
    <d v="2021-04-09T03:47:19"/>
    <n v="1142.8988773148158"/>
    <b v="0"/>
    <b v="1"/>
    <n v="4377"/>
    <n v="134"/>
    <n v="487"/>
    <n v="37"/>
    <n v="12"/>
    <n v="113"/>
    <n v="1837"/>
    <n v="39"/>
    <n v="737"/>
    <n v="147"/>
    <x v="5"/>
    <n v="27777"/>
    <n v="125"/>
    <n v="4.5001260035280989E-3"/>
    <n v="7"/>
    <n v="5.6000000000000001E-2"/>
    <n v="2.5200705619757351E-4"/>
    <n v="32"/>
    <n v="0.25600000000000001"/>
    <n v="1.1520322569031933E-3"/>
    <n v="84"/>
    <n v="0.67200000000000004"/>
    <n v="3.0240846743708823E-3"/>
    <n v="1"/>
    <n v="8.0000000000000002E-3"/>
    <n v="3.6001008028224789E-5"/>
    <n v="0"/>
    <n v="0"/>
    <n v="0"/>
    <n v="1"/>
    <n v="8.0000000000000002E-3"/>
    <n v="3.6001008028224789E-5"/>
    <b v="1"/>
    <b v="0"/>
    <b v="0"/>
    <b v="0"/>
    <b v="1"/>
    <b v="0"/>
    <b v="0"/>
    <b v="0"/>
    <b v="0"/>
    <b v="0"/>
    <b v="0"/>
    <b v="0"/>
    <b v="0"/>
  </r>
  <r>
    <s v="orchest/orchest"/>
    <s v="orchest"/>
    <s v="orchest"/>
    <s v="https://github.com/orchest/orchest"/>
    <d v="2020-05-21T17:33:05"/>
    <d v="2021-04-07T18:30:49"/>
    <n v="321.04009259258601"/>
    <b v="0"/>
    <b v="1"/>
    <n v="715"/>
    <n v="14"/>
    <n v="44"/>
    <n v="38"/>
    <n v="1"/>
    <n v="11"/>
    <n v="104"/>
    <n v="1"/>
    <n v="89"/>
    <n v="34"/>
    <x v="11"/>
    <n v="9254"/>
    <n v="158"/>
    <n v="1.70736978603847E-2"/>
    <n v="20"/>
    <n v="0.12658227848101267"/>
    <n v="2.1612275772638859E-3"/>
    <n v="62"/>
    <n v="0.39240506329113922"/>
    <n v="6.6998054895180464E-3"/>
    <n v="13"/>
    <n v="8.2278481012658222E-2"/>
    <n v="1.4047979252215259E-3"/>
    <n v="63"/>
    <n v="0.39873417721518989"/>
    <n v="6.807866868381240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smr/imgclsmob"/>
    <s v="osmr"/>
    <s v="imgclsmob"/>
    <s v="https://github.com/osmr/imgclsmob"/>
    <d v="2018-07-09T12:57:46"/>
    <d v="2021-04-08T12:46:49"/>
    <n v="1003.9923958333311"/>
    <b v="0"/>
    <b v="0"/>
    <n v="2094"/>
    <n v="69"/>
    <n v="428"/>
    <n v="540"/>
    <n v="0"/>
    <n v="3"/>
    <n v="6"/>
    <n v="0"/>
    <n v="83"/>
    <n v="2"/>
    <x v="5"/>
    <n v="124104"/>
    <n v="210"/>
    <n v="1.6921291819764069E-3"/>
    <n v="0"/>
    <n v="0"/>
    <n v="0"/>
    <n v="182"/>
    <n v="0.8666666666666667"/>
    <n v="1.466511957712886E-3"/>
    <n v="27"/>
    <n v="0.12857142857142856"/>
    <n v="2.1755946625410947E-4"/>
    <n v="1"/>
    <n v="4.7619047619047623E-3"/>
    <n v="8.0577580094114621E-6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TRF/mordor"/>
    <s v="OTRF"/>
    <s v="mordor"/>
    <s v="https://github.com/OTRF/mordor"/>
    <d v="2018-05-31T19:48:47"/>
    <d v="2021-04-08T20:41:25"/>
    <n v="1043.0365509259282"/>
    <b v="0"/>
    <b v="1"/>
    <n v="908"/>
    <n v="81"/>
    <n v="127"/>
    <n v="2"/>
    <n v="0"/>
    <n v="7"/>
    <n v="12"/>
    <n v="0"/>
    <n v="29"/>
    <n v="3"/>
    <x v="0"/>
    <n v="562"/>
    <n v="17"/>
    <n v="3.0249110320284697E-2"/>
    <n v="9"/>
    <n v="0.52941176470588236"/>
    <n v="1.601423487544484E-2"/>
    <n v="7"/>
    <n v="0.41176470588235292"/>
    <n v="1.2455516014234875E-2"/>
    <n v="0"/>
    <n v="0"/>
    <n v="0"/>
    <n v="1"/>
    <n v="5.8823529411764705E-2"/>
    <n v="1.779359430604982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TRF/OSSEM"/>
    <s v="OTRF"/>
    <s v="OSSEM"/>
    <s v="https://github.com/OTRF/OSSEM"/>
    <d v="2018-02-27T01:09:15"/>
    <d v="2021-04-07T13:41:56"/>
    <n v="1135.5226967592607"/>
    <b v="0"/>
    <b v="1"/>
    <n v="803"/>
    <n v="86"/>
    <n v="142"/>
    <n v="0"/>
    <n v="0"/>
    <n v="21"/>
    <n v="73"/>
    <n v="1"/>
    <n v="35"/>
    <n v="17"/>
    <x v="1"/>
    <n v="310"/>
    <n v="16"/>
    <n v="5.1612903225806452E-2"/>
    <n v="6"/>
    <n v="0.375"/>
    <n v="1.935483870967742E-2"/>
    <n v="10"/>
    <n v="0.625"/>
    <n v="3.2258064516129031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ttogroup/palladium"/>
    <s v="ottogroup"/>
    <s v="palladium"/>
    <s v="https://github.com/ottogroup/palladium"/>
    <d v="2015-03-30T09:29:21"/>
    <d v="2021-01-28T19:23:28"/>
    <n v="2131.4125810185215"/>
    <b v="0"/>
    <b v="1"/>
    <n v="481"/>
    <n v="40"/>
    <n v="53"/>
    <n v="0"/>
    <n v="1"/>
    <n v="10"/>
    <n v="114"/>
    <n v="1"/>
    <n v="14"/>
    <n v="3"/>
    <x v="4"/>
    <n v="4562"/>
    <n v="15"/>
    <n v="3.288031565103025E-3"/>
    <n v="0"/>
    <n v="0"/>
    <n v="0"/>
    <n v="11"/>
    <n v="0.73333333333333328"/>
    <n v="2.4112231477422183E-3"/>
    <n v="0"/>
    <n v="0"/>
    <n v="0"/>
    <n v="0"/>
    <n v="0"/>
    <n v="0"/>
    <n v="0"/>
    <n v="0"/>
    <n v="0"/>
    <n v="4"/>
    <n v="0.26666666666666666"/>
    <n v="8.7680841736080669E-4"/>
    <b v="1"/>
    <b v="0"/>
    <b v="0"/>
    <b v="0"/>
    <b v="1"/>
    <b v="0"/>
    <b v="0"/>
    <b v="0"/>
    <b v="0"/>
    <b v="0"/>
    <b v="0"/>
    <b v="0"/>
    <b v="0"/>
  </r>
  <r>
    <s v="outflanknl/RedELK"/>
    <s v="outflanknl"/>
    <s v="RedELK"/>
    <s v="https://github.com/outflanknl/RedELK"/>
    <d v="2018-10-03T15:55:05"/>
    <d v="2021-04-08T14:34:12"/>
    <n v="917.94383101852145"/>
    <b v="0"/>
    <b v="1"/>
    <n v="1491"/>
    <n v="63"/>
    <n v="246"/>
    <n v="10"/>
    <n v="0"/>
    <n v="8"/>
    <n v="74"/>
    <n v="0"/>
    <n v="77"/>
    <n v="27"/>
    <x v="2"/>
    <n v="1848"/>
    <n v="49"/>
    <n v="2.6515151515151516E-2"/>
    <n v="25"/>
    <n v="0.51020408163265307"/>
    <n v="1.3528138528138528E-2"/>
    <n v="10"/>
    <n v="0.20408163265306123"/>
    <n v="5.411255411255411E-3"/>
    <n v="1"/>
    <n v="2.0408163265306121E-2"/>
    <n v="5.4112554112554113E-4"/>
    <n v="4"/>
    <n v="8.1632653061224483E-2"/>
    <n v="2.1645021645021645E-3"/>
    <n v="0"/>
    <n v="0"/>
    <n v="0"/>
    <n v="9"/>
    <n v="0.18367346938775511"/>
    <n v="4.87012987012987E-3"/>
    <b v="1"/>
    <b v="0"/>
    <b v="0"/>
    <b v="0"/>
    <b v="1"/>
    <b v="0"/>
    <b v="0"/>
    <b v="0"/>
    <b v="0"/>
    <b v="0"/>
    <b v="0"/>
    <b v="0"/>
    <b v="0"/>
  </r>
  <r>
    <s v="overhangio/tutor"/>
    <s v="overhangio"/>
    <s v="tutor"/>
    <s v="https://github.com/overhangio/tutor"/>
    <d v="2017-07-03T10:39:53"/>
    <d v="2021-04-08T21:32:44"/>
    <n v="1375.4533680555614"/>
    <b v="0"/>
    <b v="1"/>
    <n v="477"/>
    <n v="40"/>
    <n v="192"/>
    <n v="108"/>
    <n v="7"/>
    <n v="25"/>
    <n v="106"/>
    <n v="7"/>
    <n v="313"/>
    <n v="3"/>
    <x v="11"/>
    <n v="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OWASP/Nettacker"/>
    <s v="OWASP"/>
    <s v="Nettacker"/>
    <s v="https://github.com/OWASP/Nettacker"/>
    <d v="2017-04-21T12:14:35"/>
    <d v="2021-04-08T23:34:05"/>
    <n v="1448.4718749999956"/>
    <b v="0"/>
    <b v="1"/>
    <n v="998"/>
    <n v="65"/>
    <n v="323"/>
    <n v="1"/>
    <n v="8"/>
    <n v="29"/>
    <n v="248"/>
    <n v="24"/>
    <n v="167"/>
    <n v="9"/>
    <x v="7"/>
    <n v="19441"/>
    <n v="21"/>
    <n v="1.0801913481816778E-3"/>
    <n v="0"/>
    <n v="0"/>
    <n v="0"/>
    <n v="0"/>
    <n v="0"/>
    <n v="0"/>
    <n v="3"/>
    <n v="0.14285714285714285"/>
    <n v="1.543130497402397E-4"/>
    <n v="18"/>
    <n v="0.8571428571428571"/>
    <n v="9.2587829844143822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owtf/owtf"/>
    <s v="owtf"/>
    <s v="owtf"/>
    <s v="https://github.com/owtf/owtf"/>
    <d v="2012-01-19T06:42:44"/>
    <d v="2021-04-06T09:04:42"/>
    <n v="3365.0985879629588"/>
    <b v="0"/>
    <b v="1"/>
    <n v="1435"/>
    <n v="130"/>
    <n v="388"/>
    <n v="11"/>
    <n v="108"/>
    <n v="48"/>
    <n v="461"/>
    <n v="13"/>
    <n v="668"/>
    <n v="53"/>
    <x v="2"/>
    <n v="9931"/>
    <n v="154"/>
    <n v="1.55069982881885E-2"/>
    <n v="21"/>
    <n v="0.13636363636363635"/>
    <n v="2.1145906756620684E-3"/>
    <n v="100"/>
    <n v="0.64935064935064934"/>
    <n v="1.0069479407914611E-2"/>
    <n v="19"/>
    <n v="0.12337662337662338"/>
    <n v="1.9132010875037762E-3"/>
    <n v="12"/>
    <n v="7.792207792207792E-2"/>
    <n v="1.2083375289497532E-3"/>
    <n v="0"/>
    <n v="0"/>
    <n v="0"/>
    <n v="2"/>
    <n v="1.2987012987012988E-2"/>
    <n v="2.013895881582922E-4"/>
    <b v="1"/>
    <b v="1"/>
    <b v="0"/>
    <b v="0"/>
    <b v="1"/>
    <b v="0"/>
    <b v="0"/>
    <b v="0"/>
    <b v="0"/>
    <b v="0"/>
    <b v="0"/>
    <b v="0"/>
    <b v="0"/>
  </r>
  <r>
    <s v="oxwhirl/pymarl"/>
    <s v="oxwhirl"/>
    <s v="pymarl"/>
    <s v="https://github.com/oxwhirl/pymarl"/>
    <d v="2018-10-25T13:48:43"/>
    <d v="2021-04-07T09:06:27"/>
    <n v="894.80398148148379"/>
    <b v="0"/>
    <b v="1"/>
    <n v="730"/>
    <n v="28"/>
    <n v="210"/>
    <n v="0"/>
    <n v="0"/>
    <n v="6"/>
    <n v="17"/>
    <n v="7"/>
    <n v="84"/>
    <n v="17"/>
    <x v="4"/>
    <n v="1520"/>
    <n v="15"/>
    <n v="9.8684210526315784E-3"/>
    <n v="0"/>
    <n v="0"/>
    <n v="0"/>
    <n v="14"/>
    <n v="0.93333333333333335"/>
    <n v="9.2105263157894728E-3"/>
    <n v="1"/>
    <n v="6.6666666666666666E-2"/>
    <n v="6.5789473684210525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ozhiwei/SmartProxyPool"/>
    <s v="ozhiwei"/>
    <s v="SmartProxyPool"/>
    <s v="https://github.com/ozhiwei/SmartProxyPool"/>
    <d v="2018-11-12T14:44:16"/>
    <d v="2021-04-06T06:23:15"/>
    <n v="875.65207175925752"/>
    <b v="0"/>
    <b v="0"/>
    <n v="342"/>
    <n v="20"/>
    <n v="88"/>
    <n v="0"/>
    <n v="0"/>
    <n v="19"/>
    <n v="5"/>
    <n v="1"/>
    <n v="17"/>
    <n v="2"/>
    <x v="5"/>
    <n v="2794"/>
    <n v="69"/>
    <n v="2.4695776664280602E-2"/>
    <n v="39"/>
    <n v="0.56521739130434778"/>
    <n v="1.395848246241947E-2"/>
    <n v="24"/>
    <n v="0.34782608695652173"/>
    <n v="8.5898353614889053E-3"/>
    <n v="0"/>
    <n v="0"/>
    <n v="0"/>
    <n v="2"/>
    <n v="2.8985507246376812E-2"/>
    <n v="7.158196134574087E-4"/>
    <n v="0"/>
    <n v="0"/>
    <n v="0"/>
    <n v="4"/>
    <n v="5.7971014492753624E-2"/>
    <n v="1.4316392269148174E-3"/>
    <b v="1"/>
    <b v="1"/>
    <b v="0"/>
    <b v="0"/>
    <b v="1"/>
    <b v="0"/>
    <b v="0"/>
    <b v="0"/>
    <b v="0"/>
    <b v="0"/>
    <b v="0"/>
    <b v="0"/>
    <b v="0"/>
  </r>
  <r>
    <s v="P0cL4bs/wifipumpkin3"/>
    <s v="P0cL4bs"/>
    <s v="wifipumpkin3"/>
    <s v="https://github.com/P0cL4bs/wifipumpkin3"/>
    <d v="2019-05-09T16:15:31"/>
    <d v="2021-04-08T23:52:26"/>
    <n v="700.31730324074306"/>
    <b v="0"/>
    <b v="1"/>
    <n v="511"/>
    <n v="40"/>
    <n v="95"/>
    <n v="5"/>
    <n v="0"/>
    <n v="6"/>
    <n v="18"/>
    <n v="0"/>
    <n v="118"/>
    <n v="12"/>
    <x v="4"/>
    <n v="7024"/>
    <n v="27"/>
    <n v="3.8439635535307518E-3"/>
    <n v="9"/>
    <n v="0.33333333333333331"/>
    <n v="1.2813211845102506E-3"/>
    <n v="16"/>
    <n v="0.59259259259259256"/>
    <n v="2.2779043280182231E-3"/>
    <n v="2"/>
    <n v="7.407407407407407E-2"/>
    <n v="2.8473804100227789E-4"/>
    <n v="0"/>
    <n v="0"/>
    <n v="0"/>
    <n v="0"/>
    <n v="0"/>
    <n v="0"/>
    <n v="0"/>
    <n v="0"/>
    <n v="0"/>
    <b v="1"/>
    <b v="1"/>
    <b v="0"/>
    <b v="0"/>
    <b v="1"/>
    <b v="0"/>
    <b v="0"/>
    <b v="0"/>
    <b v="1"/>
    <b v="0"/>
    <b v="0"/>
    <b v="0"/>
    <b v="0"/>
  </r>
  <r>
    <s v="p1r06u3/opencanary_web"/>
    <s v="p1r06u3"/>
    <s v="opencanary_web"/>
    <s v="https://github.com/p1r06u3/opencanary_web"/>
    <d v="2018-09-03T13:26:56"/>
    <d v="2021-04-08T03:24:36"/>
    <n v="947.58171296296496"/>
    <b v="0"/>
    <b v="0"/>
    <n v="555"/>
    <n v="20"/>
    <n v="206"/>
    <n v="0"/>
    <n v="0"/>
    <n v="6"/>
    <n v="18"/>
    <n v="0"/>
    <n v="41"/>
    <n v="11"/>
    <x v="2"/>
    <n v="1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act-foundation/pact-python"/>
    <s v="pact-foundation"/>
    <s v="pact-python"/>
    <s v="https://github.com/pact-foundation/pact-python"/>
    <d v="2017-03-22T08:57:34"/>
    <d v="2021-04-07T15:58:59"/>
    <n v="1477.292650462965"/>
    <b v="0"/>
    <b v="1"/>
    <n v="342"/>
    <n v="18"/>
    <n v="78"/>
    <n v="43"/>
    <n v="5"/>
    <n v="36"/>
    <n v="119"/>
    <n v="4"/>
    <n v="101"/>
    <n v="19"/>
    <x v="5"/>
    <n v="2360"/>
    <n v="1"/>
    <n v="4.2372881355932202E-4"/>
    <n v="1"/>
    <n v="1"/>
    <n v="4.2372881355932202E-4"/>
    <n v="0"/>
    <n v="0"/>
    <n v="0"/>
    <n v="0"/>
    <n v="0"/>
    <n v="0"/>
    <n v="0"/>
    <n v="0"/>
    <n v="0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PaddlePaddle/Paddle"/>
    <s v="PaddlePaddle"/>
    <s v="Paddle"/>
    <s v="https://github.com/PaddlePaddle/Paddle"/>
    <d v="2016-08-15T06:59:08"/>
    <d v="2021-04-09T03:39:51"/>
    <n v="1697.8616087962946"/>
    <b v="0"/>
    <b v="1"/>
    <n v="14786"/>
    <n v="720"/>
    <n v="3553"/>
    <n v="43"/>
    <n v="5530"/>
    <n v="388"/>
    <n v="19558"/>
    <n v="633"/>
    <n v="12527"/>
    <n v="1888"/>
    <x v="4"/>
    <n v="236183"/>
    <n v="589"/>
    <n v="2.4938289377304888E-3"/>
    <n v="54"/>
    <n v="9.1680814940577254E-2"/>
    <n v="2.2863626933352529E-4"/>
    <n v="281"/>
    <n v="0.47707979626485569"/>
    <n v="1.1897554015318629E-3"/>
    <n v="212"/>
    <n v="0.35993208828522921"/>
    <n v="8.9760905738346956E-4"/>
    <n v="42"/>
    <n v="7.1307300509337868E-2"/>
    <n v="1.778282094816307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addlePaddle/PaddleOCR"/>
    <s v="PaddlePaddle"/>
    <s v="PaddleOCR"/>
    <s v="https://github.com/PaddlePaddle/PaddleOCR"/>
    <d v="2020-05-08T10:38:16"/>
    <d v="2021-04-09T03:39:17"/>
    <n v="335.70903935185197"/>
    <b v="0"/>
    <b v="1"/>
    <n v="11534"/>
    <n v="275"/>
    <n v="2288"/>
    <n v="2"/>
    <n v="4"/>
    <n v="39"/>
    <n v="779"/>
    <n v="32"/>
    <n v="1642"/>
    <n v="626"/>
    <x v="4"/>
    <n v="12185"/>
    <n v="107"/>
    <n v="8.7812884694296271E-3"/>
    <n v="0"/>
    <n v="0"/>
    <n v="0"/>
    <n v="93"/>
    <n v="0.86915887850467288"/>
    <n v="7.6323348379154698E-3"/>
    <n v="6"/>
    <n v="5.6074766355140186E-2"/>
    <n v="4.924086992203529E-4"/>
    <n v="8"/>
    <n v="7.476635514018691E-2"/>
    <n v="6.565449322938039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addlePaddle/PaddleSeg"/>
    <s v="PaddlePaddle"/>
    <s v="PaddleSeg"/>
    <s v="https://github.com/PaddlePaddle/PaddleSeg"/>
    <d v="2019-08-26T02:32:22"/>
    <d v="2021-04-08T12:36:29"/>
    <n v="591.41952546295943"/>
    <b v="0"/>
    <b v="1"/>
    <n v="1346"/>
    <n v="28"/>
    <n v="323"/>
    <n v="10"/>
    <n v="2"/>
    <n v="37"/>
    <n v="499"/>
    <n v="6"/>
    <n v="455"/>
    <n v="226"/>
    <x v="4"/>
    <n v="30505"/>
    <n v="303"/>
    <n v="9.9327979019832816E-3"/>
    <n v="34"/>
    <n v="0.11221122112211221"/>
    <n v="1.1145713817406983E-3"/>
    <n v="243"/>
    <n v="0.80198019801980203"/>
    <n v="7.9659072283232261E-3"/>
    <n v="26"/>
    <n v="8.5808580858085806E-2"/>
    <n v="8.5231929191935743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addlePaddle/PARL"/>
    <s v="PaddlePaddle"/>
    <s v="PARL"/>
    <s v="https://github.com/PaddlePaddle/PARL"/>
    <d v="2018-04-25T17:54:22"/>
    <d v="2021-04-09T02:53:03"/>
    <n v="1079.3740856481454"/>
    <b v="0"/>
    <b v="1"/>
    <n v="1929"/>
    <n v="50"/>
    <n v="454"/>
    <n v="6"/>
    <n v="1"/>
    <n v="20"/>
    <n v="392"/>
    <n v="4"/>
    <n v="213"/>
    <n v="46"/>
    <x v="4"/>
    <n v="29016"/>
    <n v="295"/>
    <n v="1.0166804521643232E-2"/>
    <n v="2"/>
    <n v="6.7796610169491523E-3"/>
    <n v="6.8927488282326992E-5"/>
    <n v="222"/>
    <n v="0.75254237288135595"/>
    <n v="7.6509511993382963E-3"/>
    <n v="55"/>
    <n v="0.1864406779661017"/>
    <n v="1.8955059277639924E-3"/>
    <n v="16"/>
    <n v="5.4237288135593219E-2"/>
    <n v="5.514199062586159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ageauc/speed-camera"/>
    <s v="pageauc"/>
    <s v="speed-camera"/>
    <s v="https://github.com/pageauc/speed-camera"/>
    <d v="2016-10-11T12:20:12"/>
    <d v="2021-04-05T04:26:20"/>
    <n v="1636.6709259259296"/>
    <b v="0"/>
    <b v="0"/>
    <n v="556"/>
    <n v="33"/>
    <n v="111"/>
    <n v="0"/>
    <n v="4"/>
    <n v="5"/>
    <n v="10"/>
    <n v="0"/>
    <n v="70"/>
    <n v="17"/>
    <x v="1"/>
    <n v="2984"/>
    <n v="219"/>
    <n v="7.3391420911528144E-2"/>
    <n v="0"/>
    <n v="0"/>
    <n v="0"/>
    <n v="119"/>
    <n v="0.54337899543378998"/>
    <n v="3.987935656836461E-2"/>
    <n v="20"/>
    <n v="9.1324200913242004E-2"/>
    <n v="6.7024128686327079E-3"/>
    <n v="80"/>
    <n v="0.36529680365296802"/>
    <n v="2.6809651474530832E-2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pahaz/sshtunnel"/>
    <s v="pahaz"/>
    <s v="sshtunnel"/>
    <s v="https://github.com/pahaz/sshtunnel"/>
    <d v="2014-06-11T21:14:05"/>
    <d v="2021-04-06T17:27:25"/>
    <n v="2490.8425925925912"/>
    <b v="0"/>
    <b v="0"/>
    <n v="805"/>
    <n v="27"/>
    <n v="131"/>
    <n v="9"/>
    <n v="0"/>
    <n v="20"/>
    <n v="79"/>
    <n v="3"/>
    <n v="152"/>
    <n v="20"/>
    <x v="5"/>
    <n v="1684"/>
    <n v="116"/>
    <n v="6.8883610451306407E-2"/>
    <n v="30"/>
    <n v="0.25862068965517243"/>
    <n v="1.7814726840855107E-2"/>
    <n v="50"/>
    <n v="0.43103448275862066"/>
    <n v="2.9691211401425176E-2"/>
    <n v="18"/>
    <n v="0.15517241379310345"/>
    <n v="1.0688836104513063E-2"/>
    <n v="12"/>
    <n v="0.10344827586206896"/>
    <n v="7.1258907363420431E-3"/>
    <n v="1"/>
    <n v="8.6206896551724137E-3"/>
    <n v="5.9382422802850359E-4"/>
    <n v="5"/>
    <n v="4.3103448275862072E-2"/>
    <n v="2.9691211401425177E-3"/>
    <b v="0"/>
    <b v="1"/>
    <b v="0"/>
    <b v="0"/>
    <b v="1"/>
    <b v="0"/>
    <b v="0"/>
    <b v="0"/>
    <b v="0"/>
    <b v="0"/>
    <b v="0"/>
    <b v="0"/>
    <b v="0"/>
  </r>
  <r>
    <s v="pandas-dev/pandas"/>
    <s v="pandas-dev"/>
    <s v="pandas"/>
    <s v="https://github.com/pandas-dev/pandas"/>
    <d v="2010-08-24T01:37:33"/>
    <d v="2021-04-09T03:33:22"/>
    <n v="3881.0804282407407"/>
    <b v="0"/>
    <b v="1"/>
    <n v="29275"/>
    <n v="1115"/>
    <n v="11867"/>
    <n v="72"/>
    <n v="611"/>
    <n v="2307"/>
    <n v="20511"/>
    <n v="167"/>
    <n v="20314"/>
    <n v="3571"/>
    <x v="2"/>
    <n v="236593"/>
    <n v="253"/>
    <n v="1.0693469375678908E-3"/>
    <n v="0"/>
    <n v="0"/>
    <n v="0"/>
    <n v="44"/>
    <n v="0.17391304347826086"/>
    <n v="1.8597338044658971E-4"/>
    <n v="209"/>
    <n v="0.82608695652173914"/>
    <n v="8.8337355712130115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antsbuild/pants"/>
    <s v="pantsbuild"/>
    <s v="pants"/>
    <s v="https://github.com/pantsbuild/pants"/>
    <d v="2012-12-17T17:39:04"/>
    <d v="2021-04-09T02:39:04"/>
    <n v="3034.375"/>
    <b v="0"/>
    <b v="1"/>
    <n v="1539"/>
    <n v="60"/>
    <n v="343"/>
    <n v="145"/>
    <n v="118"/>
    <n v="191"/>
    <n v="8499"/>
    <n v="33"/>
    <n v="3369"/>
    <n v="299"/>
    <x v="4"/>
    <n v="35326"/>
    <n v="125"/>
    <n v="3.5384702485421501E-3"/>
    <n v="40"/>
    <n v="0.32"/>
    <n v="1.1323104795334881E-3"/>
    <n v="30"/>
    <n v="0.24"/>
    <n v="8.4923285965011607E-4"/>
    <n v="35"/>
    <n v="0.28000000000000003"/>
    <n v="9.9077166959180203E-4"/>
    <n v="12"/>
    <n v="9.6000000000000002E-2"/>
    <n v="3.3969314386004645E-4"/>
    <n v="5"/>
    <n v="0.04"/>
    <n v="1.4153880994168601E-4"/>
    <n v="3"/>
    <n v="2.4E-2"/>
    <n v="8.4923285965011612E-5"/>
    <b v="1"/>
    <b v="0"/>
    <b v="0"/>
    <b v="0"/>
    <b v="1"/>
    <b v="0"/>
    <b v="0"/>
    <b v="0"/>
    <b v="0"/>
    <b v="0"/>
    <b v="0"/>
    <b v="0"/>
    <b v="0"/>
  </r>
  <r>
    <s v="pantsbuild/pex"/>
    <s v="pantsbuild"/>
    <s v="pex"/>
    <s v="https://github.com/pantsbuild/pex"/>
    <d v="2014-07-21T17:06:12"/>
    <d v="2021-04-08T10:15:17"/>
    <n v="2452.7146412037036"/>
    <b v="0"/>
    <b v="1"/>
    <n v="1845"/>
    <n v="52"/>
    <n v="189"/>
    <n v="120"/>
    <n v="9"/>
    <n v="83"/>
    <n v="656"/>
    <n v="13"/>
    <n v="663"/>
    <n v="121"/>
    <x v="4"/>
    <n v="93220"/>
    <n v="851"/>
    <n v="9.1289422870628623E-3"/>
    <n v="237"/>
    <n v="0.27849588719153939"/>
    <n v="2.542372881355932E-3"/>
    <n v="184"/>
    <n v="0.21621621621621623"/>
    <n v="1.973825359364943E-3"/>
    <n v="369"/>
    <n v="0.43360752056404228"/>
    <n v="3.9583780304655652E-3"/>
    <n v="36"/>
    <n v="4.230317273795535E-2"/>
    <n v="3.8618322248444538E-4"/>
    <n v="15"/>
    <n v="1.7626321974148061E-2"/>
    <n v="1.6090967603518558E-4"/>
    <n v="10"/>
    <n v="1.1750881316098707E-2"/>
    <n v="1.0727311735679038E-4"/>
    <b v="1"/>
    <b v="0"/>
    <b v="0"/>
    <b v="0"/>
    <b v="1"/>
    <b v="0"/>
    <b v="0"/>
    <b v="0"/>
    <b v="0"/>
    <b v="0"/>
    <b v="0"/>
    <b v="0"/>
    <b v="0"/>
  </r>
  <r>
    <s v="paulpierre/informer"/>
    <s v="paulpierre"/>
    <s v="informer"/>
    <s v="https://github.com/paulpierre/informer"/>
    <d v="2019-12-09T01:48:17"/>
    <d v="2021-04-08T20:41:13"/>
    <n v="486.78675925925927"/>
    <b v="0"/>
    <b v="0"/>
    <n v="752"/>
    <n v="28"/>
    <n v="122"/>
    <n v="0"/>
    <n v="0"/>
    <n v="2"/>
    <n v="3"/>
    <n v="1"/>
    <n v="5"/>
    <n v="2"/>
    <x v="5"/>
    <n v="531"/>
    <n v="42"/>
    <n v="7.909604519774012E-2"/>
    <n v="0"/>
    <n v="0"/>
    <n v="0"/>
    <n v="38"/>
    <n v="0.90476190476190477"/>
    <n v="7.1563088512241052E-2"/>
    <n v="0"/>
    <n v="0"/>
    <n v="0"/>
    <n v="4"/>
    <n v="9.5238095238095233E-2"/>
    <n v="7.532956685499058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aver/paver"/>
    <s v="paver"/>
    <s v="paver"/>
    <s v="https://github.com/paver/paver"/>
    <d v="2010-11-11T09:43:52"/>
    <d v="2021-03-10T09:11:24"/>
    <n v="3771.9774537037083"/>
    <b v="0"/>
    <b v="1"/>
    <n v="439"/>
    <n v="13"/>
    <n v="76"/>
    <n v="0"/>
    <n v="7"/>
    <n v="32"/>
    <n v="83"/>
    <n v="3"/>
    <n v="126"/>
    <n v="35"/>
    <x v="7"/>
    <n v="5825"/>
    <n v="80"/>
    <n v="1.3733905579399141E-2"/>
    <n v="16"/>
    <n v="0.2"/>
    <n v="2.7467811158798285E-3"/>
    <n v="35"/>
    <n v="0.4375"/>
    <n v="6.0085836909871248E-3"/>
    <n v="25"/>
    <n v="0.3125"/>
    <n v="4.2918454935622317E-3"/>
    <n v="4"/>
    <n v="0.05"/>
    <n v="6.866952789699571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dm-project/pdm"/>
    <s v="pdm-project"/>
    <s v="pdm"/>
    <s v="https://github.com/pdm-project/pdm"/>
    <d v="2019-12-27T03:50:57"/>
    <d v="2021-04-09T02:37:05"/>
    <n v="468.94870370370336"/>
    <b v="0"/>
    <b v="1"/>
    <n v="540"/>
    <n v="11"/>
    <n v="26"/>
    <n v="67"/>
    <n v="0"/>
    <n v="15"/>
    <n v="177"/>
    <n v="1"/>
    <n v="196"/>
    <n v="4"/>
    <x v="5"/>
    <n v="8529"/>
    <n v="17"/>
    <n v="1.9931996717082894E-3"/>
    <n v="3"/>
    <n v="0.17647058823529413"/>
    <n v="3.5174111853675694E-4"/>
    <n v="8"/>
    <n v="0.47058823529411764"/>
    <n v="9.3797631609801851E-4"/>
    <n v="5"/>
    <n v="0.29411764705882354"/>
    <n v="5.8623519756126157E-4"/>
    <n v="0"/>
    <n v="0"/>
    <n v="0"/>
    <n v="0"/>
    <n v="0"/>
    <n v="0"/>
    <n v="1"/>
    <n v="5.8823529411764705E-2"/>
    <n v="1.1724703951225231E-4"/>
    <b v="1"/>
    <b v="0"/>
    <b v="0"/>
    <b v="0"/>
    <b v="1"/>
    <b v="0"/>
    <b v="0"/>
    <b v="0"/>
    <b v="0"/>
    <b v="0"/>
    <b v="0"/>
    <b v="0"/>
    <b v="0"/>
  </r>
  <r>
    <s v="PeizeSun/OneNet"/>
    <s v="PeizeSun"/>
    <s v="OneNet"/>
    <s v="https://github.com/PeizeSun/OneNet"/>
    <d v="2020-12-04T13:47:25"/>
    <d v="2021-04-08T06:34:33"/>
    <n v="124.69939814815007"/>
    <b v="0"/>
    <b v="0"/>
    <n v="509"/>
    <n v="21"/>
    <n v="52"/>
    <n v="0"/>
    <n v="0"/>
    <n v="0"/>
    <n v="2"/>
    <n v="0"/>
    <n v="20"/>
    <n v="7"/>
    <x v="5"/>
    <n v="18372"/>
    <n v="170"/>
    <n v="9.253211408665361E-3"/>
    <n v="0"/>
    <n v="0"/>
    <n v="0"/>
    <n v="128"/>
    <n v="0.75294117647058822"/>
    <n v="6.9671238841715654E-3"/>
    <n v="33"/>
    <n v="0.19411764705882353"/>
    <n v="1.7962116263879817E-3"/>
    <n v="8"/>
    <n v="4.7058823529411764E-2"/>
    <n v="4.3544524276072284E-4"/>
    <n v="0"/>
    <n v="0"/>
    <n v="0"/>
    <n v="1"/>
    <n v="5.8823529411764705E-3"/>
    <n v="5.4430655345090354E-5"/>
    <b v="1"/>
    <b v="1"/>
    <b v="0"/>
    <b v="0"/>
    <b v="1"/>
    <b v="0"/>
    <b v="0"/>
    <b v="0"/>
    <b v="0"/>
    <b v="0"/>
    <b v="0"/>
    <b v="0"/>
    <b v="0"/>
  </r>
  <r>
    <s v="PeizeSun/SparseR-CNN"/>
    <s v="PeizeSun"/>
    <s v="SparseR-CNN"/>
    <s v="https://github.com/PeizeSun/SparseR-CNN"/>
    <d v="2020-11-19T07:37:38"/>
    <d v="2021-04-08T14:00:37"/>
    <n v="140.26596064814657"/>
    <b v="0"/>
    <b v="0"/>
    <n v="896"/>
    <n v="18"/>
    <n v="125"/>
    <n v="0"/>
    <n v="0"/>
    <n v="4"/>
    <n v="11"/>
    <n v="1"/>
    <n v="69"/>
    <n v="18"/>
    <x v="5"/>
    <n v="18311"/>
    <n v="170"/>
    <n v="9.2840369176997433E-3"/>
    <n v="0"/>
    <n v="0"/>
    <n v="0"/>
    <n v="128"/>
    <n v="0.75294117647058822"/>
    <n v="6.9903336792092189E-3"/>
    <n v="33"/>
    <n v="0.19411764705882353"/>
    <n v="1.8021954016711266E-3"/>
    <n v="8"/>
    <n v="4.7058823529411764E-2"/>
    <n v="4.3689585495057618E-4"/>
    <n v="0"/>
    <n v="0"/>
    <n v="0"/>
    <n v="1"/>
    <n v="5.8823529411764705E-3"/>
    <n v="5.4611981868822022E-5"/>
    <b v="1"/>
    <b v="1"/>
    <b v="0"/>
    <b v="0"/>
    <b v="1"/>
    <b v="0"/>
    <b v="0"/>
    <b v="0"/>
    <b v="0"/>
    <b v="0"/>
    <b v="0"/>
    <b v="0"/>
    <b v="0"/>
  </r>
  <r>
    <s v="pimutils/vdirsyncer"/>
    <s v="pimutils"/>
    <s v="vdirsyncer"/>
    <s v="https://github.com/pimutils/vdirsyncer"/>
    <d v="2014-02-15T15:33:41"/>
    <d v="2021-04-08T21:34:07"/>
    <n v="2609.2503009259308"/>
    <b v="0"/>
    <b v="1"/>
    <n v="889"/>
    <n v="36"/>
    <n v="92"/>
    <n v="1"/>
    <n v="71"/>
    <n v="39"/>
    <n v="308"/>
    <n v="7"/>
    <n v="572"/>
    <n v="113"/>
    <x v="7"/>
    <n v="5658"/>
    <n v="85"/>
    <n v="1.5022976316719689E-2"/>
    <n v="32"/>
    <n v="0.37647058823529411"/>
    <n v="5.6557087310003537E-3"/>
    <n v="17"/>
    <n v="0.2"/>
    <n v="3.0045952633439379E-3"/>
    <n v="21"/>
    <n v="0.24705882352941178"/>
    <n v="3.711558854718982E-3"/>
    <n v="13"/>
    <n v="0.15294117647058825"/>
    <n v="2.2976316719688938E-3"/>
    <n v="2"/>
    <n v="2.3529411764705882E-2"/>
    <n v="3.5348179568752211E-4"/>
    <n v="0"/>
    <n v="0"/>
    <n v="0"/>
    <b v="1"/>
    <b v="1"/>
    <b v="0"/>
    <b v="0"/>
    <b v="1"/>
    <b v="0"/>
    <b v="0"/>
    <b v="0"/>
    <b v="0"/>
    <b v="0"/>
    <b v="0"/>
    <b v="0"/>
    <b v="0"/>
  </r>
  <r>
    <s v="pinry/pinry"/>
    <s v="pinry"/>
    <s v="pinry"/>
    <s v="https://github.com/pinry/pinry"/>
    <d v="2013-03-05T00:17:31"/>
    <d v="2021-03-31T05:39:57"/>
    <n v="2948.2239120370359"/>
    <b v="0"/>
    <b v="1"/>
    <n v="1673"/>
    <n v="108"/>
    <n v="258"/>
    <n v="0"/>
    <n v="1"/>
    <n v="32"/>
    <n v="102"/>
    <n v="5"/>
    <n v="164"/>
    <n v="33"/>
    <x v="8"/>
    <n v="1310"/>
    <n v="3"/>
    <n v="2.2900763358778627E-3"/>
    <n v="0"/>
    <n v="0"/>
    <n v="0"/>
    <n v="0"/>
    <n v="0"/>
    <n v="0"/>
    <n v="1"/>
    <n v="0.33333333333333331"/>
    <n v="7.6335877862595419E-4"/>
    <n v="0"/>
    <n v="0"/>
    <n v="0"/>
    <n v="0"/>
    <n v="0"/>
    <n v="0"/>
    <n v="2"/>
    <n v="0.66666666666666663"/>
    <n v="1.5267175572519084E-3"/>
    <b v="1"/>
    <b v="0"/>
    <b v="0"/>
    <b v="0"/>
    <b v="1"/>
    <b v="0"/>
    <b v="0"/>
    <b v="0"/>
    <b v="0"/>
    <b v="0"/>
    <b v="0"/>
    <b v="0"/>
    <b v="0"/>
  </r>
  <r>
    <s v="pixie-labs/pixie"/>
    <s v="pixie-labs"/>
    <s v="pixie"/>
    <s v="https://github.com/pixie-labs/pixie"/>
    <d v="2020-02-27T00:22:45"/>
    <d v="2021-04-08T07:33:41"/>
    <n v="406.29925925926364"/>
    <b v="0"/>
    <b v="1"/>
    <n v="603"/>
    <n v="32"/>
    <n v="38"/>
    <n v="0"/>
    <n v="0"/>
    <n v="12"/>
    <n v="168"/>
    <n v="1"/>
    <n v="64"/>
    <n v="20"/>
    <x v="4"/>
    <n v="1013"/>
    <n v="10"/>
    <n v="9.8716683119447184E-3"/>
    <n v="3"/>
    <n v="0.3"/>
    <n v="2.9615004935834156E-3"/>
    <n v="2"/>
    <n v="0.2"/>
    <n v="1.9743336623889436E-3"/>
    <n v="0"/>
    <n v="0"/>
    <n v="0"/>
    <n v="5"/>
    <n v="0.5"/>
    <n v="4.935834155972359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jialin/py12306"/>
    <s v="pjialin"/>
    <s v="py12306"/>
    <s v="https://github.com/pjialin/py12306"/>
    <d v="2019-01-07T18:04:11"/>
    <d v="2021-04-08T07:17:23"/>
    <n v="821.55083333332732"/>
    <b v="0"/>
    <b v="0"/>
    <n v="11371"/>
    <n v="328"/>
    <n v="2993"/>
    <n v="1"/>
    <n v="2"/>
    <n v="17"/>
    <n v="49"/>
    <n v="3"/>
    <n v="351"/>
    <n v="115"/>
    <x v="4"/>
    <n v="3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PKUbahuangliuhe/CBNet"/>
    <s v="PKUbahuangliuhe"/>
    <s v="CBNet"/>
    <s v="https://github.com/PKUbahuangliuhe/CBNet"/>
    <d v="2019-09-09T03:38:24"/>
    <d v="2021-04-06T10:23:12"/>
    <n v="575.28111111111502"/>
    <b v="0"/>
    <b v="0"/>
    <n v="408"/>
    <n v="15"/>
    <n v="88"/>
    <n v="0"/>
    <n v="0"/>
    <n v="2"/>
    <n v="1"/>
    <n v="1"/>
    <n v="21"/>
    <n v="11"/>
    <x v="4"/>
    <n v="9686"/>
    <n v="177"/>
    <n v="1.8273797233119966E-2"/>
    <n v="24"/>
    <n v="0.13559322033898305"/>
    <n v="2.4778030146603344E-3"/>
    <n v="128"/>
    <n v="0.7231638418079096"/>
    <n v="1.3214949411521784E-2"/>
    <n v="22"/>
    <n v="0.12429378531073447"/>
    <n v="2.2713194301053068E-3"/>
    <n v="2"/>
    <n v="1.1299435028248588E-2"/>
    <n v="2.0648358455502787E-4"/>
    <n v="1"/>
    <n v="5.6497175141242938E-3"/>
    <n v="1.0324179227751394E-4"/>
    <n v="0"/>
    <n v="0"/>
    <n v="0"/>
    <b v="1"/>
    <b v="0"/>
    <b v="0"/>
    <b v="0"/>
    <b v="1"/>
    <b v="0"/>
    <b v="0"/>
    <b v="0"/>
    <b v="0"/>
    <b v="0"/>
    <b v="0"/>
    <b v="0"/>
    <b v="0"/>
  </r>
  <r>
    <s v="plajjan/vrnetlab"/>
    <s v="plajjan"/>
    <s v="vrnetlab"/>
    <s v="https://github.com/plajjan/vrnetlab"/>
    <d v="2016-07-07T14:12:09"/>
    <d v="2021-04-03T14:10:56"/>
    <n v="1730.9991550925915"/>
    <b v="0"/>
    <b v="0"/>
    <n v="740"/>
    <n v="82"/>
    <n v="183"/>
    <n v="0"/>
    <n v="1"/>
    <n v="20"/>
    <n v="98"/>
    <n v="17"/>
    <n v="166"/>
    <n v="59"/>
    <x v="5"/>
    <n v="3311"/>
    <n v="155"/>
    <n v="4.6813651464814254E-2"/>
    <n v="63"/>
    <n v="0.40645161290322579"/>
    <n v="1.9027484143763214E-2"/>
    <n v="62"/>
    <n v="0.4"/>
    <n v="1.8725460585925703E-2"/>
    <n v="22"/>
    <n v="0.14193548387096774"/>
    <n v="6.6445182724252493E-3"/>
    <n v="8"/>
    <n v="5.1612903225806452E-2"/>
    <n v="2.416188462700090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lotly/dash-docs"/>
    <s v="plotly"/>
    <s v="dash-docs"/>
    <s v="https://github.com/plotly/dash-docs"/>
    <d v="2017-03-06T16:30:08"/>
    <d v="2021-04-09T02:44:35"/>
    <n v="1494.4267013888893"/>
    <b v="0"/>
    <b v="1"/>
    <n v="341"/>
    <n v="50"/>
    <n v="143"/>
    <n v="0"/>
    <n v="9"/>
    <n v="96"/>
    <n v="765"/>
    <n v="16"/>
    <n v="333"/>
    <n v="170"/>
    <x v="5"/>
    <n v="6470"/>
    <n v="2"/>
    <n v="3.0911901081916539E-4"/>
    <n v="0"/>
    <n v="0"/>
    <n v="0"/>
    <n v="2"/>
    <n v="1"/>
    <n v="3.0911901081916539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ogodevorg/pgoapi"/>
    <s v="pogodevorg"/>
    <s v="pgoapi"/>
    <s v="https://github.com/pogodevorg/pgoapi"/>
    <d v="2016-08-06T18:11:16"/>
    <d v="2021-04-05T23:38:59"/>
    <n v="1703.2275810185165"/>
    <b v="0"/>
    <b v="1"/>
    <n v="873"/>
    <n v="133"/>
    <n v="433"/>
    <n v="2"/>
    <n v="7"/>
    <n v="64"/>
    <n v="108"/>
    <n v="4"/>
    <n v="120"/>
    <n v="6"/>
    <x v="7"/>
    <n v="9694"/>
    <n v="86"/>
    <n v="8.8714668867340626E-3"/>
    <n v="35"/>
    <n v="0.40697674418604651"/>
    <n v="3.610480709717351E-3"/>
    <n v="36"/>
    <n v="0.41860465116279072"/>
    <n v="3.7136373014235611E-3"/>
    <n v="7"/>
    <n v="8.1395348837209308E-2"/>
    <n v="7.2209614194347019E-4"/>
    <n v="8"/>
    <n v="9.3023255813953487E-2"/>
    <n v="8.252527336496802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okemonGoF/PokemonGo-Bot"/>
    <s v="PokemonGoF"/>
    <s v="PokemonGo-Bot"/>
    <s v="https://github.com/PokemonGoF/PokemonGo-Bot"/>
    <d v="2016-07-20T05:31:53"/>
    <d v="2021-04-09T03:17:03"/>
    <n v="1723.906365740746"/>
    <b v="0"/>
    <b v="1"/>
    <n v="3673"/>
    <n v="321"/>
    <n v="1523"/>
    <n v="7"/>
    <n v="441"/>
    <n v="337"/>
    <n v="2253"/>
    <n v="6"/>
    <n v="4001"/>
    <n v="145"/>
    <x v="5"/>
    <n v="13510"/>
    <n v="350"/>
    <n v="2.5906735751295335E-2"/>
    <n v="2"/>
    <n v="5.7142857142857143E-3"/>
    <n v="1.4803849000740192E-4"/>
    <n v="284"/>
    <n v="0.81142857142857139"/>
    <n v="2.1021465581051075E-2"/>
    <n v="34"/>
    <n v="9.7142857142857142E-2"/>
    <n v="2.5166543301258326E-3"/>
    <n v="29"/>
    <n v="8.2857142857142851E-2"/>
    <n v="2.146558105107328E-3"/>
    <n v="1"/>
    <n v="2.8571428571428571E-3"/>
    <n v="7.4019245003700959E-5"/>
    <n v="0"/>
    <n v="0"/>
    <n v="0"/>
    <b v="1"/>
    <b v="1"/>
    <b v="0"/>
    <b v="0"/>
    <b v="1"/>
    <b v="0"/>
    <b v="0"/>
    <b v="0"/>
    <b v="0"/>
    <b v="0"/>
    <b v="0"/>
    <b v="0"/>
    <b v="0"/>
  </r>
  <r>
    <s v="polakowo/vectorbt"/>
    <s v="polakowo"/>
    <s v="vectorbt"/>
    <s v="https://github.com/polakowo/vectorbt"/>
    <d v="2017-11-14T11:56:32"/>
    <d v="2021-04-08T11:53:57"/>
    <n v="1240.9982060185212"/>
    <b v="0"/>
    <b v="0"/>
    <n v="901"/>
    <n v="51"/>
    <n v="107"/>
    <n v="0"/>
    <n v="0"/>
    <n v="6"/>
    <n v="30"/>
    <n v="1"/>
    <n v="93"/>
    <n v="25"/>
    <x v="4"/>
    <n v="21380"/>
    <n v="36"/>
    <n v="1.6838166510757717E-3"/>
    <n v="0"/>
    <n v="0"/>
    <n v="0"/>
    <n v="20"/>
    <n v="0.55555555555555558"/>
    <n v="9.3545369504209543E-4"/>
    <n v="15"/>
    <n v="0.41666666666666669"/>
    <n v="7.0159027128157152E-4"/>
    <n v="1"/>
    <n v="2.7777777777777776E-2"/>
    <n v="4.6772684752104769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oljar/weechat-matrix"/>
    <s v="poljar"/>
    <s v="weechat-matrix"/>
    <s v="https://github.com/poljar/weechat-matrix"/>
    <d v="2018-01-25T13:15:21"/>
    <d v="2021-04-08T05:13:46"/>
    <n v="1168.6655671296321"/>
    <b v="0"/>
    <b v="0"/>
    <n v="501"/>
    <n v="25"/>
    <n v="67"/>
    <n v="0"/>
    <n v="3"/>
    <n v="38"/>
    <n v="86"/>
    <n v="3"/>
    <n v="178"/>
    <n v="79"/>
    <x v="7"/>
    <n v="5297"/>
    <n v="58"/>
    <n v="1.0949594109873513E-2"/>
    <n v="0"/>
    <n v="0"/>
    <n v="0"/>
    <n v="10"/>
    <n v="0.17241379310344829"/>
    <n v="1.8878610534264679E-3"/>
    <n v="0"/>
    <n v="0"/>
    <n v="0"/>
    <n v="48"/>
    <n v="0.82758620689655171"/>
    <n v="9.0617330564470456E-3"/>
    <n v="0"/>
    <n v="0"/>
    <n v="0"/>
    <n v="0"/>
    <n v="0"/>
    <n v="0"/>
    <b v="1"/>
    <b v="0"/>
    <b v="0"/>
    <b v="0"/>
    <b v="0"/>
    <b v="0"/>
    <b v="0"/>
    <b v="1"/>
    <b v="0"/>
    <b v="0"/>
    <b v="0"/>
    <b v="0"/>
    <b v="0"/>
  </r>
  <r>
    <s v="polyaxon/polyaxon"/>
    <s v="polyaxon"/>
    <s v="polyaxon"/>
    <s v="https://github.com/polyaxon/polyaxon"/>
    <d v="2016-12-26T12:48:47"/>
    <d v="2021-04-09T04:17:01"/>
    <n v="1564.6446064814809"/>
    <b v="0"/>
    <b v="1"/>
    <n v="2784"/>
    <n v="79"/>
    <n v="259"/>
    <n v="114"/>
    <n v="2"/>
    <n v="80"/>
    <n v="339"/>
    <n v="6"/>
    <n v="930"/>
    <n v="109"/>
    <x v="4"/>
    <n v="85955"/>
    <n v="262"/>
    <n v="3.0481065673899133E-3"/>
    <n v="75"/>
    <n v="0.2862595419847328"/>
    <n v="8.7254958990169273E-4"/>
    <n v="87"/>
    <n v="0.33206106870229007"/>
    <n v="1.0121575242859637E-3"/>
    <n v="72"/>
    <n v="0.27480916030534353"/>
    <n v="8.3764760630562502E-4"/>
    <n v="28"/>
    <n v="0.10687022900763359"/>
    <n v="3.2575184689663197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polygamma/aurman"/>
    <s v="polygamma"/>
    <s v="aurman"/>
    <s v="https://github.com/polygamma/aurman"/>
    <d v="2018-01-31T05:35:49"/>
    <d v="2021-04-01T04:52:17"/>
    <n v="1155.9697685185165"/>
    <b v="0"/>
    <b v="0"/>
    <n v="556"/>
    <n v="24"/>
    <n v="36"/>
    <n v="0"/>
    <n v="9"/>
    <n v="12"/>
    <n v="35"/>
    <n v="0"/>
    <n v="237"/>
    <n v="3"/>
    <x v="5"/>
    <n v="3132"/>
    <n v="47"/>
    <n v="1.5006385696040868E-2"/>
    <n v="5"/>
    <n v="0.10638297872340426"/>
    <n v="1.5964240102171138E-3"/>
    <n v="1"/>
    <n v="2.1276595744680851E-2"/>
    <n v="3.1928480204342275E-4"/>
    <n v="0"/>
    <n v="0"/>
    <n v="0"/>
    <n v="41"/>
    <n v="0.87234042553191493"/>
    <n v="1.3090676883780333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osativ/isso"/>
    <s v="posativ"/>
    <s v="isso"/>
    <s v="https://github.com/posativ/isso"/>
    <d v="2012-10-17T20:46:45"/>
    <d v="2021-04-09T03:07:09"/>
    <n v="3095.2641666666605"/>
    <b v="0"/>
    <b v="0"/>
    <n v="4341"/>
    <n v="102"/>
    <n v="370"/>
    <n v="22"/>
    <n v="20"/>
    <n v="94"/>
    <n v="271"/>
    <n v="21"/>
    <n v="447"/>
    <n v="151"/>
    <x v="5"/>
    <n v="3193"/>
    <n v="25"/>
    <n v="7.829627309740057E-3"/>
    <n v="2"/>
    <n v="0.08"/>
    <n v="6.2637018477920453E-4"/>
    <n v="13"/>
    <n v="0.52"/>
    <n v="4.0714062010648294E-3"/>
    <n v="7"/>
    <n v="0.28000000000000003"/>
    <n v="2.192295646727216E-3"/>
    <n v="1"/>
    <n v="0.04"/>
    <n v="3.1318509238960227E-4"/>
    <n v="0"/>
    <n v="0"/>
    <n v="0"/>
    <n v="2"/>
    <n v="0.08"/>
    <n v="6.2637018477920453E-4"/>
    <b v="1"/>
    <b v="0"/>
    <b v="0"/>
    <b v="0"/>
    <b v="1"/>
    <b v="0"/>
    <b v="0"/>
    <b v="0"/>
    <b v="0"/>
    <b v="0"/>
    <b v="0"/>
    <b v="0"/>
    <b v="0"/>
  </r>
  <r>
    <s v="postgres/pgadmin4"/>
    <s v="postgres"/>
    <s v="pgadmin4"/>
    <s v="https://github.com/postgres/pgadmin4"/>
    <d v="2017-02-20T11:54:13"/>
    <d v="2021-04-08T13:20:59"/>
    <n v="1508.0602546296286"/>
    <b v="0"/>
    <b v="1"/>
    <n v="609"/>
    <n v="26"/>
    <n v="233"/>
    <n v="0"/>
    <n v="2"/>
    <n v="80"/>
    <n v="35"/>
    <n v="0"/>
    <n v="0"/>
    <n v="0"/>
    <x v="7"/>
    <n v="70519"/>
    <n v="230"/>
    <n v="3.261532352982884E-3"/>
    <n v="29"/>
    <n v="0.12608695652173912"/>
    <n v="4.1123668798479841E-4"/>
    <n v="17"/>
    <n v="7.3913043478260873E-2"/>
    <n v="2.4106978261177839E-4"/>
    <n v="11"/>
    <n v="4.7826086956521741E-2"/>
    <n v="1.5598632992526836E-4"/>
    <n v="71"/>
    <n v="0.30869565217391304"/>
    <n v="1.0068208567903685E-3"/>
    <n v="0"/>
    <n v="0"/>
    <n v="0"/>
    <n v="102"/>
    <n v="0.44347826086956521"/>
    <n v="1.4464186956706703E-3"/>
    <b v="1"/>
    <b v="0"/>
    <b v="0"/>
    <b v="0"/>
    <b v="1"/>
    <b v="0"/>
    <b v="0"/>
    <b v="0"/>
    <b v="0"/>
    <b v="0"/>
    <b v="0"/>
    <b v="0"/>
    <b v="0"/>
  </r>
  <r>
    <s v="PostHog/posthog"/>
    <s v="PostHog"/>
    <s v="posthog"/>
    <s v="https://github.com/PostHog/posthog"/>
    <d v="2020-01-23T22:46:58"/>
    <d v="2021-04-09T01:13:28"/>
    <n v="441.10173611111531"/>
    <b v="0"/>
    <b v="1"/>
    <n v="3989"/>
    <n v="57"/>
    <n v="293"/>
    <n v="0"/>
    <n v="6"/>
    <n v="85"/>
    <n v="2522"/>
    <n v="28"/>
    <n v="1390"/>
    <n v="493"/>
    <x v="7"/>
    <n v="24196"/>
    <n v="9"/>
    <n v="3.7196230781947427E-4"/>
    <n v="0"/>
    <n v="0"/>
    <n v="0"/>
    <n v="7"/>
    <n v="0.77777777777777779"/>
    <n v="2.8930401719292443E-4"/>
    <n v="2"/>
    <n v="0.22222222222222221"/>
    <n v="8.2658290626549838E-5"/>
    <n v="0"/>
    <n v="0"/>
    <n v="0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powerfulseal/powerfulseal"/>
    <s v="powerfulseal"/>
    <s v="powerfulseal"/>
    <s v="https://github.com/powerfulseal/powerfulseal"/>
    <d v="2017-12-05T18:43:45"/>
    <d v="2021-04-09T00:54:29"/>
    <n v="1220.2574537036999"/>
    <b v="0"/>
    <b v="1"/>
    <n v="1583"/>
    <n v="47"/>
    <n v="151"/>
    <n v="35"/>
    <n v="2"/>
    <n v="29"/>
    <n v="179"/>
    <n v="2"/>
    <n v="147"/>
    <n v="35"/>
    <x v="4"/>
    <n v="4212"/>
    <n v="177"/>
    <n v="4.2022792022792022E-2"/>
    <n v="49"/>
    <n v="0.2768361581920904"/>
    <n v="1.1633428300094967E-2"/>
    <n v="67"/>
    <n v="0.37853107344632769"/>
    <n v="1.590693257359924E-2"/>
    <n v="14"/>
    <n v="7.909604519774012E-2"/>
    <n v="3.3238366571699905E-3"/>
    <n v="25"/>
    <n v="0.14124293785310735"/>
    <n v="5.9354226020892692E-3"/>
    <n v="0"/>
    <n v="0"/>
    <n v="0"/>
    <n v="22"/>
    <n v="0.12429378531073447"/>
    <n v="5.2231718898385565E-3"/>
    <b v="1"/>
    <b v="0"/>
    <b v="0"/>
    <b v="0"/>
    <b v="1"/>
    <b v="0"/>
    <b v="0"/>
    <b v="0"/>
    <b v="0"/>
    <b v="0"/>
    <b v="0"/>
    <b v="0"/>
    <b v="0"/>
  </r>
  <r>
    <s v="pprp/SimpleCVReproduction"/>
    <s v="pprp"/>
    <s v="SimpleCVReproduction"/>
    <s v="https://github.com/pprp/SimpleCVReproduction"/>
    <d v="2019-12-11T12:25:06"/>
    <d v="2021-04-09T00:27:41"/>
    <n v="484.50179398147884"/>
    <b v="0"/>
    <b v="0"/>
    <n v="617"/>
    <n v="21"/>
    <n v="176"/>
    <n v="0"/>
    <n v="0"/>
    <n v="0"/>
    <n v="3"/>
    <n v="0"/>
    <n v="14"/>
    <n v="5"/>
    <x v="4"/>
    <n v="118860"/>
    <n v="1095"/>
    <n v="9.212518929833418E-3"/>
    <n v="325"/>
    <n v="0.29680365296803651"/>
    <n v="2.7343092714117449E-3"/>
    <n v="630"/>
    <n v="0.57534246575342463"/>
    <n v="5.3003533568904597E-3"/>
    <n v="83"/>
    <n v="7.5799086757990866E-2"/>
    <n v="6.9830052162207638E-4"/>
    <n v="19"/>
    <n v="1.7351598173515982E-2"/>
    <n v="1.5985192663637893E-4"/>
    <n v="1"/>
    <n v="9.1324200913242006E-4"/>
    <n v="8.4132592966515235E-6"/>
    <n v="37"/>
    <n v="3.3789954337899546E-2"/>
    <n v="3.1129059397610635E-4"/>
    <b v="1"/>
    <b v="0"/>
    <b v="0"/>
    <b v="0"/>
    <b v="1"/>
    <b v="0"/>
    <b v="0"/>
    <b v="0"/>
    <b v="0"/>
    <b v="0"/>
    <b v="0"/>
    <b v="0"/>
    <b v="0"/>
  </r>
  <r>
    <s v="praekeltfoundation/vumi"/>
    <s v="praekeltfoundation"/>
    <s v="vumi"/>
    <s v="https://github.com/praekeltfoundation/vumi"/>
    <d v="2010-11-15T11:34:03"/>
    <d v="2021-04-05T17:23:36"/>
    <n v="3794.2427430555545"/>
    <b v="0"/>
    <b v="1"/>
    <n v="374"/>
    <n v="66"/>
    <n v="117"/>
    <n v="1"/>
    <n v="134"/>
    <n v="27"/>
    <n v="834"/>
    <n v="13"/>
    <n v="242"/>
    <n v="88"/>
    <x v="7"/>
    <n v="49385"/>
    <n v="119"/>
    <n v="2.4096385542168677E-3"/>
    <n v="26"/>
    <n v="0.21848739495798319"/>
    <n v="5.2647565050116432E-4"/>
    <n v="17"/>
    <n v="0.14285714285714285"/>
    <n v="3.4423407917383823E-4"/>
    <n v="59"/>
    <n v="0.49579831932773111"/>
    <n v="1.1946947453680267E-3"/>
    <n v="17"/>
    <n v="0.14285714285714285"/>
    <n v="3.442340791738382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raveendath92/fitbit-googlefit"/>
    <s v="praveendath92"/>
    <s v="fitbit-googlefit"/>
    <s v="https://github.com/praveendath92/fitbit-googlefit"/>
    <d v="2016-08-13T12:44:46"/>
    <d v="2021-04-08T14:58:22"/>
    <n v="1699.0927777777761"/>
    <b v="0"/>
    <b v="0"/>
    <n v="412"/>
    <n v="25"/>
    <n v="61"/>
    <n v="0"/>
    <n v="2"/>
    <n v="10"/>
    <n v="25"/>
    <n v="1"/>
    <n v="55"/>
    <n v="15"/>
    <x v="0"/>
    <n v="567"/>
    <n v="4"/>
    <n v="7.0546737213403876E-3"/>
    <n v="4"/>
    <n v="1"/>
    <n v="7.0546737213403876E-3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re-commit/pre-commit"/>
    <s v="pre-commit"/>
    <s v="pre-commit"/>
    <s v="https://github.com/pre-commit/pre-commit"/>
    <d v="2014-03-13T00:39:38"/>
    <d v="2021-04-09T03:09:00"/>
    <n v="2584.1037268518485"/>
    <b v="0"/>
    <b v="1"/>
    <n v="5775"/>
    <n v="70"/>
    <n v="389"/>
    <n v="74"/>
    <n v="19"/>
    <n v="99"/>
    <n v="754"/>
    <n v="5"/>
    <n v="1093"/>
    <n v="20"/>
    <x v="5"/>
    <n v="7961"/>
    <n v="31"/>
    <n v="3.8939831679437255E-3"/>
    <n v="0"/>
    <n v="0"/>
    <n v="0"/>
    <n v="8"/>
    <n v="0.25806451612903225"/>
    <n v="1.0048988820499938E-3"/>
    <n v="14"/>
    <n v="0.45161290322580644"/>
    <n v="1.7585730435874889E-3"/>
    <n v="9"/>
    <n v="0.29032258064516131"/>
    <n v="1.130511242306242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refectHQ/prefect"/>
    <s v="PrefectHQ"/>
    <s v="prefect"/>
    <s v="https://github.com/PrefectHQ/prefect"/>
    <d v="2018-06-29T21:59:26"/>
    <d v="2021-04-08T22:14:19"/>
    <n v="1014.0103356481486"/>
    <b v="0"/>
    <b v="1"/>
    <n v="6089"/>
    <n v="137"/>
    <n v="541"/>
    <n v="92"/>
    <n v="11"/>
    <n v="173"/>
    <n v="2497"/>
    <n v="31"/>
    <n v="1649"/>
    <n v="254"/>
    <x v="4"/>
    <n v="48849"/>
    <n v="456"/>
    <n v="9.3348891481913644E-3"/>
    <n v="201"/>
    <n v="0.44078947368421051"/>
    <n v="4.1147208745317201E-3"/>
    <n v="105"/>
    <n v="0.23026315789473684"/>
    <n v="2.149481053859854E-3"/>
    <n v="67"/>
    <n v="0.14692982456140352"/>
    <n v="1.3715736248439067E-3"/>
    <n v="43"/>
    <n v="9.4298245614035089E-2"/>
    <n v="8.8026366967594019E-4"/>
    <n v="10"/>
    <n v="2.1929824561403508E-2"/>
    <n v="2.0471248131998608E-4"/>
    <n v="30"/>
    <n v="6.5789473684210523E-2"/>
    <n v="6.1413744395995827E-4"/>
    <b v="1"/>
    <b v="1"/>
    <b v="0"/>
    <b v="0"/>
    <b v="1"/>
    <b v="0"/>
    <b v="0"/>
    <b v="0"/>
    <b v="0"/>
    <b v="0"/>
    <b v="0"/>
    <b v="0"/>
    <b v="0"/>
  </r>
  <r>
    <s v="pretix/pretix"/>
    <s v="pretix"/>
    <s v="pretix"/>
    <s v="https://github.com/pretix/pretix"/>
    <d v="2014-09-08T13:10:38"/>
    <d v="2021-04-08T20:05:53"/>
    <n v="2404.2883680555533"/>
    <b v="0"/>
    <b v="1"/>
    <n v="1043"/>
    <n v="42"/>
    <n v="295"/>
    <n v="0"/>
    <n v="40"/>
    <n v="163"/>
    <n v="978"/>
    <n v="14"/>
    <n v="992"/>
    <n v="112"/>
    <x v="7"/>
    <n v="80156"/>
    <n v="431"/>
    <n v="5.3770148210988576E-3"/>
    <n v="1"/>
    <n v="2.3201856148491878E-3"/>
    <n v="1.2475672438744449E-5"/>
    <n v="15"/>
    <n v="3.4802784222737818E-2"/>
    <n v="1.8713508658116672E-4"/>
    <n v="37"/>
    <n v="8.584686774941995E-2"/>
    <n v="4.6159988023354456E-4"/>
    <n v="280"/>
    <n v="0.64965197215777259"/>
    <n v="3.4931882828484456E-3"/>
    <n v="0"/>
    <n v="0"/>
    <n v="0"/>
    <n v="98"/>
    <n v="0.22737819025522041"/>
    <n v="1.2226158989969559E-3"/>
    <b v="1"/>
    <b v="0"/>
    <b v="0"/>
    <b v="0"/>
    <b v="1"/>
    <b v="0"/>
    <b v="0"/>
    <b v="0"/>
    <b v="0"/>
    <b v="0"/>
    <b v="0"/>
    <b v="0"/>
    <b v="0"/>
  </r>
  <r>
    <s v="pricingassistant/mrq"/>
    <s v="pricingassistant"/>
    <s v="mrq"/>
    <s v="https://github.com/pricingassistant/mrq"/>
    <d v="2014-02-13T09:32:40"/>
    <d v="2021-03-28T14:58:30"/>
    <n v="2600.226273148146"/>
    <b v="0"/>
    <b v="1"/>
    <n v="840"/>
    <n v="66"/>
    <n v="111"/>
    <n v="5"/>
    <n v="19"/>
    <n v="33"/>
    <n v="63"/>
    <n v="7"/>
    <n v="171"/>
    <n v="52"/>
    <x v="5"/>
    <n v="106224"/>
    <n v="70"/>
    <n v="6.5898478686549175E-4"/>
    <n v="25"/>
    <n v="0.35714285714285715"/>
    <n v="2.353517095948185E-4"/>
    <n v="24"/>
    <n v="0.34285714285714286"/>
    <n v="2.2593764121102577E-4"/>
    <n v="5"/>
    <n v="7.1428571428571425E-2"/>
    <n v="4.7070341918963698E-5"/>
    <n v="16"/>
    <n v="0.22857142857142856"/>
    <n v="1.506250941406838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ritunl/pritunl"/>
    <s v="pritunl"/>
    <s v="pritunl"/>
    <s v="https://github.com/pritunl/pritunl"/>
    <d v="2013-09-13T00:30:53"/>
    <d v="2021-04-08T09:16:19"/>
    <n v="2764.3648842592593"/>
    <b v="0"/>
    <b v="1"/>
    <n v="3065"/>
    <n v="139"/>
    <n v="434"/>
    <n v="453"/>
    <n v="5"/>
    <n v="20"/>
    <n v="65"/>
    <n v="1"/>
    <n v="0"/>
    <n v="0"/>
    <x v="7"/>
    <n v="27265"/>
    <n v="378"/>
    <n v="1.386392811296534E-2"/>
    <n v="0"/>
    <n v="0"/>
    <n v="0"/>
    <n v="69"/>
    <n v="0.18253968253968253"/>
    <n v="2.5307170364936731E-3"/>
    <n v="46"/>
    <n v="0.12169312169312169"/>
    <n v="1.6871446909957821E-3"/>
    <n v="116"/>
    <n v="0.30687830687830686"/>
    <n v="4.2545387859893634E-3"/>
    <n v="0"/>
    <n v="0"/>
    <n v="0"/>
    <n v="147"/>
    <n v="0.3888888888888889"/>
    <n v="5.3915275994865213E-3"/>
    <b v="1"/>
    <b v="0"/>
    <b v="0"/>
    <b v="0"/>
    <b v="1"/>
    <b v="0"/>
    <b v="0"/>
    <b v="0"/>
    <b v="0"/>
    <b v="0"/>
    <b v="0"/>
    <b v="0"/>
    <b v="0"/>
  </r>
  <r>
    <s v="programa-stic/barf-project"/>
    <s v="programa-stic"/>
    <s v="barf-project"/>
    <s v="https://github.com/programa-stic/barf-project"/>
    <d v="2014-10-23T14:33:24"/>
    <d v="2021-04-06T10:35:42"/>
    <n v="2356.8349305555603"/>
    <b v="0"/>
    <b v="1"/>
    <n v="1281"/>
    <n v="76"/>
    <n v="157"/>
    <n v="0"/>
    <n v="0"/>
    <n v="7"/>
    <n v="11"/>
    <n v="0"/>
    <n v="45"/>
    <n v="16"/>
    <x v="8"/>
    <n v="15754"/>
    <n v="61"/>
    <n v="3.8720324996826204E-3"/>
    <n v="32"/>
    <n v="0.52459016393442626"/>
    <n v="2.0312301637679321E-3"/>
    <n v="11"/>
    <n v="0.18032786885245902"/>
    <n v="6.9823536879522663E-4"/>
    <n v="7"/>
    <n v="0.11475409836065574"/>
    <n v="4.4433159832423511E-4"/>
    <n v="11"/>
    <n v="0.18032786885245902"/>
    <n v="6.982353687952266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roject-MONAI/MONAI"/>
    <s v="Project-MONAI"/>
    <s v="MONAI"/>
    <s v="https://github.com/Project-MONAI/MONAI"/>
    <d v="2019-10-11T16:41:38"/>
    <d v="2021-04-08T17:01:59"/>
    <n v="545.01413194444467"/>
    <b v="0"/>
    <b v="1"/>
    <n v="1889"/>
    <n v="73"/>
    <n v="340"/>
    <n v="4"/>
    <n v="4"/>
    <n v="57"/>
    <n v="1032"/>
    <n v="18"/>
    <n v="805"/>
    <n v="78"/>
    <x v="4"/>
    <n v="30383"/>
    <n v="68"/>
    <n v="2.2380936708027515E-3"/>
    <n v="0"/>
    <n v="0"/>
    <n v="0"/>
    <n v="18"/>
    <n v="0.26470588235294118"/>
    <n v="5.9243655991837545E-4"/>
    <n v="49"/>
    <n v="0.72058823529411764"/>
    <n v="1.6127439686666886E-3"/>
    <n v="0"/>
    <n v="0"/>
    <n v="0"/>
    <n v="0"/>
    <n v="0"/>
    <n v="0"/>
    <n v="1"/>
    <n v="1.4705882352941176E-2"/>
    <n v="3.2913142217687525E-5"/>
    <b v="1"/>
    <b v="0"/>
    <b v="0"/>
    <b v="0"/>
    <b v="1"/>
    <b v="0"/>
    <b v="0"/>
    <b v="0"/>
    <b v="0"/>
    <b v="0"/>
    <b v="0"/>
    <b v="0"/>
    <b v="0"/>
  </r>
  <r>
    <s v="psf/black"/>
    <s v="psf"/>
    <s v="black"/>
    <s v="https://github.com/psf/black"/>
    <d v="2018-03-14T19:54:45"/>
    <d v="2021-04-09T03:16:56"/>
    <n v="1121.3070717592564"/>
    <b v="0"/>
    <b v="1"/>
    <n v="20213"/>
    <n v="183"/>
    <n v="1245"/>
    <n v="5"/>
    <n v="23"/>
    <n v="236"/>
    <n v="651"/>
    <n v="21"/>
    <n v="1434"/>
    <n v="423"/>
    <x v="5"/>
    <n v="11408"/>
    <n v="29"/>
    <n v="2.5420757363253856E-3"/>
    <n v="13"/>
    <n v="0.44827586206896552"/>
    <n v="1.1395511921458625E-3"/>
    <n v="8"/>
    <n v="0.27586206896551724"/>
    <n v="7.0126227208976155E-4"/>
    <n v="2"/>
    <n v="6.8965517241379309E-2"/>
    <n v="1.7531556802244039E-4"/>
    <n v="5"/>
    <n v="0.17241379310344829"/>
    <n v="4.3828892005610097E-4"/>
    <n v="0"/>
    <n v="0"/>
    <n v="0"/>
    <n v="1"/>
    <n v="3.4482758620689655E-2"/>
    <n v="8.7657784011220194E-5"/>
    <b v="1"/>
    <b v="0"/>
    <b v="0"/>
    <b v="0"/>
    <b v="1"/>
    <b v="0"/>
    <b v="0"/>
    <b v="0"/>
    <b v="0"/>
    <b v="0"/>
    <b v="0"/>
    <b v="0"/>
    <b v="0"/>
  </r>
  <r>
    <s v="psincraian/pepy"/>
    <s v="psincraian"/>
    <s v="pepy"/>
    <s v="https://github.com/psincraian/pepy"/>
    <d v="2018-05-27T19:40:52"/>
    <d v="2021-04-05T17:52:23"/>
    <n v="1043.9246643518491"/>
    <b v="0"/>
    <b v="0"/>
    <n v="377"/>
    <n v="4"/>
    <n v="20"/>
    <n v="0"/>
    <n v="0"/>
    <n v="7"/>
    <n v="256"/>
    <n v="0"/>
    <n v="42"/>
    <n v="6"/>
    <x v="5"/>
    <n v="1149"/>
    <n v="8"/>
    <n v="6.9625761531766752E-3"/>
    <n v="0"/>
    <n v="0"/>
    <n v="0"/>
    <n v="7"/>
    <n v="0.875"/>
    <n v="6.0922541340295913E-3"/>
    <n v="0"/>
    <n v="0"/>
    <n v="0"/>
    <n v="0"/>
    <n v="0"/>
    <n v="0"/>
    <n v="1"/>
    <n v="0.125"/>
    <n v="8.703220191470844E-4"/>
    <n v="0"/>
    <n v="0"/>
    <n v="0"/>
    <b v="0"/>
    <b v="1"/>
    <b v="0"/>
    <b v="0"/>
    <b v="1"/>
    <b v="0"/>
    <b v="0"/>
    <b v="0"/>
    <b v="0"/>
    <b v="0"/>
    <b v="0"/>
    <b v="0"/>
    <b v="0"/>
  </r>
  <r>
    <s v="ptpb/pb"/>
    <s v="ptpb"/>
    <s v="pb"/>
    <s v="https://github.com/ptpb/pb"/>
    <d v="2014-11-30T00:17:17"/>
    <d v="2021-04-07T22:45:49"/>
    <n v="2320.9364814814835"/>
    <b v="0"/>
    <b v="1"/>
    <n v="450"/>
    <n v="13"/>
    <n v="35"/>
    <n v="1"/>
    <n v="3"/>
    <n v="6"/>
    <n v="93"/>
    <n v="1"/>
    <n v="161"/>
    <n v="25"/>
    <x v="7"/>
    <n v="1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pulp/pulp"/>
    <s v="pulp"/>
    <s v="pulp"/>
    <s v="https://github.com/pulp/pulp"/>
    <d v="2012-08-06T13:49:20"/>
    <d v="2021-03-24T20:43:01"/>
    <n v="3152.2872800925907"/>
    <b v="0"/>
    <b v="1"/>
    <n v="507"/>
    <n v="38"/>
    <n v="165"/>
    <n v="6"/>
    <n v="111"/>
    <n v="83"/>
    <n v="4012"/>
    <n v="0"/>
    <n v="0"/>
    <n v="0"/>
    <x v="7"/>
    <n v="81841"/>
    <n v="450"/>
    <n v="5.4984665387764076E-3"/>
    <n v="112"/>
    <n v="0.24888888888888888"/>
    <n v="1.3685072274287949E-3"/>
    <n v="133"/>
    <n v="0.29555555555555557"/>
    <n v="1.6251023325716939E-3"/>
    <n v="30"/>
    <n v="6.6666666666666666E-2"/>
    <n v="3.6656443591842722E-4"/>
    <n v="65"/>
    <n v="0.14444444444444443"/>
    <n v="7.9422294448992564E-4"/>
    <n v="10"/>
    <n v="2.2222222222222223E-2"/>
    <n v="1.2218814530614241E-4"/>
    <n v="100"/>
    <n v="0.22222222222222221"/>
    <n v="1.2218814530614241E-3"/>
    <b v="1"/>
    <b v="0"/>
    <b v="0"/>
    <b v="0"/>
    <b v="1"/>
    <b v="0"/>
    <b v="0"/>
    <b v="0"/>
    <b v="0"/>
    <b v="0"/>
    <b v="0"/>
    <b v="0"/>
    <b v="0"/>
  </r>
  <r>
    <s v="PUNCH-Cyber/stoq"/>
    <s v="PUNCH-Cyber"/>
    <s v="stoq"/>
    <s v="https://github.com/PUNCH-Cyber/stoq"/>
    <d v="2015-11-19T01:38:56"/>
    <d v="2021-04-01T19:53:44"/>
    <n v="1960.760277777772"/>
    <b v="0"/>
    <b v="1"/>
    <n v="361"/>
    <n v="39"/>
    <n v="47"/>
    <n v="46"/>
    <n v="7"/>
    <n v="12"/>
    <n v="90"/>
    <n v="1"/>
    <n v="67"/>
    <n v="1"/>
    <x v="4"/>
    <n v="1998"/>
    <n v="33"/>
    <n v="1.6516516516516516E-2"/>
    <n v="18"/>
    <n v="0.54545454545454541"/>
    <n v="9.0090090090090089E-3"/>
    <n v="1"/>
    <n v="3.0303030303030304E-2"/>
    <n v="5.005005005005005E-4"/>
    <n v="5"/>
    <n v="0.15151515151515152"/>
    <n v="2.5025025025025025E-3"/>
    <n v="1"/>
    <n v="3.0303030303030304E-2"/>
    <n v="5.005005005005005E-4"/>
    <n v="0"/>
    <n v="0"/>
    <n v="0"/>
    <n v="8"/>
    <n v="0.24242424242424243"/>
    <n v="4.004004004004004E-3"/>
    <b v="1"/>
    <b v="0"/>
    <b v="0"/>
    <b v="0"/>
    <b v="1"/>
    <b v="0"/>
    <b v="0"/>
    <b v="0"/>
    <b v="0"/>
    <b v="0"/>
    <b v="0"/>
    <b v="0"/>
    <b v="0"/>
  </r>
  <r>
    <s v="pwnlandia/mhn"/>
    <s v="pwnlandia"/>
    <s v="mhn"/>
    <s v="https://github.com/pwnlandia/mhn"/>
    <d v="2014-05-28T23:35:50"/>
    <d v="2021-04-06T03:01:45"/>
    <n v="2504.1429976851869"/>
    <b v="0"/>
    <b v="1"/>
    <n v="2081"/>
    <n v="256"/>
    <n v="555"/>
    <n v="0"/>
    <n v="8"/>
    <n v="41"/>
    <n v="232"/>
    <n v="35"/>
    <n v="573"/>
    <n v="145"/>
    <x v="7"/>
    <n v="2391"/>
    <n v="58"/>
    <n v="2.4257632789627771E-2"/>
    <n v="16"/>
    <n v="0.27586206896551724"/>
    <n v="6.6917607695524883E-3"/>
    <n v="20"/>
    <n v="0.34482758620689657"/>
    <n v="8.3647009619406115E-3"/>
    <n v="12"/>
    <n v="0.20689655172413793"/>
    <n v="5.018820577164366E-3"/>
    <n v="6"/>
    <n v="0.10344827586206896"/>
    <n v="2.509410288582183E-3"/>
    <n v="1"/>
    <n v="1.7241379310344827E-2"/>
    <n v="4.1823504809703052E-4"/>
    <n v="3"/>
    <n v="5.1724137931034482E-2"/>
    <n v="1.2547051442910915E-3"/>
    <b v="1"/>
    <b v="0"/>
    <b v="0"/>
    <b v="0"/>
    <b v="1"/>
    <b v="0"/>
    <b v="0"/>
    <b v="0"/>
    <b v="0"/>
    <b v="0"/>
    <b v="0"/>
    <b v="0"/>
    <b v="0"/>
  </r>
  <r>
    <s v="pycook/cmdb"/>
    <s v="pycook"/>
    <s v="cmdb"/>
    <s v="https://github.com/pycook/cmdb"/>
    <d v="2015-12-29T02:32:49"/>
    <d v="2021-04-02T15:27:57"/>
    <n v="1921.5382870370377"/>
    <b v="0"/>
    <b v="0"/>
    <n v="344"/>
    <n v="25"/>
    <n v="143"/>
    <n v="4"/>
    <n v="0"/>
    <n v="8"/>
    <n v="46"/>
    <n v="4"/>
    <n v="25"/>
    <n v="15"/>
    <x v="3"/>
    <n v="5551"/>
    <n v="61"/>
    <n v="1.098901098901099E-2"/>
    <n v="28"/>
    <n v="0.45901639344262296"/>
    <n v="5.0441361916771753E-3"/>
    <n v="15"/>
    <n v="0.24590163934426229"/>
    <n v="2.7022158169699153E-3"/>
    <n v="8"/>
    <n v="0.13114754098360656"/>
    <n v="1.4411817690506215E-3"/>
    <n v="10"/>
    <n v="0.16393442622950818"/>
    <n v="1.8014772113132769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PyCQA/isort"/>
    <s v="PyCQA"/>
    <s v="isort"/>
    <s v="https://github.com/PyCQA/isort"/>
    <d v="2013-09-02T22:22:53"/>
    <d v="2021-04-09T01:58:42"/>
    <n v="2775.149872685186"/>
    <b v="0"/>
    <b v="1"/>
    <n v="3786"/>
    <n v="35"/>
    <n v="385"/>
    <n v="92"/>
    <n v="29"/>
    <n v="206"/>
    <n v="772"/>
    <n v="1"/>
    <n v="931"/>
    <n v="23"/>
    <x v="5"/>
    <n v="8796"/>
    <n v="8"/>
    <n v="9.0950432014552066E-4"/>
    <n v="0"/>
    <n v="0"/>
    <n v="0"/>
    <n v="0"/>
    <n v="0"/>
    <n v="0"/>
    <n v="0"/>
    <n v="0"/>
    <n v="0"/>
    <n v="8"/>
    <n v="1"/>
    <n v="9.095043201455206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yCQA/prospector"/>
    <s v="PyCQA"/>
    <s v="prospector"/>
    <s v="https://github.com/PyCQA/prospector"/>
    <d v="2013-08-05T07:26:30"/>
    <d v="2021-04-07T18:44:06"/>
    <n v="2802.4705555555556"/>
    <b v="0"/>
    <b v="1"/>
    <n v="1410"/>
    <n v="35"/>
    <n v="120"/>
    <n v="21"/>
    <n v="13"/>
    <n v="58"/>
    <n v="159"/>
    <n v="8"/>
    <n v="255"/>
    <n v="44"/>
    <x v="3"/>
    <n v="2726"/>
    <n v="2"/>
    <n v="7.3367571533382249E-4"/>
    <n v="0"/>
    <n v="0"/>
    <n v="0"/>
    <n v="0"/>
    <n v="0"/>
    <n v="0"/>
    <n v="2"/>
    <n v="1"/>
    <n v="7.3367571533382249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yCQA/pylint"/>
    <s v="PyCQA"/>
    <s v="pylint"/>
    <s v="https://github.com/PyCQA/pylint"/>
    <d v="2015-12-09T05:40:02"/>
    <d v="2021-04-08T16:46:47"/>
    <n v="1947.4630208333401"/>
    <b v="0"/>
    <b v="1"/>
    <n v="3274"/>
    <n v="71"/>
    <n v="667"/>
    <n v="12"/>
    <n v="39"/>
    <n v="325"/>
    <n v="1003"/>
    <n v="21"/>
    <n v="3322"/>
    <n v="680"/>
    <x v="3"/>
    <n v="33715"/>
    <n v="26"/>
    <n v="7.7117010232834052E-4"/>
    <n v="3"/>
    <n v="0.11538461538461539"/>
    <n v="8.8981165653270053E-5"/>
    <n v="10"/>
    <n v="0.38461538461538464"/>
    <n v="2.9660388551090017E-4"/>
    <n v="12"/>
    <n v="0.46153846153846156"/>
    <n v="3.5592466261308021E-4"/>
    <n v="1"/>
    <n v="3.8461538461538464E-2"/>
    <n v="2.9660388551090019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ydanny/cookiecutter-django"/>
    <s v="pydanny"/>
    <s v="cookiecutter-django"/>
    <s v="https://github.com/pydanny/cookiecutter-django"/>
    <d v="2013-08-14T17:43:31"/>
    <d v="2021-04-09T02:23:42"/>
    <n v="2794.361238425925"/>
    <b v="0"/>
    <b v="0"/>
    <n v="7949"/>
    <n v="206"/>
    <n v="1996"/>
    <n v="21"/>
    <n v="120"/>
    <n v="295"/>
    <n v="2181"/>
    <n v="28"/>
    <n v="938"/>
    <n v="105"/>
    <x v="2"/>
    <n v="1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yinstaller/pyinstaller"/>
    <s v="pyinstaller"/>
    <s v="pyinstaller"/>
    <s v="https://github.com/pyinstaller/pyinstaller"/>
    <d v="2011-11-23T11:05:56"/>
    <d v="2021-04-08T15:00:04"/>
    <n v="3424.1625925925982"/>
    <b v="0"/>
    <b v="1"/>
    <n v="7882"/>
    <n v="235"/>
    <n v="1520"/>
    <n v="27"/>
    <n v="513"/>
    <n v="349"/>
    <n v="1616"/>
    <n v="25"/>
    <n v="4052"/>
    <n v="344"/>
    <x v="7"/>
    <n v="19241"/>
    <n v="275"/>
    <n v="1.4292396445091211E-2"/>
    <n v="66"/>
    <n v="0.24"/>
    <n v="3.4301751468218907E-3"/>
    <n v="109"/>
    <n v="0.39636363636363636"/>
    <n v="5.664986227327062E-3"/>
    <n v="63"/>
    <n v="0.2290909090909091"/>
    <n v="3.2742580946936231E-3"/>
    <n v="37"/>
    <n v="0.13454545454545455"/>
    <n v="1.922976976248635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ykaldi/pykaldi"/>
    <s v="pykaldi"/>
    <s v="pykaldi"/>
    <s v="https://github.com/pykaldi/pykaldi"/>
    <d v="2017-06-19T18:05:19"/>
    <d v="2021-04-07T14:24:54"/>
    <n v="1387.8469328703723"/>
    <b v="0"/>
    <b v="1"/>
    <n v="766"/>
    <n v="42"/>
    <n v="204"/>
    <n v="0"/>
    <n v="36"/>
    <n v="13"/>
    <n v="35"/>
    <n v="5"/>
    <n v="229"/>
    <n v="69"/>
    <x v="4"/>
    <n v="8543"/>
    <n v="29"/>
    <n v="3.3945920636778647E-3"/>
    <n v="1"/>
    <n v="3.4482758620689655E-2"/>
    <n v="1.1705489874751258E-4"/>
    <n v="7"/>
    <n v="0.2413793103448276"/>
    <n v="8.1938429123258811E-4"/>
    <n v="16"/>
    <n v="0.55172413793103448"/>
    <n v="1.8728783799602012E-3"/>
    <n v="5"/>
    <n v="0.17241379310344829"/>
    <n v="5.8527449373756287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yload/pyload"/>
    <s v="pyload"/>
    <s v="pyload"/>
    <s v="https://github.com/pyload/pyload"/>
    <d v="2013-02-10T13:12:02"/>
    <d v="2021-04-08T19:15:33"/>
    <n v="2979.2524421296257"/>
    <b v="0"/>
    <b v="1"/>
    <n v="2153"/>
    <n v="138"/>
    <n v="593"/>
    <n v="17"/>
    <n v="214"/>
    <n v="150"/>
    <n v="1151"/>
    <n v="25"/>
    <n v="2758"/>
    <n v="133"/>
    <x v="7"/>
    <n v="30836"/>
    <n v="239"/>
    <n v="7.7506810221818654E-3"/>
    <n v="45"/>
    <n v="0.18828451882845187"/>
    <n v="1.4593332468543262E-3"/>
    <n v="34"/>
    <n v="0.14225941422594143"/>
    <n v="1.1026073420677132E-3"/>
    <n v="31"/>
    <n v="0.1297071129707113"/>
    <n v="1.0053184589440913E-3"/>
    <n v="122"/>
    <n v="0.5104602510460251"/>
    <n v="3.9564145803606173E-3"/>
    <n v="2"/>
    <n v="8.368200836820083E-3"/>
    <n v="6.4859255415747821E-5"/>
    <n v="5"/>
    <n v="2.0920502092050208E-2"/>
    <n v="1.6214813853936957E-4"/>
    <b v="1"/>
    <b v="0"/>
    <b v="0"/>
    <b v="0"/>
    <b v="1"/>
    <b v="0"/>
    <b v="0"/>
    <b v="0"/>
    <b v="0"/>
    <b v="0"/>
    <b v="0"/>
    <b v="0"/>
    <b v="0"/>
  </r>
  <r>
    <s v="pymc-devs/pymc3"/>
    <s v="pymc-devs"/>
    <s v="pymc3"/>
    <s v="https://github.com/pymc-devs/pymc3"/>
    <d v="2009-05-05T09:43:50"/>
    <d v="2021-04-08T21:13:49"/>
    <n v="4356.4791550925947"/>
    <b v="0"/>
    <b v="1"/>
    <n v="5674"/>
    <n v="251"/>
    <n v="1302"/>
    <n v="26"/>
    <n v="203"/>
    <n v="279"/>
    <n v="2413"/>
    <n v="23"/>
    <n v="2203"/>
    <n v="170"/>
    <x v="7"/>
    <n v="27287"/>
    <n v="86"/>
    <n v="3.1516839520650858E-3"/>
    <n v="8"/>
    <n v="9.3023255813953487E-2"/>
    <n v="2.9317990251768241E-4"/>
    <n v="26"/>
    <n v="0.30232558139534882"/>
    <n v="9.528346831824678E-4"/>
    <n v="50"/>
    <n v="0.58139534883720934"/>
    <n v="1.832374390735515E-3"/>
    <n v="0"/>
    <n v="0"/>
    <n v="0"/>
    <n v="0"/>
    <n v="0"/>
    <n v="0"/>
    <n v="2"/>
    <n v="2.3255813953488372E-2"/>
    <n v="7.3294975629420602E-5"/>
    <b v="1"/>
    <b v="0"/>
    <b v="0"/>
    <b v="0"/>
    <b v="1"/>
    <b v="0"/>
    <b v="0"/>
    <b v="0"/>
    <b v="0"/>
    <b v="0"/>
    <b v="0"/>
    <b v="0"/>
    <b v="0"/>
  </r>
  <r>
    <s v="pymedusa/Medusa"/>
    <s v="pymedusa"/>
    <s v="Medusa"/>
    <s v="https://github.com/pymedusa/Medusa"/>
    <d v="2016-02-23T06:02:11"/>
    <d v="2021-04-08T06:47:16"/>
    <n v="1871.0313078703693"/>
    <b v="0"/>
    <b v="1"/>
    <n v="1277"/>
    <n v="61"/>
    <n v="209"/>
    <n v="83"/>
    <n v="457"/>
    <n v="274"/>
    <n v="4744"/>
    <n v="30"/>
    <n v="4472"/>
    <n v="133"/>
    <x v="0"/>
    <n v="241671"/>
    <n v="3326"/>
    <n v="1.3762511844615201E-2"/>
    <n v="1616"/>
    <n v="0.48586891160553219"/>
    <n v="6.6867766509014319E-3"/>
    <n v="599"/>
    <n v="0.18009621166566447"/>
    <n v="2.4785762462190331E-3"/>
    <n v="708"/>
    <n v="0.21286831028262176"/>
    <n v="2.9296026416078058E-3"/>
    <n v="294"/>
    <n v="8.8394467829224291E-2"/>
    <n v="1.2165299104981565E-3"/>
    <n v="1"/>
    <n v="3.0066145520144319E-4"/>
    <n v="4.1378568384291036E-6"/>
    <n v="108"/>
    <n v="3.2471437161755864E-2"/>
    <n v="4.4688853855034326E-4"/>
    <b v="1"/>
    <b v="0"/>
    <b v="0"/>
    <b v="0"/>
    <b v="1"/>
    <b v="0"/>
    <b v="0"/>
    <b v="0"/>
    <b v="0"/>
    <b v="0"/>
    <b v="0"/>
    <b v="0"/>
    <b v="0"/>
  </r>
  <r>
    <s v="pymssql/pymssql"/>
    <s v="pymssql"/>
    <s v="pymssql"/>
    <s v="https://github.com/pymssql/pymssql"/>
    <d v="2013-09-09T15:10:18"/>
    <d v="2021-04-09T02:49:39"/>
    <n v="2768.4856597222242"/>
    <b v="0"/>
    <b v="1"/>
    <n v="566"/>
    <n v="47"/>
    <n v="246"/>
    <n v="17"/>
    <n v="8"/>
    <n v="24"/>
    <n v="245"/>
    <n v="25"/>
    <n v="457"/>
    <n v="106"/>
    <x v="15"/>
    <n v="2498"/>
    <n v="6"/>
    <n v="2.4019215372297837E-3"/>
    <n v="5"/>
    <n v="0.83333333333333337"/>
    <n v="2.0016012810248197E-3"/>
    <n v="1"/>
    <n v="0.16666666666666666"/>
    <n v="4.0032025620496394E-4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pyouroboros/ouroboros"/>
    <s v="pyouroboros"/>
    <s v="ouroboros"/>
    <s v="https://github.com/pyouroboros/ouroboros"/>
    <d v="2018-09-17T23:10:55"/>
    <d v="2021-04-08T16:43:40"/>
    <n v="933.73107638888905"/>
    <b v="0"/>
    <b v="1"/>
    <n v="1412"/>
    <n v="24"/>
    <n v="148"/>
    <n v="33"/>
    <n v="2"/>
    <n v="13"/>
    <n v="211"/>
    <n v="7"/>
    <n v="0"/>
    <n v="0"/>
    <x v="5"/>
    <n v="728"/>
    <n v="55"/>
    <n v="7.5549450549450545E-2"/>
    <n v="19"/>
    <n v="0.34545454545454546"/>
    <n v="2.60989010989011E-2"/>
    <n v="8"/>
    <n v="0.14545454545454545"/>
    <n v="1.098901098901099E-2"/>
    <n v="3"/>
    <n v="5.4545454545454543E-2"/>
    <n v="4.120879120879121E-3"/>
    <n v="21"/>
    <n v="0.38181818181818183"/>
    <n v="2.8846153846153848E-2"/>
    <n v="4"/>
    <n v="7.2727272727272724E-2"/>
    <n v="5.4945054945054949E-3"/>
    <n v="0"/>
    <n v="0"/>
    <n v="0"/>
    <b v="1"/>
    <b v="1"/>
    <b v="0"/>
    <b v="0"/>
    <b v="1"/>
    <b v="0"/>
    <b v="0"/>
    <b v="0"/>
    <b v="0"/>
    <b v="0"/>
    <b v="0"/>
    <b v="0"/>
    <b v="0"/>
  </r>
  <r>
    <s v="pypa/warehouse"/>
    <s v="pypa"/>
    <s v="warehouse"/>
    <s v="https://github.com/pypa/warehouse"/>
    <d v="2013-03-30T19:03:53"/>
    <d v="2021-04-08T18:37:19"/>
    <n v="2930.9815509259206"/>
    <b v="0"/>
    <b v="1"/>
    <n v="2628"/>
    <n v="104"/>
    <n v="678"/>
    <n v="0"/>
    <n v="36"/>
    <n v="330"/>
    <n v="6913"/>
    <n v="71"/>
    <n v="2290"/>
    <n v="310"/>
    <x v="4"/>
    <n v="28413"/>
    <n v="27"/>
    <n v="9.5026924295216978E-4"/>
    <n v="2"/>
    <n v="7.407407407407407E-2"/>
    <n v="7.0390314292753317E-5"/>
    <n v="11"/>
    <n v="0.40740740740740738"/>
    <n v="3.8714672861014324E-4"/>
    <n v="8"/>
    <n v="0.29629629629629628"/>
    <n v="2.8156125717101327E-4"/>
    <n v="6"/>
    <n v="0.22222222222222221"/>
    <n v="2.1117094287825995E-4"/>
    <n v="0"/>
    <n v="0"/>
    <n v="0"/>
    <n v="0"/>
    <n v="0"/>
    <n v="0"/>
    <b v="1"/>
    <b v="1"/>
    <b v="0"/>
    <b v="0"/>
    <b v="1"/>
    <b v="0"/>
    <b v="0"/>
    <b v="0"/>
    <b v="0"/>
    <b v="0"/>
    <b v="0"/>
    <b v="1"/>
    <b v="0"/>
  </r>
  <r>
    <s v="pypiserver/pypiserver"/>
    <s v="pypiserver"/>
    <s v="pypiserver"/>
    <s v="https://github.com/pypiserver/pypiserver"/>
    <d v="2011-07-29T00:02:35"/>
    <d v="2021-04-05T19:36:10"/>
    <n v="3538.8149884259255"/>
    <b v="0"/>
    <b v="1"/>
    <n v="1139"/>
    <n v="31"/>
    <n v="205"/>
    <n v="19"/>
    <n v="0"/>
    <n v="60"/>
    <n v="182"/>
    <n v="10"/>
    <n v="202"/>
    <n v="49"/>
    <x v="7"/>
    <n v="5528"/>
    <n v="17"/>
    <n v="3.0752532561505066E-3"/>
    <n v="5"/>
    <n v="0.29411764705882354"/>
    <n v="9.0448625180897246E-4"/>
    <n v="5"/>
    <n v="0.29411764705882354"/>
    <n v="9.0448625180897246E-4"/>
    <n v="6"/>
    <n v="0.35294117647058826"/>
    <n v="1.0853835021707671E-3"/>
    <n v="0"/>
    <n v="0"/>
    <n v="0"/>
    <n v="0"/>
    <n v="0"/>
    <n v="0"/>
    <n v="1"/>
    <n v="5.8823529411764705E-2"/>
    <n v="1.8089725036179449E-4"/>
    <b v="1"/>
    <b v="1"/>
    <b v="0"/>
    <b v="0"/>
    <b v="1"/>
    <b v="0"/>
    <b v="0"/>
    <b v="0"/>
    <b v="0"/>
    <b v="0"/>
    <b v="0"/>
    <b v="0"/>
    <b v="0"/>
  </r>
  <r>
    <s v="pyro-ppl/pyro"/>
    <s v="pyro-ppl"/>
    <s v="pyro"/>
    <s v="https://github.com/pyro-ppl/pyro"/>
    <d v="2017-06-16T05:03:47"/>
    <d v="2021-04-09T03:45:16"/>
    <n v="1392.9454745370385"/>
    <b v="0"/>
    <b v="1"/>
    <n v="6846"/>
    <n v="208"/>
    <n v="805"/>
    <n v="25"/>
    <n v="2"/>
    <n v="104"/>
    <n v="1984"/>
    <n v="14"/>
    <n v="815"/>
    <n v="126"/>
    <x v="4"/>
    <n v="57823"/>
    <n v="358"/>
    <n v="6.191307957041316E-3"/>
    <n v="102"/>
    <n v="0.28491620111731841"/>
    <n v="1.7640039430676375E-3"/>
    <n v="187"/>
    <n v="0.52234636871508378"/>
    <n v="3.2340072289573354E-3"/>
    <n v="68"/>
    <n v="0.18994413407821228"/>
    <n v="1.1760026287117582E-3"/>
    <n v="0"/>
    <n v="0"/>
    <n v="0"/>
    <n v="0"/>
    <n v="0"/>
    <n v="0"/>
    <n v="1"/>
    <n v="2.7932960893854749E-3"/>
    <n v="1.729415630458468E-5"/>
    <b v="1"/>
    <b v="0"/>
    <b v="0"/>
    <b v="0"/>
    <b v="1"/>
    <b v="0"/>
    <b v="0"/>
    <b v="0"/>
    <b v="0"/>
    <b v="0"/>
    <b v="0"/>
    <b v="0"/>
    <b v="0"/>
  </r>
  <r>
    <s v="pytest-dev/pytest-testinfra"/>
    <s v="pytest-dev"/>
    <s v="pytest-testinfra"/>
    <s v="https://github.com/pytest-dev/pytest-testinfra"/>
    <d v="2015-03-15T20:49:52"/>
    <d v="2021-04-08T06:00:41"/>
    <n v="2215.3825115740765"/>
    <b v="0"/>
    <b v="1"/>
    <n v="1875"/>
    <n v="88"/>
    <n v="265"/>
    <n v="2"/>
    <n v="11"/>
    <n v="94"/>
    <n v="318"/>
    <n v="16"/>
    <n v="291"/>
    <n v="96"/>
    <x v="4"/>
    <n v="3546"/>
    <n v="4"/>
    <n v="1.1280315848843769E-3"/>
    <n v="1"/>
    <n v="0.25"/>
    <n v="2.8200789622109422E-4"/>
    <n v="1"/>
    <n v="0.25"/>
    <n v="2.8200789622109422E-4"/>
    <n v="2"/>
    <n v="0.5"/>
    <n v="5.6401579244218843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ython-discord/bot"/>
    <s v="python-discord"/>
    <s v="bot"/>
    <s v="https://github.com/python-discord/bot"/>
    <d v="2018-02-03T12:20:25"/>
    <d v="2021-04-08T15:04:36"/>
    <n v="1160.1140162037045"/>
    <b v="0"/>
    <b v="1"/>
    <n v="488"/>
    <n v="52"/>
    <n v="262"/>
    <n v="0"/>
    <n v="13"/>
    <n v="89"/>
    <n v="781"/>
    <n v="19"/>
    <n v="698"/>
    <n v="113"/>
    <x v="7"/>
    <n v="15374"/>
    <n v="282"/>
    <n v="1.8342656432938729E-2"/>
    <n v="103"/>
    <n v="0.36524822695035464"/>
    <n v="6.6996227396903868E-3"/>
    <n v="92"/>
    <n v="0.32624113475177308"/>
    <n v="5.9841290490438405E-3"/>
    <n v="27"/>
    <n v="9.5744680851063829E-2"/>
    <n v="1.7562117861324314E-3"/>
    <n v="24"/>
    <n v="8.5106382978723402E-2"/>
    <n v="1.5610771432288278E-3"/>
    <n v="2"/>
    <n v="7.0921985815602835E-3"/>
    <n v="1.3008976193573565E-4"/>
    <n v="34"/>
    <n v="0.12056737588652482"/>
    <n v="2.2115259529075061E-3"/>
    <b v="1"/>
    <b v="1"/>
    <b v="0"/>
    <b v="0"/>
    <b v="1"/>
    <b v="0"/>
    <b v="0"/>
    <b v="0"/>
    <b v="0"/>
    <b v="0"/>
    <b v="0"/>
    <b v="0"/>
    <b v="0"/>
  </r>
  <r>
    <s v="python-discord/site"/>
    <s v="python-discord"/>
    <s v="site"/>
    <s v="https://github.com/python-discord/site"/>
    <d v="2018-02-05T22:31:04"/>
    <d v="2021-04-05T15:36:47"/>
    <n v="1154.7123032407399"/>
    <b v="0"/>
    <b v="1"/>
    <n v="580"/>
    <n v="33"/>
    <n v="83"/>
    <n v="0"/>
    <n v="5"/>
    <n v="43"/>
    <n v="278"/>
    <n v="9"/>
    <n v="173"/>
    <n v="26"/>
    <x v="5"/>
    <n v="5362"/>
    <n v="5"/>
    <n v="9.3248787765759045E-4"/>
    <n v="0"/>
    <n v="0"/>
    <n v="0"/>
    <n v="1"/>
    <n v="0.2"/>
    <n v="1.864975755315181E-4"/>
    <n v="0"/>
    <n v="0"/>
    <n v="0"/>
    <n v="4"/>
    <n v="0.8"/>
    <n v="7.459903021260724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python-social-auth/social-app-django"/>
    <s v="python-social-auth"/>
    <s v="social-app-django"/>
    <s v="https://github.com/python-social-auth/social-app-django"/>
    <d v="2016-09-24T18:06:40"/>
    <d v="2021-04-09T00:12:48"/>
    <n v="1657.2542592592581"/>
    <b v="0"/>
    <b v="1"/>
    <n v="1484"/>
    <n v="36"/>
    <n v="268"/>
    <n v="0"/>
    <n v="6"/>
    <n v="278"/>
    <n v="78"/>
    <n v="3"/>
    <n v="228"/>
    <n v="110"/>
    <x v="7"/>
    <n v="1203"/>
    <n v="4"/>
    <n v="3.3250207813798837E-3"/>
    <n v="0"/>
    <n v="0"/>
    <n v="0"/>
    <n v="1"/>
    <n v="0.25"/>
    <n v="8.3125519534497092E-4"/>
    <n v="1"/>
    <n v="0.25"/>
    <n v="8.3125519534497092E-4"/>
    <n v="2"/>
    <n v="0.5"/>
    <n v="1.6625103906899418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python-social-auth/social-core"/>
    <s v="python-social-auth"/>
    <s v="social-core"/>
    <s v="https://github.com/python-social-auth/social-core"/>
    <d v="2016-08-28T15:37:58"/>
    <d v="2021-04-01T21:16:15"/>
    <n v="1677.2349189814777"/>
    <b v="0"/>
    <b v="1"/>
    <n v="626"/>
    <n v="26"/>
    <n v="403"/>
    <n v="5"/>
    <n v="8"/>
    <n v="389"/>
    <n v="267"/>
    <n v="11"/>
    <n v="315"/>
    <n v="7"/>
    <x v="7"/>
    <n v="11152"/>
    <n v="1"/>
    <n v="8.96700143472023E-5"/>
    <n v="0"/>
    <n v="0"/>
    <n v="0"/>
    <n v="0"/>
    <n v="0"/>
    <n v="0"/>
    <n v="1"/>
    <n v="1"/>
    <n v="8.96700143472023E-5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python-streamz/streamz"/>
    <s v="python-streamz"/>
    <s v="streamz"/>
    <s v="https://github.com/python-streamz/streamz"/>
    <d v="2017-04-04T21:45:49"/>
    <d v="2021-04-07T17:19:56"/>
    <n v="1463.8153587962952"/>
    <b v="0"/>
    <b v="1"/>
    <n v="930"/>
    <n v="29"/>
    <n v="116"/>
    <n v="0"/>
    <n v="10"/>
    <n v="33"/>
    <n v="196"/>
    <n v="4"/>
    <n v="217"/>
    <n v="86"/>
    <x v="7"/>
    <n v="6254"/>
    <n v="4"/>
    <n v="6.3959066197633518E-4"/>
    <n v="0"/>
    <n v="0"/>
    <n v="0"/>
    <n v="0"/>
    <n v="0"/>
    <n v="0"/>
    <n v="1"/>
    <n v="0.25"/>
    <n v="1.5989766549408379E-4"/>
    <n v="0"/>
    <n v="0"/>
    <n v="0"/>
    <n v="0"/>
    <n v="0"/>
    <n v="0"/>
    <n v="3"/>
    <n v="0.75"/>
    <n v="4.7969299648225136E-4"/>
    <b v="1"/>
    <b v="0"/>
    <b v="0"/>
    <b v="0"/>
    <b v="1"/>
    <b v="0"/>
    <b v="0"/>
    <b v="0"/>
    <b v="0"/>
    <b v="0"/>
    <b v="0"/>
    <b v="0"/>
    <b v="0"/>
  </r>
  <r>
    <s v="Python3WebSpider/ProxyPool"/>
    <s v="Python3WebSpider"/>
    <s v="ProxyPool"/>
    <s v="https://github.com/Python3WebSpider/ProxyPool"/>
    <d v="2017-07-09T16:54:47"/>
    <d v="2021-04-09T03:40:26"/>
    <n v="1369.4483680555568"/>
    <b v="0"/>
    <b v="1"/>
    <n v="2357"/>
    <n v="81"/>
    <n v="960"/>
    <n v="0"/>
    <n v="1"/>
    <n v="14"/>
    <n v="33"/>
    <n v="4"/>
    <n v="83"/>
    <n v="12"/>
    <x v="5"/>
    <n v="866"/>
    <n v="34"/>
    <n v="3.9260969976905313E-2"/>
    <n v="8"/>
    <n v="0.23529411764705882"/>
    <n v="9.2378752886836026E-3"/>
    <n v="26"/>
    <n v="0.76470588235294112"/>
    <n v="3.0023094688221709E-2"/>
    <n v="0"/>
    <n v="0"/>
    <n v="0"/>
    <n v="0"/>
    <n v="0"/>
    <n v="0"/>
    <n v="0"/>
    <n v="0"/>
    <n v="0"/>
    <n v="0"/>
    <n v="0"/>
    <n v="0"/>
    <b v="1"/>
    <b v="1"/>
    <b v="0"/>
    <b v="0"/>
    <b v="0"/>
    <b v="0"/>
    <b v="0"/>
    <b v="0"/>
    <b v="1"/>
    <b v="0"/>
    <b v="0"/>
    <b v="0"/>
    <b v="0"/>
  </r>
  <r>
    <s v="pythonstock/stock"/>
    <s v="pythonstock"/>
    <s v="stock"/>
    <s v="https://github.com/pythonstock/stock"/>
    <d v="2017-07-17T03:24:03"/>
    <d v="2021-04-08T13:28:43"/>
    <n v="1361.4199074074131"/>
    <b v="0"/>
    <b v="1"/>
    <n v="4149"/>
    <n v="250"/>
    <n v="1255"/>
    <n v="2"/>
    <n v="0"/>
    <n v="5"/>
    <n v="9"/>
    <n v="2"/>
    <n v="48"/>
    <n v="29"/>
    <x v="4"/>
    <n v="1545"/>
    <n v="33"/>
    <n v="2.1359223300970873E-2"/>
    <n v="0"/>
    <n v="0"/>
    <n v="0"/>
    <n v="33"/>
    <n v="1"/>
    <n v="2.1359223300970873E-2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pytorch/audio"/>
    <s v="pytorch"/>
    <s v="audio"/>
    <s v="https://github.com/pytorch/audio"/>
    <d v="2017-05-05T00:38:05"/>
    <d v="2021-04-08T21:02:37"/>
    <n v="1434.8503703703755"/>
    <b v="0"/>
    <b v="1"/>
    <n v="1286"/>
    <n v="53"/>
    <n v="291"/>
    <n v="12"/>
    <n v="13"/>
    <n v="118"/>
    <n v="1024"/>
    <n v="33"/>
    <n v="416"/>
    <n v="112"/>
    <x v="8"/>
    <n v="10476"/>
    <n v="61"/>
    <n v="5.8228331424207717E-3"/>
    <n v="0"/>
    <n v="0"/>
    <n v="0"/>
    <n v="51"/>
    <n v="0.83606557377049184"/>
    <n v="4.868270332187858E-3"/>
    <n v="10"/>
    <n v="0.16393442622950818"/>
    <n v="9.5456281023291337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ytorch/elastic"/>
    <s v="pytorch"/>
    <s v="elastic"/>
    <s v="https://github.com/pytorch/elastic"/>
    <d v="2019-10-01T21:48:15"/>
    <d v="2021-04-08T19:30:25"/>
    <n v="554.90428240741312"/>
    <b v="0"/>
    <b v="1"/>
    <n v="632"/>
    <n v="34"/>
    <n v="70"/>
    <n v="8"/>
    <n v="0"/>
    <n v="31"/>
    <n v="98"/>
    <n v="1"/>
    <n v="48"/>
    <n v="7"/>
    <x v="2"/>
    <n v="3996"/>
    <n v="42"/>
    <n v="1.0510510510510511E-2"/>
    <n v="2"/>
    <n v="4.7619047619047616E-2"/>
    <n v="5.005005005005005E-4"/>
    <n v="38"/>
    <n v="0.90476190476190477"/>
    <n v="9.5095095095095103E-3"/>
    <n v="2"/>
    <n v="4.7619047619047616E-2"/>
    <n v="5.005005005005005E-4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pytorch/text"/>
    <s v="pytorch"/>
    <s v="text"/>
    <s v="https://github.com/pytorch/text"/>
    <d v="2016-12-12T00:56:03"/>
    <d v="2021-04-08T08:57:23"/>
    <n v="1578.3342592592599"/>
    <b v="0"/>
    <b v="1"/>
    <n v="2715"/>
    <n v="210"/>
    <n v="599"/>
    <n v="13"/>
    <n v="4"/>
    <n v="104"/>
    <n v="730"/>
    <n v="73"/>
    <n v="547"/>
    <n v="224"/>
    <x v="2"/>
    <n v="9402"/>
    <n v="63"/>
    <n v="6.7007019783024892E-3"/>
    <n v="0"/>
    <n v="0"/>
    <n v="0"/>
    <n v="59"/>
    <n v="0.93650793650793651"/>
    <n v="6.2752605828547119E-3"/>
    <n v="4"/>
    <n v="6.3492063492063489E-2"/>
    <n v="4.2544139544777704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ytorch/translate"/>
    <s v="pytorch"/>
    <s v="translate"/>
    <s v="https://github.com/pytorch/translate"/>
    <d v="2018-04-24T16:44:04"/>
    <d v="2021-04-05T06:56:57"/>
    <n v="1076.592280092591"/>
    <b v="0"/>
    <b v="1"/>
    <n v="685"/>
    <n v="43"/>
    <n v="162"/>
    <n v="0"/>
    <n v="2"/>
    <n v="54"/>
    <n v="666"/>
    <n v="16"/>
    <n v="38"/>
    <n v="11"/>
    <x v="2"/>
    <n v="11692"/>
    <n v="3"/>
    <n v="2.565856996236743E-4"/>
    <n v="0"/>
    <n v="0"/>
    <n v="0"/>
    <n v="2"/>
    <n v="0.66666666666666663"/>
    <n v="1.7105713308244953E-4"/>
    <n v="1"/>
    <n v="0.33333333333333331"/>
    <n v="8.5528566541224766E-5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PyTorchLightning/pytorch-lightning"/>
    <s v="PyTorchLightning"/>
    <s v="pytorch-lightning"/>
    <s v="https://github.com/PyTorchLightning/pytorch-lightning"/>
    <d v="2019-03-31T00:45:57"/>
    <d v="2021-04-09T03:19:29"/>
    <n v="740.10662037036673"/>
    <b v="0"/>
    <b v="1"/>
    <n v="12898"/>
    <n v="212"/>
    <n v="1483"/>
    <n v="50"/>
    <n v="34"/>
    <n v="432"/>
    <n v="3384"/>
    <n v="61"/>
    <n v="3102"/>
    <n v="252"/>
    <x v="4"/>
    <n v="33017"/>
    <n v="69"/>
    <n v="2.0898325105248813E-3"/>
    <n v="8"/>
    <n v="0.11594202898550725"/>
    <n v="2.4229942151013115E-4"/>
    <n v="41"/>
    <n v="0.59420289855072461"/>
    <n v="1.2417845352394221E-3"/>
    <n v="19"/>
    <n v="0.27536231884057971"/>
    <n v="5.7546112608656142E-4"/>
    <n v="0"/>
    <n v="0"/>
    <n v="0"/>
    <n v="0"/>
    <n v="0"/>
    <n v="0"/>
    <n v="1"/>
    <n v="1.4492753623188406E-2"/>
    <n v="3.0287427688766394E-5"/>
    <b v="1"/>
    <b v="0"/>
    <b v="0"/>
    <b v="0"/>
    <b v="1"/>
    <b v="0"/>
    <b v="0"/>
    <b v="0"/>
    <b v="0"/>
    <b v="0"/>
    <b v="0"/>
    <b v="0"/>
    <b v="0"/>
  </r>
  <r>
    <s v="pyvista/pyvista"/>
    <s v="pyvista"/>
    <s v="pyvista"/>
    <s v="https://github.com/pyvista/pyvista"/>
    <d v="2017-05-31T18:01:42"/>
    <d v="2021-04-08T14:35:12"/>
    <n v="1407.8565972222204"/>
    <b v="0"/>
    <b v="1"/>
    <n v="761"/>
    <n v="29"/>
    <n v="147"/>
    <n v="33"/>
    <n v="32"/>
    <n v="56"/>
    <n v="782"/>
    <n v="6"/>
    <n v="428"/>
    <n v="128"/>
    <x v="5"/>
    <n v="22273"/>
    <n v="31"/>
    <n v="1.3918196920037714E-3"/>
    <n v="10"/>
    <n v="0.32258064516129031"/>
    <n v="4.4897409419476499E-4"/>
    <n v="0"/>
    <n v="0"/>
    <n v="0"/>
    <n v="20"/>
    <n v="0.64516129032258063"/>
    <n v="8.9794818838952997E-4"/>
    <n v="1"/>
    <n v="3.2258064516129031E-2"/>
    <n v="4.4897409419476499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qilingframework/qiling"/>
    <s v="qilingframework"/>
    <s v="qiling"/>
    <s v="https://github.com/qilingframework/qiling"/>
    <d v="2019-08-22T13:22:15"/>
    <d v="2021-04-08T13:33:47"/>
    <n v="595.0080092592616"/>
    <b v="0"/>
    <b v="1"/>
    <n v="2236"/>
    <n v="81"/>
    <n v="337"/>
    <n v="14"/>
    <n v="12"/>
    <n v="74"/>
    <n v="519"/>
    <n v="13"/>
    <n v="244"/>
    <n v="44"/>
    <x v="3"/>
    <n v="34124"/>
    <n v="713"/>
    <n v="2.0894385183448598E-2"/>
    <n v="402"/>
    <n v="0.56381486676016834"/>
    <n v="1.1780564998241707E-2"/>
    <n v="219"/>
    <n v="0.30715287517531559"/>
    <n v="6.4177704841167508E-3"/>
    <n v="30"/>
    <n v="4.2075736325385693E-2"/>
    <n v="8.7914664165982882E-4"/>
    <n v="50"/>
    <n v="7.0126227208976155E-2"/>
    <n v="1.4652444027663815E-3"/>
    <n v="2"/>
    <n v="2.8050490883590462E-3"/>
    <n v="5.8609776110655256E-5"/>
    <n v="10"/>
    <n v="1.4025245441795231E-2"/>
    <n v="2.9304888055327631E-4"/>
    <b v="1"/>
    <b v="0"/>
    <b v="0"/>
    <b v="0"/>
    <b v="1"/>
    <b v="0"/>
    <b v="0"/>
    <b v="0"/>
    <b v="0"/>
    <b v="0"/>
    <b v="0"/>
    <b v="0"/>
    <b v="0"/>
  </r>
  <r>
    <s v="QingdaoU/OnlineJudge"/>
    <s v="QingdaoU"/>
    <s v="OnlineJudge"/>
    <s v="https://github.com/QingdaoU/OnlineJudge"/>
    <d v="2015-08-15T12:54:49"/>
    <d v="2021-04-08T10:35:27"/>
    <n v="2062.9032175925895"/>
    <b v="0"/>
    <b v="1"/>
    <n v="3757"/>
    <n v="180"/>
    <n v="982"/>
    <n v="6"/>
    <n v="68"/>
    <n v="15"/>
    <n v="76"/>
    <n v="10"/>
    <n v="289"/>
    <n v="78"/>
    <x v="5"/>
    <n v="6060"/>
    <n v="7"/>
    <n v="1.1551155115511551E-3"/>
    <n v="0"/>
    <n v="0"/>
    <n v="0"/>
    <n v="1"/>
    <n v="0.14285714285714285"/>
    <n v="1.6501650165016502E-4"/>
    <n v="0"/>
    <n v="0"/>
    <n v="0"/>
    <n v="3"/>
    <n v="0.42857142857142855"/>
    <n v="4.9504950495049506E-4"/>
    <n v="0"/>
    <n v="0"/>
    <n v="0"/>
    <n v="3"/>
    <n v="0.42857142857142855"/>
    <n v="4.9504950495049506E-4"/>
    <b v="1"/>
    <b v="1"/>
    <b v="0"/>
    <b v="0"/>
    <b v="1"/>
    <b v="0"/>
    <b v="0"/>
    <b v="0"/>
    <b v="0"/>
    <b v="0"/>
    <b v="0"/>
    <b v="0"/>
    <b v="0"/>
  </r>
  <r>
    <s v="QUANTAXIS/QUANTAXIS"/>
    <s v="QUANTAXIS"/>
    <s v="QUANTAXIS"/>
    <s v="https://github.com/QUANTAXIS/QUANTAXIS"/>
    <d v="2016-03-29T12:11:19"/>
    <d v="2021-04-09T01:41:06"/>
    <n v="1836.562349537031"/>
    <b v="0"/>
    <b v="1"/>
    <n v="5364"/>
    <n v="550"/>
    <n v="1915"/>
    <n v="61"/>
    <n v="9"/>
    <n v="56"/>
    <n v="1264"/>
    <n v="1"/>
    <n v="421"/>
    <n v="161"/>
    <x v="5"/>
    <n v="27588"/>
    <n v="30"/>
    <n v="1.0874293170943889E-3"/>
    <n v="9"/>
    <n v="0.3"/>
    <n v="3.2622879512831667E-4"/>
    <n v="7"/>
    <n v="0.23333333333333334"/>
    <n v="2.5373350732202409E-4"/>
    <n v="10"/>
    <n v="0.33333333333333331"/>
    <n v="3.6247643903146296E-4"/>
    <n v="3"/>
    <n v="0.1"/>
    <n v="1.0874293170943889E-4"/>
    <n v="0"/>
    <n v="0"/>
    <n v="0"/>
    <n v="1"/>
    <n v="3.3333333333333333E-2"/>
    <n v="3.6247643903146298E-5"/>
    <b v="1"/>
    <b v="1"/>
    <b v="0"/>
    <b v="0"/>
    <b v="1"/>
    <b v="0"/>
    <b v="0"/>
    <b v="0"/>
    <b v="0"/>
    <b v="0"/>
    <b v="0"/>
    <b v="0"/>
    <b v="0"/>
  </r>
  <r>
    <s v="quantopian/zipline"/>
    <s v="quantopian"/>
    <s v="zipline"/>
    <s v="https://github.com/quantopian/zipline"/>
    <d v="2012-10-19T15:50:29"/>
    <d v="2021-04-09T02:39:15"/>
    <n v="3093.4505324074053"/>
    <b v="0"/>
    <b v="1"/>
    <n v="13690"/>
    <n v="1005"/>
    <n v="3670"/>
    <n v="13"/>
    <n v="510"/>
    <n v="120"/>
    <n v="1860"/>
    <n v="36"/>
    <n v="951"/>
    <n v="304"/>
    <x v="4"/>
    <n v="40057"/>
    <n v="54"/>
    <n v="1.3480789874428939E-3"/>
    <n v="5"/>
    <n v="9.2592592592592587E-2"/>
    <n v="1.2482212846693462E-4"/>
    <n v="20"/>
    <n v="0.37037037037037035"/>
    <n v="4.9928851386773848E-4"/>
    <n v="26"/>
    <n v="0.48148148148148145"/>
    <n v="6.4907506802806001E-4"/>
    <n v="2"/>
    <n v="3.7037037037037035E-2"/>
    <n v="4.9928851386773846E-5"/>
    <n v="0"/>
    <n v="0"/>
    <n v="0"/>
    <n v="1"/>
    <n v="1.8518518518518517E-2"/>
    <n v="2.4964425693386923E-5"/>
    <b v="1"/>
    <b v="0"/>
    <b v="0"/>
    <b v="0"/>
    <b v="0"/>
    <b v="0"/>
    <b v="0"/>
    <b v="1"/>
    <b v="0"/>
    <b v="0"/>
    <b v="0"/>
    <b v="0"/>
    <b v="0"/>
  </r>
  <r>
    <s v="quantumlib/Cirq"/>
    <s v="quantumlib"/>
    <s v="Cirq"/>
    <s v="https://github.com/quantumlib/Cirq"/>
    <d v="2017-12-14T23:41:49"/>
    <d v="2021-04-08T23:58:51"/>
    <n v="1211.0118287037039"/>
    <b v="0"/>
    <b v="1"/>
    <n v="2813"/>
    <n v="173"/>
    <n v="582"/>
    <n v="13"/>
    <n v="25"/>
    <n v="124"/>
    <n v="2519"/>
    <n v="42"/>
    <n v="1491"/>
    <n v="345"/>
    <x v="4"/>
    <n v="76391"/>
    <n v="71"/>
    <n v="9.2942885942061241E-4"/>
    <n v="3"/>
    <n v="4.2253521126760563E-2"/>
    <n v="3.9271641947349821E-5"/>
    <n v="4"/>
    <n v="5.6338028169014086E-2"/>
    <n v="5.236218926313309E-5"/>
    <n v="30"/>
    <n v="0.42253521126760563"/>
    <n v="3.9271641947349819E-4"/>
    <n v="32"/>
    <n v="0.45070422535211269"/>
    <n v="4.1889751410506472E-4"/>
    <n v="2"/>
    <n v="2.8169014084507043E-2"/>
    <n v="2.6181094631566545E-5"/>
    <n v="0"/>
    <n v="0"/>
    <n v="0"/>
    <b v="1"/>
    <b v="0"/>
    <b v="0"/>
    <b v="0"/>
    <b v="1"/>
    <b v="0"/>
    <b v="0"/>
    <b v="0"/>
    <b v="0"/>
    <b v="0"/>
    <b v="0"/>
    <b v="0"/>
    <b v="0"/>
  </r>
  <r>
    <s v="quantumlib/OpenFermion"/>
    <s v="quantumlib"/>
    <s v="OpenFermion"/>
    <s v="https://github.com/quantumlib/OpenFermion"/>
    <d v="2017-09-21T22:10:28"/>
    <d v="2021-04-07T19:35:51"/>
    <n v="1293.8926273148099"/>
    <b v="0"/>
    <b v="1"/>
    <n v="1107"/>
    <n v="108"/>
    <n v="274"/>
    <n v="16"/>
    <n v="2"/>
    <n v="54"/>
    <n v="504"/>
    <n v="1"/>
    <n v="217"/>
    <n v="60"/>
    <x v="4"/>
    <n v="24863"/>
    <n v="23"/>
    <n v="9.2506938020351531E-4"/>
    <n v="0"/>
    <n v="0"/>
    <n v="0"/>
    <n v="16"/>
    <n v="0.69565217391304346"/>
    <n v="6.4352652535896711E-4"/>
    <n v="7"/>
    <n v="0.30434782608695654"/>
    <n v="2.8154285484454814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quark-engine/quark-engine"/>
    <s v="quark-engine"/>
    <s v="quark-engine"/>
    <s v="https://github.com/quark-engine/quark-engine"/>
    <d v="2019-10-22T01:19:27"/>
    <d v="2021-04-08T22:46:44"/>
    <n v="534.89394675926451"/>
    <b v="0"/>
    <b v="1"/>
    <n v="538"/>
    <n v="33"/>
    <n v="73"/>
    <n v="22"/>
    <n v="0"/>
    <n v="15"/>
    <n v="101"/>
    <n v="0"/>
    <n v="52"/>
    <n v="21"/>
    <x v="0"/>
    <n v="1608"/>
    <n v="4"/>
    <n v="2.4875621890547263E-3"/>
    <n v="0"/>
    <n v="0"/>
    <n v="0"/>
    <n v="1"/>
    <n v="0.25"/>
    <n v="6.2189054726368158E-4"/>
    <n v="0"/>
    <n v="0"/>
    <n v="0"/>
    <n v="0"/>
    <n v="0"/>
    <n v="0"/>
    <n v="0"/>
    <n v="0"/>
    <n v="0"/>
    <n v="3"/>
    <n v="0.75"/>
    <n v="1.8656716417910447E-3"/>
    <b v="1"/>
    <b v="0"/>
    <b v="0"/>
    <b v="0"/>
    <b v="1"/>
    <b v="0"/>
    <b v="0"/>
    <b v="0"/>
    <b v="0"/>
    <b v="0"/>
    <b v="0"/>
    <b v="0"/>
    <b v="0"/>
  </r>
  <r>
    <s v="quay/quay"/>
    <s v="quay"/>
    <s v="quay"/>
    <s v="https://github.com/quay/quay"/>
    <d v="2019-11-08T17:37:05"/>
    <d v="2021-04-08T13:00:06"/>
    <n v="516.80765046296438"/>
    <b v="0"/>
    <b v="1"/>
    <n v="1729"/>
    <n v="25"/>
    <n v="157"/>
    <n v="4"/>
    <n v="0"/>
    <n v="41"/>
    <n v="725"/>
    <n v="31"/>
    <n v="0"/>
    <n v="0"/>
    <x v="4"/>
    <n v="62677"/>
    <n v="997"/>
    <n v="1.5906951513314293E-2"/>
    <n v="553"/>
    <n v="0.55466399197592775"/>
    <n v="8.8230132265424317E-3"/>
    <n v="61"/>
    <n v="6.1183550651955868E-2"/>
    <n v="9.7324377363307117E-4"/>
    <n v="77"/>
    <n v="7.7231695085255764E-2"/>
    <n v="1.2285208290122374E-3"/>
    <n v="85"/>
    <n v="8.5255767301905719E-2"/>
    <n v="1.3561593567018204E-3"/>
    <n v="0"/>
    <n v="0"/>
    <n v="0"/>
    <n v="221"/>
    <n v="0.22166499498495487"/>
    <n v="3.5260143274247332E-3"/>
    <b v="1"/>
    <b v="1"/>
    <b v="0"/>
    <b v="0"/>
    <b v="1"/>
    <b v="0"/>
    <b v="0"/>
    <b v="0"/>
    <b v="0"/>
    <b v="0"/>
    <b v="0"/>
    <b v="0"/>
    <b v="0"/>
  </r>
  <r>
    <s v="quentinhardy/odat"/>
    <s v="quentinhardy"/>
    <s v="odat"/>
    <s v="https://github.com/quentinhardy/odat"/>
    <d v="2014-02-28T12:55:51"/>
    <d v="2021-04-09T00:12:24"/>
    <n v="2596.4698263888858"/>
    <b v="0"/>
    <b v="0"/>
    <n v="931"/>
    <n v="56"/>
    <n v="246"/>
    <n v="10"/>
    <n v="1"/>
    <n v="7"/>
    <n v="16"/>
    <n v="4"/>
    <n v="39"/>
    <n v="4"/>
    <x v="1"/>
    <n v="6515"/>
    <n v="664"/>
    <n v="0.10191864927091328"/>
    <n v="215"/>
    <n v="0.32379518072289154"/>
    <n v="3.3000767459708362E-2"/>
    <n v="372"/>
    <n v="0.56024096385542166"/>
    <n v="5.7099002302379125E-2"/>
    <n v="27"/>
    <n v="4.0662650602409638E-2"/>
    <n v="4.1442824251726783E-3"/>
    <n v="22"/>
    <n v="3.313253012048193E-2"/>
    <n v="3.3768227168073676E-3"/>
    <n v="28"/>
    <n v="4.2168674698795178E-2"/>
    <n v="4.2977743668457403E-3"/>
    <n v="0"/>
    <n v="0"/>
    <n v="0"/>
    <b v="1"/>
    <b v="0"/>
    <b v="0"/>
    <b v="0"/>
    <b v="1"/>
    <b v="0"/>
    <b v="0"/>
    <b v="0"/>
    <b v="0"/>
    <b v="0"/>
    <b v="0"/>
    <b v="0"/>
    <b v="0"/>
  </r>
  <r>
    <s v="quic/aimet"/>
    <s v="quic"/>
    <s v="aimet"/>
    <s v="https://github.com/quic/aimet"/>
    <d v="2020-04-21T18:57:10"/>
    <d v="2021-04-08T04:56:07"/>
    <n v="351.41593749999447"/>
    <b v="0"/>
    <b v="1"/>
    <n v="469"/>
    <n v="25"/>
    <n v="75"/>
    <n v="2"/>
    <n v="0"/>
    <n v="9"/>
    <n v="292"/>
    <n v="6"/>
    <n v="267"/>
    <n v="48"/>
    <x v="7"/>
    <n v="34179"/>
    <n v="509"/>
    <n v="1.4892185259954943E-2"/>
    <n v="194"/>
    <n v="0.38113948919449903"/>
    <n v="5.6759998829690747E-3"/>
    <n v="210"/>
    <n v="0.412573673870334"/>
    <n v="6.1441235846572458E-3"/>
    <n v="14"/>
    <n v="2.75049115913556E-2"/>
    <n v="4.096082389771497E-4"/>
    <n v="69"/>
    <n v="0.13555992141453832"/>
    <n v="2.0187834635302378E-3"/>
    <n v="22"/>
    <n v="4.3222003929273084E-2"/>
    <n v="6.4367008982123524E-4"/>
    <n v="0"/>
    <n v="0"/>
    <n v="0"/>
    <b v="1"/>
    <b v="0"/>
    <b v="0"/>
    <b v="0"/>
    <b v="1"/>
    <b v="0"/>
    <b v="0"/>
    <b v="0"/>
    <b v="0"/>
    <b v="0"/>
    <b v="0"/>
    <b v="0"/>
    <b v="0"/>
  </r>
  <r>
    <s v="quodlibet/quodlibet"/>
    <s v="quodlibet"/>
    <s v="quodlibet"/>
    <s v="https://github.com/quodlibet/quodlibet"/>
    <d v="2015-03-14T21:16:31"/>
    <d v="2021-04-08T19:27:47"/>
    <n v="2216.924490740741"/>
    <b v="0"/>
    <b v="1"/>
    <n v="926"/>
    <n v="56"/>
    <n v="168"/>
    <n v="82"/>
    <n v="111"/>
    <n v="117"/>
    <n v="512"/>
    <n v="15"/>
    <n v="3084"/>
    <n v="693"/>
    <x v="3"/>
    <n v="78327"/>
    <n v="29"/>
    <n v="3.7024270047365533E-4"/>
    <n v="8"/>
    <n v="0.27586206896551724"/>
    <n v="1.0213591737204284E-4"/>
    <n v="4"/>
    <n v="0.13793103448275862"/>
    <n v="5.1067958686021421E-5"/>
    <n v="7"/>
    <n v="0.2413793103448276"/>
    <n v="8.9368927700537486E-5"/>
    <n v="5"/>
    <n v="0.17241379310344829"/>
    <n v="6.3834948357526785E-5"/>
    <n v="0"/>
    <n v="0"/>
    <n v="0"/>
    <n v="5"/>
    <n v="0.17241379310344829"/>
    <n v="6.3834948357526785E-5"/>
    <b v="1"/>
    <b v="0"/>
    <b v="0"/>
    <b v="0"/>
    <b v="1"/>
    <b v="0"/>
    <b v="0"/>
    <b v="1"/>
    <b v="0"/>
    <b v="0"/>
    <b v="0"/>
    <b v="0"/>
    <b v="0"/>
  </r>
  <r>
    <s v="quokkaproject/quokka"/>
    <s v="quokkaproject"/>
    <s v="quokka"/>
    <s v="https://github.com/quokkaproject/quokka"/>
    <d v="2013-07-07T00:42:27"/>
    <d v="2021-04-08T10:47:01"/>
    <n v="2832.4198379629597"/>
    <b v="0"/>
    <b v="1"/>
    <n v="2195"/>
    <n v="156"/>
    <n v="447"/>
    <n v="2"/>
    <n v="45"/>
    <n v="9"/>
    <n v="263"/>
    <n v="10"/>
    <n v="425"/>
    <n v="64"/>
    <x v="7"/>
    <n v="2794"/>
    <n v="13"/>
    <n v="4.6528274874731565E-3"/>
    <n v="1"/>
    <n v="7.6923076923076927E-2"/>
    <n v="3.5790980672870435E-4"/>
    <n v="7"/>
    <n v="0.53846153846153844"/>
    <n v="2.5053686471009306E-3"/>
    <n v="1"/>
    <n v="7.6923076923076927E-2"/>
    <n v="3.5790980672870435E-4"/>
    <n v="4"/>
    <n v="0.30769230769230771"/>
    <n v="1.431639226914817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qzq1111/flask-restful-example"/>
    <s v="qzq1111"/>
    <s v="flask-restful-example"/>
    <s v="https://github.com/qzq1111/flask-restful-example"/>
    <d v="2019-03-23T04:09:00"/>
    <d v="2021-04-08T22:46:22"/>
    <n v="747.77594907407183"/>
    <b v="0"/>
    <b v="0"/>
    <n v="443"/>
    <n v="17"/>
    <n v="158"/>
    <n v="0"/>
    <n v="0"/>
    <n v="2"/>
    <n v="6"/>
    <n v="4"/>
    <n v="1"/>
    <n v="0"/>
    <x v="5"/>
    <n v="1563"/>
    <n v="12"/>
    <n v="7.677543186180422E-3"/>
    <n v="3"/>
    <n v="0.25"/>
    <n v="1.9193857965451055E-3"/>
    <n v="1"/>
    <n v="8.3333333333333329E-2"/>
    <n v="6.3979526551503517E-4"/>
    <n v="1"/>
    <n v="8.3333333333333329E-2"/>
    <n v="6.3979526551503517E-4"/>
    <n v="5"/>
    <n v="0.41666666666666669"/>
    <n v="3.1989763275751758E-3"/>
    <n v="1"/>
    <n v="8.3333333333333329E-2"/>
    <n v="6.3979526551503517E-4"/>
    <n v="1"/>
    <n v="8.3333333333333329E-2"/>
    <n v="6.3979526551503517E-4"/>
    <b v="1"/>
    <b v="1"/>
    <b v="0"/>
    <b v="0"/>
    <b v="1"/>
    <b v="0"/>
    <b v="0"/>
    <b v="0"/>
    <b v="0"/>
    <b v="0"/>
    <b v="0"/>
    <b v="0"/>
    <b v="0"/>
  </r>
  <r>
    <s v="RackHD/RackHD"/>
    <s v="RackHD"/>
    <s v="RackHD"/>
    <s v="https://github.com/RackHD/RackHD"/>
    <d v="2015-11-06T14:42:16"/>
    <d v="2021-02-11T08:56:25"/>
    <n v="1923.7598263888867"/>
    <b v="0"/>
    <b v="1"/>
    <n v="379"/>
    <n v="69"/>
    <n v="147"/>
    <n v="29"/>
    <n v="14"/>
    <n v="58"/>
    <n v="666"/>
    <n v="11"/>
    <n v="0"/>
    <n v="0"/>
    <x v="4"/>
    <n v="18269"/>
    <n v="551"/>
    <n v="3.0160380973233345E-2"/>
    <n v="187"/>
    <n v="0.33938294010889292"/>
    <n v="1.0235918769500247E-2"/>
    <n v="217"/>
    <n v="0.39382940108892922"/>
    <n v="1.1878044775302425E-2"/>
    <n v="27"/>
    <n v="4.9001814882032667E-2"/>
    <n v="1.4779134052219608E-3"/>
    <n v="120"/>
    <n v="0.21778584392014519"/>
    <n v="6.5685040232087146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rafalp/Misago"/>
    <s v="rafalp"/>
    <s v="Misago"/>
    <s v="https://github.com/rafalp/Misago"/>
    <d v="2012-06-22T14:24:02"/>
    <d v="2021-04-06T07:20:09"/>
    <n v="3209.7056365740791"/>
    <b v="0"/>
    <b v="0"/>
    <n v="2093"/>
    <n v="99"/>
    <n v="446"/>
    <n v="43"/>
    <n v="22"/>
    <n v="27"/>
    <n v="309"/>
    <n v="8"/>
    <n v="1048"/>
    <n v="65"/>
    <x v="7"/>
    <n v="48608"/>
    <n v="17"/>
    <n v="3.4973666886109283E-4"/>
    <n v="0"/>
    <n v="0"/>
    <n v="0"/>
    <n v="6"/>
    <n v="0.35294117647058826"/>
    <n v="1.2343647136273865E-4"/>
    <n v="1"/>
    <n v="5.8823529411764705E-2"/>
    <n v="2.0572745227123106E-5"/>
    <n v="8"/>
    <n v="0.47058823529411764"/>
    <n v="1.6458196181698485E-4"/>
    <n v="0"/>
    <n v="0"/>
    <n v="0"/>
    <n v="2"/>
    <n v="0.11764705882352941"/>
    <n v="4.1145490454246213E-5"/>
    <b v="1"/>
    <b v="1"/>
    <b v="0"/>
    <b v="0"/>
    <b v="1"/>
    <b v="0"/>
    <b v="0"/>
    <b v="0"/>
    <b v="0"/>
    <b v="0"/>
    <b v="0"/>
    <b v="0"/>
    <b v="0"/>
  </r>
  <r>
    <s v="raiden-network/raiden"/>
    <s v="raiden-network"/>
    <s v="raiden"/>
    <s v="https://github.com/raiden-network/raiden"/>
    <d v="2016-01-29T07:40:47"/>
    <d v="2021-04-08T14:30:54"/>
    <n v="1896.2848032407419"/>
    <b v="0"/>
    <b v="1"/>
    <n v="1790"/>
    <n v="191"/>
    <n v="360"/>
    <n v="65"/>
    <n v="117"/>
    <n v="77"/>
    <n v="4344"/>
    <n v="12"/>
    <n v="2547"/>
    <n v="351"/>
    <x v="5"/>
    <n v="41013"/>
    <n v="327"/>
    <n v="7.9730817058006002E-3"/>
    <n v="199"/>
    <n v="0.60856269113149852"/>
    <n v="4.852120059493331E-3"/>
    <n v="46"/>
    <n v="0.14067278287461774"/>
    <n v="1.1215955916416746E-3"/>
    <n v="42"/>
    <n v="0.12844036697247707"/>
    <n v="1.0240655401945725E-3"/>
    <n v="24"/>
    <n v="7.3394495412844041E-2"/>
    <n v="5.8518030868261281E-4"/>
    <n v="10"/>
    <n v="3.0581039755351681E-2"/>
    <n v="2.4382512861775534E-4"/>
    <n v="6"/>
    <n v="1.834862385321101E-2"/>
    <n v="1.462950771706532E-4"/>
    <b v="1"/>
    <b v="0"/>
    <b v="0"/>
    <b v="0"/>
    <b v="1"/>
    <b v="0"/>
    <b v="0"/>
    <b v="0"/>
    <b v="0"/>
    <b v="0"/>
    <b v="0"/>
    <b v="1"/>
    <b v="0"/>
  </r>
  <r>
    <s v="RameenAbdal/StyleFlow"/>
    <s v="RameenAbdal"/>
    <s v="StyleFlow"/>
    <s v="https://github.com/RameenAbdal/StyleFlow"/>
    <d v="2020-05-27T02:20:54"/>
    <d v="2021-04-08T14:56:27"/>
    <n v="316.52468750000116"/>
    <b v="0"/>
    <b v="0"/>
    <n v="1598"/>
    <n v="76"/>
    <n v="217"/>
    <n v="0"/>
    <n v="0"/>
    <n v="3"/>
    <n v="11"/>
    <n v="10"/>
    <n v="75"/>
    <n v="35"/>
    <x v="1"/>
    <n v="4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ranger/ranger"/>
    <s v="ranger"/>
    <s v="ranger"/>
    <s v="https://github.com/ranger/ranger"/>
    <d v="2009-06-04T06:41:11"/>
    <d v="2021-04-09T03:51:31"/>
    <n v="4326.8821759259299"/>
    <b v="0"/>
    <b v="1"/>
    <n v="9483"/>
    <n v="158"/>
    <n v="633"/>
    <n v="0"/>
    <n v="42"/>
    <n v="168"/>
    <n v="732"/>
    <n v="116"/>
    <n v="1560"/>
    <n v="515"/>
    <x v="0"/>
    <n v="14254"/>
    <n v="27"/>
    <n v="1.8942051354005893E-3"/>
    <n v="11"/>
    <n v="0.40740740740740738"/>
    <n v="7.717132033113512E-4"/>
    <n v="4"/>
    <n v="0.14814814814814814"/>
    <n v="2.8062298302230951E-4"/>
    <n v="0"/>
    <n v="0"/>
    <n v="0"/>
    <n v="4"/>
    <n v="0.14814814814814814"/>
    <n v="2.8062298302230951E-4"/>
    <n v="1"/>
    <n v="3.7037037037037035E-2"/>
    <n v="7.0155745755577377E-5"/>
    <n v="7"/>
    <n v="0.25925925925925924"/>
    <n v="4.9109022028904169E-4"/>
    <b v="1"/>
    <b v="0"/>
    <b v="0"/>
    <b v="0"/>
    <b v="1"/>
    <b v="0"/>
    <b v="0"/>
    <b v="0"/>
    <b v="0"/>
    <b v="0"/>
    <b v="0"/>
    <b v="0"/>
    <b v="0"/>
  </r>
  <r>
    <s v="RasaHQ/rasa"/>
    <s v="RasaHQ"/>
    <s v="rasa"/>
    <s v="https://github.com/RasaHQ/rasa"/>
    <d v="2016-10-14T12:27:49"/>
    <d v="2021-04-09T01:53:06"/>
    <n v="1637.5592245370426"/>
    <b v="0"/>
    <b v="1"/>
    <n v="11120"/>
    <n v="342"/>
    <n v="3325"/>
    <n v="93"/>
    <n v="48"/>
    <n v="415"/>
    <n v="3208"/>
    <n v="106"/>
    <n v="5181"/>
    <n v="544"/>
    <x v="4"/>
    <n v="47695"/>
    <n v="492"/>
    <n v="1.0315546703008702E-2"/>
    <n v="259"/>
    <n v="0.52642276422764223"/>
    <n v="5.4303386099171817E-3"/>
    <n v="112"/>
    <n v="0.22764227642276422"/>
    <n v="2.3482545340182408E-3"/>
    <n v="42"/>
    <n v="8.5365853658536592E-2"/>
    <n v="8.8059545025684035E-4"/>
    <n v="64"/>
    <n v="0.13008130081300814"/>
    <n v="1.3418597337247092E-3"/>
    <n v="0"/>
    <n v="0"/>
    <n v="0"/>
    <n v="15"/>
    <n v="3.048780487804878E-2"/>
    <n v="3.144983750917287E-4"/>
    <b v="1"/>
    <b v="1"/>
    <b v="0"/>
    <b v="0"/>
    <b v="1"/>
    <b v="0"/>
    <b v="0"/>
    <b v="0"/>
    <b v="0"/>
    <b v="0"/>
    <b v="0"/>
    <b v="0"/>
    <b v="0"/>
  </r>
  <r>
    <s v="RasaHQ/rasa_core"/>
    <s v="RasaHQ"/>
    <s v="rasa_core"/>
    <s v="https://github.com/RasaHQ/rasa_core"/>
    <d v="2017-09-18T12:07:12"/>
    <d v="2021-04-01T23:31:50"/>
    <n v="1291.4754398148143"/>
    <b v="0"/>
    <b v="1"/>
    <n v="2304"/>
    <n v="161"/>
    <n v="1032"/>
    <n v="2"/>
    <n v="15"/>
    <n v="106"/>
    <n v="584"/>
    <n v="0"/>
    <n v="0"/>
    <n v="0"/>
    <x v="4"/>
    <n v="14859"/>
    <n v="243"/>
    <n v="1.6353725015142338E-2"/>
    <n v="91"/>
    <n v="0.37448559670781895"/>
    <n v="6.1242344706911632E-3"/>
    <n v="55"/>
    <n v="0.22633744855967078"/>
    <n v="3.7014603943737803E-3"/>
    <n v="51"/>
    <n v="0.20987654320987653"/>
    <n v="3.4322632747829599E-3"/>
    <n v="30"/>
    <n v="0.12345679012345678"/>
    <n v="2.0189783969311527E-3"/>
    <n v="0"/>
    <n v="0"/>
    <n v="0"/>
    <n v="16"/>
    <n v="6.584362139917696E-2"/>
    <n v="1.0767884783632815E-3"/>
    <b v="1"/>
    <b v="1"/>
    <b v="0"/>
    <b v="0"/>
    <b v="1"/>
    <b v="0"/>
    <b v="0"/>
    <b v="0"/>
    <b v="0"/>
    <b v="0"/>
    <b v="0"/>
    <b v="0"/>
    <b v="0"/>
  </r>
  <r>
    <s v="RasaHQ/rasa-demo"/>
    <s v="RasaHQ"/>
    <s v="rasa-demo"/>
    <s v="https://github.com/RasaHQ/rasa-demo"/>
    <d v="2018-05-22T08:38:38"/>
    <d v="2021-04-06T19:06:42"/>
    <n v="1050.4361574074064"/>
    <b v="0"/>
    <b v="1"/>
    <n v="608"/>
    <n v="53"/>
    <n v="626"/>
    <n v="0"/>
    <n v="3"/>
    <n v="25"/>
    <n v="190"/>
    <n v="4"/>
    <n v="438"/>
    <n v="66"/>
    <x v="0"/>
    <n v="989"/>
    <n v="9"/>
    <n v="9.1001011122345803E-3"/>
    <n v="3"/>
    <n v="0.33333333333333331"/>
    <n v="3.0333670374115269E-3"/>
    <n v="0"/>
    <n v="0"/>
    <n v="0"/>
    <n v="3"/>
    <n v="0.33333333333333331"/>
    <n v="3.0333670374115269E-3"/>
    <n v="3"/>
    <n v="0.33333333333333331"/>
    <n v="3.033367037411526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raveberry/raveberry"/>
    <s v="raveberry"/>
    <s v="raveberry"/>
    <s v="https://github.com/raveberry/raveberry"/>
    <d v="2019-08-06T07:21:41"/>
    <d v="2021-04-07T14:08:54"/>
    <n v="610.2827893518479"/>
    <b v="0"/>
    <b v="0"/>
    <n v="450"/>
    <n v="14"/>
    <n v="32"/>
    <n v="0"/>
    <n v="1"/>
    <n v="4"/>
    <n v="14"/>
    <n v="0"/>
    <n v="90"/>
    <n v="11"/>
    <x v="9"/>
    <n v="5846"/>
    <n v="42"/>
    <n v="7.1843995894628806E-3"/>
    <n v="10"/>
    <n v="0.23809523809523808"/>
    <n v="1.7105713308244953E-3"/>
    <n v="9"/>
    <n v="0.21428571428571427"/>
    <n v="1.5395141977420459E-3"/>
    <n v="3"/>
    <n v="7.1428571428571425E-2"/>
    <n v="5.131713992473486E-4"/>
    <n v="18"/>
    <n v="0.42857142857142855"/>
    <n v="3.0790283954840918E-3"/>
    <n v="0"/>
    <n v="0"/>
    <n v="0"/>
    <n v="2"/>
    <n v="4.7619047619047616E-2"/>
    <n v="3.4211426616489907E-4"/>
    <b v="1"/>
    <b v="1"/>
    <b v="0"/>
    <b v="0"/>
    <b v="1"/>
    <b v="0"/>
    <b v="0"/>
    <b v="0"/>
    <b v="0"/>
    <b v="0"/>
    <b v="0"/>
    <b v="0"/>
    <b v="0"/>
  </r>
  <r>
    <s v="ray-project/ray"/>
    <s v="ray-project"/>
    <s v="ray"/>
    <s v="https://github.com/ray-project/ray"/>
    <d v="2016-10-25T19:38:30"/>
    <d v="2021-04-09T02:54:42"/>
    <n v="1626.3029166666674"/>
    <b v="0"/>
    <b v="1"/>
    <n v="15520"/>
    <n v="417"/>
    <n v="2461"/>
    <n v="40"/>
    <n v="76"/>
    <n v="460"/>
    <n v="8582"/>
    <n v="151"/>
    <n v="6351"/>
    <n v="1316"/>
    <x v="4"/>
    <n v="133302"/>
    <n v="1233"/>
    <n v="9.249673673313228E-3"/>
    <n v="316"/>
    <n v="0.25628548256285483"/>
    <n v="2.3705570809140148E-3"/>
    <n v="473"/>
    <n v="0.38361719383617193"/>
    <n v="3.5483338584567374E-3"/>
    <n v="275"/>
    <n v="0.22303325223033252"/>
    <n v="2.0629848014283355E-3"/>
    <n v="94"/>
    <n v="7.6236820762368207E-2"/>
    <n v="7.0516571394277654E-4"/>
    <n v="2"/>
    <n v="1.6220600162206002E-3"/>
    <n v="1.5003525828569714E-5"/>
    <n v="73"/>
    <n v="5.9205190592051905E-2"/>
    <n v="5.4762869274279453E-4"/>
    <b v="1"/>
    <b v="0"/>
    <b v="0"/>
    <b v="0"/>
    <b v="1"/>
    <b v="0"/>
    <b v="0"/>
    <b v="0"/>
    <b v="0"/>
    <b v="0"/>
    <b v="0"/>
    <b v="0"/>
    <b v="0"/>
  </r>
  <r>
    <s v="readthedocs/readthedocs.org"/>
    <s v="readthedocs"/>
    <s v="readthedocs.org"/>
    <s v="https://github.com/readthedocs/readthedocs.org"/>
    <d v="2010-08-16T19:18:06"/>
    <d v="2021-04-09T03:27:01"/>
    <n v="3888.3395254629577"/>
    <b v="0"/>
    <b v="1"/>
    <n v="6402"/>
    <n v="231"/>
    <n v="3116"/>
    <n v="0"/>
    <n v="101"/>
    <n v="402"/>
    <n v="3693"/>
    <n v="57"/>
    <n v="4296"/>
    <n v="267"/>
    <x v="5"/>
    <n v="33467"/>
    <n v="412"/>
    <n v="1.2310634356231512E-2"/>
    <n v="65"/>
    <n v="0.15776699029126215"/>
    <n v="1.942211730958855E-3"/>
    <n v="188"/>
    <n v="0.4563106796116505"/>
    <n v="5.6174739295425345E-3"/>
    <n v="74"/>
    <n v="0.1796116504854369"/>
    <n v="2.2111333552454655E-3"/>
    <n v="28"/>
    <n v="6.7961165048543687E-2"/>
    <n v="8.366450533361222E-4"/>
    <n v="0"/>
    <n v="0"/>
    <n v="0"/>
    <n v="57"/>
    <n v="0.13834951456310679"/>
    <n v="1.7031702871485343E-3"/>
    <b v="1"/>
    <b v="0"/>
    <b v="0"/>
    <b v="0"/>
    <b v="1"/>
    <b v="0"/>
    <b v="0"/>
    <b v="0"/>
    <b v="0"/>
    <b v="0"/>
    <b v="0"/>
    <b v="0"/>
    <b v="0"/>
  </r>
  <r>
    <s v="realgam3/pymultitor"/>
    <s v="realgam3"/>
    <s v="pymultitor"/>
    <s v="https://github.com/realgam3/pymultitor"/>
    <d v="2013-09-28T15:55:49"/>
    <d v="2021-03-30T15:39:56"/>
    <n v="2739.9889699074047"/>
    <b v="0"/>
    <b v="0"/>
    <n v="462"/>
    <n v="32"/>
    <n v="96"/>
    <n v="2"/>
    <n v="0"/>
    <n v="4"/>
    <n v="10"/>
    <n v="2"/>
    <n v="20"/>
    <n v="4"/>
    <x v="0"/>
    <n v="424"/>
    <n v="22"/>
    <n v="5.1886792452830191E-2"/>
    <n v="13"/>
    <n v="0.59090909090909094"/>
    <n v="3.0660377358490566E-2"/>
    <n v="4"/>
    <n v="0.18181818181818182"/>
    <n v="9.433962264150943E-3"/>
    <n v="1"/>
    <n v="4.5454545454545456E-2"/>
    <n v="2.3584905660377358E-3"/>
    <n v="4"/>
    <n v="0.18181818181818182"/>
    <n v="9.43396226415094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reddit/baseplate.py"/>
    <s v="reddit"/>
    <s v="baseplate.py"/>
    <s v="https://github.com/reddit/baseplate.py"/>
    <d v="2015-10-21T18:07:55"/>
    <d v="2021-04-07T01:11:37"/>
    <n v="1994.2942361111127"/>
    <b v="0"/>
    <b v="1"/>
    <n v="418"/>
    <n v="87"/>
    <n v="114"/>
    <n v="67"/>
    <n v="25"/>
    <n v="41"/>
    <n v="435"/>
    <n v="9"/>
    <n v="148"/>
    <n v="32"/>
    <x v="7"/>
    <n v="11988"/>
    <n v="111"/>
    <n v="9.2592592592592587E-3"/>
    <n v="39"/>
    <n v="0.35135135135135137"/>
    <n v="3.2532532532532532E-3"/>
    <n v="29"/>
    <n v="0.26126126126126126"/>
    <n v="2.4190857524190859E-3"/>
    <n v="19"/>
    <n v="0.17117117117117117"/>
    <n v="1.5849182515849183E-3"/>
    <n v="7"/>
    <n v="6.3063063063063057E-2"/>
    <n v="5.8391725058391721E-4"/>
    <n v="0"/>
    <n v="0"/>
    <n v="0"/>
    <n v="17"/>
    <n v="0.15315315315315314"/>
    <n v="1.4180847514180847E-3"/>
    <b v="1"/>
    <b v="1"/>
    <b v="0"/>
    <b v="0"/>
    <b v="1"/>
    <b v="0"/>
    <b v="0"/>
    <b v="0"/>
    <b v="0"/>
    <b v="0"/>
    <b v="0"/>
    <b v="0"/>
    <b v="0"/>
  </r>
  <r>
    <s v="ReFirmLabs/binwalk"/>
    <s v="ReFirmLabs"/>
    <s v="binwalk"/>
    <s v="https://github.com/ReFirmLabs/binwalk"/>
    <d v="2013-11-15T20:45:40"/>
    <d v="2021-04-08T21:28:57"/>
    <n v="2701.0300578703682"/>
    <b v="0"/>
    <b v="1"/>
    <n v="7225"/>
    <n v="363"/>
    <n v="1069"/>
    <n v="7"/>
    <n v="7"/>
    <n v="70"/>
    <n v="192"/>
    <n v="17"/>
    <n v="342"/>
    <n v="76"/>
    <x v="5"/>
    <n v="4418"/>
    <n v="42"/>
    <n v="9.5065640561339971E-3"/>
    <n v="23"/>
    <n v="0.54761904761904767"/>
    <n v="5.2059755545495702E-3"/>
    <n v="0"/>
    <n v="0"/>
    <n v="0"/>
    <n v="14"/>
    <n v="0.33333333333333331"/>
    <n v="3.1688546853779992E-3"/>
    <n v="5"/>
    <n v="0.11904761904761904"/>
    <n v="1.131733816206428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reviewboard/reviewboard"/>
    <s v="reviewboard"/>
    <s v="reviewboard"/>
    <s v="https://github.com/reviewboard/reviewboard"/>
    <d v="2009-08-22T21:39:49"/>
    <d v="2021-04-08T08:43:20"/>
    <n v="4246.4607754629615"/>
    <b v="0"/>
    <b v="1"/>
    <n v="1340"/>
    <n v="103"/>
    <n v="376"/>
    <n v="0"/>
    <n v="21"/>
    <n v="205"/>
    <n v="45"/>
    <n v="1"/>
    <n v="0"/>
    <n v="0"/>
    <x v="5"/>
    <n v="83913"/>
    <n v="382"/>
    <n v="4.5523339649398784E-3"/>
    <n v="44"/>
    <n v="0.11518324607329843"/>
    <n v="5.2435260329150427E-4"/>
    <n v="7"/>
    <n v="1.832460732984293E-2"/>
    <n v="8.3419732341830227E-5"/>
    <n v="85"/>
    <n v="0.22251308900523561"/>
    <n v="1.0129538927222243E-3"/>
    <n v="162"/>
    <n v="0.42408376963350786"/>
    <n v="1.9305709484823568E-3"/>
    <n v="6"/>
    <n v="1.5706806282722512E-2"/>
    <n v="7.150262772156877E-5"/>
    <n v="78"/>
    <n v="0.20418848167539266"/>
    <n v="9.2953416038039395E-4"/>
    <b v="1"/>
    <b v="0"/>
    <b v="0"/>
    <b v="0"/>
    <b v="1"/>
    <b v="0"/>
    <b v="0"/>
    <b v="0"/>
    <b v="0"/>
    <b v="0"/>
    <b v="0"/>
    <b v="0"/>
    <b v="0"/>
  </r>
  <r>
    <s v="RhinoSecurityLabs/pacu"/>
    <s v="RhinoSecurityLabs"/>
    <s v="pacu"/>
    <s v="https://github.com/RhinoSecurityLabs/pacu"/>
    <d v="2018-06-13T21:58:59"/>
    <d v="2021-04-08T12:45:06"/>
    <n v="1029.6153587962981"/>
    <b v="0"/>
    <b v="1"/>
    <n v="1968"/>
    <n v="95"/>
    <n v="335"/>
    <n v="0"/>
    <n v="0"/>
    <n v="23"/>
    <n v="176"/>
    <n v="8"/>
    <n v="65"/>
    <n v="22"/>
    <x v="2"/>
    <n v="9853"/>
    <n v="4"/>
    <n v="4.0596772556581752E-4"/>
    <n v="2"/>
    <n v="0.5"/>
    <n v="2.0298386278290876E-4"/>
    <n v="2"/>
    <n v="0.5"/>
    <n v="2.0298386278290876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rhinstaller/anaconda"/>
    <s v="rhinstaller"/>
    <s v="anaconda"/>
    <s v="https://github.com/rhinstaller/anaconda"/>
    <d v="2015-02-02T21:56:45"/>
    <d v="2021-04-08T13:14:05"/>
    <n v="2256.637037037035"/>
    <b v="0"/>
    <b v="1"/>
    <n v="337"/>
    <n v="48"/>
    <n v="229"/>
    <n v="0"/>
    <n v="65"/>
    <n v="147"/>
    <n v="3162"/>
    <n v="40"/>
    <n v="0"/>
    <n v="0"/>
    <x v="3"/>
    <n v="73299"/>
    <n v="1443"/>
    <n v="1.9686489583759671E-2"/>
    <n v="817"/>
    <n v="0.56618156618156623"/>
    <n v="1.1146127505150139E-2"/>
    <n v="258"/>
    <n v="0.1787941787941788"/>
    <n v="3.5198297384684647E-3"/>
    <n v="143"/>
    <n v="9.90990990990991E-2"/>
    <n v="1.9509133821743816E-3"/>
    <n v="206"/>
    <n v="0.14275814275814275"/>
    <n v="2.8104066904050531E-3"/>
    <n v="5"/>
    <n v="3.4650034650034649E-3"/>
    <n v="6.8213754621481871E-5"/>
    <n v="14"/>
    <n v="9.7020097020097014E-3"/>
    <n v="1.9099851294014926E-4"/>
    <b v="1"/>
    <b v="0"/>
    <b v="0"/>
    <b v="0"/>
    <b v="1"/>
    <b v="0"/>
    <b v="0"/>
    <b v="0"/>
    <b v="0"/>
    <b v="0"/>
    <b v="0"/>
    <b v="0"/>
    <b v="0"/>
  </r>
  <r>
    <s v="Rhizome-Conifer/conifer"/>
    <s v="Rhizome-Conifer"/>
    <s v="conifer"/>
    <s v="https://github.com/Rhizome-Conifer/conifer"/>
    <d v="2015-05-13T19:27:29"/>
    <d v="2021-04-04T09:34:31"/>
    <n v="2152.5882175925944"/>
    <b v="0"/>
    <b v="1"/>
    <n v="1266"/>
    <n v="55"/>
    <n v="101"/>
    <n v="0"/>
    <n v="0"/>
    <n v="16"/>
    <n v="440"/>
    <n v="5"/>
    <n v="379"/>
    <n v="110"/>
    <x v="4"/>
    <n v="16073"/>
    <n v="92"/>
    <n v="5.7238847757108196E-3"/>
    <n v="57"/>
    <n v="0.61956521739130432"/>
    <n v="3.5463199153860513E-3"/>
    <n v="23"/>
    <n v="0.25"/>
    <n v="1.4309711939277049E-3"/>
    <n v="1"/>
    <n v="1.0869565217391304E-2"/>
    <n v="6.2216138866421944E-5"/>
    <n v="11"/>
    <n v="0.11956521739130435"/>
    <n v="6.8437752753064147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Rhynorater/CVE-2018-15473-Exploit"/>
    <s v="Rhynorater"/>
    <s v="CVE-2018-15473-Exploit"/>
    <s v="https://github.com/Rhynorater/CVE-2018-15473-Exploit"/>
    <d v="2018-08-21T00:09:56"/>
    <d v="2021-04-07T16:29:08"/>
    <n v="960.68000000000029"/>
    <b v="0"/>
    <b v="0"/>
    <n v="436"/>
    <n v="21"/>
    <n v="132"/>
    <n v="0"/>
    <n v="0"/>
    <n v="5"/>
    <n v="15"/>
    <n v="9"/>
    <n v="9"/>
    <n v="5"/>
    <x v="1"/>
    <n v="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richardaecn/class-balanced-loss"/>
    <s v="richardaecn"/>
    <s v="class-balanced-loss"/>
    <s v="https://github.com/richardaecn/class-balanced-loss"/>
    <d v="2018-12-17T19:58:12"/>
    <d v="2021-04-05T08:41:33"/>
    <n v="839.53010416666802"/>
    <b v="0"/>
    <b v="0"/>
    <n v="437"/>
    <n v="20"/>
    <n v="52"/>
    <n v="0"/>
    <n v="0"/>
    <n v="0"/>
    <n v="0"/>
    <n v="0"/>
    <n v="18"/>
    <n v="13"/>
    <x v="5"/>
    <n v="12434"/>
    <n v="310"/>
    <n v="2.4931639054206207E-2"/>
    <n v="3"/>
    <n v="9.6774193548387101E-3"/>
    <n v="2.4127392633102783E-4"/>
    <n v="293"/>
    <n v="0.94516129032258067"/>
    <n v="2.3564420138330384E-2"/>
    <n v="5"/>
    <n v="1.6129032258064516E-2"/>
    <n v="4.0212321055171305E-4"/>
    <n v="8"/>
    <n v="2.5806451612903226E-2"/>
    <n v="6.4339713688274091E-4"/>
    <n v="0"/>
    <n v="0"/>
    <n v="0"/>
    <n v="1"/>
    <n v="3.2258064516129032E-3"/>
    <n v="8.0424642110342613E-5"/>
    <b v="1"/>
    <b v="0"/>
    <b v="0"/>
    <b v="0"/>
    <b v="1"/>
    <b v="0"/>
    <b v="0"/>
    <b v="0"/>
    <b v="0"/>
    <b v="0"/>
    <b v="0"/>
    <b v="0"/>
    <b v="0"/>
  </r>
  <r>
    <s v="rigetti/pyquil"/>
    <s v="rigetti"/>
    <s v="pyquil"/>
    <s v="https://github.com/rigetti/pyquil"/>
    <d v="2017-01-09T21:30:22"/>
    <d v="2021-04-08T08:17:56"/>
    <n v="1549.4496990740809"/>
    <b v="0"/>
    <b v="1"/>
    <n v="1155"/>
    <n v="87"/>
    <n v="296"/>
    <n v="55"/>
    <n v="6"/>
    <n v="81"/>
    <n v="766"/>
    <n v="9"/>
    <n v="549"/>
    <n v="123"/>
    <x v="4"/>
    <n v="15825"/>
    <n v="77"/>
    <n v="4.8657187993680889E-3"/>
    <n v="9"/>
    <n v="0.11688311688311688"/>
    <n v="5.6872037914691947E-4"/>
    <n v="2"/>
    <n v="2.5974025974025976E-2"/>
    <n v="1.2638230647709321E-4"/>
    <n v="65"/>
    <n v="0.8441558441558441"/>
    <n v="4.1074249605055294E-3"/>
    <n v="0"/>
    <n v="0"/>
    <n v="0"/>
    <n v="0"/>
    <n v="0"/>
    <n v="0"/>
    <n v="1"/>
    <n v="1.2987012987012988E-2"/>
    <n v="6.3191153238546606E-5"/>
    <b v="1"/>
    <b v="0"/>
    <b v="0"/>
    <b v="0"/>
    <b v="1"/>
    <b v="0"/>
    <b v="0"/>
    <b v="0"/>
    <b v="0"/>
    <b v="0"/>
    <b v="0"/>
    <b v="0"/>
    <b v="0"/>
  </r>
  <r>
    <s v="RiotGames/cloud-inquisitor"/>
    <s v="RiotGames"/>
    <s v="cloud-inquisitor"/>
    <s v="https://github.com/RiotGames/cloud-inquisitor"/>
    <d v="2017-11-17T21:00:20"/>
    <d v="2021-03-16T19:09:51"/>
    <n v="1214.9232754629629"/>
    <b v="0"/>
    <b v="1"/>
    <n v="439"/>
    <n v="42"/>
    <n v="37"/>
    <n v="3"/>
    <n v="0"/>
    <n v="13"/>
    <n v="197"/>
    <n v="2"/>
    <n v="94"/>
    <n v="29"/>
    <x v="4"/>
    <n v="8894"/>
    <n v="265"/>
    <n v="2.9795367663593433E-2"/>
    <n v="86"/>
    <n v="0.32452830188679244"/>
    <n v="9.6694400719586245E-3"/>
    <n v="82"/>
    <n v="0.30943396226415093"/>
    <n v="9.2196986732628744E-3"/>
    <n v="20"/>
    <n v="7.5471698113207544E-2"/>
    <n v="2.2487069934787498E-3"/>
    <n v="27"/>
    <n v="0.10188679245283019"/>
    <n v="3.035754441196312E-3"/>
    <n v="0"/>
    <n v="0"/>
    <n v="0"/>
    <n v="50"/>
    <n v="0.18867924528301888"/>
    <n v="5.621767483696874E-3"/>
    <b v="0"/>
    <b v="1"/>
    <b v="0"/>
    <b v="0"/>
    <b v="1"/>
    <b v="0"/>
    <b v="0"/>
    <b v="0"/>
    <b v="0"/>
    <b v="0"/>
    <b v="0"/>
    <b v="0"/>
    <b v="0"/>
  </r>
  <r>
    <s v="rll/rllab"/>
    <s v="rll"/>
    <s v="rllab"/>
    <s v="https://github.com/rll/rllab"/>
    <d v="2016-04-21T17:21:22"/>
    <d v="2021-04-08T07:39:27"/>
    <n v="1812.5958912037022"/>
    <b v="0"/>
    <b v="1"/>
    <n v="2561"/>
    <n v="183"/>
    <n v="683"/>
    <n v="0"/>
    <n v="15"/>
    <n v="27"/>
    <n v="74"/>
    <n v="15"/>
    <n v="181"/>
    <n v="101"/>
    <x v="7"/>
    <n v="26486"/>
    <n v="3"/>
    <n v="1.1326738654383448E-4"/>
    <n v="0"/>
    <n v="0"/>
    <n v="0"/>
    <n v="1"/>
    <n v="0.33333333333333331"/>
    <n v="3.7755795514611494E-5"/>
    <n v="1"/>
    <n v="0.33333333333333331"/>
    <n v="3.7755795514611494E-5"/>
    <n v="1"/>
    <n v="0.33333333333333331"/>
    <n v="3.7755795514611494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rmax/scrapy-redis"/>
    <s v="rmax"/>
    <s v="scrapy-redis"/>
    <s v="https://github.com/rmax/scrapy-redis"/>
    <d v="2011-08-29T04:06:23"/>
    <d v="2021-04-09T02:45:28"/>
    <n v="3510.9438078703679"/>
    <b v="0"/>
    <b v="0"/>
    <n v="4841"/>
    <n v="295"/>
    <n v="1451"/>
    <n v="2"/>
    <n v="9"/>
    <n v="20"/>
    <n v="45"/>
    <n v="3"/>
    <n v="146"/>
    <n v="59"/>
    <x v="5"/>
    <n v="1100"/>
    <n v="12"/>
    <n v="1.090909090909091E-2"/>
    <n v="5"/>
    <n v="0.41666666666666669"/>
    <n v="4.5454545454545452E-3"/>
    <n v="4"/>
    <n v="0.33333333333333331"/>
    <n v="3.6363636363636364E-3"/>
    <n v="0"/>
    <n v="0"/>
    <n v="0"/>
    <n v="0"/>
    <n v="0"/>
    <n v="0"/>
    <n v="0"/>
    <n v="0"/>
    <n v="0"/>
    <n v="3"/>
    <n v="0.25"/>
    <n v="2.7272727272727275E-3"/>
    <b v="1"/>
    <b v="1"/>
    <b v="0"/>
    <b v="0"/>
    <b v="1"/>
    <b v="0"/>
    <b v="0"/>
    <b v="0"/>
    <b v="0"/>
    <b v="0"/>
    <b v="0"/>
    <b v="0"/>
    <b v="0"/>
  </r>
  <r>
    <s v="rmountjoy92/DashMachine"/>
    <s v="rmountjoy92"/>
    <s v="DashMachine"/>
    <s v="https://github.com/rmountjoy92/DashMachine"/>
    <d v="2020-02-24T01:38:54"/>
    <d v="2021-04-09T02:48:34"/>
    <n v="410.04837962963211"/>
    <b v="0"/>
    <b v="0"/>
    <n v="785"/>
    <n v="20"/>
    <n v="82"/>
    <n v="1"/>
    <n v="0"/>
    <n v="16"/>
    <n v="76"/>
    <n v="18"/>
    <n v="137"/>
    <n v="49"/>
    <x v="0"/>
    <n v="1987"/>
    <n v="1"/>
    <n v="5.0327126321087065E-4"/>
    <n v="0"/>
    <n v="0"/>
    <n v="0"/>
    <n v="1"/>
    <n v="1"/>
    <n v="5.0327126321087065E-4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robinhood/faust"/>
    <s v="robinhood"/>
    <s v="faust"/>
    <s v="https://github.com/robinhood/faust"/>
    <d v="2017-03-08T18:36:11"/>
    <d v="2021-04-09T02:50:05"/>
    <n v="1492.3429861111072"/>
    <b v="0"/>
    <b v="1"/>
    <n v="5450"/>
    <n v="138"/>
    <n v="443"/>
    <n v="3"/>
    <n v="7"/>
    <n v="79"/>
    <n v="276"/>
    <n v="37"/>
    <n v="423"/>
    <n v="200"/>
    <x v="7"/>
    <n v="35615"/>
    <n v="133"/>
    <n v="3.7343815807946092E-3"/>
    <n v="8"/>
    <n v="6.0150375939849621E-2"/>
    <n v="2.2462445598764566E-4"/>
    <n v="72"/>
    <n v="0.54135338345864659"/>
    <n v="2.0216201038888108E-3"/>
    <n v="24"/>
    <n v="0.18045112781954886"/>
    <n v="6.7387336796293699E-4"/>
    <n v="14"/>
    <n v="0.10526315789473684"/>
    <n v="3.9309279797837988E-4"/>
    <n v="2"/>
    <n v="1.5037593984962405E-2"/>
    <n v="5.6156113996911414E-5"/>
    <n v="13"/>
    <n v="9.7744360902255634E-2"/>
    <n v="3.6501474097992421E-4"/>
    <b v="1"/>
    <b v="0"/>
    <b v="0"/>
    <b v="0"/>
    <b v="1"/>
    <b v="0"/>
    <b v="0"/>
    <b v="0"/>
    <b v="0"/>
    <b v="0"/>
    <b v="0"/>
    <b v="0"/>
    <b v="0"/>
  </r>
  <r>
    <s v="rochacbruno/dynaconf"/>
    <s v="rochacbruno"/>
    <s v="dynaconf"/>
    <s v="https://github.com/rochacbruno/dynaconf"/>
    <d v="2015-08-14T21:25:22"/>
    <d v="2021-04-08T17:19:09"/>
    <n v="2063.829016203701"/>
    <b v="0"/>
    <b v="0"/>
    <n v="1504"/>
    <n v="32"/>
    <n v="157"/>
    <n v="52"/>
    <n v="5"/>
    <n v="59"/>
    <n v="299"/>
    <n v="4"/>
    <n v="260"/>
    <n v="46"/>
    <x v="5"/>
    <n v="38571"/>
    <n v="28"/>
    <n v="7.259339918591688E-4"/>
    <n v="0"/>
    <n v="0"/>
    <n v="0"/>
    <n v="1"/>
    <n v="3.5714285714285712E-2"/>
    <n v="2.5926213994970316E-5"/>
    <n v="27"/>
    <n v="0.9642857142857143"/>
    <n v="7.000077778641985E-4"/>
    <n v="0"/>
    <n v="0"/>
    <n v="0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RocketMap/RocketMap"/>
    <s v="RocketMap"/>
    <s v="RocketMap"/>
    <s v="https://github.com/RocketMap/RocketMap"/>
    <d v="2016-08-04T22:18:49"/>
    <d v="2021-04-05T23:30:48"/>
    <n v="1705.0499884259189"/>
    <b v="0"/>
    <b v="1"/>
    <n v="2797"/>
    <n v="282"/>
    <n v="1523"/>
    <n v="4"/>
    <n v="356"/>
    <n v="348"/>
    <n v="1351"/>
    <n v="37"/>
    <n v="1202"/>
    <n v="31"/>
    <x v="11"/>
    <n v="6104"/>
    <n v="409"/>
    <n v="6.7005242463958059E-2"/>
    <n v="135"/>
    <n v="0.33007334963325186"/>
    <n v="2.2116644823066842E-2"/>
    <n v="149"/>
    <n v="0.36430317848410759"/>
    <n v="2.4410222804718218E-2"/>
    <n v="52"/>
    <n v="0.12713936430317849"/>
    <n v="8.5190039318479693E-3"/>
    <n v="30"/>
    <n v="7.3349633251833746E-2"/>
    <n v="4.9148099606815205E-3"/>
    <n v="15"/>
    <n v="3.6674816625916873E-2"/>
    <n v="2.4574049803407602E-3"/>
    <n v="28"/>
    <n v="6.8459657701711488E-2"/>
    <n v="4.5871559633027525E-3"/>
    <b v="1"/>
    <b v="0"/>
    <b v="0"/>
    <b v="0"/>
    <b v="1"/>
    <b v="0"/>
    <b v="0"/>
    <b v="0"/>
    <b v="0"/>
    <b v="0"/>
    <b v="0"/>
    <b v="0"/>
    <b v="0"/>
  </r>
  <r>
    <s v="ronghanghu/seg_every_thing"/>
    <s v="ronghanghu"/>
    <s v="seg_every_thing"/>
    <s v="https://github.com/ronghanghu/seg_every_thing"/>
    <d v="2018-04-27T22:49:11"/>
    <d v="2021-04-02T02:08:37"/>
    <n v="1070.1384953703673"/>
    <b v="0"/>
    <b v="0"/>
    <n v="404"/>
    <n v="22"/>
    <n v="72"/>
    <n v="0"/>
    <n v="0"/>
    <n v="9"/>
    <n v="0"/>
    <n v="0"/>
    <n v="12"/>
    <n v="10"/>
    <x v="4"/>
    <n v="9312"/>
    <n v="166"/>
    <n v="1.7826460481099655E-2"/>
    <n v="26"/>
    <n v="0.15662650602409639"/>
    <n v="2.7920962199312715E-3"/>
    <n v="118"/>
    <n v="0.71084337349397586"/>
    <n v="1.2671821305841924E-2"/>
    <n v="19"/>
    <n v="0.1144578313253012"/>
    <n v="2.0403780068728524E-3"/>
    <n v="2"/>
    <n v="1.2048192771084338E-2"/>
    <n v="2.1477663230240549E-4"/>
    <n v="1"/>
    <n v="6.024096385542169E-3"/>
    <n v="1.0738831615120275E-4"/>
    <n v="0"/>
    <n v="0"/>
    <n v="0"/>
    <b v="1"/>
    <b v="0"/>
    <b v="0"/>
    <b v="0"/>
    <b v="1"/>
    <b v="0"/>
    <b v="0"/>
    <b v="0"/>
    <b v="0"/>
    <b v="0"/>
    <b v="0"/>
    <b v="0"/>
    <b v="0"/>
  </r>
  <r>
    <s v="ronreiter/interactive-tutorials"/>
    <s v="ronreiter"/>
    <s v="interactive-tutorials"/>
    <s v="https://github.com/ronreiter/interactive-tutorials"/>
    <d v="2013-11-03T04:41:29"/>
    <d v="2021-04-08T20:57:39"/>
    <n v="2713.6778935185139"/>
    <b v="0"/>
    <b v="0"/>
    <n v="2119"/>
    <n v="128"/>
    <n v="1698"/>
    <n v="0"/>
    <n v="7"/>
    <n v="261"/>
    <n v="481"/>
    <n v="9"/>
    <n v="98"/>
    <n v="31"/>
    <x v="4"/>
    <n v="9984"/>
    <n v="101"/>
    <n v="1.0116185897435898E-2"/>
    <n v="78"/>
    <n v="0.7722772277227723"/>
    <n v="7.8125E-3"/>
    <n v="3"/>
    <n v="2.9702970297029702E-2"/>
    <n v="3.0048076923076925E-4"/>
    <n v="5"/>
    <n v="4.9504950495049507E-2"/>
    <n v="5.0080128205128201E-4"/>
    <n v="11"/>
    <n v="0.10891089108910891"/>
    <n v="1.1017628205128205E-3"/>
    <n v="0"/>
    <n v="0"/>
    <n v="0"/>
    <n v="4"/>
    <n v="3.9603960396039604E-2"/>
    <n v="4.0064102564102563E-4"/>
    <b v="1"/>
    <b v="1"/>
    <b v="0"/>
    <b v="0"/>
    <b v="1"/>
    <b v="0"/>
    <b v="0"/>
    <b v="0"/>
    <b v="0"/>
    <b v="0"/>
    <b v="0"/>
    <b v="0"/>
    <b v="0"/>
  </r>
  <r>
    <s v="ropnop/impacket_static_binaries"/>
    <s v="ropnop"/>
    <s v="impacket_static_binaries"/>
    <s v="https://github.com/ropnop/impacket_static_binaries"/>
    <d v="2019-01-09T03:00:33"/>
    <d v="2021-03-29T06:59:09"/>
    <n v="810.16569444444031"/>
    <b v="0"/>
    <b v="0"/>
    <n v="402"/>
    <n v="13"/>
    <n v="61"/>
    <n v="7"/>
    <n v="0"/>
    <n v="54"/>
    <n v="3"/>
    <n v="2"/>
    <n v="8"/>
    <n v="5"/>
    <x v="7"/>
    <n v="87670"/>
    <n v="1205"/>
    <n v="1.3744724535188777E-2"/>
    <n v="381"/>
    <n v="0.31618257261410787"/>
    <n v="4.3458423634082357E-3"/>
    <n v="340"/>
    <n v="0.28215767634854771"/>
    <n v="3.8781795368997376E-3"/>
    <n v="21"/>
    <n v="1.7427385892116183E-2"/>
    <n v="2.3953461845557203E-4"/>
    <n v="364"/>
    <n v="0.30207468879668048"/>
    <n v="4.1519333865632484E-3"/>
    <n v="99"/>
    <n v="8.2157676348547717E-2"/>
    <n v="1.1292346298619825E-3"/>
    <n v="0"/>
    <n v="0"/>
    <n v="0"/>
    <b v="1"/>
    <b v="0"/>
    <b v="0"/>
    <b v="0"/>
    <b v="1"/>
    <b v="0"/>
    <b v="0"/>
    <b v="0"/>
    <b v="0"/>
    <b v="0"/>
    <b v="0"/>
    <b v="0"/>
    <b v="0"/>
  </r>
  <r>
    <s v="rotki/rotki"/>
    <s v="rotki"/>
    <s v="rotki"/>
    <s v="https://github.com/rotki/rotki"/>
    <d v="2018-03-05T11:26:09"/>
    <d v="2021-04-08T22:31:15"/>
    <n v="1130.4618750000009"/>
    <b v="0"/>
    <b v="1"/>
    <n v="721"/>
    <n v="36"/>
    <n v="157"/>
    <n v="55"/>
    <n v="5"/>
    <n v="55"/>
    <n v="1366"/>
    <n v="11"/>
    <n v="1333"/>
    <n v="348"/>
    <x v="11"/>
    <n v="45717"/>
    <n v="535"/>
    <n v="1.1702430168208763E-2"/>
    <n v="199"/>
    <n v="0.37196261682242993"/>
    <n v="4.3528665485486799E-3"/>
    <n v="41"/>
    <n v="7.6635514018691592E-2"/>
    <n v="8.9682175120852205E-4"/>
    <n v="76"/>
    <n v="0.14205607476635515"/>
    <n v="1.6624012949231139E-3"/>
    <n v="204"/>
    <n v="0.38130841121495329"/>
    <n v="4.4622350547936221E-3"/>
    <n v="15"/>
    <n v="2.8037383177570093E-2"/>
    <n v="3.2810551873482514E-4"/>
    <n v="0"/>
    <n v="0"/>
    <n v="0"/>
    <b v="1"/>
    <b v="0"/>
    <b v="0"/>
    <b v="0"/>
    <b v="1"/>
    <b v="0"/>
    <b v="0"/>
    <b v="0"/>
    <b v="0"/>
    <b v="0"/>
    <b v="0"/>
    <b v="0"/>
    <b v="0"/>
  </r>
  <r>
    <s v="rq/rq"/>
    <s v="rq"/>
    <s v="rq"/>
    <s v="https://github.com/rq/rq"/>
    <d v="2011-11-14T10:53:48"/>
    <d v="2021-04-09T01:10:57"/>
    <n v="3433.5952430555553"/>
    <b v="0"/>
    <b v="1"/>
    <n v="7624"/>
    <n v="215"/>
    <n v="1197"/>
    <n v="14"/>
    <n v="66"/>
    <n v="202"/>
    <n v="603"/>
    <n v="11"/>
    <n v="830"/>
    <n v="138"/>
    <x v="7"/>
    <n v="7464"/>
    <n v="60"/>
    <n v="8.0385852090032149E-3"/>
    <n v="15"/>
    <n v="0.25"/>
    <n v="2.0096463022508037E-3"/>
    <n v="30"/>
    <n v="0.5"/>
    <n v="4.0192926045016075E-3"/>
    <n v="11"/>
    <n v="0.18333333333333332"/>
    <n v="1.4737406216505896E-3"/>
    <n v="4"/>
    <n v="6.6666666666666666E-2"/>
    <n v="5.359056806002143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rsms/inter"/>
    <s v="rsms"/>
    <s v="inter"/>
    <s v="https://github.com/rsms/inter"/>
    <d v="2017-08-22T07:14:17"/>
    <d v="2021-04-09T03:34:24"/>
    <n v="1325.8473032407346"/>
    <b v="0"/>
    <b v="0"/>
    <n v="12332"/>
    <n v="166"/>
    <n v="273"/>
    <n v="50"/>
    <n v="26"/>
    <n v="11"/>
    <n v="48"/>
    <n v="0"/>
    <n v="315"/>
    <n v="54"/>
    <x v="7"/>
    <n v="6425"/>
    <n v="16"/>
    <n v="2.4902723735408562E-3"/>
    <n v="5"/>
    <n v="0.3125"/>
    <n v="7.7821011673151756E-4"/>
    <n v="6"/>
    <n v="0.375"/>
    <n v="9.3385214007782097E-4"/>
    <n v="0"/>
    <n v="0"/>
    <n v="0"/>
    <n v="5"/>
    <n v="0.3125"/>
    <n v="7.782101167315175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rsmusllp/king-phisher"/>
    <s v="rsmusllp"/>
    <s v="king-phisher"/>
    <s v="https://github.com/rsmusllp/king-phisher"/>
    <d v="2014-01-02T20:00:55"/>
    <d v="2021-04-09T02:58:31"/>
    <n v="2653.2900000000009"/>
    <b v="0"/>
    <b v="1"/>
    <n v="1379"/>
    <n v="127"/>
    <n v="382"/>
    <n v="29"/>
    <n v="4"/>
    <n v="16"/>
    <n v="113"/>
    <n v="5"/>
    <n v="344"/>
    <n v="7"/>
    <x v="2"/>
    <n v="20180"/>
    <n v="506"/>
    <n v="2.5074331020812687E-2"/>
    <n v="145"/>
    <n v="0.2865612648221344"/>
    <n v="7.1853320118929632E-3"/>
    <n v="99"/>
    <n v="0.19565217391304349"/>
    <n v="4.9058473736372649E-3"/>
    <n v="177"/>
    <n v="0.34980237154150196"/>
    <n v="8.7710604558969285E-3"/>
    <n v="68"/>
    <n v="0.13438735177865613"/>
    <n v="3.3696729435084244E-3"/>
    <n v="16"/>
    <n v="3.1620553359683792E-2"/>
    <n v="7.9286422200198212E-4"/>
    <n v="1"/>
    <n v="1.976284584980237E-3"/>
    <n v="4.9554013875123883E-5"/>
    <b v="1"/>
    <b v="0"/>
    <b v="0"/>
    <b v="0"/>
    <b v="1"/>
    <b v="0"/>
    <b v="0"/>
    <b v="0"/>
    <b v="0"/>
    <b v="0"/>
    <b v="0"/>
    <b v="0"/>
    <b v="0"/>
  </r>
  <r>
    <s v="ruddra/docker-django"/>
    <s v="ruddra"/>
    <s v="docker-django"/>
    <s v="https://github.com/ruddra/docker-django"/>
    <d v="2016-08-14T09:45:37"/>
    <d v="2021-04-04T17:56:41"/>
    <n v="1694.3410185185203"/>
    <b v="0"/>
    <b v="0"/>
    <n v="384"/>
    <n v="19"/>
    <n v="110"/>
    <n v="0"/>
    <n v="0"/>
    <n v="3"/>
    <n v="16"/>
    <n v="0"/>
    <n v="14"/>
    <n v="0"/>
    <x v="5"/>
    <n v="122"/>
    <n v="3"/>
    <n v="2.4590163934426229E-2"/>
    <n v="0"/>
    <n v="0"/>
    <n v="0"/>
    <n v="3"/>
    <n v="1"/>
    <n v="2.4590163934426229E-2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rushter/MLAlgorithms"/>
    <s v="rushter"/>
    <s v="MLAlgorithms"/>
    <s v="https://github.com/rushter/MLAlgorithms"/>
    <d v="2016-10-05T06:46:45"/>
    <d v="2021-04-08T07:21:34"/>
    <n v="1646.0241782407393"/>
    <b v="0"/>
    <b v="0"/>
    <n v="8439"/>
    <n v="428"/>
    <n v="1410"/>
    <n v="0"/>
    <n v="0"/>
    <n v="24"/>
    <n v="58"/>
    <n v="0"/>
    <n v="22"/>
    <n v="6"/>
    <x v="5"/>
    <n v="2970"/>
    <n v="15"/>
    <n v="5.0505050505050509E-3"/>
    <n v="3"/>
    <n v="0.2"/>
    <n v="1.0101010101010101E-3"/>
    <n v="12"/>
    <n v="0.8"/>
    <n v="4.0404040404040404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rusty1s/pytorch_geometric"/>
    <s v="rusty1s"/>
    <s v="pytorch_geometric"/>
    <s v="https://github.com/rusty1s/pytorch_geometric"/>
    <d v="2017-10-06T16:03:03"/>
    <d v="2021-04-09T01:33:38"/>
    <n v="1280.3962384259285"/>
    <b v="0"/>
    <b v="0"/>
    <n v="10660"/>
    <n v="236"/>
    <n v="1784"/>
    <n v="23"/>
    <n v="22"/>
    <n v="136"/>
    <n v="318"/>
    <n v="19"/>
    <n v="1913"/>
    <n v="739"/>
    <x v="5"/>
    <n v="24605"/>
    <n v="10"/>
    <n v="4.06421459053038E-4"/>
    <n v="3"/>
    <n v="0.3"/>
    <n v="1.2192643771591141E-4"/>
    <n v="0"/>
    <n v="0"/>
    <n v="0"/>
    <n v="7"/>
    <n v="0.7"/>
    <n v="2.8449502133712662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Rydgel/Fake-images-please"/>
    <s v="Rydgel"/>
    <s v="Fake-images-please"/>
    <s v="https://github.com/Rydgel/Fake-images-please"/>
    <d v="2012-05-29T21:19:08"/>
    <d v="2021-04-05T09:42:37"/>
    <n v="3232.5163078703699"/>
    <b v="0"/>
    <b v="0"/>
    <n v="689"/>
    <n v="28"/>
    <n v="64"/>
    <n v="0"/>
    <n v="0"/>
    <n v="6"/>
    <n v="9"/>
    <n v="1"/>
    <n v="23"/>
    <n v="3"/>
    <x v="14"/>
    <n v="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s3ql/s3ql"/>
    <s v="s3ql"/>
    <s v="s3ql"/>
    <s v="https://github.com/s3ql/s3ql"/>
    <d v="2015-07-12T20:33:18"/>
    <d v="2021-04-06T18:33:26"/>
    <n v="2094.9167592592567"/>
    <b v="0"/>
    <b v="1"/>
    <n v="738"/>
    <n v="28"/>
    <n v="75"/>
    <n v="17"/>
    <n v="4"/>
    <n v="33"/>
    <n v="97"/>
    <n v="1"/>
    <n v="148"/>
    <n v="12"/>
    <x v="0"/>
    <n v="14519"/>
    <n v="407"/>
    <n v="2.8032233624905298E-2"/>
    <n v="193"/>
    <n v="0.47420147420147418"/>
    <n v="1.3292926510090227E-2"/>
    <n v="116"/>
    <n v="0.28501228501228504"/>
    <n v="7.9895309594324674E-3"/>
    <n v="64"/>
    <n v="0.15724815724815724"/>
    <n v="4.4080170810661895E-3"/>
    <n v="33"/>
    <n v="8.1081081081081086E-2"/>
    <n v="2.2728838074247536E-3"/>
    <n v="0"/>
    <n v="0"/>
    <n v="0"/>
    <n v="1"/>
    <n v="2.4570024570024569E-3"/>
    <n v="6.8875266891659212E-5"/>
    <b v="1"/>
    <b v="0"/>
    <b v="0"/>
    <b v="0"/>
    <b v="1"/>
    <b v="0"/>
    <b v="0"/>
    <b v="0"/>
    <b v="0"/>
    <b v="0"/>
    <b v="0"/>
    <b v="0"/>
    <b v="0"/>
  </r>
  <r>
    <s v="sa7mon/S3Scanner"/>
    <s v="sa7mon"/>
    <s v="S3Scanner"/>
    <s v="https://github.com/sa7mon/S3Scanner"/>
    <d v="2017-06-19T22:14:21"/>
    <d v="2021-04-08T16:57:07"/>
    <n v="1388.7796990740753"/>
    <b v="0"/>
    <b v="0"/>
    <n v="1330"/>
    <n v="58"/>
    <n v="212"/>
    <n v="4"/>
    <n v="0"/>
    <n v="6"/>
    <n v="35"/>
    <n v="2"/>
    <n v="72"/>
    <n v="23"/>
    <x v="5"/>
    <n v="415"/>
    <n v="6"/>
    <n v="1.4457831325301205E-2"/>
    <n v="1"/>
    <n v="0.16666666666666666"/>
    <n v="2.4096385542168677E-3"/>
    <n v="2"/>
    <n v="0.33333333333333331"/>
    <n v="4.8192771084337354E-3"/>
    <n v="0"/>
    <n v="0"/>
    <n v="0"/>
    <n v="3"/>
    <n v="0.5"/>
    <n v="7.228915662650602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abri-zaki/EasY_HaCk"/>
    <s v="sabri-zaki"/>
    <s v="EasY_HaCk"/>
    <s v="https://github.com/sabri-zaki/EasY_HaCk"/>
    <d v="2018-09-11T04:39:14"/>
    <d v="2021-04-08T05:19:58"/>
    <n v="940.02828703703562"/>
    <b v="0"/>
    <b v="0"/>
    <n v="564"/>
    <n v="165"/>
    <n v="123"/>
    <n v="0"/>
    <n v="3"/>
    <n v="0"/>
    <n v="3"/>
    <n v="0"/>
    <n v="17"/>
    <n v="15"/>
    <x v="4"/>
    <n v="36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agemath/sage"/>
    <s v="sagemath"/>
    <s v="sage"/>
    <s v="https://github.com/sagemath/sage"/>
    <d v="2012-06-08T10:11:02"/>
    <d v="2021-04-07T16:51:38"/>
    <n v="3225.2781944444432"/>
    <b v="0"/>
    <b v="1"/>
    <n v="1456"/>
    <n v="122"/>
    <n v="360"/>
    <n v="6"/>
    <n v="6"/>
    <n v="556"/>
    <n v="66"/>
    <n v="0"/>
    <n v="34"/>
    <n v="0"/>
    <x v="7"/>
    <n v="446058"/>
    <n v="227"/>
    <n v="5.0890242972886934E-4"/>
    <n v="75"/>
    <n v="0.33039647577092512"/>
    <n v="1.6813956929367929E-4"/>
    <n v="76"/>
    <n v="0.33480176211453744"/>
    <n v="1.7038143021759502E-4"/>
    <n v="59"/>
    <n v="0.25991189427312777"/>
    <n v="1.3226979451102771E-4"/>
    <n v="13"/>
    <n v="5.7268722466960353E-2"/>
    <n v="2.914419201090441E-5"/>
    <n v="4"/>
    <n v="1.7621145374449341E-2"/>
    <n v="8.9674436956628953E-6"/>
    <n v="0"/>
    <n v="0"/>
    <n v="0"/>
    <b v="1"/>
    <b v="0"/>
    <b v="0"/>
    <b v="0"/>
    <b v="1"/>
    <b v="0"/>
    <b v="0"/>
    <b v="0"/>
    <b v="0"/>
    <b v="0"/>
    <b v="0"/>
    <b v="0"/>
    <b v="0"/>
  </r>
  <r>
    <s v="sahana/eden"/>
    <s v="sahana"/>
    <s v="eden"/>
    <s v="https://github.com/sahana/eden"/>
    <d v="2011-12-20T17:49:16"/>
    <d v="2021-04-08T09:58:01"/>
    <n v="3396.672743055562"/>
    <b v="0"/>
    <b v="1"/>
    <n v="333"/>
    <n v="45"/>
    <n v="506"/>
    <n v="0"/>
    <n v="1529"/>
    <n v="78"/>
    <n v="1432"/>
    <n v="70"/>
    <n v="129"/>
    <n v="23"/>
    <x v="7"/>
    <n v="257567"/>
    <n v="1039"/>
    <n v="4.0339018585455431E-3"/>
    <n v="99"/>
    <n v="9.528392685274302E-2"/>
    <n v="3.8436600962079767E-4"/>
    <n v="42"/>
    <n v="4.0423484119345522E-2"/>
    <n v="1.6306436771791418E-4"/>
    <n v="118"/>
    <n v="0.11357074109720885"/>
    <n v="4.5813322358842555E-4"/>
    <n v="777"/>
    <n v="0.74783445620789224"/>
    <n v="3.0166908027814123E-3"/>
    <n v="3"/>
    <n v="2.8873917228103944E-3"/>
    <n v="1.1647454836993869E-5"/>
    <n v="0"/>
    <n v="0"/>
    <n v="0"/>
    <b v="1"/>
    <b v="0"/>
    <b v="0"/>
    <b v="0"/>
    <b v="1"/>
    <b v="0"/>
    <b v="0"/>
    <b v="0"/>
    <b v="0"/>
    <b v="0"/>
    <b v="0"/>
    <b v="0"/>
    <b v="0"/>
  </r>
  <r>
    <s v="salesforce/cove"/>
    <s v="salesforce"/>
    <s v="cove"/>
    <s v="https://github.com/salesforce/cove"/>
    <d v="2017-07-20T21:34:48"/>
    <d v="2021-03-18T09:06:54"/>
    <n v="1336.4806249999965"/>
    <b v="0"/>
    <b v="1"/>
    <n v="465"/>
    <n v="24"/>
    <n v="88"/>
    <n v="0"/>
    <n v="0"/>
    <n v="4"/>
    <n v="5"/>
    <n v="0"/>
    <n v="20"/>
    <n v="5"/>
    <x v="2"/>
    <n v="1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alesforce/hassh"/>
    <s v="salesforce"/>
    <s v="hassh"/>
    <s v="https://github.com/salesforce/hassh"/>
    <d v="2018-09-19T17:35:44"/>
    <d v="2021-04-07T07:36:52"/>
    <n v="930.58412037037488"/>
    <b v="0"/>
    <b v="1"/>
    <n v="397"/>
    <n v="24"/>
    <n v="58"/>
    <n v="0"/>
    <n v="0"/>
    <n v="5"/>
    <n v="7"/>
    <n v="3"/>
    <n v="6"/>
    <n v="3"/>
    <x v="2"/>
    <n v="374"/>
    <n v="6"/>
    <n v="1.6042780748663103E-2"/>
    <n v="0"/>
    <n v="0"/>
    <n v="0"/>
    <n v="6"/>
    <n v="1"/>
    <n v="1.6042780748663103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alesforce/policy_sentry"/>
    <s v="salesforce"/>
    <s v="policy_sentry"/>
    <s v="https://github.com/salesforce/policy_sentry"/>
    <d v="2019-09-19T21:35:53"/>
    <d v="2021-04-08T18:58:14"/>
    <n v="566.89052083333809"/>
    <b v="0"/>
    <b v="1"/>
    <n v="1311"/>
    <n v="17"/>
    <n v="80"/>
    <n v="59"/>
    <n v="1"/>
    <n v="25"/>
    <n v="222"/>
    <n v="0"/>
    <n v="131"/>
    <n v="7"/>
    <x v="5"/>
    <n v="3480"/>
    <n v="101"/>
    <n v="2.9022988505747128E-2"/>
    <n v="60"/>
    <n v="0.59405940594059403"/>
    <n v="1.7241379310344827E-2"/>
    <n v="7"/>
    <n v="6.9306930693069313E-2"/>
    <n v="2.0114942528735632E-3"/>
    <n v="7"/>
    <n v="6.9306930693069313E-2"/>
    <n v="2.0114942528735632E-3"/>
    <n v="0"/>
    <n v="0"/>
    <n v="0"/>
    <n v="27"/>
    <n v="0.26732673267326734"/>
    <n v="7.7586206896551723E-3"/>
    <n v="0"/>
    <n v="0"/>
    <n v="0"/>
    <b v="1"/>
    <b v="0"/>
    <b v="0"/>
    <b v="0"/>
    <b v="1"/>
    <b v="0"/>
    <b v="0"/>
    <b v="0"/>
    <b v="0"/>
    <b v="0"/>
    <b v="0"/>
    <b v="0"/>
    <b v="0"/>
  </r>
  <r>
    <s v="saltstack/salt"/>
    <s v="saltstack"/>
    <s v="salt"/>
    <s v="https://github.com/saltstack/salt"/>
    <d v="2011-02-20T20:16:56"/>
    <d v="2021-04-08T23:12:31"/>
    <n v="3700.1219328703664"/>
    <b v="0"/>
    <b v="1"/>
    <n v="11662"/>
    <n v="577"/>
    <n v="4873"/>
    <n v="164"/>
    <n v="1969"/>
    <n v="2311"/>
    <n v="36528"/>
    <n v="650"/>
    <n v="23451"/>
    <n v="1997"/>
    <x v="4"/>
    <n v="500297"/>
    <n v="8387"/>
    <n v="1.676404215895758E-2"/>
    <n v="3194"/>
    <n v="0.38082747108620485"/>
    <n v="6.3842077805783366E-3"/>
    <n v="1266"/>
    <n v="0.15094789555264099"/>
    <n v="2.5304968848503988E-3"/>
    <n v="828"/>
    <n v="9.8724216048646715E-2"/>
    <n v="1.65501691994955E-3"/>
    <n v="2525"/>
    <n v="0.30106116609037797"/>
    <n v="5.0470020807640258E-3"/>
    <n v="167"/>
    <n v="1.9911768212710148E-2"/>
    <n v="3.3380172177726431E-4"/>
    <n v="407"/>
    <n v="4.8527483009419337E-2"/>
    <n v="8.1351677103800343E-4"/>
    <b v="1"/>
    <b v="0"/>
    <b v="0"/>
    <b v="0"/>
    <b v="1"/>
    <b v="0"/>
    <b v="0"/>
    <b v="0"/>
    <b v="0"/>
    <b v="0"/>
    <b v="0"/>
    <b v="0"/>
    <b v="0"/>
  </r>
  <r>
    <s v="samre12/deep-trading-agent"/>
    <s v="samre12"/>
    <s v="deep-trading-agent"/>
    <s v="https://github.com/samre12/deep-trading-agent"/>
    <d v="2017-09-21T17:05:19"/>
    <d v="2021-04-03T20:48:36"/>
    <n v="1290.1550578703682"/>
    <b v="0"/>
    <b v="0"/>
    <n v="576"/>
    <n v="65"/>
    <n v="199"/>
    <n v="0"/>
    <n v="0"/>
    <n v="0"/>
    <n v="1"/>
    <n v="0"/>
    <n v="20"/>
    <n v="6"/>
    <x v="5"/>
    <n v="814"/>
    <n v="18"/>
    <n v="2.2113022113022112E-2"/>
    <n v="1"/>
    <n v="5.5555555555555552E-2"/>
    <n v="1.2285012285012285E-3"/>
    <n v="13"/>
    <n v="0.72222222222222221"/>
    <n v="1.5970515970515971E-2"/>
    <n v="0"/>
    <n v="0"/>
    <n v="0"/>
    <n v="4"/>
    <n v="0.22222222222222221"/>
    <n v="4.914004914004913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amSchott/maestral"/>
    <s v="SamSchott"/>
    <s v="maestral"/>
    <s v="https://github.com/SamSchott/maestral"/>
    <d v="2018-11-26T15:52:49"/>
    <d v="2021-04-08T19:57:00"/>
    <n v="864.16957175925927"/>
    <b v="0"/>
    <b v="0"/>
    <n v="330"/>
    <n v="10"/>
    <n v="15"/>
    <n v="34"/>
    <n v="6"/>
    <n v="8"/>
    <n v="145"/>
    <n v="1"/>
    <n v="224"/>
    <n v="38"/>
    <x v="5"/>
    <n v="9138"/>
    <n v="151"/>
    <n v="1.6524403589406874E-2"/>
    <n v="70"/>
    <n v="0.46357615894039733"/>
    <n v="7.6603195447581532E-3"/>
    <n v="59"/>
    <n v="0.39072847682119205"/>
    <n v="6.4565550448675863E-3"/>
    <n v="11"/>
    <n v="7.2847682119205295E-2"/>
    <n v="1.2037644998905668E-3"/>
    <n v="11"/>
    <n v="7.2847682119205295E-2"/>
    <n v="1.203764499890566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anic-org/sanic"/>
    <s v="sanic-org"/>
    <s v="sanic"/>
    <s v="https://github.com/sanic-org/sanic"/>
    <d v="2016-05-26T04:38:22"/>
    <d v="2021-04-09T04:15:18"/>
    <n v="1778.9839814814841"/>
    <b v="0"/>
    <b v="1"/>
    <n v="14808"/>
    <n v="432"/>
    <n v="1300"/>
    <n v="41"/>
    <n v="44"/>
    <n v="251"/>
    <n v="1116"/>
    <n v="3"/>
    <n v="987"/>
    <n v="36"/>
    <x v="5"/>
    <n v="13590"/>
    <n v="56"/>
    <n v="4.1206769683590876E-3"/>
    <n v="7"/>
    <n v="0.125"/>
    <n v="5.1508462104488595E-4"/>
    <n v="25"/>
    <n v="0.44642857142857145"/>
    <n v="1.8395879323031641E-3"/>
    <n v="6"/>
    <n v="0.10714285714285714"/>
    <n v="4.4150110375275938E-4"/>
    <n v="3"/>
    <n v="5.3571428571428568E-2"/>
    <n v="2.2075055187637969E-4"/>
    <n v="0"/>
    <n v="0"/>
    <n v="0"/>
    <n v="15"/>
    <n v="0.26785714285714285"/>
    <n v="1.1037527593818985E-3"/>
    <b v="1"/>
    <b v="1"/>
    <b v="0"/>
    <b v="0"/>
    <b v="1"/>
    <b v="0"/>
    <b v="0"/>
    <b v="0"/>
    <b v="0"/>
    <b v="0"/>
    <b v="0"/>
    <b v="0"/>
    <b v="0"/>
  </r>
  <r>
    <s v="SathyaBhat/spotify-dl"/>
    <s v="SathyaBhat"/>
    <s v="spotify-dl"/>
    <s v="https://github.com/SathyaBhat/spotify-dl"/>
    <d v="2015-12-28T18:49:30"/>
    <d v="2021-04-09T01:14:58"/>
    <n v="1928.2676851851793"/>
    <b v="0"/>
    <b v="0"/>
    <n v="614"/>
    <n v="23"/>
    <n v="108"/>
    <n v="19"/>
    <n v="3"/>
    <n v="23"/>
    <n v="83"/>
    <n v="6"/>
    <n v="88"/>
    <n v="20"/>
    <x v="5"/>
    <n v="397"/>
    <n v="19"/>
    <n v="4.7858942065491183E-2"/>
    <n v="10"/>
    <n v="0.52631578947368418"/>
    <n v="2.5188916876574308E-2"/>
    <n v="6"/>
    <n v="0.31578947368421051"/>
    <n v="1.5113350125944584E-2"/>
    <n v="0"/>
    <n v="0"/>
    <n v="0"/>
    <n v="3"/>
    <n v="0.15789473684210525"/>
    <n v="7.55667506297229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aulpw/visidata"/>
    <s v="saulpw"/>
    <s v="visidata"/>
    <s v="https://github.com/saulpw/visidata"/>
    <d v="2016-10-27T04:21:00"/>
    <d v="2021-04-08T06:08:32"/>
    <n v="1624.0746759259273"/>
    <b v="0"/>
    <b v="0"/>
    <n v="3728"/>
    <n v="58"/>
    <n v="146"/>
    <n v="27"/>
    <n v="90"/>
    <n v="41"/>
    <n v="256"/>
    <n v="3"/>
    <n v="665"/>
    <n v="24"/>
    <x v="0"/>
    <n v="12922"/>
    <n v="63"/>
    <n v="4.8754062838569879E-3"/>
    <n v="3"/>
    <n v="4.7619047619047616E-2"/>
    <n v="2.3216220399318991E-4"/>
    <n v="0"/>
    <n v="0"/>
    <n v="0"/>
    <n v="46"/>
    <n v="0.73015873015873012"/>
    <n v="3.5598204612289118E-3"/>
    <n v="14"/>
    <n v="0.22222222222222221"/>
    <n v="1.083423618634886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baresearch/simcoin"/>
    <s v="sbaresearch"/>
    <s v="simcoin"/>
    <s v="https://github.com/sbaresearch/simcoin"/>
    <d v="2017-11-22T13:39:18"/>
    <d v="2021-03-19T19:42:31"/>
    <n v="1213.2522337962946"/>
    <b v="0"/>
    <b v="1"/>
    <n v="471"/>
    <n v="14"/>
    <n v="44"/>
    <n v="0"/>
    <n v="0"/>
    <n v="3"/>
    <n v="2"/>
    <n v="0"/>
    <n v="2"/>
    <n v="0"/>
    <x v="5"/>
    <n v="2414"/>
    <n v="85"/>
    <n v="3.5211267605633804E-2"/>
    <n v="14"/>
    <n v="0.16470588235294117"/>
    <n v="5.7995028997514502E-3"/>
    <n v="63"/>
    <n v="0.74117647058823533"/>
    <n v="2.6097763048881523E-2"/>
    <n v="1"/>
    <n v="1.1764705882352941E-2"/>
    <n v="4.1425020712510354E-4"/>
    <n v="3"/>
    <n v="3.5294117647058823E-2"/>
    <n v="1.2427506213753107E-3"/>
    <n v="0"/>
    <n v="0"/>
    <n v="0"/>
    <n v="4"/>
    <n v="4.7058823529411764E-2"/>
    <n v="1.6570008285004142E-3"/>
    <b v="1"/>
    <b v="0"/>
    <b v="0"/>
    <b v="0"/>
    <b v="1"/>
    <b v="0"/>
    <b v="0"/>
    <b v="0"/>
    <b v="0"/>
    <b v="0"/>
    <b v="0"/>
    <b v="0"/>
    <b v="0"/>
  </r>
  <r>
    <s v="scalingexcellence/scrapybook"/>
    <s v="scalingexcellence"/>
    <s v="scrapybook"/>
    <s v="https://github.com/scalingexcellence/scrapybook"/>
    <d v="2013-08-29T08:08:11"/>
    <d v="2021-03-30T00:46:19"/>
    <n v="2769.6931481481515"/>
    <b v="0"/>
    <b v="0"/>
    <n v="418"/>
    <n v="35"/>
    <n v="187"/>
    <n v="0"/>
    <n v="0"/>
    <n v="4"/>
    <n v="4"/>
    <n v="1"/>
    <n v="65"/>
    <n v="14"/>
    <x v="1"/>
    <n v="1904"/>
    <n v="41"/>
    <n v="2.1533613445378151E-2"/>
    <n v="0"/>
    <n v="0"/>
    <n v="0"/>
    <n v="35"/>
    <n v="0.85365853658536583"/>
    <n v="1.8382352941176471E-2"/>
    <n v="0"/>
    <n v="0"/>
    <n v="0"/>
    <n v="6"/>
    <n v="0.14634146341463414"/>
    <n v="3.1512605042016808E-3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scanapi/scanapi"/>
    <s v="scanapi"/>
    <s v="scanapi"/>
    <s v="https://github.com/scanapi/scanapi"/>
    <d v="2019-07-20T10:31:47"/>
    <d v="2021-04-08T08:52:34"/>
    <n v="627.9310995370397"/>
    <b v="0"/>
    <b v="1"/>
    <n v="355"/>
    <n v="16"/>
    <n v="43"/>
    <n v="21"/>
    <n v="0"/>
    <n v="29"/>
    <n v="186"/>
    <n v="4"/>
    <n v="165"/>
    <n v="25"/>
    <x v="5"/>
    <n v="2014"/>
    <n v="14"/>
    <n v="6.9513406156901684E-3"/>
    <n v="2"/>
    <n v="0.14285714285714285"/>
    <n v="9.930486593843098E-4"/>
    <n v="5"/>
    <n v="0.35714285714285715"/>
    <n v="2.4826216484607746E-3"/>
    <n v="0"/>
    <n v="0"/>
    <n v="0"/>
    <n v="7"/>
    <n v="0.5"/>
    <n v="3.475670307845084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ceptre/sceptre"/>
    <s v="Sceptre"/>
    <s v="sceptre"/>
    <s v="https://github.com/Sceptre/sceptre"/>
    <d v="2017-01-31T21:00:39"/>
    <d v="2021-04-07T18:31:01"/>
    <n v="1526.8960879629667"/>
    <b v="0"/>
    <b v="1"/>
    <n v="1169"/>
    <n v="51"/>
    <n v="263"/>
    <n v="0"/>
    <n v="8"/>
    <n v="61"/>
    <n v="438"/>
    <n v="22"/>
    <n v="537"/>
    <n v="103"/>
    <x v="7"/>
    <n v="5287"/>
    <n v="66"/>
    <n v="1.2483449971628523E-2"/>
    <n v="44"/>
    <n v="0.66666666666666663"/>
    <n v="8.3222999810856815E-3"/>
    <n v="18"/>
    <n v="0.27272727272727271"/>
    <n v="3.4045772649895973E-3"/>
    <n v="1"/>
    <n v="1.5151515151515152E-2"/>
    <n v="1.8914318138831096E-4"/>
    <n v="3"/>
    <n v="4.5454545454545456E-2"/>
    <n v="5.6742954416493289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chemathesis/schemathesis"/>
    <s v="schemathesis"/>
    <s v="schemathesis"/>
    <s v="https://github.com/schemathesis/schemathesis"/>
    <d v="2019-08-19T11:13:01"/>
    <d v="2021-04-09T01:20:22"/>
    <n v="598.58843750000233"/>
    <b v="0"/>
    <b v="1"/>
    <n v="801"/>
    <n v="15"/>
    <n v="61"/>
    <n v="140"/>
    <n v="10"/>
    <n v="25"/>
    <n v="613"/>
    <n v="7"/>
    <n v="500"/>
    <n v="64"/>
    <x v="5"/>
    <n v="12508"/>
    <n v="2"/>
    <n v="1.5989766549408379E-4"/>
    <n v="0"/>
    <n v="0"/>
    <n v="0"/>
    <n v="1"/>
    <n v="0.5"/>
    <n v="7.9948832747041897E-5"/>
    <n v="1"/>
    <n v="0.5"/>
    <n v="7.9948832747041897E-5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schutzwerk/CANalyzat0r"/>
    <s v="schutzwerk"/>
    <s v="CANalyzat0r"/>
    <s v="https://github.com/schutzwerk/CANalyzat0r"/>
    <d v="2018-02-27T13:25:40"/>
    <d v="2021-04-06T17:40:03"/>
    <n v="1134.1766550925895"/>
    <b v="0"/>
    <b v="1"/>
    <n v="588"/>
    <n v="48"/>
    <n v="113"/>
    <n v="0"/>
    <n v="0"/>
    <n v="6"/>
    <n v="6"/>
    <n v="0"/>
    <n v="8"/>
    <n v="0"/>
    <x v="0"/>
    <n v="5386"/>
    <n v="129"/>
    <n v="2.395098403267731E-2"/>
    <n v="32"/>
    <n v="0.24806201550387597"/>
    <n v="5.9413293724470849E-3"/>
    <n v="59"/>
    <n v="0.4573643410852713"/>
    <n v="1.0954326030449314E-2"/>
    <n v="11"/>
    <n v="8.5271317829457363E-2"/>
    <n v="2.0423319717786854E-3"/>
    <n v="20"/>
    <n v="0.15503875968992248"/>
    <n v="3.7133308577794281E-3"/>
    <n v="4"/>
    <n v="3.1007751937984496E-2"/>
    <n v="7.4266617155588561E-4"/>
    <n v="3"/>
    <n v="2.3255813953488372E-2"/>
    <n v="5.5699962866691418E-4"/>
    <b v="1"/>
    <b v="0"/>
    <b v="0"/>
    <b v="0"/>
    <b v="1"/>
    <b v="0"/>
    <b v="0"/>
    <b v="0"/>
    <b v="0"/>
    <b v="0"/>
    <b v="0"/>
    <b v="0"/>
    <b v="0"/>
  </r>
  <r>
    <s v="scikit-multiflow/scikit-multiflow"/>
    <s v="scikit-multiflow"/>
    <s v="scikit-multiflow"/>
    <s v="https://github.com/scikit-multiflow/scikit-multiflow"/>
    <d v="2017-11-14T16:46:58"/>
    <d v="2021-04-06T02:26:42"/>
    <n v="1238.4025925925962"/>
    <b v="0"/>
    <b v="1"/>
    <n v="495"/>
    <n v="29"/>
    <n v="140"/>
    <n v="10"/>
    <n v="4"/>
    <n v="31"/>
    <n v="129"/>
    <n v="12"/>
    <n v="169"/>
    <n v="35"/>
    <x v="2"/>
    <n v="21082"/>
    <n v="68"/>
    <n v="3.2255004269044684E-3"/>
    <n v="1"/>
    <n v="1.4705882352941176E-2"/>
    <n v="4.7433829807418652E-5"/>
    <n v="27"/>
    <n v="0.39705882352941174"/>
    <n v="1.2807134048003037E-3"/>
    <n v="40"/>
    <n v="0.58823529411764708"/>
    <n v="1.8973531922967461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cipy/scipy"/>
    <s v="scipy"/>
    <s v="scipy"/>
    <s v="https://github.com/scipy/scipy"/>
    <d v="2011-03-09T18:52:03"/>
    <d v="2021-04-09T02:23:14"/>
    <n v="3683.3133217592549"/>
    <b v="0"/>
    <b v="1"/>
    <n v="8088"/>
    <n v="329"/>
    <n v="3525"/>
    <n v="52"/>
    <n v="238"/>
    <n v="989"/>
    <n v="6697"/>
    <n v="322"/>
    <n v="7124"/>
    <n v="1297"/>
    <x v="2"/>
    <n v="163227"/>
    <n v="198"/>
    <n v="1.2130346082449594E-3"/>
    <n v="0"/>
    <n v="0"/>
    <n v="0"/>
    <n v="21"/>
    <n v="0.10606060606060606"/>
    <n v="1.2865518572295024E-4"/>
    <n v="170"/>
    <n v="0.85858585858585856"/>
    <n v="1.0414943606143591E-3"/>
    <n v="7"/>
    <n v="3.5353535353535352E-2"/>
    <n v="4.2885061907650081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cragg0x/realms-wiki"/>
    <s v="scragg0x"/>
    <s v="realms-wiki"/>
    <s v="https://github.com/scragg0x/realms-wiki"/>
    <d v="2014-08-20T15:26:57"/>
    <d v="2021-04-09T01:33:04"/>
    <n v="2423.4209143518528"/>
    <b v="0"/>
    <b v="0"/>
    <n v="828"/>
    <n v="33"/>
    <n v="98"/>
    <n v="2"/>
    <n v="0"/>
    <n v="24"/>
    <n v="95"/>
    <n v="11"/>
    <n v="136"/>
    <n v="62"/>
    <x v="3"/>
    <n v="2369"/>
    <n v="11"/>
    <n v="4.6433094132545382E-3"/>
    <n v="2"/>
    <n v="0.18181818181818182"/>
    <n v="8.4423807513718866E-4"/>
    <n v="4"/>
    <n v="0.36363636363636365"/>
    <n v="1.6884761502743773E-3"/>
    <n v="1"/>
    <n v="9.0909090909090912E-2"/>
    <n v="4.2211903756859433E-4"/>
    <n v="1"/>
    <n v="9.0909090909090912E-2"/>
    <n v="4.2211903756859433E-4"/>
    <n v="0"/>
    <n v="0"/>
    <n v="0"/>
    <n v="3"/>
    <n v="0.27272727272727271"/>
    <n v="1.2663571127057829E-3"/>
    <b v="1"/>
    <b v="1"/>
    <b v="0"/>
    <b v="0"/>
    <b v="1"/>
    <b v="0"/>
    <b v="0"/>
    <b v="0"/>
    <b v="0"/>
    <b v="0"/>
    <b v="0"/>
    <b v="0"/>
    <b v="0"/>
  </r>
  <r>
    <s v="scrapinghub/frontera"/>
    <s v="scrapinghub"/>
    <s v="frontera"/>
    <s v="https://github.com/scrapinghub/frontera"/>
    <d v="2014-11-22T15:42:50"/>
    <d v="2021-04-09T02:45:24"/>
    <n v="2329.4601157407451"/>
    <b v="0"/>
    <b v="1"/>
    <n v="1154"/>
    <n v="158"/>
    <n v="203"/>
    <n v="22"/>
    <n v="20"/>
    <n v="34"/>
    <n v="256"/>
    <n v="22"/>
    <n v="154"/>
    <n v="80"/>
    <x v="7"/>
    <n v="10607"/>
    <n v="225"/>
    <n v="2.1212406901103046E-2"/>
    <n v="105"/>
    <n v="0.46666666666666667"/>
    <n v="9.899123220514755E-3"/>
    <n v="52"/>
    <n v="0.2311111111111111"/>
    <n v="4.9024229282549261E-3"/>
    <n v="20"/>
    <n v="8.8888888888888892E-2"/>
    <n v="1.8855472800980485E-3"/>
    <n v="15"/>
    <n v="6.6666666666666666E-2"/>
    <n v="1.4141604600735364E-3"/>
    <n v="7"/>
    <n v="3.111111111111111E-2"/>
    <n v="6.5994154803431697E-4"/>
    <n v="26"/>
    <n v="0.11555555555555555"/>
    <n v="2.451211464127463E-3"/>
    <b v="0"/>
    <b v="1"/>
    <b v="0"/>
    <b v="0"/>
    <b v="1"/>
    <b v="0"/>
    <b v="0"/>
    <b v="0"/>
    <b v="0"/>
    <b v="0"/>
    <b v="0"/>
    <b v="0"/>
    <b v="0"/>
  </r>
  <r>
    <s v="scrapinghub/portia"/>
    <s v="scrapinghub"/>
    <s v="portia"/>
    <s v="https://github.com/scrapinghub/portia"/>
    <d v="2014-03-21T14:24:31"/>
    <d v="2021-04-08T20:38:12"/>
    <n v="2575.2595023148097"/>
    <b v="0"/>
    <b v="1"/>
    <n v="8147"/>
    <n v="514"/>
    <n v="1295"/>
    <n v="1"/>
    <n v="31"/>
    <n v="39"/>
    <n v="469"/>
    <n v="9"/>
    <n v="443"/>
    <n v="107"/>
    <x v="7"/>
    <n v="16314"/>
    <n v="11"/>
    <n v="6.7426750030648525E-4"/>
    <n v="3"/>
    <n v="0.27272727272727271"/>
    <n v="1.8389113644722325E-4"/>
    <n v="2"/>
    <n v="0.18181818181818182"/>
    <n v="1.225940909648155E-4"/>
    <n v="4"/>
    <n v="0.36363636363636365"/>
    <n v="2.45188181929631E-4"/>
    <n v="2"/>
    <n v="0.18181818181818182"/>
    <n v="1.225940909648155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scrapinghub/scrapyrt"/>
    <s v="scrapinghub"/>
    <s v="scrapyrt"/>
    <s v="https://github.com/scrapinghub/scrapyrt"/>
    <d v="2015-01-06T15:07:16"/>
    <d v="2021-04-08T06:49:09"/>
    <n v="2283.6540856481442"/>
    <b v="0"/>
    <b v="1"/>
    <n v="647"/>
    <n v="48"/>
    <n v="139"/>
    <n v="3"/>
    <n v="4"/>
    <n v="12"/>
    <n v="53"/>
    <n v="4"/>
    <n v="73"/>
    <n v="25"/>
    <x v="2"/>
    <n v="1961"/>
    <n v="2"/>
    <n v="1.0198878123406426E-3"/>
    <n v="0"/>
    <n v="0"/>
    <n v="0"/>
    <n v="0"/>
    <n v="0"/>
    <n v="0"/>
    <n v="1"/>
    <n v="0.5"/>
    <n v="5.099439061703213E-4"/>
    <n v="1"/>
    <n v="0.5"/>
    <n v="5.099439061703213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eanNaren/deepspeech.pytorch"/>
    <s v="SeanNaren"/>
    <s v="deepspeech.pytorch"/>
    <s v="https://github.com/SeanNaren/deepspeech.pytorch"/>
    <d v="2017-01-10T07:28:18"/>
    <d v="2021-04-08T00:21:31"/>
    <n v="1548.7036226851851"/>
    <b v="0"/>
    <b v="0"/>
    <n v="1634"/>
    <n v="60"/>
    <n v="542"/>
    <n v="6"/>
    <n v="20"/>
    <n v="41"/>
    <n v="182"/>
    <n v="3"/>
    <n v="451"/>
    <n v="9"/>
    <x v="5"/>
    <n v="2129"/>
    <n v="4"/>
    <n v="1.8788163457022077E-3"/>
    <n v="0"/>
    <n v="0"/>
    <n v="0"/>
    <n v="4"/>
    <n v="1"/>
    <n v="1.8788163457022077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earx/searx"/>
    <s v="searx"/>
    <s v="searx"/>
    <s v="https://github.com/searx/searx"/>
    <d v="2013-10-15T16:20:51"/>
    <d v="2021-04-08T17:48:16"/>
    <n v="2732.0607060185212"/>
    <b v="0"/>
    <b v="1"/>
    <n v="8619"/>
    <n v="287"/>
    <n v="1170"/>
    <n v="14"/>
    <n v="72"/>
    <n v="140"/>
    <n v="1140"/>
    <n v="32"/>
    <n v="1478"/>
    <n v="274"/>
    <x v="11"/>
    <n v="11682"/>
    <n v="99"/>
    <n v="8.4745762711864406E-3"/>
    <n v="46"/>
    <n v="0.46464646464646464"/>
    <n v="3.9376819037835985E-3"/>
    <n v="13"/>
    <n v="0.13131313131313133"/>
    <n v="1.1128231467214518E-3"/>
    <n v="4"/>
    <n v="4.0404040404040407E-2"/>
    <n v="3.4240712206813899E-4"/>
    <n v="13"/>
    <n v="0.13131313131313133"/>
    <n v="1.1128231467214518E-3"/>
    <n v="8"/>
    <n v="8.0808080808080815E-2"/>
    <n v="6.8481424413627799E-4"/>
    <n v="15"/>
    <n v="0.15151515151515152"/>
    <n v="1.2840267077555213E-3"/>
    <b v="1"/>
    <b v="0"/>
    <b v="0"/>
    <b v="0"/>
    <b v="1"/>
    <b v="0"/>
    <b v="0"/>
    <b v="0"/>
    <b v="0"/>
    <b v="0"/>
    <b v="0"/>
    <b v="0"/>
    <b v="0"/>
  </r>
  <r>
    <s v="secrary/SSMA"/>
    <s v="secrary"/>
    <s v="SSMA"/>
    <s v="https://github.com/secrary/SSMA"/>
    <d v="2016-08-30T18:08:39"/>
    <d v="2021-03-17T03:46:02"/>
    <n v="1659.4009606481486"/>
    <b v="0"/>
    <b v="0"/>
    <n v="388"/>
    <n v="34"/>
    <n v="87"/>
    <n v="0"/>
    <n v="1"/>
    <n v="6"/>
    <n v="41"/>
    <n v="0"/>
    <n v="19"/>
    <n v="6"/>
    <x v="0"/>
    <n v="1521"/>
    <n v="5"/>
    <n v="3.2873109796186721E-3"/>
    <n v="5"/>
    <n v="1"/>
    <n v="3.2873109796186721E-3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ecureAuthCorp/impacket"/>
    <s v="SecureAuthCorp"/>
    <s v="impacket"/>
    <s v="https://github.com/SecureAuthCorp/impacket"/>
    <d v="2015-04-15T14:04:07"/>
    <d v="2021-04-09T03:23:16"/>
    <n v="2185.5549652777772"/>
    <b v="0"/>
    <b v="1"/>
    <n v="6521"/>
    <n v="327"/>
    <n v="1835"/>
    <n v="9"/>
    <n v="47"/>
    <n v="105"/>
    <n v="409"/>
    <n v="45"/>
    <n v="637"/>
    <n v="118"/>
    <x v="7"/>
    <n v="87972"/>
    <n v="1212"/>
    <n v="1.3777110898922385E-2"/>
    <n v="387"/>
    <n v="0.31930693069306931"/>
    <n v="4.3991269949529392E-3"/>
    <n v="341"/>
    <n v="0.28135313531353134"/>
    <n v="3.8762333469740374E-3"/>
    <n v="21"/>
    <n v="1.7326732673267328E-2"/>
    <n v="2.3871231755558586E-4"/>
    <n v="364"/>
    <n v="0.30033003300330036"/>
    <n v="4.1376801709634885E-3"/>
    <n v="99"/>
    <n v="8.1683168316831686E-2"/>
    <n v="1.1253580684763335E-3"/>
    <n v="0"/>
    <n v="0"/>
    <n v="0"/>
    <b v="1"/>
    <b v="0"/>
    <b v="0"/>
    <b v="0"/>
    <b v="1"/>
    <b v="0"/>
    <b v="0"/>
    <b v="0"/>
    <b v="0"/>
    <b v="0"/>
    <b v="0"/>
    <b v="0"/>
    <b v="0"/>
  </r>
  <r>
    <s v="secureworks/dcept"/>
    <s v="secureworks"/>
    <s v="dcept"/>
    <s v="https://github.com/secureworks/dcept"/>
    <d v="2016-03-02T13:16:24"/>
    <d v="2021-04-03T04:32:08"/>
    <n v="1857.6359259259261"/>
    <b v="0"/>
    <b v="1"/>
    <n v="460"/>
    <n v="66"/>
    <n v="93"/>
    <n v="0"/>
    <n v="0"/>
    <n v="2"/>
    <n v="1"/>
    <n v="0"/>
    <n v="6"/>
    <n v="3"/>
    <x v="0"/>
    <n v="395"/>
    <n v="25"/>
    <n v="6.3291139240506333E-2"/>
    <n v="8"/>
    <n v="0.32"/>
    <n v="2.0253164556962026E-2"/>
    <n v="10"/>
    <n v="0.4"/>
    <n v="2.5316455696202531E-2"/>
    <n v="0"/>
    <n v="0"/>
    <n v="0"/>
    <n v="6"/>
    <n v="0.24"/>
    <n v="1.5189873417721518E-2"/>
    <n v="1"/>
    <n v="0.04"/>
    <n v="2.5316455696202532E-3"/>
    <n v="0"/>
    <n v="0"/>
    <n v="0"/>
    <b v="1"/>
    <b v="0"/>
    <b v="0"/>
    <b v="0"/>
    <b v="1"/>
    <b v="0"/>
    <b v="0"/>
    <b v="0"/>
    <b v="0"/>
    <b v="0"/>
    <b v="0"/>
    <b v="0"/>
    <b v="0"/>
  </r>
  <r>
    <s v="securing/DumpsterDiver"/>
    <s v="securing"/>
    <s v="DumpsterDiver"/>
    <s v="https://github.com/securing/DumpsterDiver"/>
    <d v="2018-05-27T23:33:27"/>
    <d v="2021-04-08T21:42:41"/>
    <n v="1046.9230787037086"/>
    <b v="0"/>
    <b v="0"/>
    <n v="550"/>
    <n v="28"/>
    <n v="94"/>
    <n v="0"/>
    <n v="0"/>
    <n v="6"/>
    <n v="29"/>
    <n v="3"/>
    <n v="9"/>
    <n v="3"/>
    <x v="5"/>
    <n v="404"/>
    <n v="17"/>
    <n v="4.2079207920792082E-2"/>
    <n v="0"/>
    <n v="0"/>
    <n v="0"/>
    <n v="5"/>
    <n v="0.29411764705882354"/>
    <n v="1.2376237623762377E-2"/>
    <n v="0"/>
    <n v="0"/>
    <n v="0"/>
    <n v="12"/>
    <n v="0.70588235294117652"/>
    <n v="2.9702970297029702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egfault-Inc/Multicorn"/>
    <s v="Segfault-Inc"/>
    <s v="Multicorn"/>
    <s v="https://github.com/Segfault-Inc/Multicorn"/>
    <d v="2011-06-05T18:37:51"/>
    <d v="2021-03-22T08:01:23"/>
    <n v="3577.5580092592572"/>
    <b v="0"/>
    <b v="1"/>
    <n v="604"/>
    <n v="64"/>
    <n v="128"/>
    <n v="3"/>
    <n v="3"/>
    <n v="28"/>
    <n v="80"/>
    <n v="24"/>
    <n v="186"/>
    <n v="71"/>
    <x v="16"/>
    <n v="1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eleniumbase/SeleniumBase"/>
    <s v="seleniumbase"/>
    <s v="SeleniumBase"/>
    <s v="https://github.com/seleniumbase/SeleniumBase"/>
    <d v="2014-03-04T23:07:33"/>
    <d v="2021-04-09T00:01:01"/>
    <n v="2592.0371296296289"/>
    <b v="0"/>
    <b v="1"/>
    <n v="2107"/>
    <n v="120"/>
    <n v="462"/>
    <n v="520"/>
    <n v="6"/>
    <n v="20"/>
    <n v="630"/>
    <n v="0"/>
    <n v="204"/>
    <n v="0"/>
    <x v="5"/>
    <n v="24126"/>
    <n v="31"/>
    <n v="1.2849208322971068E-3"/>
    <n v="25"/>
    <n v="0.80645161290322576"/>
    <n v="1.0362264776589572E-3"/>
    <n v="1"/>
    <n v="3.2258064516129031E-2"/>
    <n v="4.1449059106358285E-5"/>
    <n v="3"/>
    <n v="9.6774193548387094E-2"/>
    <n v="1.2434717731907486E-4"/>
    <n v="1"/>
    <n v="3.2258064516129031E-2"/>
    <n v="4.1449059106358285E-5"/>
    <n v="0"/>
    <n v="0"/>
    <n v="0"/>
    <n v="1"/>
    <n v="3.2258064516129031E-2"/>
    <n v="4.1449059106358285E-5"/>
    <b v="1"/>
    <b v="0"/>
    <b v="0"/>
    <b v="0"/>
    <b v="1"/>
    <b v="0"/>
    <b v="0"/>
    <b v="0"/>
    <b v="0"/>
    <b v="0"/>
    <b v="0"/>
    <b v="0"/>
    <b v="0"/>
  </r>
  <r>
    <s v="Sense-X/TSD"/>
    <s v="Sense-X"/>
    <s v="TSD"/>
    <s v="https://github.com/Sense-X/TSD"/>
    <d v="2020-04-01T15:08:32"/>
    <d v="2021-04-07T00:59:33"/>
    <n v="370.4104282407352"/>
    <b v="0"/>
    <b v="0"/>
    <n v="410"/>
    <n v="29"/>
    <n v="52"/>
    <n v="0"/>
    <n v="0"/>
    <n v="3"/>
    <n v="1"/>
    <n v="0"/>
    <n v="32"/>
    <n v="13"/>
    <x v="4"/>
    <n v="21072"/>
    <n v="20"/>
    <n v="9.4912680334092634E-4"/>
    <n v="5"/>
    <n v="0.25"/>
    <n v="2.3728170083523158E-4"/>
    <n v="7"/>
    <n v="0.35"/>
    <n v="3.321943811693242E-4"/>
    <n v="8"/>
    <n v="0.4"/>
    <n v="3.7965072133637056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fzhang15/ATSS"/>
    <s v="sfzhang15"/>
    <s v="ATSS"/>
    <s v="https://github.com/sfzhang15/ATSS"/>
    <d v="2019-12-05T09:42:31"/>
    <d v="2021-04-06T06:09:39"/>
    <n v="487.85217592593108"/>
    <b v="0"/>
    <b v="0"/>
    <n v="853"/>
    <n v="25"/>
    <n v="138"/>
    <n v="0"/>
    <n v="0"/>
    <n v="0"/>
    <n v="1"/>
    <n v="1"/>
    <n v="92"/>
    <n v="10"/>
    <x v="7"/>
    <n v="8730"/>
    <n v="47"/>
    <n v="5.3837342497136311E-3"/>
    <n v="0"/>
    <n v="0"/>
    <n v="0"/>
    <n v="42"/>
    <n v="0.8936170212765957"/>
    <n v="4.8109965635738834E-3"/>
    <n v="4"/>
    <n v="8.5106382978723402E-2"/>
    <n v="4.5819014891179839E-4"/>
    <n v="1"/>
    <n v="2.1276595744680851E-2"/>
    <n v="1.14547537227949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gratzl/slack-cleaner"/>
    <s v="sgratzl"/>
    <s v="slack-cleaner"/>
    <s v="https://github.com/sgratzl/slack-cleaner"/>
    <d v="2017-09-08T21:10:05"/>
    <d v="2021-04-04T09:48:33"/>
    <n v="1303.5267129629647"/>
    <b v="0"/>
    <b v="0"/>
    <n v="333"/>
    <n v="12"/>
    <n v="40"/>
    <n v="7"/>
    <n v="0"/>
    <n v="16"/>
    <n v="17"/>
    <n v="0"/>
    <n v="78"/>
    <n v="4"/>
    <x v="5"/>
    <n v="531"/>
    <n v="19"/>
    <n v="3.5781544256120526E-2"/>
    <n v="0"/>
    <n v="0"/>
    <n v="0"/>
    <n v="8"/>
    <n v="0.42105263157894735"/>
    <n v="1.5065913370998116E-2"/>
    <n v="5"/>
    <n v="0.26315789473684209"/>
    <n v="9.4161958568738224E-3"/>
    <n v="6"/>
    <n v="0.31578947368421051"/>
    <n v="1.1299435028248588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hadowmoose/RedditDownloader"/>
    <s v="shadowmoose"/>
    <s v="RedditDownloader"/>
    <s v="https://github.com/shadowmoose/RedditDownloader"/>
    <d v="2017-06-01T22:03:41"/>
    <d v="2021-04-08T15:51:15"/>
    <n v="1406.7413657407451"/>
    <b v="0"/>
    <b v="0"/>
    <n v="533"/>
    <n v="16"/>
    <n v="43"/>
    <n v="17"/>
    <n v="2"/>
    <n v="5"/>
    <n v="41"/>
    <n v="0"/>
    <n v="155"/>
    <n v="56"/>
    <x v="1"/>
    <n v="5121"/>
    <n v="16"/>
    <n v="3.1243897676235112E-3"/>
    <n v="0"/>
    <n v="0"/>
    <n v="0"/>
    <n v="0"/>
    <n v="0"/>
    <n v="0"/>
    <n v="0"/>
    <n v="0"/>
    <n v="0"/>
    <n v="16"/>
    <n v="1"/>
    <n v="3.124389767623511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hangtongZhang/DeepRL"/>
    <s v="ShangtongZhang"/>
    <s v="DeepRL"/>
    <s v="https://github.com/ShangtongZhang/DeepRL"/>
    <d v="2017-04-20T19:59:53"/>
    <d v="2021-04-09T01:43:39"/>
    <n v="1449.2387268518505"/>
    <b v="0"/>
    <b v="0"/>
    <n v="2388"/>
    <n v="86"/>
    <n v="538"/>
    <n v="7"/>
    <n v="3"/>
    <n v="3"/>
    <n v="19"/>
    <n v="1"/>
    <n v="88"/>
    <n v="3"/>
    <x v="5"/>
    <n v="2828"/>
    <n v="3"/>
    <n v="1.0608203677510608E-3"/>
    <n v="0"/>
    <n v="0"/>
    <n v="0"/>
    <n v="3"/>
    <n v="1"/>
    <n v="1.0608203677510608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harpAI/DeepCamera"/>
    <s v="SharpAI"/>
    <s v="DeepCamera"/>
    <s v="https://github.com/SharpAI/DeepCamera"/>
    <d v="2019-03-05T14:29:23"/>
    <d v="2021-04-05T07:49:27"/>
    <n v="761.72226851851883"/>
    <b v="0"/>
    <b v="1"/>
    <n v="766"/>
    <n v="46"/>
    <n v="108"/>
    <n v="4"/>
    <n v="1"/>
    <n v="11"/>
    <n v="27"/>
    <n v="0"/>
    <n v="36"/>
    <n v="0"/>
    <x v="5"/>
    <n v="23933"/>
    <n v="3"/>
    <n v="1.253499352358668E-4"/>
    <n v="0"/>
    <n v="0"/>
    <n v="0"/>
    <n v="1"/>
    <n v="0.33333333333333331"/>
    <n v="4.1783311745288929E-5"/>
    <n v="2"/>
    <n v="0.66666666666666663"/>
    <n v="8.3566623490577858E-5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shenril/Sitadel"/>
    <s v="shenril"/>
    <s v="Sitadel"/>
    <s v="https://github.com/shenril/Sitadel"/>
    <d v="2018-01-17T09:06:24"/>
    <d v="2021-04-08T23:30:21"/>
    <n v="1177.5999652777828"/>
    <b v="0"/>
    <b v="0"/>
    <n v="361"/>
    <n v="18"/>
    <n v="83"/>
    <n v="0"/>
    <n v="0"/>
    <n v="3"/>
    <n v="23"/>
    <n v="0"/>
    <n v="21"/>
    <n v="1"/>
    <x v="0"/>
    <n v="2378"/>
    <n v="133"/>
    <n v="5.5929352396972248E-2"/>
    <n v="40"/>
    <n v="0.3007518796992481"/>
    <n v="1.6820857863751051E-2"/>
    <n v="30"/>
    <n v="0.22556390977443608"/>
    <n v="1.2615643397813289E-2"/>
    <n v="0"/>
    <n v="0"/>
    <n v="0"/>
    <n v="63"/>
    <n v="0.47368421052631576"/>
    <n v="2.6492851135407905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hibing624/pycorrector"/>
    <s v="shibing624"/>
    <s v="pycorrector"/>
    <s v="https://github.com/shibing624/pycorrector"/>
    <d v="2018-03-01T11:08:02"/>
    <d v="2021-04-09T01:23:36"/>
    <n v="1134.5941435185232"/>
    <b v="0"/>
    <b v="0"/>
    <n v="2106"/>
    <n v="70"/>
    <n v="547"/>
    <n v="1"/>
    <n v="0"/>
    <n v="9"/>
    <n v="22"/>
    <n v="0"/>
    <n v="175"/>
    <n v="2"/>
    <x v="4"/>
    <n v="18540"/>
    <n v="186"/>
    <n v="1.0032362459546926E-2"/>
    <n v="25"/>
    <n v="0.13440860215053763"/>
    <n v="1.348435814455232E-3"/>
    <n v="64"/>
    <n v="0.34408602150537637"/>
    <n v="3.4519956850053938E-3"/>
    <n v="53"/>
    <n v="0.28494623655913981"/>
    <n v="2.8586839266450917E-3"/>
    <n v="44"/>
    <n v="0.23655913978494625"/>
    <n v="2.373247033441208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hirosaidev/stocksight"/>
    <s v="shirosaidev"/>
    <s v="stocksight"/>
    <s v="https://github.com/shirosaidev/stocksight"/>
    <d v="2017-09-25T03:29:01"/>
    <d v="2021-04-09T03:55:47"/>
    <n v="1292.0185879629571"/>
    <b v="0"/>
    <b v="0"/>
    <n v="1073"/>
    <n v="92"/>
    <n v="277"/>
    <n v="8"/>
    <n v="0"/>
    <n v="0"/>
    <n v="6"/>
    <n v="2"/>
    <n v="23"/>
    <n v="4"/>
    <x v="4"/>
    <n v="711"/>
    <n v="78"/>
    <n v="0.10970464135021098"/>
    <n v="14"/>
    <n v="0.17948717948717949"/>
    <n v="1.969057665260197E-2"/>
    <n v="47"/>
    <n v="0.60256410256410253"/>
    <n v="6.6104078762306617E-2"/>
    <n v="12"/>
    <n v="0.15384615384615385"/>
    <n v="1.6877637130801686E-2"/>
    <n v="5"/>
    <n v="6.4102564102564097E-2"/>
    <n v="7.0323488045007029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shmilylty/OneForAll"/>
    <s v="shmilylty"/>
    <s v="OneForAll"/>
    <s v="https://github.com/shmilylty/OneForAll"/>
    <d v="2018-12-10T09:43:37"/>
    <d v="2021-04-09T02:25:55"/>
    <n v="850.6960416666625"/>
    <b v="0"/>
    <b v="0"/>
    <n v="3350"/>
    <n v="80"/>
    <n v="628"/>
    <n v="16"/>
    <n v="0"/>
    <n v="11"/>
    <n v="31"/>
    <n v="0"/>
    <n v="162"/>
    <n v="18"/>
    <x v="0"/>
    <n v="6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0"/>
    <b v="0"/>
    <b v="0"/>
    <b v="0"/>
    <b v="1"/>
    <b v="0"/>
    <b v="0"/>
    <b v="0"/>
    <b v="0"/>
  </r>
  <r>
    <s v="shuup/shuup"/>
    <s v="shuup"/>
    <s v="shuup"/>
    <s v="https://github.com/shuup/shuup"/>
    <d v="2015-06-03T12:53:21"/>
    <d v="2021-04-08T21:05:54"/>
    <n v="2136.3420486111063"/>
    <b v="0"/>
    <b v="1"/>
    <n v="1553"/>
    <n v="115"/>
    <n v="792"/>
    <n v="102"/>
    <n v="62"/>
    <n v="53"/>
    <n v="2044"/>
    <n v="23"/>
    <n v="413"/>
    <n v="126"/>
    <x v="7"/>
    <n v="81597"/>
    <n v="67"/>
    <n v="8.2110861918943104E-4"/>
    <n v="0"/>
    <n v="0"/>
    <n v="0"/>
    <n v="9"/>
    <n v="0.13432835820895522"/>
    <n v="1.1029817272693849E-4"/>
    <n v="21"/>
    <n v="0.31343283582089554"/>
    <n v="2.5736240302952313E-4"/>
    <n v="27"/>
    <n v="0.40298507462686567"/>
    <n v="3.3089451818081546E-4"/>
    <n v="0"/>
    <n v="0"/>
    <n v="0"/>
    <n v="10"/>
    <n v="0.14925373134328357"/>
    <n v="1.2255352525215388E-4"/>
    <b v="1"/>
    <b v="1"/>
    <b v="0"/>
    <b v="0"/>
    <b v="1"/>
    <b v="0"/>
    <b v="0"/>
    <b v="0"/>
    <b v="0"/>
    <b v="0"/>
    <b v="0"/>
    <b v="0"/>
    <b v="0"/>
  </r>
  <r>
    <s v="SickChill/SickChill"/>
    <s v="SickChill"/>
    <s v="SickChill"/>
    <s v="https://github.com/SickChill/SickChill"/>
    <d v="2015-11-13T23:01:22"/>
    <d v="2021-04-07T07:09:07"/>
    <n v="1971.3387152777796"/>
    <b v="0"/>
    <b v="1"/>
    <n v="2077"/>
    <n v="136"/>
    <n v="614"/>
    <n v="2"/>
    <n v="361"/>
    <n v="406"/>
    <n v="2386"/>
    <n v="1"/>
    <n v="4642"/>
    <n v="61"/>
    <x v="7"/>
    <n v="438215"/>
    <n v="3586"/>
    <n v="8.1831977453989489E-3"/>
    <n v="1503"/>
    <n v="0.41912994980479645"/>
    <n v="3.4298232602717844E-3"/>
    <n v="752"/>
    <n v="0.20970440602342444"/>
    <n v="1.7160526225711123E-3"/>
    <n v="908"/>
    <n v="0.25320691578360288"/>
    <n v="2.0720422623598006E-3"/>
    <n v="247"/>
    <n v="6.8878973786949252E-2"/>
    <n v="5.636502629987563E-4"/>
    <n v="3"/>
    <n v="8.3658672615727835E-4"/>
    <n v="6.8459546113209272E-6"/>
    <n v="173"/>
    <n v="4.8243167875069715E-2"/>
    <n v="3.9478338258617347E-4"/>
    <b v="1"/>
    <b v="1"/>
    <b v="0"/>
    <b v="0"/>
    <b v="1"/>
    <b v="0"/>
    <b v="0"/>
    <b v="0"/>
    <b v="0"/>
    <b v="0"/>
    <b v="0"/>
    <b v="0"/>
    <b v="0"/>
  </r>
  <r>
    <s v="SiCKRAGE/SiCKRAGE"/>
    <s v="SiCKRAGE"/>
    <s v="SiCKRAGE"/>
    <s v="https://github.com/SiCKRAGE/SiCKRAGE"/>
    <d v="2014-03-10T05:20:31"/>
    <d v="2021-04-06T16:16:10"/>
    <n v="2584.455312500002"/>
    <b v="0"/>
    <b v="1"/>
    <n v="1529"/>
    <n v="170"/>
    <n v="707"/>
    <n v="2"/>
    <n v="517"/>
    <n v="196"/>
    <n v="2669"/>
    <n v="0"/>
    <n v="0"/>
    <n v="0"/>
    <x v="0"/>
    <n v="41032"/>
    <n v="1673"/>
    <n v="4.0773055176447651E-2"/>
    <n v="923"/>
    <n v="0.55170352659892408"/>
    <n v="2.2494638331058685E-2"/>
    <n v="266"/>
    <n v="0.15899581589958159"/>
    <n v="6.4827451744979532E-3"/>
    <n v="315"/>
    <n v="0.18828451882845187"/>
    <n v="7.6769350750633654E-3"/>
    <n v="163"/>
    <n v="9.7429766885833838E-2"/>
    <n v="3.9725092610645354E-3"/>
    <n v="1"/>
    <n v="5.977286312014345E-4"/>
    <n v="2.4371222460518618E-5"/>
    <n v="5"/>
    <n v="2.9886431560071729E-3"/>
    <n v="1.2185611230259309E-4"/>
    <b v="1"/>
    <b v="1"/>
    <b v="0"/>
    <b v="0"/>
    <b v="1"/>
    <b v="0"/>
    <b v="0"/>
    <b v="0"/>
    <b v="0"/>
    <b v="0"/>
    <b v="0"/>
    <b v="0"/>
    <b v="0"/>
  </r>
  <r>
    <s v="sightmachine/SimpleCV"/>
    <s v="sightmachine"/>
    <s v="SimpleCV"/>
    <s v="https://github.com/sightmachine/SimpleCV"/>
    <d v="2011-08-16T18:04:07"/>
    <d v="2021-04-08T21:46:54"/>
    <n v="3523.1547106481521"/>
    <b v="0"/>
    <b v="1"/>
    <n v="2461"/>
    <n v="195"/>
    <n v="736"/>
    <n v="0"/>
    <n v="19"/>
    <n v="69"/>
    <n v="401"/>
    <n v="49"/>
    <n v="326"/>
    <n v="75"/>
    <x v="2"/>
    <n v="25710"/>
    <n v="266"/>
    <n v="1.0346168805912097E-2"/>
    <n v="0"/>
    <n v="0"/>
    <n v="0"/>
    <n v="5"/>
    <n v="1.8796992481203006E-2"/>
    <n v="1.9447685725398678E-4"/>
    <n v="259"/>
    <n v="0.97368421052631582"/>
    <n v="1.0073901205756516E-2"/>
    <n v="2"/>
    <n v="7.5187969924812026E-3"/>
    <n v="7.7790742901594705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ignalfx/maestro-ng"/>
    <s v="signalfx"/>
    <s v="maestro-ng"/>
    <s v="https://github.com/signalfx/maestro-ng"/>
    <d v="2013-11-08T23:24:30"/>
    <d v="2021-04-06T08:15:37"/>
    <n v="2705.3688310185171"/>
    <b v="0"/>
    <b v="1"/>
    <n v="678"/>
    <n v="95"/>
    <n v="84"/>
    <n v="2"/>
    <n v="5"/>
    <n v="38"/>
    <n v="88"/>
    <n v="0"/>
    <n v="134"/>
    <n v="25"/>
    <x v="4"/>
    <n v="2808"/>
    <n v="5"/>
    <n v="1.7806267806267807E-3"/>
    <n v="0"/>
    <n v="0"/>
    <n v="0"/>
    <n v="0"/>
    <n v="0"/>
    <n v="0"/>
    <n v="0"/>
    <n v="0"/>
    <n v="0"/>
    <n v="5"/>
    <n v="1"/>
    <n v="1.780626780626780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imple-login/app"/>
    <s v="simple-login"/>
    <s v="app"/>
    <s v="https://github.com/simple-login/app"/>
    <d v="2019-12-18T16:14:58"/>
    <d v="2021-04-08T22:55:30"/>
    <n v="477.27814814815065"/>
    <b v="0"/>
    <b v="1"/>
    <n v="1095"/>
    <n v="29"/>
    <n v="107"/>
    <n v="0"/>
    <n v="30"/>
    <n v="18"/>
    <n v="244"/>
    <n v="3"/>
    <n v="150"/>
    <n v="6"/>
    <x v="5"/>
    <n v="13194"/>
    <n v="167"/>
    <n v="1.2657268455358497E-2"/>
    <n v="45"/>
    <n v="0.26946107784431139"/>
    <n v="3.4106412005457027E-3"/>
    <n v="5"/>
    <n v="2.9940119760479042E-2"/>
    <n v="3.7896013339396695E-4"/>
    <n v="65"/>
    <n v="0.38922155688622756"/>
    <n v="4.9264817341215707E-3"/>
    <n v="4"/>
    <n v="2.3952095808383235E-2"/>
    <n v="3.0316810671517357E-4"/>
    <n v="0"/>
    <n v="0"/>
    <n v="0"/>
    <n v="48"/>
    <n v="0.28742514970059879"/>
    <n v="3.6380172805820826E-3"/>
    <b v="1"/>
    <b v="0"/>
    <b v="0"/>
    <b v="0"/>
    <b v="1"/>
    <b v="0"/>
    <b v="0"/>
    <b v="0"/>
    <b v="0"/>
    <b v="0"/>
    <b v="0"/>
    <b v="0"/>
    <b v="0"/>
  </r>
  <r>
    <s v="SimplySecurity/SimplyEmail"/>
    <s v="SimplySecurity"/>
    <s v="SimplyEmail"/>
    <s v="https://github.com/SimplySecurity/SimplyEmail"/>
    <d v="2015-10-30T03:12:10"/>
    <d v="2021-04-07T06:51:00"/>
    <n v="1986.1519675925883"/>
    <b v="0"/>
    <b v="1"/>
    <n v="784"/>
    <n v="62"/>
    <n v="193"/>
    <n v="20"/>
    <n v="0"/>
    <n v="11"/>
    <n v="44"/>
    <n v="4"/>
    <n v="30"/>
    <n v="18"/>
    <x v="0"/>
    <n v="4587"/>
    <n v="176"/>
    <n v="3.8369304556354913E-2"/>
    <n v="65"/>
    <n v="0.36931818181818182"/>
    <n v="1.4170481796381078E-2"/>
    <n v="40"/>
    <n v="0.22727272727272727"/>
    <n v="8.7202964900806625E-3"/>
    <n v="7"/>
    <n v="3.9772727272727272E-2"/>
    <n v="1.526051885764116E-3"/>
    <n v="40"/>
    <n v="0.22727272727272727"/>
    <n v="8.7202964900806625E-3"/>
    <n v="24"/>
    <n v="0.13636363636363635"/>
    <n v="5.232177894048398E-3"/>
    <n v="0"/>
    <n v="0"/>
    <n v="0"/>
    <b v="1"/>
    <b v="0"/>
    <b v="0"/>
    <b v="0"/>
    <b v="1"/>
    <b v="0"/>
    <b v="0"/>
    <b v="0"/>
    <b v="0"/>
    <b v="0"/>
    <b v="0"/>
    <b v="0"/>
    <b v="0"/>
  </r>
  <r>
    <s v="sirfz/tesserocr"/>
    <s v="sirfz"/>
    <s v="tesserocr"/>
    <s v="https://github.com/sirfz/tesserocr"/>
    <d v="2015-12-17T23:29:36"/>
    <d v="2021-04-08T18:52:01"/>
    <n v="1938.8072337962949"/>
    <b v="0"/>
    <b v="0"/>
    <n v="1427"/>
    <n v="51"/>
    <n v="193"/>
    <n v="12"/>
    <n v="3"/>
    <n v="22"/>
    <n v="47"/>
    <n v="5"/>
    <n v="205"/>
    <n v="58"/>
    <x v="5"/>
    <n v="1794"/>
    <n v="12"/>
    <n v="6.688963210702341E-3"/>
    <n v="2"/>
    <n v="0.16666666666666666"/>
    <n v="1.1148272017837235E-3"/>
    <n v="6"/>
    <n v="0.5"/>
    <n v="3.3444816053511705E-3"/>
    <n v="4"/>
    <n v="0.33333333333333331"/>
    <n v="2.229654403567447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issbruecker/linkding"/>
    <s v="sissbruecker"/>
    <s v="linkding"/>
    <s v="https://github.com/sissbruecker/linkding"/>
    <d v="2019-06-28T05:34:23"/>
    <d v="2021-04-09T02:40:37"/>
    <n v="650.87932870369696"/>
    <b v="0"/>
    <b v="0"/>
    <n v="637"/>
    <n v="12"/>
    <n v="42"/>
    <n v="16"/>
    <n v="0"/>
    <n v="8"/>
    <n v="49"/>
    <n v="5"/>
    <n v="61"/>
    <n v="15"/>
    <x v="5"/>
    <n v="1364"/>
    <n v="7"/>
    <n v="5.131964809384164E-3"/>
    <n v="0"/>
    <n v="0"/>
    <n v="0"/>
    <n v="0"/>
    <n v="0"/>
    <n v="0"/>
    <n v="0"/>
    <n v="0"/>
    <n v="0"/>
    <n v="4"/>
    <n v="0.5714285714285714"/>
    <n v="2.9325513196480938E-3"/>
    <n v="0"/>
    <n v="0"/>
    <n v="0"/>
    <n v="3"/>
    <n v="0.42857142857142855"/>
    <n v="2.1994134897360706E-3"/>
    <b v="1"/>
    <b v="1"/>
    <b v="0"/>
    <b v="0"/>
    <b v="1"/>
    <b v="0"/>
    <b v="0"/>
    <b v="0"/>
    <b v="0"/>
    <b v="0"/>
    <b v="0"/>
    <b v="0"/>
    <b v="0"/>
  </r>
  <r>
    <s v="Sitoi/dailycheckin"/>
    <s v="Sitoi"/>
    <s v="dailycheckin"/>
    <s v="https://github.com/Sitoi/dailycheckin"/>
    <d v="2020-12-02T02:15:50"/>
    <d v="2021-04-09T02:08:08"/>
    <n v="127.99465277777927"/>
    <b v="0"/>
    <b v="0"/>
    <n v="763"/>
    <n v="23"/>
    <n v="933"/>
    <n v="0"/>
    <n v="0"/>
    <n v="3"/>
    <n v="30"/>
    <n v="0"/>
    <n v="100"/>
    <n v="1"/>
    <x v="5"/>
    <n v="9472"/>
    <n v="11"/>
    <n v="1.1613175675675676E-3"/>
    <n v="3"/>
    <n v="0.27272727272727271"/>
    <n v="3.1672297297297299E-4"/>
    <n v="0"/>
    <n v="0"/>
    <n v="0"/>
    <n v="8"/>
    <n v="0.72727272727272729"/>
    <n v="8.4459459459459464E-4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skoczen/will"/>
    <s v="skoczen"/>
    <s v="will"/>
    <s v="https://github.com/skoczen/will"/>
    <d v="2013-12-03T17:08:08"/>
    <d v="2021-04-04T13:08:21"/>
    <n v="2678.8334837962975"/>
    <b v="0"/>
    <b v="0"/>
    <n v="391"/>
    <n v="21"/>
    <n v="153"/>
    <n v="0"/>
    <n v="9"/>
    <n v="54"/>
    <n v="193"/>
    <n v="15"/>
    <n v="245"/>
    <n v="40"/>
    <x v="5"/>
    <n v="5488"/>
    <n v="142"/>
    <n v="2.5874635568513119E-2"/>
    <n v="49"/>
    <n v="0.34507042253521125"/>
    <n v="8.9285714285714281E-3"/>
    <n v="22"/>
    <n v="0.15492957746478872"/>
    <n v="4.0087463556851312E-3"/>
    <n v="11"/>
    <n v="7.746478873239436E-2"/>
    <n v="2.0043731778425656E-3"/>
    <n v="16"/>
    <n v="0.11267605633802817"/>
    <n v="2.9154518950437317E-3"/>
    <n v="29"/>
    <n v="0.20422535211267606"/>
    <n v="5.2842565597667635E-3"/>
    <n v="15"/>
    <n v="0.10563380281690141"/>
    <n v="2.7332361516034984E-3"/>
    <b v="1"/>
    <b v="1"/>
    <b v="0"/>
    <b v="0"/>
    <b v="1"/>
    <b v="0"/>
    <b v="0"/>
    <b v="0"/>
    <b v="0"/>
    <b v="0"/>
    <b v="0"/>
    <b v="0"/>
    <b v="0"/>
  </r>
  <r>
    <s v="smicallef/spiderfoot"/>
    <s v="smicallef"/>
    <s v="spiderfoot"/>
    <s v="https://github.com/smicallef/spiderfoot"/>
    <d v="2012-04-28T07:10:13"/>
    <d v="2021-04-08T13:16:24"/>
    <n v="3267.2542939814812"/>
    <b v="0"/>
    <b v="0"/>
    <n v="5645"/>
    <n v="285"/>
    <n v="1054"/>
    <n v="5"/>
    <n v="12"/>
    <n v="34"/>
    <n v="800"/>
    <n v="3"/>
    <n v="352"/>
    <n v="57"/>
    <x v="7"/>
    <n v="39374"/>
    <n v="1844"/>
    <n v="4.6832935439630213E-2"/>
    <n v="1155"/>
    <n v="0.62635574837310193"/>
    <n v="2.9334078325798752E-2"/>
    <n v="198"/>
    <n v="0.10737527114967461"/>
    <n v="5.0286991415655E-3"/>
    <n v="2"/>
    <n v="1.0845986984815619E-3"/>
    <n v="5.0794940823893938E-5"/>
    <n v="480"/>
    <n v="0.26030368763557482"/>
    <n v="1.2190785797734546E-2"/>
    <n v="7"/>
    <n v="3.7960954446854662E-3"/>
    <n v="1.7778229288362878E-4"/>
    <n v="2"/>
    <n v="1.0845986984815619E-3"/>
    <n v="5.0794940823893938E-5"/>
    <b v="1"/>
    <b v="1"/>
    <b v="0"/>
    <b v="0"/>
    <b v="1"/>
    <b v="0"/>
    <b v="0"/>
    <b v="0"/>
    <b v="0"/>
    <b v="0"/>
    <b v="0"/>
    <b v="0"/>
    <b v="0"/>
  </r>
  <r>
    <s v="snakemake/snakemake"/>
    <s v="snakemake"/>
    <s v="snakemake"/>
    <s v="https://github.com/snakemake/snakemake"/>
    <d v="2019-10-04T14:58:11"/>
    <d v="2021-04-09T03:20:16"/>
    <n v="552.51533564814599"/>
    <b v="0"/>
    <b v="1"/>
    <n v="921"/>
    <n v="20"/>
    <n v="201"/>
    <n v="62"/>
    <n v="26"/>
    <n v="174"/>
    <n v="358"/>
    <n v="28"/>
    <n v="591"/>
    <n v="369"/>
    <x v="5"/>
    <n v="17156"/>
    <n v="318"/>
    <n v="1.8535789228258336E-2"/>
    <n v="71"/>
    <n v="0.22327044025157233"/>
    <n v="4.138493821403591E-3"/>
    <n v="120"/>
    <n v="0.37735849056603776"/>
    <n v="6.9946374446257873E-3"/>
    <n v="60"/>
    <n v="0.18867924528301888"/>
    <n v="3.4973187223128937E-3"/>
    <n v="67"/>
    <n v="0.21069182389937108"/>
    <n v="3.905339239916064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napcore/snapcraft"/>
    <s v="snapcore"/>
    <s v="snapcraft"/>
    <s v="https://github.com/snapcore/snapcraft"/>
    <d v="2015-10-29T17:23:15"/>
    <d v="2021-04-08T17:48:16"/>
    <n v="1988.0173726851863"/>
    <b v="0"/>
    <b v="1"/>
    <n v="972"/>
    <n v="41"/>
    <n v="347"/>
    <n v="79"/>
    <n v="37"/>
    <n v="163"/>
    <n v="3279"/>
    <n v="12"/>
    <n v="0"/>
    <n v="0"/>
    <x v="0"/>
    <n v="49629"/>
    <n v="393"/>
    <n v="7.9187571782627086E-3"/>
    <n v="155"/>
    <n v="0.3944020356234097"/>
    <n v="3.1231739507143002E-3"/>
    <n v="106"/>
    <n v="0.26972010178117051"/>
    <n v="2.1358479921013925E-3"/>
    <n v="111"/>
    <n v="0.28244274809160308"/>
    <n v="2.2365955388986276E-3"/>
    <n v="17"/>
    <n v="4.3256997455470736E-2"/>
    <n v="3.4254165911060065E-4"/>
    <n v="4"/>
    <n v="1.0178117048346057E-2"/>
    <n v="8.0598037437788387E-5"/>
    <n v="0"/>
    <n v="0"/>
    <n v="0"/>
    <b v="1"/>
    <b v="0"/>
    <b v="0"/>
    <b v="0"/>
    <b v="1"/>
    <b v="0"/>
    <b v="0"/>
    <b v="0"/>
    <b v="0"/>
    <b v="0"/>
    <b v="0"/>
    <b v="0"/>
    <b v="0"/>
  </r>
  <r>
    <s v="songcser/sanic-ms"/>
    <s v="songcser"/>
    <s v="sanic-ms"/>
    <s v="https://github.com/songcser/sanic-ms"/>
    <d v="2017-08-31T08:36:22"/>
    <d v="2021-04-03T16:51:14"/>
    <n v="1311.3436574074076"/>
    <b v="0"/>
    <b v="0"/>
    <n v="340"/>
    <n v="19"/>
    <n v="89"/>
    <n v="0"/>
    <n v="0"/>
    <n v="2"/>
    <n v="1"/>
    <n v="0"/>
    <n v="15"/>
    <n v="4"/>
    <x v="1"/>
    <n v="1526"/>
    <n v="10"/>
    <n v="6.55307994757536E-3"/>
    <n v="0"/>
    <n v="0"/>
    <n v="0"/>
    <n v="8"/>
    <n v="0.8"/>
    <n v="5.2424639580602884E-3"/>
    <n v="0"/>
    <n v="0"/>
    <n v="0"/>
    <n v="1"/>
    <n v="0.1"/>
    <n v="6.5530799475753605E-4"/>
    <n v="0"/>
    <n v="0"/>
    <n v="0"/>
    <n v="1"/>
    <n v="0.1"/>
    <n v="6.5530799475753605E-4"/>
    <b v="1"/>
    <b v="1"/>
    <b v="0"/>
    <b v="0"/>
    <b v="1"/>
    <b v="0"/>
    <b v="0"/>
    <b v="0"/>
    <b v="0"/>
    <b v="0"/>
    <b v="0"/>
    <b v="0"/>
    <b v="0"/>
  </r>
  <r>
    <s v="sony/nnabla"/>
    <s v="sony"/>
    <s v="nnabla"/>
    <s v="https://github.com/sony/nnabla"/>
    <d v="2017-06-26T01:07:10"/>
    <d v="2021-04-07T12:02:28"/>
    <n v="1381.4550694444479"/>
    <b v="0"/>
    <b v="1"/>
    <n v="2433"/>
    <n v="167"/>
    <n v="291"/>
    <n v="49"/>
    <n v="0"/>
    <n v="48"/>
    <n v="811"/>
    <n v="13"/>
    <n v="47"/>
    <n v="18"/>
    <x v="4"/>
    <n v="45578"/>
    <n v="168"/>
    <n v="3.6859888542717977E-3"/>
    <n v="24"/>
    <n v="0.14285714285714285"/>
    <n v="5.2656983632454256E-4"/>
    <n v="68"/>
    <n v="0.40476190476190477"/>
    <n v="1.4919478695862038E-3"/>
    <n v="38"/>
    <n v="0.22619047619047619"/>
    <n v="8.3373557418052566E-4"/>
    <n v="4"/>
    <n v="2.3809523809523808E-2"/>
    <n v="8.776163938742376E-5"/>
    <n v="34"/>
    <n v="0.20238095238095238"/>
    <n v="7.459739347931019E-4"/>
    <n v="0"/>
    <n v="0"/>
    <n v="0"/>
    <b v="1"/>
    <b v="0"/>
    <b v="0"/>
    <b v="0"/>
    <b v="1"/>
    <b v="0"/>
    <b v="0"/>
    <b v="0"/>
    <b v="0"/>
    <b v="0"/>
    <b v="0"/>
    <b v="0"/>
    <b v="0"/>
  </r>
  <r>
    <s v="spaam/svtplay-dl"/>
    <s v="spaam"/>
    <s v="svtplay-dl"/>
    <s v="https://github.com/spaam/svtplay-dl"/>
    <d v="2011-03-01T16:49:18"/>
    <d v="2021-04-08T19:29:59"/>
    <n v="3691.1115856481483"/>
    <b v="0"/>
    <b v="0"/>
    <n v="528"/>
    <n v="39"/>
    <n v="102"/>
    <n v="0"/>
    <n v="27"/>
    <n v="52"/>
    <n v="208"/>
    <n v="12"/>
    <n v="1109"/>
    <n v="281"/>
    <x v="5"/>
    <n v="6975"/>
    <n v="86"/>
    <n v="1.2329749103942652E-2"/>
    <n v="5"/>
    <n v="5.8139534883720929E-2"/>
    <n v="7.1684587813620072E-4"/>
    <n v="30"/>
    <n v="0.34883720930232559"/>
    <n v="4.3010752688172043E-3"/>
    <n v="7"/>
    <n v="8.1395348837209308E-2"/>
    <n v="1.003584229390681E-3"/>
    <n v="44"/>
    <n v="0.51162790697674421"/>
    <n v="6.308243727598566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pack/spack"/>
    <s v="spack"/>
    <s v="spack"/>
    <s v="https://github.com/spack/spack"/>
    <d v="2014-01-08T09:22:12"/>
    <d v="2021-04-08T20:54:41"/>
    <n v="2647.4808912037042"/>
    <b v="0"/>
    <b v="1"/>
    <n v="2004"/>
    <n v="89"/>
    <n v="1169"/>
    <n v="24"/>
    <n v="209"/>
    <n v="786"/>
    <n v="17908"/>
    <n v="373"/>
    <n v="4958"/>
    <n v="1392"/>
    <x v="7"/>
    <n v="220314"/>
    <n v="634"/>
    <n v="2.8777109035285999E-3"/>
    <n v="337"/>
    <n v="0.53154574132492116"/>
    <n v="1.5296349755349182E-3"/>
    <n v="38"/>
    <n v="5.993690851735016E-2"/>
    <n v="1.7248109516417476E-4"/>
    <n v="195"/>
    <n v="0.30757097791798105"/>
    <n v="8.8510035676352843E-4"/>
    <n v="64"/>
    <n v="0.10094637223974763"/>
    <n v="2.904944760659785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pesmilo/electrum"/>
    <s v="spesmilo"/>
    <s v="electrum"/>
    <s v="https://github.com/spesmilo/electrum"/>
    <d v="2012-08-02T16:24:30"/>
    <d v="2021-04-08T21:40:57"/>
    <n v="3171.2197569444397"/>
    <b v="0"/>
    <b v="1"/>
    <n v="4754"/>
    <n v="298"/>
    <n v="1523"/>
    <n v="0"/>
    <n v="424"/>
    <n v="284"/>
    <n v="1789"/>
    <n v="45"/>
    <n v="5334"/>
    <n v="774"/>
    <x v="5"/>
    <n v="61485"/>
    <n v="540"/>
    <n v="8.7826299097340816E-3"/>
    <n v="24"/>
    <n v="4.4444444444444446E-2"/>
    <n v="3.9033910709929251E-4"/>
    <n v="391"/>
    <n v="0.72407407407407409"/>
    <n v="6.3592746198259742E-3"/>
    <n v="27"/>
    <n v="0.05"/>
    <n v="4.3913149548670407E-4"/>
    <n v="20"/>
    <n v="3.7037037037037035E-2"/>
    <n v="3.2528258924941042E-4"/>
    <n v="0"/>
    <n v="0"/>
    <n v="0"/>
    <n v="78"/>
    <n v="0.14444444444444443"/>
    <n v="1.2686020980727008E-3"/>
    <b v="1"/>
    <b v="0"/>
    <b v="0"/>
    <b v="0"/>
    <b v="1"/>
    <b v="0"/>
    <b v="0"/>
    <b v="0"/>
    <b v="0"/>
    <b v="0"/>
    <b v="0"/>
    <b v="0"/>
    <b v="0"/>
  </r>
  <r>
    <s v="SpiderClub/haipproxy"/>
    <s v="SpiderClub"/>
    <s v="haipproxy"/>
    <s v="https://github.com/SpiderClub/haipproxy"/>
    <d v="2017-09-16T07:14:27"/>
    <d v="2021-04-08T07:58:15"/>
    <n v="1300.0304166666683"/>
    <b v="0"/>
    <b v="1"/>
    <n v="4770"/>
    <n v="205"/>
    <n v="841"/>
    <n v="1"/>
    <n v="4"/>
    <n v="8"/>
    <n v="26"/>
    <n v="1"/>
    <n v="92"/>
    <n v="37"/>
    <x v="5"/>
    <n v="1675"/>
    <n v="1"/>
    <n v="5.9701492537313433E-4"/>
    <n v="0"/>
    <n v="0"/>
    <n v="0"/>
    <n v="0"/>
    <n v="0"/>
    <n v="0"/>
    <n v="0"/>
    <n v="0"/>
    <n v="0"/>
    <n v="1"/>
    <n v="1"/>
    <n v="5.9701492537313433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SpiderClub/weibospider"/>
    <s v="SpiderClub"/>
    <s v="weibospider"/>
    <s v="https://github.com/SpiderClub/weibospider"/>
    <d v="2016-06-27T07:02:06"/>
    <d v="2021-04-07T22:46:49"/>
    <n v="1745.6560532407457"/>
    <b v="0"/>
    <b v="1"/>
    <n v="4607"/>
    <n v="299"/>
    <n v="1191"/>
    <n v="0"/>
    <n v="3"/>
    <n v="13"/>
    <n v="60"/>
    <n v="2"/>
    <n v="156"/>
    <n v="15"/>
    <x v="5"/>
    <n v="3360"/>
    <n v="56"/>
    <n v="1.6666666666666666E-2"/>
    <n v="0"/>
    <n v="0"/>
    <n v="0"/>
    <n v="10"/>
    <n v="0.17857142857142858"/>
    <n v="2.976190476190476E-3"/>
    <n v="12"/>
    <n v="0.21428571428571427"/>
    <n v="3.5714285714285713E-3"/>
    <n v="34"/>
    <n v="0.6071428571428571"/>
    <n v="1.011904761904762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piral-project/ihatemoney"/>
    <s v="spiral-project"/>
    <s v="ihatemoney"/>
    <s v="https://github.com/spiral-project/ihatemoney"/>
    <d v="2011-03-10T02:38:21"/>
    <d v="2021-04-07T13:29:36"/>
    <n v="3681.4522569444453"/>
    <b v="0"/>
    <b v="1"/>
    <n v="507"/>
    <n v="22"/>
    <n v="158"/>
    <n v="3"/>
    <n v="44"/>
    <n v="87"/>
    <n v="412"/>
    <n v="10"/>
    <n v="324"/>
    <n v="42"/>
    <x v="7"/>
    <n v="3259"/>
    <n v="5"/>
    <n v="1.5342129487572874E-3"/>
    <n v="0"/>
    <n v="0"/>
    <n v="0"/>
    <n v="1"/>
    <n v="0.2"/>
    <n v="3.0684258975145751E-4"/>
    <n v="4"/>
    <n v="0.8"/>
    <n v="1.22737035900583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plunk/splunk-sdk-python"/>
    <s v="splunk"/>
    <s v="splunk-sdk-python"/>
    <s v="https://github.com/splunk/splunk-sdk-python"/>
    <d v="2011-03-20T23:20:06"/>
    <d v="2021-03-27T03:24:30"/>
    <n v="3659.169722222221"/>
    <b v="0"/>
    <b v="1"/>
    <n v="522"/>
    <n v="100"/>
    <n v="297"/>
    <n v="10"/>
    <n v="132"/>
    <n v="50"/>
    <n v="203"/>
    <n v="32"/>
    <n v="170"/>
    <n v="43"/>
    <x v="4"/>
    <n v="16097"/>
    <n v="59"/>
    <n v="3.6652792445797354E-3"/>
    <n v="43"/>
    <n v="0.72881355932203384"/>
    <n v="2.6713052121513326E-3"/>
    <n v="2"/>
    <n v="3.3898305084745763E-2"/>
    <n v="1.2424675405355034E-4"/>
    <n v="5"/>
    <n v="8.4745762711864403E-2"/>
    <n v="3.1061688513387586E-4"/>
    <n v="9"/>
    <n v="0.15254237288135594"/>
    <n v="5.591103932409766E-4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spotify/dh-virtualenv"/>
    <s v="spotify"/>
    <s v="dh-virtualenv"/>
    <s v="https://github.com/spotify/dh-virtualenv"/>
    <d v="2013-10-09T19:03:43"/>
    <d v="2021-04-08T19:40:16"/>
    <n v="2738.0253819444479"/>
    <b v="0"/>
    <b v="1"/>
    <n v="1435"/>
    <n v="41"/>
    <n v="157"/>
    <n v="0"/>
    <n v="4"/>
    <n v="46"/>
    <n v="143"/>
    <n v="4"/>
    <n v="180"/>
    <n v="24"/>
    <x v="3"/>
    <n v="974"/>
    <n v="5"/>
    <n v="5.1334702258726897E-3"/>
    <n v="2"/>
    <n v="0.4"/>
    <n v="2.0533880903490761E-3"/>
    <n v="0"/>
    <n v="0"/>
    <n v="0"/>
    <n v="2"/>
    <n v="0.4"/>
    <n v="2.0533880903490761E-3"/>
    <n v="1"/>
    <n v="0.2"/>
    <n v="1.02669404517453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potify/klio"/>
    <s v="spotify"/>
    <s v="klio"/>
    <s v="https://github.com/spotify/klio"/>
    <d v="2020-08-07T22:02:58"/>
    <d v="2021-04-02T16:58:57"/>
    <n v="237.78887731481518"/>
    <b v="0"/>
    <b v="1"/>
    <n v="565"/>
    <n v="23"/>
    <n v="28"/>
    <n v="0"/>
    <n v="0"/>
    <n v="8"/>
    <n v="182"/>
    <n v="4"/>
    <n v="6"/>
    <n v="5"/>
    <x v="4"/>
    <n v="14446"/>
    <n v="263"/>
    <n v="1.8205731690433338E-2"/>
    <n v="25"/>
    <n v="9.5057034220532313E-2"/>
    <n v="1.7305828603073514E-3"/>
    <n v="119"/>
    <n v="0.45247148288973382"/>
    <n v="8.2375744150629936E-3"/>
    <n v="34"/>
    <n v="0.12927756653992395"/>
    <n v="2.3535926900179979E-3"/>
    <n v="85"/>
    <n v="0.32319391634980987"/>
    <n v="5.883981725044995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potify/snakebite"/>
    <s v="spotify"/>
    <s v="snakebite"/>
    <s v="https://github.com/spotify/snakebite"/>
    <d v="2013-05-07T09:44:13"/>
    <d v="2021-02-24T03:05:48"/>
    <n v="2849.7233217592657"/>
    <b v="0"/>
    <b v="1"/>
    <n v="828"/>
    <n v="133"/>
    <n v="200"/>
    <n v="0"/>
    <n v="0"/>
    <n v="25"/>
    <n v="126"/>
    <n v="11"/>
    <n v="132"/>
    <n v="59"/>
    <x v="4"/>
    <n v="5463"/>
    <n v="51"/>
    <n v="9.335529928610654E-3"/>
    <n v="50"/>
    <n v="0.98039215686274506"/>
    <n v="9.1524803221673078E-3"/>
    <n v="0"/>
    <n v="0"/>
    <n v="0"/>
    <n v="0"/>
    <n v="0"/>
    <n v="0"/>
    <n v="1"/>
    <n v="1.9607843137254902E-2"/>
    <n v="1.830496064433461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pulec/moto"/>
    <s v="spulec"/>
    <s v="moto"/>
    <s v="https://github.com/spulec/moto"/>
    <d v="2013-02-18T21:10:59"/>
    <d v="2021-04-09T00:26:13"/>
    <n v="2971.1355787037028"/>
    <b v="0"/>
    <b v="0"/>
    <n v="4525"/>
    <n v="64"/>
    <n v="1322"/>
    <n v="0"/>
    <n v="35"/>
    <n v="620"/>
    <n v="2189"/>
    <n v="81"/>
    <n v="1653"/>
    <n v="230"/>
    <x v="4"/>
    <n v="108436"/>
    <n v="18"/>
    <n v="1.6599653251687631E-4"/>
    <n v="9"/>
    <n v="0.5"/>
    <n v="8.2998266258438156E-5"/>
    <n v="0"/>
    <n v="0"/>
    <n v="0"/>
    <n v="7"/>
    <n v="0.3888888888888889"/>
    <n v="6.4554207089896344E-5"/>
    <n v="2"/>
    <n v="0.1111111111111111"/>
    <n v="1.8444059168541813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ql-machine-learning/elasticdl"/>
    <s v="sql-machine-learning"/>
    <s v="elasticdl"/>
    <s v="https://github.com/sql-machine-learning/elasticdl"/>
    <d v="2018-10-22T23:53:10"/>
    <d v="2021-04-07T09:41:49"/>
    <n v="897.40878472222539"/>
    <b v="0"/>
    <b v="1"/>
    <n v="609"/>
    <n v="45"/>
    <n v="98"/>
    <n v="2"/>
    <n v="5"/>
    <n v="22"/>
    <n v="1697"/>
    <n v="1"/>
    <n v="819"/>
    <n v="91"/>
    <x v="5"/>
    <n v="13355"/>
    <n v="143"/>
    <n v="1.0707600149756646E-2"/>
    <n v="4"/>
    <n v="2.7972027972027972E-2"/>
    <n v="2.9951329090228376E-4"/>
    <n v="86"/>
    <n v="0.60139860139860135"/>
    <n v="6.4395357543991011E-3"/>
    <n v="38"/>
    <n v="0.26573426573426573"/>
    <n v="2.8453762635716959E-3"/>
    <n v="15"/>
    <n v="0.1048951048951049"/>
    <n v="1.123174840883564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rinivas11789/PcapXray"/>
    <s v="Srinivas11789"/>
    <s v="PcapXray"/>
    <s v="https://github.com/Srinivas11789/PcapXray"/>
    <d v="2017-10-02T04:47:51"/>
    <d v="2021-04-08T17:03:50"/>
    <n v="1284.5110995370342"/>
    <b v="0"/>
    <b v="0"/>
    <n v="1113"/>
    <n v="70"/>
    <n v="204"/>
    <n v="15"/>
    <n v="0"/>
    <n v="2"/>
    <n v="38"/>
    <n v="0"/>
    <n v="19"/>
    <n v="15"/>
    <x v="3"/>
    <n v="1947"/>
    <n v="14"/>
    <n v="7.1905495634309192E-3"/>
    <n v="5"/>
    <n v="0.35714285714285715"/>
    <n v="2.5680534155110425E-3"/>
    <n v="7"/>
    <n v="0.5"/>
    <n v="3.5952747817154596E-3"/>
    <n v="0"/>
    <n v="0"/>
    <n v="0"/>
    <n v="2"/>
    <n v="0.14285714285714285"/>
    <n v="1.027221366204417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t4lk/django-rest-social-auth"/>
    <s v="st4lk"/>
    <s v="django-rest-social-auth"/>
    <s v="https://github.com/st4lk/django-rest-social-auth"/>
    <d v="2015-05-26T14:32:53"/>
    <d v="2021-04-08T17:51:24"/>
    <n v="2144.1378587962972"/>
    <b v="0"/>
    <b v="0"/>
    <n v="402"/>
    <n v="15"/>
    <n v="110"/>
    <n v="10"/>
    <n v="0"/>
    <n v="22"/>
    <n v="52"/>
    <n v="2"/>
    <n v="94"/>
    <n v="32"/>
    <x v="5"/>
    <n v="767"/>
    <n v="8"/>
    <n v="1.0430247718383311E-2"/>
    <n v="0"/>
    <n v="0"/>
    <n v="0"/>
    <n v="0"/>
    <n v="0"/>
    <n v="0"/>
    <n v="4"/>
    <n v="0.5"/>
    <n v="5.2151238591916557E-3"/>
    <n v="3"/>
    <n v="0.375"/>
    <n v="3.9113428943937422E-3"/>
    <n v="0"/>
    <n v="0"/>
    <n v="0"/>
    <n v="1"/>
    <n v="0.125"/>
    <n v="1.3037809647979139E-3"/>
    <b v="1"/>
    <b v="0"/>
    <b v="0"/>
    <b v="0"/>
    <b v="1"/>
    <b v="0"/>
    <b v="0"/>
    <b v="0"/>
    <b v="0"/>
    <b v="0"/>
    <b v="0"/>
    <b v="0"/>
    <b v="0"/>
  </r>
  <r>
    <s v="Staffjoy/suite"/>
    <s v="Staffjoy"/>
    <s v="suite"/>
    <s v="https://github.com/Staffjoy/suite"/>
    <d v="2017-02-24T04:42:16"/>
    <d v="2021-03-05T12:51:20"/>
    <n v="1470.3396296296341"/>
    <b v="0"/>
    <b v="1"/>
    <n v="814"/>
    <n v="39"/>
    <n v="211"/>
    <n v="0"/>
    <n v="0"/>
    <n v="2"/>
    <n v="3"/>
    <n v="0"/>
    <n v="10"/>
    <n v="6"/>
    <x v="7"/>
    <n v="8999"/>
    <n v="115"/>
    <n v="1.2779197688632071E-2"/>
    <n v="21"/>
    <n v="0.18260869565217391"/>
    <n v="2.3335926214023781E-3"/>
    <n v="57"/>
    <n v="0.4956521739130435"/>
    <n v="6.3340371152350262E-3"/>
    <n v="11"/>
    <n v="9.5652173913043481E-2"/>
    <n v="1.2223580397821979E-3"/>
    <n v="6"/>
    <n v="5.2173913043478258E-2"/>
    <n v="6.6674074897210805E-4"/>
    <n v="0"/>
    <n v="0"/>
    <n v="0"/>
    <n v="20"/>
    <n v="0.17391304347826086"/>
    <n v="2.22246916324036E-3"/>
    <b v="1"/>
    <b v="1"/>
    <b v="0"/>
    <b v="0"/>
    <b v="1"/>
    <b v="0"/>
    <b v="0"/>
    <b v="0"/>
    <b v="0"/>
    <b v="0"/>
    <b v="0"/>
    <b v="0"/>
    <b v="0"/>
  </r>
  <r>
    <s v="stellargraph/stellargraph"/>
    <s v="stellargraph"/>
    <s v="stellargraph"/>
    <s v="https://github.com/stellargraph/stellargraph"/>
    <d v="2018-04-13T07:35:51"/>
    <d v="2021-04-09T03:58:55"/>
    <n v="1091.849351851859"/>
    <b v="0"/>
    <b v="1"/>
    <n v="1836"/>
    <n v="57"/>
    <n v="261"/>
    <n v="25"/>
    <n v="8"/>
    <n v="28"/>
    <n v="913"/>
    <n v="23"/>
    <n v="919"/>
    <n v="209"/>
    <x v="4"/>
    <n v="19715"/>
    <n v="65"/>
    <n v="3.2969819934060359E-3"/>
    <n v="0"/>
    <n v="0"/>
    <n v="0"/>
    <n v="12"/>
    <n v="0.18461538461538463"/>
    <n v="6.0867359878265281E-4"/>
    <n v="53"/>
    <n v="0.81538461538461537"/>
    <n v="2.6883083946233834E-3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stevenleeg/geemusic"/>
    <s v="stevenleeg"/>
    <s v="geemusic"/>
    <s v="https://github.com/stevenleeg/geemusic"/>
    <d v="2016-12-30T16:15:20"/>
    <d v="2021-03-25T02:10:23"/>
    <n v="1545.4132291666683"/>
    <b v="0"/>
    <b v="0"/>
    <n v="674"/>
    <n v="74"/>
    <n v="182"/>
    <n v="0"/>
    <n v="5"/>
    <n v="25"/>
    <n v="115"/>
    <n v="7"/>
    <n v="195"/>
    <n v="35"/>
    <x v="0"/>
    <n v="1040"/>
    <n v="12"/>
    <n v="1.1538461538461539E-2"/>
    <n v="12"/>
    <n v="1"/>
    <n v="1.1538461538461539E-2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treamlit/streamlit"/>
    <s v="streamlit"/>
    <s v="streamlit"/>
    <s v="https://github.com/streamlit/streamlit"/>
    <d v="2019-08-24T00:14:52"/>
    <d v="2021-04-09T03:15:44"/>
    <n v="594.1256018518543"/>
    <b v="0"/>
    <b v="1"/>
    <n v="14090"/>
    <n v="253"/>
    <n v="1193"/>
    <n v="10"/>
    <n v="5"/>
    <n v="92"/>
    <n v="1431"/>
    <n v="11"/>
    <n v="1662"/>
    <n v="493"/>
    <x v="4"/>
    <n v="19339"/>
    <n v="162"/>
    <n v="8.3768550597238742E-3"/>
    <n v="82"/>
    <n v="0.50617283950617287"/>
    <n v="4.2401365117120844E-3"/>
    <n v="7"/>
    <n v="4.3209876543209874E-2"/>
    <n v="3.6196287295103157E-4"/>
    <n v="31"/>
    <n v="0.19135802469135801"/>
    <n v="1.6029784373545685E-3"/>
    <n v="35"/>
    <n v="0.21604938271604937"/>
    <n v="1.809814364755158E-3"/>
    <n v="1"/>
    <n v="6.1728395061728392E-3"/>
    <n v="5.1708981850147369E-5"/>
    <n v="6"/>
    <n v="3.7037037037037035E-2"/>
    <n v="3.1025389110088424E-4"/>
    <b v="1"/>
    <b v="1"/>
    <b v="0"/>
    <b v="0"/>
    <b v="1"/>
    <b v="0"/>
    <b v="0"/>
    <b v="0"/>
    <b v="0"/>
    <b v="0"/>
    <b v="0"/>
    <b v="0"/>
    <b v="0"/>
  </r>
  <r>
    <s v="striver-ing/wechat-spider"/>
    <s v="striver-ing"/>
    <s v="wechat-spider"/>
    <s v="https://github.com/striver-ing/wechat-spider"/>
    <d v="2017-11-23T03:53:15"/>
    <d v="2021-04-09T02:27:58"/>
    <n v="1232.9407754629647"/>
    <b v="0"/>
    <b v="1"/>
    <n v="941"/>
    <n v="49"/>
    <n v="301"/>
    <n v="0"/>
    <n v="0"/>
    <n v="4"/>
    <n v="4"/>
    <n v="2"/>
    <n v="39"/>
    <n v="29"/>
    <x v="1"/>
    <n v="1198"/>
    <n v="31"/>
    <n v="2.5876460767946578E-2"/>
    <n v="6"/>
    <n v="0.19354838709677419"/>
    <n v="5.008347245409015E-3"/>
    <n v="13"/>
    <n v="0.41935483870967744"/>
    <n v="1.0851419031719533E-2"/>
    <n v="0"/>
    <n v="0"/>
    <n v="0"/>
    <n v="10"/>
    <n v="0.32258064516129031"/>
    <n v="8.3472454090150246E-3"/>
    <n v="0"/>
    <n v="0"/>
    <n v="0"/>
    <n v="2"/>
    <n v="6.4516129032258063E-2"/>
    <n v="1.6694490818030051E-3"/>
    <b v="1"/>
    <b v="1"/>
    <b v="0"/>
    <b v="0"/>
    <b v="1"/>
    <b v="0"/>
    <b v="0"/>
    <b v="0"/>
    <b v="0"/>
    <b v="0"/>
    <b v="0"/>
    <b v="0"/>
    <b v="0"/>
  </r>
  <r>
    <s v="studioml/studio"/>
    <s v="studioml"/>
    <s v="studio"/>
    <s v="https://github.com/studioml/studio"/>
    <d v="2017-05-15T01:49:28"/>
    <d v="2021-03-27T00:10:19"/>
    <n v="1411.9311458333323"/>
    <b v="0"/>
    <b v="1"/>
    <n v="371"/>
    <n v="25"/>
    <n v="48"/>
    <n v="4"/>
    <n v="3"/>
    <n v="12"/>
    <n v="219"/>
    <n v="0"/>
    <n v="248"/>
    <n v="56"/>
    <x v="4"/>
    <n v="9211"/>
    <n v="315"/>
    <n v="3.4198241233308002E-2"/>
    <n v="115"/>
    <n v="0.36507936507936506"/>
    <n v="1.2485072196287049E-2"/>
    <n v="127"/>
    <n v="0.40317460317460319"/>
    <n v="1.3787862338508306E-2"/>
    <n v="34"/>
    <n v="0.10793650793650794"/>
    <n v="3.691238736293562E-3"/>
    <n v="32"/>
    <n v="0.10158730158730159"/>
    <n v="3.4741070459233525E-3"/>
    <n v="0"/>
    <n v="0"/>
    <n v="0"/>
    <n v="7"/>
    <n v="2.2222222222222223E-2"/>
    <n v="7.5996091629573336E-4"/>
    <b v="1"/>
    <b v="0"/>
    <b v="0"/>
    <b v="0"/>
    <b v="1"/>
    <b v="0"/>
    <b v="0"/>
    <b v="0"/>
    <b v="0"/>
    <b v="0"/>
    <b v="0"/>
    <b v="0"/>
    <b v="0"/>
  </r>
  <r>
    <s v="superdesk/superdesk"/>
    <s v="superdesk"/>
    <s v="superdesk"/>
    <s v="https://github.com/superdesk/superdesk"/>
    <d v="2014-09-02T07:56:17"/>
    <d v="2021-04-08T18:51:56"/>
    <n v="2410.4553124999948"/>
    <b v="0"/>
    <b v="1"/>
    <n v="572"/>
    <n v="59"/>
    <n v="172"/>
    <n v="61"/>
    <n v="16"/>
    <n v="48"/>
    <n v="3125"/>
    <n v="2"/>
    <n v="106"/>
    <n v="30"/>
    <x v="11"/>
    <n v="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svanoort/pyresttest"/>
    <s v="svanoort"/>
    <s v="pyresttest"/>
    <s v="https://github.com/svanoort/pyresttest"/>
    <d v="2014-05-01T23:40:10"/>
    <d v="2021-04-02T17:04:15"/>
    <n v="2527.7250578703679"/>
    <b v="0"/>
    <b v="0"/>
    <n v="1063"/>
    <n v="86"/>
    <n v="307"/>
    <n v="3"/>
    <n v="2"/>
    <n v="14"/>
    <n v="93"/>
    <n v="22"/>
    <n v="223"/>
    <n v="109"/>
    <x v="4"/>
    <n v="4468"/>
    <n v="21"/>
    <n v="4.7000895255147716E-3"/>
    <n v="10"/>
    <n v="0.47619047619047616"/>
    <n v="2.2381378692927483E-3"/>
    <n v="7"/>
    <n v="0.33333333333333331"/>
    <n v="1.5666965085049239E-3"/>
    <n v="0"/>
    <n v="0"/>
    <n v="0"/>
    <n v="4"/>
    <n v="0.19047619047619047"/>
    <n v="8.9525514771709937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wisskyrepo/SSRFmap"/>
    <s v="swisskyrepo"/>
    <s v="SSRFmap"/>
    <s v="https://github.com/swisskyrepo/SSRFmap"/>
    <d v="2018-10-15T19:08:26"/>
    <d v="2021-04-08T13:16:19"/>
    <n v="905.75547453703621"/>
    <b v="0"/>
    <b v="0"/>
    <n v="1370"/>
    <n v="44"/>
    <n v="265"/>
    <n v="0"/>
    <n v="2"/>
    <n v="11"/>
    <n v="17"/>
    <n v="0"/>
    <n v="16"/>
    <n v="10"/>
    <x v="5"/>
    <n v="1273"/>
    <n v="78"/>
    <n v="6.1272584446190104E-2"/>
    <n v="0"/>
    <n v="0"/>
    <n v="0"/>
    <n v="70"/>
    <n v="0.89743589743589747"/>
    <n v="5.4988216810683423E-2"/>
    <n v="3"/>
    <n v="3.8461538461538464E-2"/>
    <n v="2.3566378633150041E-3"/>
    <n v="5"/>
    <n v="6.4102564102564097E-2"/>
    <n v="3.92772977219167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ymbiFlow/prjxray"/>
    <s v="SymbiFlow"/>
    <s v="prjxray"/>
    <s v="https://github.com/SymbiFlow/prjxray"/>
    <d v="2017-12-16T00:16:19"/>
    <d v="2021-04-06T20:15:19"/>
    <n v="1207.8326388888891"/>
    <b v="0"/>
    <b v="1"/>
    <n v="494"/>
    <n v="59"/>
    <n v="77"/>
    <n v="0"/>
    <n v="10"/>
    <n v="38"/>
    <n v="1223"/>
    <n v="16"/>
    <n v="422"/>
    <n v="82"/>
    <x v="14"/>
    <n v="22105"/>
    <n v="7"/>
    <n v="3.166704365528161E-4"/>
    <n v="0"/>
    <n v="0"/>
    <n v="0"/>
    <n v="0"/>
    <n v="0"/>
    <n v="0"/>
    <n v="1"/>
    <n v="0.14285714285714285"/>
    <n v="4.5238633793259441E-5"/>
    <n v="2"/>
    <n v="0.2857142857142857"/>
    <n v="9.0477267586518882E-5"/>
    <n v="4"/>
    <n v="0.5714285714285714"/>
    <n v="1.8095453517303776E-4"/>
    <n v="0"/>
    <n v="0"/>
    <n v="0"/>
    <b v="1"/>
    <b v="0"/>
    <b v="0"/>
    <b v="0"/>
    <b v="1"/>
    <b v="0"/>
    <b v="0"/>
    <b v="0"/>
    <b v="0"/>
    <b v="0"/>
    <b v="0"/>
    <b v="0"/>
    <b v="0"/>
  </r>
  <r>
    <s v="sympy/sympy"/>
    <s v="sympy"/>
    <s v="sympy"/>
    <s v="https://github.com/sympy/sympy"/>
    <d v="2010-04-30T20:37:14"/>
    <d v="2021-04-09T03:46:44"/>
    <n v="3996.2982638888861"/>
    <b v="0"/>
    <b v="1"/>
    <n v="7983"/>
    <n v="294"/>
    <n v="3291"/>
    <n v="32"/>
    <n v="146"/>
    <n v="969"/>
    <n v="10316"/>
    <n v="509"/>
    <n v="10840"/>
    <n v="3637"/>
    <x v="7"/>
    <n v="377040"/>
    <n v="74"/>
    <n v="1.9626564820708679E-4"/>
    <n v="4"/>
    <n v="5.4054054054054057E-2"/>
    <n v="1.0608953957139827E-5"/>
    <n v="1"/>
    <n v="1.3513513513513514E-2"/>
    <n v="2.6522384892849567E-6"/>
    <n v="55"/>
    <n v="0.7432432432432432"/>
    <n v="1.4587311691067261E-4"/>
    <n v="14"/>
    <n v="0.1891891891891892"/>
    <n v="3.7131338849989389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sympy/sympy_gamma"/>
    <s v="sympy"/>
    <s v="sympy_gamma"/>
    <s v="https://github.com/sympy/sympy_gamma"/>
    <d v="2009-10-21T05:05:59"/>
    <d v="2021-04-07T07:46:12"/>
    <n v="4186.1112615740785"/>
    <b v="0"/>
    <b v="1"/>
    <n v="517"/>
    <n v="40"/>
    <n v="87"/>
    <n v="14"/>
    <n v="0"/>
    <n v="11"/>
    <n v="78"/>
    <n v="8"/>
    <n v="99"/>
    <n v="70"/>
    <x v="7"/>
    <n v="2180"/>
    <n v="13"/>
    <n v="5.9633027522935783E-3"/>
    <n v="0"/>
    <n v="0"/>
    <n v="0"/>
    <n v="4"/>
    <n v="0.30769230769230771"/>
    <n v="1.834862385321101E-3"/>
    <n v="0"/>
    <n v="0"/>
    <n v="0"/>
    <n v="2"/>
    <n v="0.15384615384615385"/>
    <n v="9.1743119266055051E-4"/>
    <n v="0"/>
    <n v="0"/>
    <n v="0"/>
    <n v="7"/>
    <n v="0.53846153846153844"/>
    <n v="3.2110091743119268E-3"/>
    <b v="1"/>
    <b v="1"/>
    <b v="0"/>
    <b v="0"/>
    <b v="1"/>
    <b v="0"/>
    <b v="0"/>
    <b v="0"/>
    <b v="0"/>
    <b v="0"/>
    <b v="0"/>
    <b v="0"/>
    <b v="0"/>
  </r>
  <r>
    <s v="tableau/TabPy"/>
    <s v="tableau"/>
    <s v="TabPy"/>
    <s v="https://github.com/tableau/TabPy"/>
    <d v="2016-09-27T21:26:03"/>
    <d v="2021-04-09T01:13:42"/>
    <n v="1654.1580902777787"/>
    <b v="0"/>
    <b v="1"/>
    <n v="1053"/>
    <n v="109"/>
    <n v="388"/>
    <n v="16"/>
    <n v="3"/>
    <n v="29"/>
    <n v="222"/>
    <n v="2"/>
    <n v="272"/>
    <n v="9"/>
    <x v="5"/>
    <n v="3868"/>
    <n v="107"/>
    <n v="2.7662874870734228E-2"/>
    <n v="16"/>
    <n v="0.14953271028037382"/>
    <n v="4.1365046535677356E-3"/>
    <n v="41"/>
    <n v="0.38317757009345793"/>
    <n v="1.0599793174767322E-2"/>
    <n v="5"/>
    <n v="4.6728971962616821E-2"/>
    <n v="1.2926577042399173E-3"/>
    <n v="30"/>
    <n v="0.28037383177570091"/>
    <n v="7.7559462254395035E-3"/>
    <n v="9"/>
    <n v="8.4112149532710276E-2"/>
    <n v="2.3267838676318511E-3"/>
    <n v="6"/>
    <n v="5.6074766355140186E-2"/>
    <n v="1.5511892450879006E-3"/>
    <b v="1"/>
    <b v="0"/>
    <b v="0"/>
    <b v="0"/>
    <b v="1"/>
    <b v="0"/>
    <b v="0"/>
    <b v="0"/>
    <b v="0"/>
    <b v="0"/>
    <b v="0"/>
    <b v="0"/>
    <b v="0"/>
  </r>
  <r>
    <s v="tahoe-lafs/tahoe-lafs"/>
    <s v="tahoe-lafs"/>
    <s v="tahoe-lafs"/>
    <s v="https://github.com/tahoe-lafs/tahoe-lafs"/>
    <d v="2011-12-18T19:33:55"/>
    <d v="2021-04-08T14:23:21"/>
    <n v="3398.7843287037031"/>
    <b v="0"/>
    <b v="1"/>
    <n v="1055"/>
    <n v="64"/>
    <n v="213"/>
    <n v="0"/>
    <n v="212"/>
    <n v="61"/>
    <n v="1035"/>
    <n v="18"/>
    <n v="0"/>
    <n v="0"/>
    <x v="7"/>
    <n v="72194"/>
    <n v="10"/>
    <n v="1.3851566612183838E-4"/>
    <n v="0"/>
    <n v="0"/>
    <n v="0"/>
    <n v="0"/>
    <n v="0"/>
    <n v="0"/>
    <n v="3"/>
    <n v="0.3"/>
    <n v="4.1554699836551512E-5"/>
    <n v="6"/>
    <n v="0.6"/>
    <n v="8.3109399673103024E-5"/>
    <n v="1"/>
    <n v="0.1"/>
    <n v="1.3851566612183838E-5"/>
    <n v="0"/>
    <n v="0"/>
    <n v="0"/>
    <b v="1"/>
    <b v="1"/>
    <b v="0"/>
    <b v="0"/>
    <b v="1"/>
    <b v="0"/>
    <b v="1"/>
    <b v="0"/>
    <b v="0"/>
    <b v="0"/>
    <b v="0"/>
    <b v="0"/>
    <b v="0"/>
  </r>
  <r>
    <s v="taigaio/taiga-back"/>
    <s v="taigaio"/>
    <s v="taiga-back"/>
    <s v="https://github.com/taigaio/taiga-back"/>
    <d v="2013-03-19T15:14:00"/>
    <d v="2021-04-07T22:24:43"/>
    <n v="2941.2991087962946"/>
    <b v="0"/>
    <b v="1"/>
    <n v="5600"/>
    <n v="266"/>
    <n v="1077"/>
    <n v="0"/>
    <n v="68"/>
    <n v="64"/>
    <n v="915"/>
    <n v="6"/>
    <n v="694"/>
    <n v="187"/>
    <x v="11"/>
    <n v="58508"/>
    <n v="41"/>
    <n v="7.0075887058180077E-4"/>
    <n v="1"/>
    <n v="2.4390243902439025E-2"/>
    <n v="1.7091679770287825E-5"/>
    <n v="0"/>
    <n v="0"/>
    <n v="0"/>
    <n v="22"/>
    <n v="0.53658536585365857"/>
    <n v="3.7601695494633215E-4"/>
    <n v="15"/>
    <n v="0.36585365853658536"/>
    <n v="2.5637519655431735E-4"/>
    <n v="0"/>
    <n v="0"/>
    <n v="0"/>
    <n v="3"/>
    <n v="7.3170731707317069E-2"/>
    <n v="5.127503931086347E-5"/>
    <b v="1"/>
    <b v="0"/>
    <b v="0"/>
    <b v="0"/>
    <b v="1"/>
    <b v="0"/>
    <b v="0"/>
    <b v="0"/>
    <b v="0"/>
    <b v="0"/>
    <b v="0"/>
    <b v="0"/>
    <b v="0"/>
  </r>
  <r>
    <s v="tankywoo/simiki"/>
    <s v="tankywoo"/>
    <s v="simiki"/>
    <s v="https://github.com/tankywoo/simiki"/>
    <d v="2013-10-12T02:10:53"/>
    <d v="2021-04-09T01:34:32"/>
    <n v="2735.9747569444444"/>
    <b v="0"/>
    <b v="0"/>
    <n v="1088"/>
    <n v="52"/>
    <n v="155"/>
    <n v="0"/>
    <n v="15"/>
    <n v="11"/>
    <n v="27"/>
    <n v="4"/>
    <n v="104"/>
    <n v="22"/>
    <x v="5"/>
    <n v="1874"/>
    <n v="50"/>
    <n v="2.6680896478121666E-2"/>
    <n v="10"/>
    <n v="0.2"/>
    <n v="5.3361792956243331E-3"/>
    <n v="19"/>
    <n v="0.38"/>
    <n v="1.0138740661686232E-2"/>
    <n v="7"/>
    <n v="0.14000000000000001"/>
    <n v="3.735325506937033E-3"/>
    <n v="10"/>
    <n v="0.2"/>
    <n v="5.3361792956243331E-3"/>
    <n v="1"/>
    <n v="0.02"/>
    <n v="5.3361792956243333E-4"/>
    <n v="3"/>
    <n v="0.06"/>
    <n v="1.6008537886872999E-3"/>
    <b v="1"/>
    <b v="0"/>
    <b v="0"/>
    <b v="0"/>
    <b v="1"/>
    <b v="0"/>
    <b v="0"/>
    <b v="0"/>
    <b v="0"/>
    <b v="0"/>
    <b v="0"/>
    <b v="0"/>
    <b v="0"/>
  </r>
  <r>
    <s v="taokong/FoveaBox"/>
    <s v="taokong"/>
    <s v="FoveaBox"/>
    <s v="https://github.com/taokong/FoveaBox"/>
    <d v="2019-08-14T03:46:50"/>
    <d v="2021-04-06T02:47:20"/>
    <n v="600.95868055555911"/>
    <b v="0"/>
    <b v="0"/>
    <n v="354"/>
    <n v="14"/>
    <n v="40"/>
    <n v="0"/>
    <n v="0"/>
    <n v="0"/>
    <n v="0"/>
    <n v="0"/>
    <n v="14"/>
    <n v="4"/>
    <x v="4"/>
    <n v="13011"/>
    <n v="6"/>
    <n v="4.6114825916532167E-4"/>
    <n v="0"/>
    <n v="0"/>
    <n v="0"/>
    <n v="3"/>
    <n v="0.5"/>
    <n v="2.3057412958266084E-4"/>
    <n v="3"/>
    <n v="0.5"/>
    <n v="2.3057412958266084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arget/strelka"/>
    <s v="target"/>
    <s v="strelka"/>
    <s v="https://github.com/target/strelka"/>
    <d v="2018-09-20T18:38:12"/>
    <d v="2021-04-07T21:28:40"/>
    <n v="930.11837962962454"/>
    <b v="0"/>
    <b v="1"/>
    <n v="392"/>
    <n v="30"/>
    <n v="55"/>
    <n v="10"/>
    <n v="0"/>
    <n v="14"/>
    <n v="132"/>
    <n v="0"/>
    <n v="35"/>
    <n v="3"/>
    <x v="7"/>
    <n v="2772"/>
    <n v="1"/>
    <n v="3.6075036075036075E-4"/>
    <n v="0"/>
    <n v="0"/>
    <n v="0"/>
    <n v="0"/>
    <n v="0"/>
    <n v="0"/>
    <n v="0"/>
    <n v="0"/>
    <n v="0"/>
    <n v="0"/>
    <n v="0"/>
    <n v="0"/>
    <n v="0"/>
    <n v="0"/>
    <n v="0"/>
    <n v="1"/>
    <n v="1"/>
    <n v="3.6075036075036075E-4"/>
    <b v="1"/>
    <b v="1"/>
    <b v="0"/>
    <b v="0"/>
    <b v="1"/>
    <b v="0"/>
    <b v="0"/>
    <b v="0"/>
    <b v="0"/>
    <b v="0"/>
    <b v="0"/>
    <b v="0"/>
    <b v="0"/>
  </r>
  <r>
    <s v="TarrySingh/Artificial-Intelligence-Deep-Learning-Machine-Learning-Tutorials"/>
    <s v="TarrySingh"/>
    <s v="Artificial-Intelligence-Deep-Learning-Machine-Learning-Tutorials"/>
    <s v="https://github.com/TarrySingh/Artificial-Intelligence-Deep-Learning-Machine-Learning-Tutorials"/>
    <d v="2017-07-13T19:46:01"/>
    <d v="2021-04-09T03:27:18"/>
    <n v="1365.3203356481463"/>
    <b v="0"/>
    <b v="0"/>
    <n v="2729"/>
    <n v="344"/>
    <n v="1233"/>
    <n v="0"/>
    <n v="0"/>
    <n v="3"/>
    <n v="166"/>
    <n v="78"/>
    <n v="6"/>
    <n v="6"/>
    <x v="7"/>
    <n v="156140"/>
    <n v="955"/>
    <n v="6.1163058793390545E-3"/>
    <n v="10"/>
    <n v="1.0471204188481676E-2"/>
    <n v="6.4045087741770203E-5"/>
    <n v="846"/>
    <n v="0.8858638743455497"/>
    <n v="5.4182144229537599E-3"/>
    <n v="29"/>
    <n v="3.0366492146596858E-2"/>
    <n v="1.8573075445113359E-4"/>
    <n v="70"/>
    <n v="7.3298429319371722E-2"/>
    <n v="4.483156141923914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artiflette/tartiflette"/>
    <s v="tartiflette"/>
    <s v="tartiflette"/>
    <s v="https://github.com/tartiflette/tartiflette"/>
    <d v="2018-01-26T09:56:10"/>
    <d v="2021-04-09T01:30:51"/>
    <n v="1168.6490856481469"/>
    <b v="0"/>
    <b v="1"/>
    <n v="735"/>
    <n v="26"/>
    <n v="35"/>
    <n v="41"/>
    <n v="0"/>
    <n v="17"/>
    <n v="345"/>
    <n v="5"/>
    <n v="134"/>
    <n v="12"/>
    <x v="5"/>
    <n v="11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taspinar/twitterscraper"/>
    <s v="taspinar"/>
    <s v="twitterscraper"/>
    <s v="https://github.com/taspinar/twitterscraper"/>
    <d v="2016-06-16T06:51:10"/>
    <d v="2021-04-09T01:47:39"/>
    <n v="1757.7892245370385"/>
    <b v="0"/>
    <b v="0"/>
    <n v="1695"/>
    <n v="85"/>
    <n v="477"/>
    <n v="6"/>
    <n v="5"/>
    <n v="34"/>
    <n v="88"/>
    <n v="13"/>
    <n v="268"/>
    <n v="115"/>
    <x v="5"/>
    <n v="583"/>
    <n v="38"/>
    <n v="6.5180102915951971E-2"/>
    <n v="0"/>
    <n v="0"/>
    <n v="0"/>
    <n v="24"/>
    <n v="0.63157894736842102"/>
    <n v="4.1166380789022301E-2"/>
    <n v="0"/>
    <n v="0"/>
    <n v="0"/>
    <n v="3"/>
    <n v="7.8947368421052627E-2"/>
    <n v="5.1457975986277877E-3"/>
    <n v="0"/>
    <n v="0"/>
    <n v="0"/>
    <n v="11"/>
    <n v="0.28947368421052633"/>
    <n v="1.8867924528301886E-2"/>
    <b v="1"/>
    <b v="0"/>
    <b v="0"/>
    <b v="0"/>
    <b v="1"/>
    <b v="0"/>
    <b v="0"/>
    <b v="0"/>
    <b v="0"/>
    <b v="0"/>
    <b v="0"/>
    <b v="0"/>
    <b v="0"/>
  </r>
  <r>
    <s v="Tautulli/Tautulli"/>
    <s v="Tautulli"/>
    <s v="Tautulli"/>
    <s v="https://github.com/Tautulli/Tautulli"/>
    <d v="2015-02-22T16:36:06"/>
    <d v="2021-04-08T12:13:40"/>
    <n v="2236.8177546296283"/>
    <b v="0"/>
    <b v="1"/>
    <n v="3828"/>
    <n v="260"/>
    <n v="510"/>
    <n v="179"/>
    <n v="169"/>
    <n v="60"/>
    <n v="374"/>
    <n v="2"/>
    <n v="1028"/>
    <n v="7"/>
    <x v="0"/>
    <n v="146888"/>
    <n v="1494"/>
    <n v="1.0171014650618157E-2"/>
    <n v="528"/>
    <n v="0.3534136546184739"/>
    <n v="3.5945754588530038E-3"/>
    <n v="243"/>
    <n v="0.16265060240963855"/>
    <n v="1.6543216600403028E-3"/>
    <n v="410"/>
    <n v="0.27443105756358771"/>
    <n v="2.7912423070638854E-3"/>
    <n v="281"/>
    <n v="0.18808567603748327"/>
    <n v="1.913022166548663E-3"/>
    <n v="2"/>
    <n v="1.3386880856760374E-3"/>
    <n v="1.3615816132018953E-5"/>
    <n v="30"/>
    <n v="2.0080321285140562E-2"/>
    <n v="2.042372419802843E-4"/>
    <b v="1"/>
    <b v="0"/>
    <b v="0"/>
    <b v="0"/>
    <b v="1"/>
    <b v="0"/>
    <b v="0"/>
    <b v="0"/>
    <b v="0"/>
    <b v="0"/>
    <b v="0"/>
    <b v="0"/>
    <b v="0"/>
  </r>
  <r>
    <s v="taverntesting/tavern"/>
    <s v="taverntesting"/>
    <s v="tavern"/>
    <s v="https://github.com/taverntesting/tavern"/>
    <d v="2017-11-01T14:51:25"/>
    <d v="2021-04-06T04:18:30"/>
    <n v="1251.5604745370365"/>
    <b v="0"/>
    <b v="1"/>
    <n v="764"/>
    <n v="27"/>
    <n v="146"/>
    <n v="0"/>
    <n v="0"/>
    <n v="41"/>
    <n v="194"/>
    <n v="10"/>
    <n v="473"/>
    <n v="36"/>
    <x v="5"/>
    <n v="5513"/>
    <n v="149"/>
    <n v="2.7027027027027029E-2"/>
    <n v="78"/>
    <n v="0.52348993288590606"/>
    <n v="1.4148376564483946E-2"/>
    <n v="21"/>
    <n v="0.14093959731543623"/>
    <n v="3.8091783058226011E-3"/>
    <n v="16"/>
    <n v="0.10738255033557047"/>
    <n v="2.9022310901505532E-3"/>
    <n v="24"/>
    <n v="0.16107382550335569"/>
    <n v="4.3533466352258295E-3"/>
    <n v="1"/>
    <n v="6.7114093959731542E-3"/>
    <n v="1.8138944313440957E-4"/>
    <n v="9"/>
    <n v="6.0402684563758392E-2"/>
    <n v="1.6325049882096863E-3"/>
    <b v="1"/>
    <b v="1"/>
    <b v="0"/>
    <b v="0"/>
    <b v="1"/>
    <b v="0"/>
    <b v="0"/>
    <b v="0"/>
    <b v="0"/>
    <b v="0"/>
    <b v="0"/>
    <b v="0"/>
    <b v="0"/>
  </r>
  <r>
    <s v="tdryer/hangups"/>
    <s v="tdryer"/>
    <s v="hangups"/>
    <s v="https://github.com/tdryer/hangups"/>
    <d v="2014-05-01T23:48:24"/>
    <d v="2021-04-08T16:05:30"/>
    <n v="2533.678541666668"/>
    <b v="0"/>
    <b v="0"/>
    <n v="1732"/>
    <n v="79"/>
    <n v="183"/>
    <n v="0"/>
    <n v="23"/>
    <n v="47"/>
    <n v="151"/>
    <n v="7"/>
    <n v="360"/>
    <n v="99"/>
    <x v="5"/>
    <n v="4553"/>
    <n v="86"/>
    <n v="1.8888644849549746E-2"/>
    <n v="12"/>
    <n v="0.13953488372093023"/>
    <n v="2.6356248627278718E-3"/>
    <n v="44"/>
    <n v="0.51162790697674421"/>
    <n v="9.6639578300021962E-3"/>
    <n v="29"/>
    <n v="0.33720930232558138"/>
    <n v="6.369426751592357E-3"/>
    <n v="1"/>
    <n v="1.1627906976744186E-2"/>
    <n v="2.196354052273226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ecnativa/docker-socket-proxy"/>
    <s v="Tecnativa"/>
    <s v="docker-socket-proxy"/>
    <s v="https://github.com/Tecnativa/docker-socket-proxy"/>
    <d v="2017-03-29T09:33:46"/>
    <d v="2021-04-07T01:59:16"/>
    <n v="1469.6843749999971"/>
    <b v="0"/>
    <b v="1"/>
    <n v="435"/>
    <n v="21"/>
    <n v="68"/>
    <n v="2"/>
    <n v="0"/>
    <n v="9"/>
    <n v="21"/>
    <n v="3"/>
    <n v="21"/>
    <n v="5"/>
    <x v="4"/>
    <n v="72"/>
    <n v="2"/>
    <n v="2.7777777777777776E-2"/>
    <n v="0"/>
    <n v="0"/>
    <n v="0"/>
    <n v="2"/>
    <n v="1"/>
    <n v="2.7777777777777776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ensorflow/data-validation"/>
    <s v="tensorflow"/>
    <s v="data-validation"/>
    <s v="https://github.com/tensorflow/data-validation"/>
    <d v="2018-07-02T15:47:02"/>
    <d v="2021-04-08T17:32:51"/>
    <n v="1011.0734837962955"/>
    <b v="0"/>
    <b v="1"/>
    <n v="535"/>
    <n v="47"/>
    <n v="95"/>
    <n v="25"/>
    <n v="6"/>
    <n v="18"/>
    <n v="48"/>
    <n v="4"/>
    <n v="116"/>
    <n v="34"/>
    <x v="4"/>
    <n v="9013"/>
    <n v="3"/>
    <n v="3.3285254632197937E-4"/>
    <n v="0"/>
    <n v="0"/>
    <n v="0"/>
    <n v="1"/>
    <n v="0.33333333333333331"/>
    <n v="1.1095084877399312E-4"/>
    <n v="2"/>
    <n v="0.66666666666666663"/>
    <n v="2.2190169754798624E-4"/>
    <n v="0"/>
    <n v="0"/>
    <n v="0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tensorflow/federated"/>
    <s v="tensorflow"/>
    <s v="federated"/>
    <s v="https://github.com/tensorflow/federated"/>
    <d v="2018-12-12T23:15:35"/>
    <d v="2021-04-09T04:02:59"/>
    <n v="848.19958333333489"/>
    <b v="0"/>
    <b v="1"/>
    <n v="1493"/>
    <n v="65"/>
    <n v="348"/>
    <n v="21"/>
    <n v="6"/>
    <n v="72"/>
    <n v="1080"/>
    <n v="27"/>
    <n v="233"/>
    <n v="47"/>
    <x v="4"/>
    <n v="52322"/>
    <n v="87"/>
    <n v="1.6627804747524942E-3"/>
    <n v="24"/>
    <n v="0.27586206896551724"/>
    <n v="4.5869806200068806E-4"/>
    <n v="42"/>
    <n v="0.48275862068965519"/>
    <n v="8.0272160850120412E-4"/>
    <n v="15"/>
    <n v="0.17241379310344829"/>
    <n v="2.8668628875043001E-4"/>
    <n v="6"/>
    <n v="6.8965517241379309E-2"/>
    <n v="1.1467451550017202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ensorflow/model-optimization"/>
    <s v="tensorflow"/>
    <s v="model-optimization"/>
    <s v="https://github.com/tensorflow/model-optimization"/>
    <d v="2018-10-31T20:34:28"/>
    <d v="2021-04-07T17:40:16"/>
    <n v="888.87902777777344"/>
    <b v="0"/>
    <b v="1"/>
    <n v="1018"/>
    <n v="131"/>
    <n v="225"/>
    <n v="13"/>
    <n v="3"/>
    <n v="44"/>
    <n v="485"/>
    <n v="20"/>
    <n v="175"/>
    <n v="73"/>
    <x v="4"/>
    <n v="15611"/>
    <n v="2"/>
    <n v="1.2811479085260395E-4"/>
    <n v="0"/>
    <n v="0"/>
    <n v="0"/>
    <n v="0"/>
    <n v="0"/>
    <n v="0"/>
    <n v="2"/>
    <n v="1"/>
    <n v="1.2811479085260395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ensorflow/models"/>
    <s v="tensorflow"/>
    <s v="models"/>
    <s v="https://github.com/tensorflow/models"/>
    <d v="2016-02-05T01:15:20"/>
    <d v="2021-04-09T03:44:41"/>
    <n v="1890.103715277779"/>
    <b v="0"/>
    <b v="1"/>
    <n v="69409"/>
    <n v="2959"/>
    <n v="41646"/>
    <n v="14"/>
    <n v="160"/>
    <n v="709"/>
    <n v="3433"/>
    <n v="157"/>
    <n v="6322"/>
    <n v="990"/>
    <x v="4"/>
    <n v="160998"/>
    <n v="1023"/>
    <n v="6.3541162002012444E-3"/>
    <n v="9"/>
    <n v="8.7976539589442824E-3"/>
    <n v="5.5901315544292476E-5"/>
    <n v="892"/>
    <n v="0.87194525904203324"/>
    <n v="5.540441496167654E-3"/>
    <n v="105"/>
    <n v="0.10263929618768329"/>
    <n v="6.5218201468341221E-4"/>
    <n v="16"/>
    <n v="1.5640273704789834E-2"/>
    <n v="9.9380116523186622E-5"/>
    <n v="0"/>
    <n v="0"/>
    <n v="0"/>
    <n v="1"/>
    <n v="9.7751710654936461E-4"/>
    <n v="6.2112572826991638E-6"/>
    <b v="1"/>
    <b v="0"/>
    <b v="0"/>
    <b v="0"/>
    <b v="1"/>
    <b v="0"/>
    <b v="0"/>
    <b v="0"/>
    <b v="0"/>
    <b v="0"/>
    <b v="0"/>
    <b v="0"/>
    <b v="0"/>
  </r>
  <r>
    <s v="tensorflow/tfx"/>
    <s v="tensorflow"/>
    <s v="tfx"/>
    <s v="https://github.com/tensorflow/tfx"/>
    <d v="2019-02-04T17:14:36"/>
    <d v="2021-04-08T20:46:07"/>
    <n v="794.14688657407532"/>
    <b v="0"/>
    <b v="1"/>
    <n v="1379"/>
    <n v="97"/>
    <n v="411"/>
    <n v="42"/>
    <n v="6"/>
    <n v="100"/>
    <n v="2950"/>
    <n v="43"/>
    <n v="549"/>
    <n v="209"/>
    <x v="4"/>
    <n v="44243"/>
    <n v="477"/>
    <n v="1.0781366543860046E-2"/>
    <n v="47"/>
    <n v="9.853249475890985E-2"/>
    <n v="1.0623149424767761E-3"/>
    <n v="339"/>
    <n v="0.71069182389937102"/>
    <n v="7.6622290531835544E-3"/>
    <n v="59"/>
    <n v="0.12368972746331237"/>
    <n v="1.3335442894921231E-3"/>
    <n v="29"/>
    <n v="6.0796645702306078E-2"/>
    <n v="6.5547092195375543E-4"/>
    <n v="0"/>
    <n v="0"/>
    <n v="0"/>
    <n v="3"/>
    <n v="6.2893081761006293E-3"/>
    <n v="6.7807336753836767E-5"/>
    <b v="1"/>
    <b v="1"/>
    <b v="0"/>
    <b v="0"/>
    <b v="1"/>
    <b v="0"/>
    <b v="0"/>
    <b v="0"/>
    <b v="0"/>
    <b v="0"/>
    <b v="0"/>
    <b v="0"/>
    <b v="0"/>
  </r>
  <r>
    <s v="tensorlayer/hyperpose"/>
    <s v="tensorlayer"/>
    <s v="hyperpose"/>
    <s v="https://github.com/tensorlayer/hyperpose"/>
    <d v="2018-08-25T09:59:09"/>
    <d v="2021-04-07T06:23:36"/>
    <n v="955.85031249999884"/>
    <b v="0"/>
    <b v="1"/>
    <n v="969"/>
    <n v="53"/>
    <n v="247"/>
    <n v="3"/>
    <n v="3"/>
    <n v="18"/>
    <n v="179"/>
    <n v="1"/>
    <n v="170"/>
    <n v="24"/>
    <x v="1"/>
    <n v="8039"/>
    <n v="24"/>
    <n v="2.9854459509889289E-3"/>
    <n v="0"/>
    <n v="0"/>
    <n v="0"/>
    <n v="24"/>
    <n v="1"/>
    <n v="2.9854459509889289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ensorlayer/tensorlayer"/>
    <s v="tensorlayer"/>
    <s v="tensorlayer"/>
    <s v="https://github.com/tensorlayer/tensorlayer"/>
    <d v="2016-06-07T15:55:16"/>
    <d v="2021-04-08T20:28:35"/>
    <n v="1766.1898032407407"/>
    <b v="0"/>
    <b v="1"/>
    <n v="6547"/>
    <n v="462"/>
    <n v="1446"/>
    <n v="75"/>
    <n v="32"/>
    <n v="90"/>
    <n v="678"/>
    <n v="5"/>
    <n v="448"/>
    <n v="15"/>
    <x v="7"/>
    <n v="25793"/>
    <n v="412"/>
    <n v="1.5973326096227657E-2"/>
    <n v="19"/>
    <n v="4.6116504854368932E-2"/>
    <n v="7.3663397045710074E-4"/>
    <n v="368"/>
    <n v="0.89320388349514568"/>
    <n v="1.4267436901484899E-2"/>
    <n v="21"/>
    <n v="5.0970873786407765E-2"/>
    <n v="8.1417438839995345E-4"/>
    <n v="4"/>
    <n v="9.7087378640776691E-3"/>
    <n v="1.5508083588570542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ensorSpeech/TensorFlowTTS"/>
    <s v="TensorSpeech"/>
    <s v="TensorFlowTTS"/>
    <s v="https://github.com/TensorSpeech/TensorFlowTTS"/>
    <d v="2020-03-22T03:44:10"/>
    <d v="2021-04-08T09:36:34"/>
    <n v="382.24472222221812"/>
    <b v="0"/>
    <b v="1"/>
    <n v="1787"/>
    <n v="67"/>
    <n v="337"/>
    <n v="5"/>
    <n v="7"/>
    <n v="25"/>
    <n v="98"/>
    <n v="0"/>
    <n v="440"/>
    <n v="32"/>
    <x v="4"/>
    <n v="7864"/>
    <n v="80"/>
    <n v="1.0172939979654121E-2"/>
    <n v="0"/>
    <n v="0"/>
    <n v="0"/>
    <n v="59"/>
    <n v="0.73750000000000004"/>
    <n v="7.5025432349949137E-3"/>
    <n v="21"/>
    <n v="0.26250000000000001"/>
    <n v="2.6703967446592065E-3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tensortrade-org/tensortrade"/>
    <s v="tensortrade-org"/>
    <s v="tensortrade"/>
    <s v="https://github.com/tensortrade-org/tensortrade"/>
    <d v="2019-07-30T21:28:32"/>
    <d v="2021-04-09T04:03:38"/>
    <n v="618.27437500000087"/>
    <b v="0"/>
    <b v="1"/>
    <n v="3088"/>
    <n v="231"/>
    <n v="682"/>
    <n v="5"/>
    <n v="8"/>
    <n v="38"/>
    <n v="154"/>
    <n v="6"/>
    <n v="163"/>
    <n v="21"/>
    <x v="4"/>
    <n v="7559"/>
    <n v="4"/>
    <n v="5.2917052520174627E-4"/>
    <n v="0"/>
    <n v="0"/>
    <n v="0"/>
    <n v="2"/>
    <n v="0.5"/>
    <n v="2.6458526260087314E-4"/>
    <n v="2"/>
    <n v="0.5"/>
    <n v="2.6458526260087314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ern-tools/tern"/>
    <s v="tern-tools"/>
    <s v="tern"/>
    <s v="https://github.com/tern-tools/tern"/>
    <d v="2017-11-27T23:32:17"/>
    <d v="2021-04-07T16:45:12"/>
    <n v="1226.7173032407445"/>
    <b v="0"/>
    <b v="1"/>
    <n v="512"/>
    <n v="24"/>
    <n v="109"/>
    <n v="13"/>
    <n v="6"/>
    <n v="47"/>
    <n v="547"/>
    <n v="4"/>
    <n v="396"/>
    <n v="45"/>
    <x v="7"/>
    <n v="6221"/>
    <n v="87"/>
    <n v="1.3984889889085356E-2"/>
    <n v="35"/>
    <n v="0.40229885057471265"/>
    <n v="5.6261051277929595E-3"/>
    <n v="0"/>
    <n v="0"/>
    <n v="0"/>
    <n v="21"/>
    <n v="0.2413793103448276"/>
    <n v="3.3756630766757756E-3"/>
    <n v="16"/>
    <n v="0.18390804597701149"/>
    <n v="2.571933772705353E-3"/>
    <n v="15"/>
    <n v="0.17241379310344829"/>
    <n v="2.4111879119112683E-3"/>
    <n v="0"/>
    <n v="0"/>
    <n v="0"/>
    <b v="1"/>
    <b v="0"/>
    <b v="0"/>
    <b v="0"/>
    <b v="1"/>
    <b v="0"/>
    <b v="0"/>
    <b v="0"/>
    <b v="0"/>
    <b v="0"/>
    <b v="0"/>
    <b v="0"/>
    <b v="0"/>
  </r>
  <r>
    <s v="testerSunshine/12306"/>
    <s v="testerSunshine"/>
    <n v="12306"/>
    <s v="https://github.com/testerSunshine/12306"/>
    <d v="2017-05-17T12:23:40"/>
    <d v="2021-04-09T02:43:59"/>
    <n v="1422.5974421296269"/>
    <b v="0"/>
    <b v="0"/>
    <n v="29491"/>
    <n v="863"/>
    <n v="9233"/>
    <n v="1"/>
    <n v="9"/>
    <n v="23"/>
    <n v="138"/>
    <n v="60"/>
    <n v="659"/>
    <n v="198"/>
    <x v="5"/>
    <n v="2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tf-encrypted/tf-encrypted"/>
    <s v="tf-encrypted"/>
    <s v="tf-encrypted"/>
    <s v="https://github.com/tf-encrypted/tf-encrypted"/>
    <d v="2018-03-21T18:22:13"/>
    <d v="2021-04-08T17:27:19"/>
    <n v="1113.9618750000009"/>
    <b v="0"/>
    <b v="1"/>
    <n v="839"/>
    <n v="46"/>
    <n v="139"/>
    <n v="0"/>
    <n v="1"/>
    <n v="24"/>
    <n v="439"/>
    <n v="1"/>
    <n v="398"/>
    <n v="167"/>
    <x v="4"/>
    <n v="15333"/>
    <n v="20"/>
    <n v="1.3043761820909149E-3"/>
    <n v="2"/>
    <n v="0.1"/>
    <n v="1.3043761820909151E-4"/>
    <n v="8"/>
    <n v="0.4"/>
    <n v="5.2175047283636606E-4"/>
    <n v="9"/>
    <n v="0.45"/>
    <n v="5.8696928194091171E-4"/>
    <n v="1"/>
    <n v="0.05"/>
    <n v="6.5218809104545757E-5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tgbot-collection/YYeTsBot"/>
    <s v="tgbot-collection"/>
    <s v="YYeTsBot"/>
    <s v="https://github.com/tgbot-collection/YYeTsBot"/>
    <d v="2019-08-15T07:50:56"/>
    <d v="2021-04-09T03:09:49"/>
    <n v="602.80478009259241"/>
    <b v="0"/>
    <b v="1"/>
    <n v="4164"/>
    <n v="103"/>
    <n v="680"/>
    <n v="0"/>
    <n v="0"/>
    <n v="4"/>
    <n v="6"/>
    <n v="0"/>
    <n v="17"/>
    <n v="1"/>
    <x v="5"/>
    <n v="1499"/>
    <n v="50"/>
    <n v="3.3355570380253503E-2"/>
    <n v="3"/>
    <n v="0.06"/>
    <n v="2.0013342228152103E-3"/>
    <n v="35"/>
    <n v="0.7"/>
    <n v="2.3348899266177451E-2"/>
    <n v="6"/>
    <n v="0.12"/>
    <n v="4.0026684456304206E-3"/>
    <n v="6"/>
    <n v="0.12"/>
    <n v="4.0026684456304206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the-paperless-project/paperless"/>
    <s v="the-paperless-project"/>
    <s v="paperless"/>
    <s v="https://github.com/the-paperless-project/paperless"/>
    <d v="2015-12-20T12:54:28"/>
    <d v="2021-04-08T23:48:07"/>
    <n v="1936.4539236111086"/>
    <b v="0"/>
    <b v="1"/>
    <n v="7566"/>
    <n v="185"/>
    <n v="509"/>
    <n v="27"/>
    <n v="8"/>
    <n v="93"/>
    <n v="270"/>
    <n v="23"/>
    <n v="452"/>
    <n v="157"/>
    <x v="0"/>
    <n v="3568"/>
    <n v="20"/>
    <n v="5.6053811659192822E-3"/>
    <n v="2"/>
    <n v="0.1"/>
    <n v="5.6053811659192824E-4"/>
    <n v="6"/>
    <n v="0.3"/>
    <n v="1.6816143497757848E-3"/>
    <n v="6"/>
    <n v="0.3"/>
    <n v="1.6816143497757848E-3"/>
    <n v="4"/>
    <n v="0.2"/>
    <n v="1.1210762331838565E-3"/>
    <n v="2"/>
    <n v="0.1"/>
    <n v="5.6053811659192824E-4"/>
    <n v="0"/>
    <n v="0"/>
    <n v="0"/>
    <b v="1"/>
    <b v="1"/>
    <b v="0"/>
    <b v="0"/>
    <b v="1"/>
    <b v="0"/>
    <b v="0"/>
    <b v="0"/>
    <b v="0"/>
    <b v="0"/>
    <b v="0"/>
    <b v="0"/>
    <b v="0"/>
  </r>
  <r>
    <s v="TheKevJames/coveralls-python"/>
    <s v="TheKevJames"/>
    <s v="coveralls-python"/>
    <s v="https://github.com/TheKevJames/coveralls-python"/>
    <d v="2013-02-06T20:48:39"/>
    <d v="2021-04-02T11:05:06"/>
    <n v="2976.594756944447"/>
    <b v="0"/>
    <b v="0"/>
    <n v="457"/>
    <n v="5"/>
    <n v="167"/>
    <n v="23"/>
    <n v="14"/>
    <n v="55"/>
    <n v="140"/>
    <n v="3"/>
    <n v="137"/>
    <n v="5"/>
    <x v="5"/>
    <n v="988"/>
    <n v="26"/>
    <n v="2.6315789473684209E-2"/>
    <n v="5"/>
    <n v="0.19230769230769232"/>
    <n v="5.0607287449392713E-3"/>
    <n v="9"/>
    <n v="0.34615384615384615"/>
    <n v="9.1093117408906875E-3"/>
    <n v="7"/>
    <n v="0.26923076923076922"/>
    <n v="7.0850202429149798E-3"/>
    <n v="3"/>
    <n v="0.11538461538461539"/>
    <n v="3.0364372469635628E-3"/>
    <n v="0"/>
    <n v="0"/>
    <n v="0"/>
    <n v="2"/>
    <n v="7.6923076923076927E-2"/>
    <n v="2.0242914979757085E-3"/>
    <b v="1"/>
    <b v="0"/>
    <b v="0"/>
    <b v="0"/>
    <b v="1"/>
    <b v="0"/>
    <b v="0"/>
    <b v="0"/>
    <b v="0"/>
    <b v="0"/>
    <b v="0"/>
    <b v="0"/>
    <b v="0"/>
  </r>
  <r>
    <s v="theotherp/nzbhydra"/>
    <s v="theotherp"/>
    <s v="nzbhydra"/>
    <s v="https://github.com/theotherp/nzbhydra"/>
    <d v="2015-11-03T20:30:38"/>
    <d v="2021-03-24T22:09:18"/>
    <n v="1968.0685185185212"/>
    <b v="0"/>
    <b v="0"/>
    <n v="547"/>
    <n v="38"/>
    <n v="52"/>
    <n v="46"/>
    <n v="47"/>
    <n v="20"/>
    <n v="46"/>
    <n v="1"/>
    <n v="0"/>
    <n v="0"/>
    <x v="7"/>
    <n v="204153"/>
    <n v="1136"/>
    <n v="5.5644541103975938E-3"/>
    <n v="290"/>
    <n v="0.25528169014084506"/>
    <n v="1.4205032500134703E-3"/>
    <n v="302"/>
    <n v="0.26584507042253519"/>
    <n v="1.4792826948416139E-3"/>
    <n v="238"/>
    <n v="0.20950704225352113"/>
    <n v="1.165792322424848E-3"/>
    <n v="265"/>
    <n v="0.23327464788732394"/>
    <n v="1.2980460732881711E-3"/>
    <n v="2"/>
    <n v="1.7605633802816902E-3"/>
    <n v="9.7965741380239333E-6"/>
    <n v="39"/>
    <n v="3.4330985915492961E-2"/>
    <n v="1.9103319569146671E-4"/>
    <b v="1"/>
    <b v="1"/>
    <b v="0"/>
    <b v="0"/>
    <b v="1"/>
    <b v="0"/>
    <b v="0"/>
    <b v="0"/>
    <b v="0"/>
    <b v="0"/>
    <b v="0"/>
    <b v="0"/>
    <b v="0"/>
  </r>
  <r>
    <s v="thingsboard/thingsboard-gateway"/>
    <s v="thingsboard"/>
    <s v="thingsboard-gateway"/>
    <s v="https://github.com/thingsboard/thingsboard-gateway"/>
    <d v="2017-01-05T05:41:03"/>
    <d v="2021-04-09T01:12:26"/>
    <n v="1554.8134606481472"/>
    <b v="0"/>
    <b v="1"/>
    <n v="808"/>
    <n v="81"/>
    <n v="388"/>
    <n v="48"/>
    <n v="6"/>
    <n v="23"/>
    <n v="106"/>
    <n v="3"/>
    <n v="389"/>
    <n v="37"/>
    <x v="4"/>
    <n v="7679"/>
    <n v="645"/>
    <n v="8.3995311889568949E-2"/>
    <n v="210"/>
    <n v="0.32558139534883723"/>
    <n v="2.7347310847766638E-2"/>
    <n v="79"/>
    <n v="0.12248062015503876"/>
    <n v="1.0287797890350305E-2"/>
    <n v="43"/>
    <n v="6.6666666666666666E-2"/>
    <n v="5.5996874593045969E-3"/>
    <n v="153"/>
    <n v="0.23720930232558141"/>
    <n v="1.9924469331944264E-2"/>
    <n v="0"/>
    <n v="0"/>
    <n v="0"/>
    <n v="160"/>
    <n v="0.24806201550387597"/>
    <n v="2.0836046360203152E-2"/>
    <b v="1"/>
    <b v="1"/>
    <b v="0"/>
    <b v="0"/>
    <b v="1"/>
    <b v="0"/>
    <b v="0"/>
    <b v="0"/>
    <b v="0"/>
    <b v="0"/>
    <b v="0"/>
    <b v="0"/>
    <b v="0"/>
  </r>
  <r>
    <s v="thinkst/opencanary"/>
    <s v="thinkst"/>
    <s v="opencanary"/>
    <s v="https://github.com/thinkst/opencanary"/>
    <d v="2015-08-05T14:44:09"/>
    <d v="2021-04-06T19:50:04"/>
    <n v="2071.2124421296248"/>
    <b v="0"/>
    <b v="1"/>
    <n v="1148"/>
    <n v="65"/>
    <n v="189"/>
    <n v="0"/>
    <n v="0"/>
    <n v="22"/>
    <n v="31"/>
    <n v="0"/>
    <n v="100"/>
    <n v="23"/>
    <x v="2"/>
    <n v="3010"/>
    <n v="3"/>
    <n v="9.9667774086378727E-4"/>
    <n v="0"/>
    <n v="0"/>
    <n v="0"/>
    <n v="0"/>
    <n v="0"/>
    <n v="0"/>
    <n v="3"/>
    <n v="1"/>
    <n v="9.9667774086378727E-4"/>
    <n v="0"/>
    <n v="0"/>
    <n v="0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thomasloven/hass-browser_mod"/>
    <s v="thomasloven"/>
    <s v="hass-browser_mod"/>
    <s v="https://github.com/thomasloven/hass-browser_mod"/>
    <d v="2019-06-27T17:56:02"/>
    <d v="2021-04-08T01:42:58"/>
    <n v="650.32425925925781"/>
    <b v="0"/>
    <b v="0"/>
    <n v="390"/>
    <n v="16"/>
    <n v="53"/>
    <n v="37"/>
    <n v="0"/>
    <n v="7"/>
    <n v="25"/>
    <n v="2"/>
    <n v="184"/>
    <n v="22"/>
    <x v="5"/>
    <n v="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thp/urlwatch"/>
    <s v="thp"/>
    <s v="urlwatch"/>
    <s v="https://github.com/thp/urlwatch"/>
    <d v="2014-01-29T18:42:20"/>
    <d v="2021-04-09T01:33:59"/>
    <n v="2626.2858680555582"/>
    <b v="0"/>
    <b v="0"/>
    <n v="2067"/>
    <n v="71"/>
    <n v="286"/>
    <n v="0"/>
    <n v="3"/>
    <n v="59"/>
    <n v="241"/>
    <n v="9"/>
    <n v="392"/>
    <n v="54"/>
    <x v="7"/>
    <n v="3138"/>
    <n v="72"/>
    <n v="2.2944550669216062E-2"/>
    <n v="26"/>
    <n v="0.3611111111111111"/>
    <n v="8.2855321861057991E-3"/>
    <n v="26"/>
    <n v="0.3611111111111111"/>
    <n v="8.2855321861057991E-3"/>
    <n v="6"/>
    <n v="8.3333333333333329E-2"/>
    <n v="1.9120458891013384E-3"/>
    <n v="14"/>
    <n v="0.19444444444444445"/>
    <n v="4.461440407903123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hreat9/routersploit"/>
    <s v="threat9"/>
    <s v="routersploit"/>
    <s v="https://github.com/threat9/routersploit"/>
    <d v="2016-03-30T11:43:12"/>
    <d v="2021-04-08T12:16:04"/>
    <n v="1835.0228240740762"/>
    <b v="0"/>
    <b v="1"/>
    <n v="9302"/>
    <n v="615"/>
    <n v="1877"/>
    <n v="10"/>
    <n v="15"/>
    <n v="63"/>
    <n v="311"/>
    <n v="10"/>
    <n v="417"/>
    <n v="82"/>
    <x v="7"/>
    <n v="15546"/>
    <n v="1"/>
    <n v="6.4325228354560662E-5"/>
    <n v="0"/>
    <n v="0"/>
    <n v="0"/>
    <n v="1"/>
    <n v="1"/>
    <n v="6.4325228354560662E-5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HUDM/cogdl"/>
    <s v="THUDM"/>
    <s v="cogdl"/>
    <s v="https://github.com/THUDM/cogdl"/>
    <d v="2019-03-18T15:29:35"/>
    <d v="2021-04-07T06:02:16"/>
    <n v="750.60603009258921"/>
    <b v="0"/>
    <b v="1"/>
    <n v="632"/>
    <n v="26"/>
    <n v="161"/>
    <n v="5"/>
    <n v="0"/>
    <n v="27"/>
    <n v="171"/>
    <n v="12"/>
    <n v="46"/>
    <n v="0"/>
    <x v="5"/>
    <n v="20188"/>
    <n v="25"/>
    <n v="1.2383594214384784E-3"/>
    <n v="0"/>
    <n v="0"/>
    <n v="0"/>
    <n v="25"/>
    <n v="1"/>
    <n v="1.2383594214384784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hushv89/attention_keras"/>
    <s v="thushv89"/>
    <s v="attention_keras"/>
    <s v="https://github.com/thushv89/attention_keras"/>
    <d v="2019-03-16T23:07:20"/>
    <d v="2021-04-01T17:18:23"/>
    <n v="746.75767361111502"/>
    <b v="0"/>
    <b v="0"/>
    <n v="354"/>
    <n v="11"/>
    <n v="207"/>
    <n v="1"/>
    <n v="0"/>
    <n v="0"/>
    <n v="19"/>
    <n v="6"/>
    <n v="30"/>
    <n v="5"/>
    <x v="5"/>
    <n v="616"/>
    <n v="32"/>
    <n v="5.1948051948051951E-2"/>
    <n v="6"/>
    <n v="0.1875"/>
    <n v="9.74025974025974E-3"/>
    <n v="26"/>
    <n v="0.8125"/>
    <n v="4.2207792207792208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iangolo/fastapi"/>
    <s v="tiangolo"/>
    <s v="fastapi"/>
    <s v="https://github.com/tiangolo/fastapi"/>
    <d v="2018-12-08T08:21:47"/>
    <d v="2021-04-09T04:18:26"/>
    <n v="852.83100694444147"/>
    <b v="0"/>
    <b v="0"/>
    <n v="29434"/>
    <n v="493"/>
    <n v="2000"/>
    <n v="99"/>
    <n v="559"/>
    <n v="219"/>
    <n v="1014"/>
    <n v="251"/>
    <n v="1963"/>
    <n v="534"/>
    <x v="5"/>
    <n v="12845"/>
    <n v="31"/>
    <n v="2.413390424289607E-3"/>
    <n v="0"/>
    <n v="0"/>
    <n v="0"/>
    <n v="22"/>
    <n v="0.70967741935483875"/>
    <n v="1.7127286882055275E-3"/>
    <n v="2"/>
    <n v="6.4516129032258063E-2"/>
    <n v="1.557026080186843E-4"/>
    <n v="7"/>
    <n v="0.22580645161290322"/>
    <n v="5.4495912806539512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iangolo/full-stack"/>
    <s v="tiangolo"/>
    <s v="full-stack"/>
    <s v="https://github.com/tiangolo/full-stack"/>
    <d v="2018-02-28T13:34:09"/>
    <d v="2021-04-07T21:08:30"/>
    <n v="1134.3155208333337"/>
    <b v="0"/>
    <b v="0"/>
    <n v="458"/>
    <n v="23"/>
    <n v="59"/>
    <n v="3"/>
    <n v="0"/>
    <n v="6"/>
    <n v="10"/>
    <n v="0"/>
    <n v="16"/>
    <n v="1"/>
    <x v="5"/>
    <n v="755"/>
    <n v="6"/>
    <n v="7.9470198675496689E-3"/>
    <n v="0"/>
    <n v="0"/>
    <n v="0"/>
    <n v="6"/>
    <n v="1"/>
    <n v="7.9470198675496689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iangolo/full-stack-fastapi-postgresql"/>
    <s v="tiangolo"/>
    <s v="full-stack-fastapi-postgresql"/>
    <s v="https://github.com/tiangolo/full-stack-fastapi-postgresql"/>
    <d v="2019-02-23T15:08:34"/>
    <d v="2021-04-09T01:12:39"/>
    <n v="775.41950231481314"/>
    <b v="0"/>
    <b v="0"/>
    <n v="5271"/>
    <n v="123"/>
    <n v="820"/>
    <n v="6"/>
    <n v="2"/>
    <n v="17"/>
    <n v="110"/>
    <n v="32"/>
    <n v="251"/>
    <n v="94"/>
    <x v="5"/>
    <n v="1143"/>
    <n v="12"/>
    <n v="1.0498687664041995E-2"/>
    <n v="0"/>
    <n v="0"/>
    <n v="0"/>
    <n v="9"/>
    <n v="0.75"/>
    <n v="7.874015748031496E-3"/>
    <n v="0"/>
    <n v="0"/>
    <n v="0"/>
    <n v="3"/>
    <n v="0.25"/>
    <n v="2.6246719160104987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tianzhi0549/FCOS"/>
    <s v="tianzhi0549"/>
    <s v="FCOS"/>
    <s v="https://github.com/tianzhi0549/FCOS"/>
    <d v="2019-04-10T05:59:14"/>
    <d v="2021-04-08T01:58:55"/>
    <n v="728.83311342592788"/>
    <b v="0"/>
    <b v="0"/>
    <n v="2590"/>
    <n v="62"/>
    <n v="513"/>
    <n v="0"/>
    <n v="0"/>
    <n v="9"/>
    <n v="10"/>
    <n v="1"/>
    <n v="327"/>
    <n v="160"/>
    <x v="7"/>
    <n v="8235"/>
    <n v="54"/>
    <n v="6.5573770491803279E-3"/>
    <n v="0"/>
    <n v="0"/>
    <n v="0"/>
    <n v="49"/>
    <n v="0.90740740740740744"/>
    <n v="5.9502125075895571E-3"/>
    <n v="4"/>
    <n v="7.407407407407407E-2"/>
    <n v="4.857316332726169E-4"/>
    <n v="1"/>
    <n v="1.8518518518518517E-2"/>
    <n v="1.2143290831815422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ileStache/TileStache"/>
    <s v="TileStache"/>
    <s v="TileStache"/>
    <s v="https://github.com/TileStache/TileStache"/>
    <d v="2010-04-02T20:41:01"/>
    <d v="2021-02-27T19:41:40"/>
    <n v="3983.958784722221"/>
    <b v="0"/>
    <b v="1"/>
    <n v="723"/>
    <n v="42"/>
    <n v="248"/>
    <n v="4"/>
    <n v="27"/>
    <n v="65"/>
    <n v="207"/>
    <n v="30"/>
    <n v="162"/>
    <n v="104"/>
    <x v="2"/>
    <n v="6725"/>
    <n v="23"/>
    <n v="3.4200743494423791E-3"/>
    <n v="14"/>
    <n v="0.60869565217391308"/>
    <n v="2.0817843866171005E-3"/>
    <n v="3"/>
    <n v="0.13043478260869565"/>
    <n v="4.4609665427509292E-4"/>
    <n v="0"/>
    <n v="0"/>
    <n v="0"/>
    <n v="6"/>
    <n v="0.2608695652173913"/>
    <n v="8.9219330855018584E-4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tmrowco/electricitymap-contrib"/>
    <s v="tmrowco"/>
    <s v="electricitymap-contrib"/>
    <s v="https://github.com/tmrowco/electricitymap-contrib"/>
    <d v="2016-05-21T16:36:17"/>
    <d v="2021-04-07T09:22:28"/>
    <n v="1781.6987384259264"/>
    <b v="0"/>
    <b v="1"/>
    <n v="1851"/>
    <n v="79"/>
    <n v="516"/>
    <n v="198"/>
    <n v="24"/>
    <n v="209"/>
    <n v="1611"/>
    <n v="10"/>
    <n v="1428"/>
    <n v="100"/>
    <x v="5"/>
    <n v="9239"/>
    <n v="82"/>
    <n v="8.875419417685897E-3"/>
    <n v="10"/>
    <n v="0.12195121951219512"/>
    <n v="1.0823682216690117E-3"/>
    <n v="6"/>
    <n v="7.3170731707317069E-2"/>
    <n v="6.4942093300140709E-4"/>
    <n v="62"/>
    <n v="0.75609756097560976"/>
    <n v="6.7106829743478731E-3"/>
    <n v="3"/>
    <n v="3.6585365853658534E-2"/>
    <n v="3.2471046650070354E-4"/>
    <n v="0"/>
    <n v="0"/>
    <n v="0"/>
    <n v="1"/>
    <n v="1.2195121951219513E-2"/>
    <n v="1.0823682216690118E-4"/>
    <b v="1"/>
    <b v="1"/>
    <b v="0"/>
    <b v="0"/>
    <b v="1"/>
    <b v="0"/>
    <b v="0"/>
    <b v="0"/>
    <b v="0"/>
    <b v="0"/>
    <b v="0"/>
    <b v="0"/>
    <b v="0"/>
  </r>
  <r>
    <s v="TokenMarketNet/smart-contracts"/>
    <s v="TokenMarketNet"/>
    <s v="smart-contracts"/>
    <s v="https://github.com/TokenMarketNet/smart-contracts"/>
    <d v="2017-03-20T22:36:58"/>
    <d v="2021-04-07T03:19:10"/>
    <n v="1478.1959722222164"/>
    <b v="0"/>
    <b v="1"/>
    <n v="1190"/>
    <n v="129"/>
    <n v="460"/>
    <n v="0"/>
    <n v="13"/>
    <n v="15"/>
    <n v="92"/>
    <n v="19"/>
    <n v="89"/>
    <n v="24"/>
    <x v="7"/>
    <n v="6533"/>
    <n v="19"/>
    <n v="2.9083116485534976E-3"/>
    <n v="0"/>
    <n v="0"/>
    <n v="0"/>
    <n v="16"/>
    <n v="0.84210526315789469"/>
    <n v="2.4491045461503139E-3"/>
    <n v="2"/>
    <n v="0.10526315789473684"/>
    <n v="3.0613806826878924E-4"/>
    <n v="1"/>
    <n v="5.2631578947368418E-2"/>
    <n v="1.5306903413439462E-4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TomasTomecek/sen"/>
    <s v="TomasTomecek"/>
    <s v="sen"/>
    <s v="https://github.com/TomasTomecek/sen"/>
    <d v="2015-09-25T07:13:43"/>
    <d v="2021-04-07T08:52:25"/>
    <n v="2021.0685416666674"/>
    <b v="0"/>
    <b v="0"/>
    <n v="837"/>
    <n v="27"/>
    <n v="53"/>
    <n v="11"/>
    <n v="2"/>
    <n v="11"/>
    <n v="42"/>
    <n v="0"/>
    <n v="115"/>
    <n v="30"/>
    <x v="5"/>
    <n v="3649"/>
    <n v="115"/>
    <n v="3.1515483694162787E-2"/>
    <n v="59"/>
    <n v="0.5130434782608696"/>
    <n v="1.6168813373526995E-2"/>
    <n v="32"/>
    <n v="0.27826086956521739"/>
    <n v="8.7695258975061668E-3"/>
    <n v="5"/>
    <n v="4.3478260869565216E-2"/>
    <n v="1.3702384214853384E-3"/>
    <n v="19"/>
    <n v="0.16521739130434782"/>
    <n v="5.206906001644286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omchop/malcom"/>
    <s v="tomchop"/>
    <s v="malcom"/>
    <s v="https://github.com/tomchop/malcom"/>
    <d v="2013-06-04T15:06:25"/>
    <d v="2021-04-05T23:21:15"/>
    <n v="2862.3436342592613"/>
    <b v="0"/>
    <b v="0"/>
    <n v="992"/>
    <n v="128"/>
    <n v="190"/>
    <n v="1"/>
    <n v="2"/>
    <n v="11"/>
    <n v="24"/>
    <n v="0"/>
    <n v="42"/>
    <n v="13"/>
    <x v="7"/>
    <n v="5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omerfiliba-org/rpyc"/>
    <s v="tomerfiliba-org"/>
    <s v="rpyc"/>
    <s v="https://github.com/tomerfiliba-org/rpyc"/>
    <d v="2009-03-08T11:23:29"/>
    <d v="2021-04-08T01:36:00"/>
    <n v="4413.59202546296"/>
    <b v="0"/>
    <b v="1"/>
    <n v="995"/>
    <n v="57"/>
    <n v="193"/>
    <n v="8"/>
    <n v="23"/>
    <n v="53"/>
    <n v="105"/>
    <n v="1"/>
    <n v="338"/>
    <n v="45"/>
    <x v="7"/>
    <n v="5641"/>
    <n v="53"/>
    <n v="9.3954972522602379E-3"/>
    <n v="14"/>
    <n v="0.26415094339622641"/>
    <n v="2.4818294628611948E-3"/>
    <n v="19"/>
    <n v="0.35849056603773582"/>
    <n v="3.3681971281687645E-3"/>
    <n v="11"/>
    <n v="0.20754716981132076"/>
    <n v="1.950008863676653E-3"/>
    <n v="0"/>
    <n v="0"/>
    <n v="0"/>
    <n v="0"/>
    <n v="0"/>
    <n v="0"/>
    <n v="9"/>
    <n v="0.16981132075471697"/>
    <n v="1.5954617975536252E-3"/>
    <b v="0"/>
    <b v="1"/>
    <b v="0"/>
    <b v="0"/>
    <b v="1"/>
    <b v="0"/>
    <b v="0"/>
    <b v="0"/>
    <b v="0"/>
    <b v="0"/>
    <b v="0"/>
    <b v="0"/>
    <b v="0"/>
  </r>
  <r>
    <s v="tomslee/airbnb-data-collection"/>
    <s v="tomslee"/>
    <s v="airbnb-data-collection"/>
    <s v="https://github.com/tomslee/airbnb-data-collection"/>
    <d v="2015-08-09T19:40:42"/>
    <d v="2021-04-06T04:28:18"/>
    <n v="2066.3663888888914"/>
    <b v="0"/>
    <b v="0"/>
    <n v="445"/>
    <n v="64"/>
    <n v="173"/>
    <n v="0"/>
    <n v="1"/>
    <n v="12"/>
    <n v="26"/>
    <n v="8"/>
    <n v="46"/>
    <n v="7"/>
    <x v="5"/>
    <n v="2910"/>
    <n v="257"/>
    <n v="8.8316151202749146E-2"/>
    <n v="49"/>
    <n v="0.19066147859922178"/>
    <n v="1.683848797250859E-2"/>
    <n v="99"/>
    <n v="0.38521400778210119"/>
    <n v="3.4020618556701028E-2"/>
    <n v="31"/>
    <n v="0.12062256809338522"/>
    <n v="1.0652920962199313E-2"/>
    <n v="47"/>
    <n v="0.1828793774319066"/>
    <n v="1.6151202749140895E-2"/>
    <n v="0"/>
    <n v="0"/>
    <n v="0"/>
    <n v="31"/>
    <n v="0.12062256809338522"/>
    <n v="1.0652920962199313E-2"/>
    <b v="1"/>
    <b v="1"/>
    <b v="0"/>
    <b v="0"/>
    <b v="1"/>
    <b v="0"/>
    <b v="0"/>
    <b v="0"/>
    <b v="0"/>
    <b v="0"/>
    <b v="0"/>
    <b v="0"/>
    <b v="0"/>
  </r>
  <r>
    <s v="TophantTechnology/ARL"/>
    <s v="TophantTechnology"/>
    <s v="ARL"/>
    <s v="https://github.com/TophantTechnology/ARL"/>
    <d v="2020-09-10T07:41:12"/>
    <d v="2021-04-09T04:08:08"/>
    <n v="210.85203703703883"/>
    <b v="0"/>
    <b v="1"/>
    <n v="1448"/>
    <n v="35"/>
    <n v="262"/>
    <n v="4"/>
    <n v="4"/>
    <n v="3"/>
    <n v="9"/>
    <n v="0"/>
    <n v="116"/>
    <n v="27"/>
    <x v="1"/>
    <n v="8892"/>
    <n v="146"/>
    <n v="1.6419253261358523E-2"/>
    <n v="1"/>
    <n v="6.8493150684931503E-3"/>
    <n v="1.1246063877642825E-4"/>
    <n v="101"/>
    <n v="0.69178082191780821"/>
    <n v="1.1358524516419253E-2"/>
    <n v="25"/>
    <n v="0.17123287671232876"/>
    <n v="2.8115159694107063E-3"/>
    <n v="1"/>
    <n v="6.8493150684931503E-3"/>
    <n v="1.1246063877642825E-4"/>
    <n v="0"/>
    <n v="0"/>
    <n v="0"/>
    <n v="18"/>
    <n v="0.12328767123287671"/>
    <n v="2.0242914979757085E-3"/>
    <b v="1"/>
    <b v="1"/>
    <b v="0"/>
    <b v="0"/>
    <b v="1"/>
    <b v="0"/>
    <b v="0"/>
    <b v="0"/>
    <b v="0"/>
    <b v="0"/>
    <b v="0"/>
    <b v="0"/>
    <b v="0"/>
  </r>
  <r>
    <s v="TophantTechnology/osprey"/>
    <s v="TophantTechnology"/>
    <s v="osprey"/>
    <s v="https://github.com/TophantTechnology/osprey"/>
    <d v="2017-09-18T07:41:27"/>
    <d v="2021-04-08T10:16:13"/>
    <n v="1298.107476851852"/>
    <b v="0"/>
    <b v="1"/>
    <n v="436"/>
    <n v="34"/>
    <n v="134"/>
    <n v="0"/>
    <n v="0"/>
    <n v="2"/>
    <n v="8"/>
    <n v="5"/>
    <n v="1"/>
    <n v="0"/>
    <x v="1"/>
    <n v="2814"/>
    <n v="42"/>
    <n v="1.4925373134328358E-2"/>
    <n v="0"/>
    <n v="0"/>
    <n v="0"/>
    <n v="9"/>
    <n v="0.21428571428571427"/>
    <n v="3.1982942430703624E-3"/>
    <n v="7"/>
    <n v="0.16666666666666666"/>
    <n v="2.4875621890547263E-3"/>
    <n v="26"/>
    <n v="0.61904761904761907"/>
    <n v="9.2395167022032692E-3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tornadoweb/tornado"/>
    <s v="tornadoweb"/>
    <s v="tornado"/>
    <s v="https://github.com/tornadoweb/tornado"/>
    <d v="2009-09-09T04:55:16"/>
    <d v="2021-04-08T21:20:55"/>
    <n v="4229.6844791666663"/>
    <b v="0"/>
    <b v="1"/>
    <n v="19920"/>
    <n v="1038"/>
    <n v="5038"/>
    <n v="0"/>
    <n v="145"/>
    <n v="348"/>
    <n v="1360"/>
    <n v="32"/>
    <n v="1644"/>
    <n v="196"/>
    <x v="4"/>
    <n v="22436"/>
    <n v="122"/>
    <n v="5.4376894277054734E-3"/>
    <n v="24"/>
    <n v="0.19672131147540983"/>
    <n v="1.0697093956141914E-3"/>
    <n v="19"/>
    <n v="0.15573770491803279"/>
    <n v="8.4685327152790157E-4"/>
    <n v="37"/>
    <n v="0.30327868852459017"/>
    <n v="1.6491353182385452E-3"/>
    <n v="36"/>
    <n v="0.29508196721311475"/>
    <n v="1.6045640934212871E-3"/>
    <n v="0"/>
    <n v="0"/>
    <n v="0"/>
    <n v="6"/>
    <n v="4.9180327868852458E-2"/>
    <n v="2.6742734890354786E-4"/>
    <b v="1"/>
    <b v="1"/>
    <b v="0"/>
    <b v="0"/>
    <b v="1"/>
    <b v="0"/>
    <b v="0"/>
    <b v="0"/>
    <b v="0"/>
    <b v="0"/>
    <b v="0"/>
    <b v="0"/>
    <b v="0"/>
  </r>
  <r>
    <s v="torque59/Nosql-Exploitation-Framework"/>
    <s v="torque59"/>
    <s v="Nosql-Exploitation-Framework"/>
    <s v="https://github.com/torque59/Nosql-Exploitation-Framework"/>
    <d v="2013-12-26T17:46:11"/>
    <d v="2021-04-01T07:50:40"/>
    <n v="2652.5864467592619"/>
    <b v="0"/>
    <b v="0"/>
    <n v="574"/>
    <n v="31"/>
    <n v="132"/>
    <n v="0"/>
    <n v="3"/>
    <n v="6"/>
    <n v="190"/>
    <n v="44"/>
    <n v="12"/>
    <n v="6"/>
    <x v="7"/>
    <n v="1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railofbits/deepstate"/>
    <s v="trailofbits"/>
    <s v="deepstate"/>
    <s v="https://github.com/trailofbits/deepstate"/>
    <d v="2017-10-27T20:35:54"/>
    <d v="2021-03-21T01:35:11"/>
    <n v="1240.2078356481434"/>
    <b v="0"/>
    <b v="1"/>
    <n v="604"/>
    <n v="44"/>
    <n v="62"/>
    <n v="0"/>
    <n v="1"/>
    <n v="16"/>
    <n v="158"/>
    <n v="8"/>
    <n v="218"/>
    <n v="90"/>
    <x v="4"/>
    <n v="3526"/>
    <n v="123"/>
    <n v="3.4883720930232558E-2"/>
    <n v="31"/>
    <n v="0.25203252032520324"/>
    <n v="8.7918321043675557E-3"/>
    <n v="45"/>
    <n v="0.36585365853658536"/>
    <n v="1.2762336925694838E-2"/>
    <n v="6"/>
    <n v="4.878048780487805E-2"/>
    <n v="1.7016449234259785E-3"/>
    <n v="24"/>
    <n v="0.1951219512195122"/>
    <n v="6.8065796937039139E-3"/>
    <n v="17"/>
    <n v="0.13821138211382114"/>
    <n v="4.821327283040272E-3"/>
    <n v="0"/>
    <n v="0"/>
    <n v="0"/>
    <b v="1"/>
    <b v="0"/>
    <b v="0"/>
    <b v="0"/>
    <b v="1"/>
    <b v="0"/>
    <b v="0"/>
    <b v="0"/>
    <b v="0"/>
    <b v="0"/>
    <b v="0"/>
    <b v="0"/>
    <b v="0"/>
  </r>
  <r>
    <s v="trailofbits/manticore"/>
    <s v="trailofbits"/>
    <s v="manticore"/>
    <s v="https://github.com/trailofbits/manticore"/>
    <d v="2017-02-10T22:28:34"/>
    <d v="2021-04-08T09:25:23"/>
    <n v="1517.4561226851874"/>
    <b v="0"/>
    <b v="1"/>
    <n v="2267"/>
    <n v="109"/>
    <n v="309"/>
    <n v="17"/>
    <n v="50"/>
    <n v="87"/>
    <n v="1124"/>
    <n v="19"/>
    <n v="737"/>
    <n v="197"/>
    <x v="11"/>
    <n v="223356"/>
    <n v="469"/>
    <n v="2.0997868873009902E-3"/>
    <n v="174"/>
    <n v="0.37100213219616207"/>
    <n v="7.7902541234620962E-4"/>
    <n v="207"/>
    <n v="0.44136460554371004"/>
    <n v="9.2677161123945625E-4"/>
    <n v="64"/>
    <n v="0.13646055437100213"/>
    <n v="2.8653808270205411E-4"/>
    <n v="24"/>
    <n v="5.1172707889125799E-2"/>
    <n v="1.0745178101327029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ranslate/pootle"/>
    <s v="translate"/>
    <s v="pootle"/>
    <s v="https://github.com/translate/pootle"/>
    <d v="2012-03-19T23:06:03"/>
    <d v="2021-04-06T08:01:25"/>
    <n v="3304.3717824074047"/>
    <b v="0"/>
    <b v="1"/>
    <n v="1350"/>
    <n v="64"/>
    <n v="245"/>
    <n v="36"/>
    <n v="496"/>
    <n v="73"/>
    <n v="2440"/>
    <n v="98"/>
    <n v="3097"/>
    <n v="426"/>
    <x v="0"/>
    <n v="43473"/>
    <n v="112"/>
    <n v="2.5763117337197802E-3"/>
    <n v="59"/>
    <n v="0.5267857142857143"/>
    <n v="1.3571642168702413E-3"/>
    <n v="13"/>
    <n v="0.11607142857142858"/>
    <n v="2.9903618337818875E-4"/>
    <n v="27"/>
    <n v="0.24107142857142858"/>
    <n v="6.2107515009316122E-4"/>
    <n v="10"/>
    <n v="8.9285714285714288E-2"/>
    <n v="2.3002783336783752E-4"/>
    <n v="0"/>
    <n v="0"/>
    <n v="0"/>
    <n v="3"/>
    <n v="2.6785714285714284E-2"/>
    <n v="6.9008350010351256E-5"/>
    <b v="1"/>
    <b v="1"/>
    <b v="0"/>
    <b v="0"/>
    <b v="1"/>
    <b v="0"/>
    <b v="0"/>
    <b v="0"/>
    <b v="0"/>
    <b v="0"/>
    <b v="0"/>
    <b v="0"/>
    <b v="0"/>
  </r>
  <r>
    <s v="traveller59/second.pytorch"/>
    <s v="traveller59"/>
    <s v="second.pytorch"/>
    <s v="https://github.com/traveller59/second.pytorch"/>
    <d v="2018-10-03T23:05:52"/>
    <d v="2021-04-08T09:24:21"/>
    <n v="917.42950231481518"/>
    <b v="0"/>
    <b v="0"/>
    <n v="1152"/>
    <n v="47"/>
    <n v="374"/>
    <n v="0"/>
    <n v="2"/>
    <n v="2"/>
    <n v="14"/>
    <n v="8"/>
    <n v="430"/>
    <n v="254"/>
    <x v="5"/>
    <n v="13532"/>
    <n v="38"/>
    <n v="2.8081584392550991E-3"/>
    <n v="4"/>
    <n v="0.10526315789473684"/>
    <n v="2.9559562518474729E-4"/>
    <n v="17"/>
    <n v="0.44736842105263158"/>
    <n v="1.2562814070351759E-3"/>
    <n v="2"/>
    <n v="5.2631578947368418E-2"/>
    <n v="1.4779781259237365E-4"/>
    <n v="15"/>
    <n v="0.39473684210526316"/>
    <n v="1.108483594442802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rezor/trezor-firmware"/>
    <s v="trezor"/>
    <s v="trezor-firmware"/>
    <s v="https://github.com/trezor/trezor-firmware"/>
    <d v="2019-04-10T13:42:15"/>
    <d v="2021-04-08T15:49:38"/>
    <n v="729.08846064814861"/>
    <b v="0"/>
    <b v="1"/>
    <n v="450"/>
    <n v="42"/>
    <n v="286"/>
    <n v="0"/>
    <n v="152"/>
    <n v="204"/>
    <n v="710"/>
    <n v="29"/>
    <n v="848"/>
    <n v="181"/>
    <x v="7"/>
    <n v="67279"/>
    <n v="132"/>
    <n v="1.9619792208564338E-3"/>
    <n v="53"/>
    <n v="0.40151515151515149"/>
    <n v="7.8776438413174989E-4"/>
    <n v="29"/>
    <n v="0.2196969696969697"/>
    <n v="4.3104088943058012E-4"/>
    <n v="35"/>
    <n v="0.26515151515151514"/>
    <n v="5.2022176310587251E-4"/>
    <n v="4"/>
    <n v="3.0303030303030304E-2"/>
    <n v="5.945391578352829E-5"/>
    <n v="0"/>
    <n v="0"/>
    <n v="0"/>
    <n v="11"/>
    <n v="8.3333333333333329E-2"/>
    <n v="1.634982684047028E-4"/>
    <b v="1"/>
    <b v="0"/>
    <b v="0"/>
    <b v="0"/>
    <b v="1"/>
    <b v="0"/>
    <b v="0"/>
    <b v="0"/>
    <b v="0"/>
    <b v="0"/>
    <b v="0"/>
    <b v="0"/>
    <b v="0"/>
  </r>
  <r>
    <s v="TRI-ML/packnet-sfm"/>
    <s v="TRI-ML"/>
    <s v="packnet-sfm"/>
    <s v="https://github.com/TRI-ML/packnet-sfm"/>
    <d v="2019-12-06T01:08:19"/>
    <d v="2021-04-06T10:22:22"/>
    <n v="487.3847569444406"/>
    <b v="0"/>
    <b v="1"/>
    <n v="581"/>
    <n v="49"/>
    <n v="133"/>
    <n v="3"/>
    <n v="0"/>
    <n v="5"/>
    <n v="12"/>
    <n v="3"/>
    <n v="121"/>
    <n v="14"/>
    <x v="5"/>
    <n v="3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ribe29/checkmk"/>
    <s v="tribe29"/>
    <s v="checkmk"/>
    <s v="https://github.com/tribe29/checkmk"/>
    <d v="2019-02-20T12:29:54"/>
    <d v="2021-04-08T21:30:33"/>
    <n v="778.37545138888527"/>
    <b v="0"/>
    <b v="1"/>
    <n v="451"/>
    <n v="49"/>
    <n v="225"/>
    <n v="0"/>
    <n v="53"/>
    <n v="108"/>
    <n v="359"/>
    <n v="70"/>
    <n v="0"/>
    <n v="0"/>
    <x v="3"/>
    <n v="254012"/>
    <n v="1057"/>
    <n v="4.1612207297293041E-3"/>
    <n v="326"/>
    <n v="0.30842005676442763"/>
    <n v="1.283403933672425E-3"/>
    <n v="476"/>
    <n v="0.45033112582781459"/>
    <n v="1.8739272160370377E-3"/>
    <n v="57"/>
    <n v="5.392620624408704E-2"/>
    <n v="2.2439884729855283E-4"/>
    <n v="106"/>
    <n v="0.10028382213812677"/>
    <n v="4.1730311953765966E-4"/>
    <n v="2"/>
    <n v="1.8921475875118259E-3"/>
    <n v="7.8736437648615031E-6"/>
    <n v="90"/>
    <n v="8.5146641438032161E-2"/>
    <n v="3.5431396941876763E-4"/>
    <b v="1"/>
    <b v="0"/>
    <b v="0"/>
    <b v="0"/>
    <b v="1"/>
    <b v="0"/>
    <b v="0"/>
    <b v="0"/>
    <b v="0"/>
    <b v="0"/>
    <b v="0"/>
    <b v="0"/>
    <b v="0"/>
  </r>
  <r>
    <s v="Trusted-AI/adversarial-robustness-toolbox"/>
    <s v="Trusted-AI"/>
    <s v="adversarial-robustness-toolbox"/>
    <s v="https://github.com/Trusted-AI/adversarial-robustness-toolbox"/>
    <d v="2018-03-15T14:40:43"/>
    <d v="2021-04-09T03:29:03"/>
    <n v="1120.5335648148175"/>
    <b v="0"/>
    <b v="1"/>
    <n v="2125"/>
    <n v="86"/>
    <n v="588"/>
    <n v="28"/>
    <n v="1"/>
    <n v="54"/>
    <n v="567"/>
    <n v="16"/>
    <n v="470"/>
    <n v="76"/>
    <x v="5"/>
    <n v="37532"/>
    <n v="465"/>
    <n v="1.238942768837259E-2"/>
    <n v="82"/>
    <n v="0.17634408602150536"/>
    <n v="2.1848023020355962E-3"/>
    <n v="330"/>
    <n v="0.70967741935483875"/>
    <n v="8.7924970691676436E-3"/>
    <n v="46"/>
    <n v="9.8924731182795697E-2"/>
    <n v="1.2256208035809442E-3"/>
    <n v="5"/>
    <n v="1.0752688172043012E-2"/>
    <n v="1.3321965256314611E-4"/>
    <n v="2"/>
    <n v="4.3010752688172043E-3"/>
    <n v="5.3287861025258443E-5"/>
    <n v="0"/>
    <n v="0"/>
    <n v="0"/>
    <b v="1"/>
    <b v="0"/>
    <b v="0"/>
    <b v="0"/>
    <b v="1"/>
    <b v="0"/>
    <b v="0"/>
    <b v="0"/>
    <b v="0"/>
    <b v="0"/>
    <b v="0"/>
    <b v="0"/>
    <b v="0"/>
  </r>
  <r>
    <s v="Trusted-AI/AIF360"/>
    <s v="Trusted-AI"/>
    <s v="AIF360"/>
    <s v="https://github.com/Trusted-AI/AIF360"/>
    <d v="2018-08-22T20:47:15"/>
    <d v="2021-04-09T03:42:17"/>
    <n v="960.28821759259881"/>
    <b v="0"/>
    <b v="1"/>
    <n v="1336"/>
    <n v="80"/>
    <n v="408"/>
    <n v="9"/>
    <n v="1"/>
    <n v="38"/>
    <n v="147"/>
    <n v="4"/>
    <n v="87"/>
    <n v="35"/>
    <x v="4"/>
    <n v="6218"/>
    <n v="32"/>
    <n v="5.1463493084593116E-3"/>
    <n v="0"/>
    <n v="0"/>
    <n v="0"/>
    <n v="27"/>
    <n v="0.84375"/>
    <n v="4.3422322290125439E-3"/>
    <n v="5"/>
    <n v="0.15625"/>
    <n v="8.0411707944676744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rustedsec/ptf"/>
    <s v="trustedsec"/>
    <s v="ptf"/>
    <s v="https://github.com/trustedsec/ptf"/>
    <d v="2015-05-12T18:37:25"/>
    <d v="2021-04-08T16:48:16"/>
    <n v="2157.924201388887"/>
    <b v="0"/>
    <b v="1"/>
    <n v="3633"/>
    <n v="291"/>
    <n v="950"/>
    <n v="0"/>
    <n v="10"/>
    <n v="94"/>
    <n v="346"/>
    <n v="0"/>
    <n v="222"/>
    <n v="3"/>
    <x v="1"/>
    <n v="3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sileo/microblog.pub"/>
    <s v="tsileo"/>
    <s v="microblog.pub"/>
    <s v="https://github.com/tsileo/microblog.pub"/>
    <d v="2018-04-02T18:26:12"/>
    <d v="2021-04-08T19:00:05"/>
    <n v="1102.0235300925924"/>
    <b v="0"/>
    <b v="0"/>
    <n v="496"/>
    <n v="33"/>
    <n v="36"/>
    <n v="0"/>
    <n v="0"/>
    <n v="8"/>
    <n v="32"/>
    <n v="4"/>
    <n v="61"/>
    <n v="16"/>
    <x v="11"/>
    <n v="5130"/>
    <n v="204"/>
    <n v="3.9766081871345033E-2"/>
    <n v="14"/>
    <n v="6.8627450980392163E-2"/>
    <n v="2.7290448343079924E-3"/>
    <n v="120"/>
    <n v="0.58823529411764708"/>
    <n v="2.3391812865497075E-2"/>
    <n v="8"/>
    <n v="3.9215686274509803E-2"/>
    <n v="1.5594541910331384E-3"/>
    <n v="5"/>
    <n v="2.4509803921568627E-2"/>
    <n v="9.7465886939571145E-4"/>
    <n v="0"/>
    <n v="0"/>
    <n v="0"/>
    <n v="57"/>
    <n v="0.27941176470588236"/>
    <n v="1.1111111111111112E-2"/>
    <b v="1"/>
    <b v="1"/>
    <b v="0"/>
    <b v="0"/>
    <b v="1"/>
    <b v="0"/>
    <b v="0"/>
    <b v="0"/>
    <b v="0"/>
    <b v="0"/>
    <b v="0"/>
    <b v="0"/>
    <b v="0"/>
  </r>
  <r>
    <s v="Tuhinshubhra/CMSeeK"/>
    <s v="Tuhinshubhra"/>
    <s v="CMSeeK"/>
    <s v="https://github.com/Tuhinshubhra/CMSeeK"/>
    <d v="2018-06-14T00:15:51"/>
    <d v="2021-04-07T11:55:01"/>
    <n v="1028.4855324074088"/>
    <b v="0"/>
    <b v="0"/>
    <n v="1320"/>
    <n v="63"/>
    <n v="320"/>
    <n v="13"/>
    <n v="1"/>
    <n v="8"/>
    <n v="19"/>
    <n v="0"/>
    <n v="93"/>
    <n v="4"/>
    <x v="0"/>
    <n v="3965"/>
    <n v="166"/>
    <n v="4.1866330390920553E-2"/>
    <n v="0"/>
    <n v="0"/>
    <n v="0"/>
    <n v="32"/>
    <n v="0.19277108433734941"/>
    <n v="8.0706179066834804E-3"/>
    <n v="19"/>
    <n v="0.1144578313253012"/>
    <n v="4.7919293820933165E-3"/>
    <n v="115"/>
    <n v="0.69277108433734935"/>
    <n v="2.9003783102143757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uhinshubhra/ExtAnalysis"/>
    <s v="Tuhinshubhra"/>
    <s v="ExtAnalysis"/>
    <s v="https://github.com/Tuhinshubhra/ExtAnalysis"/>
    <d v="2019-05-06T10:01:47"/>
    <d v="2021-04-06T13:27:57"/>
    <n v="701.1431712962949"/>
    <b v="0"/>
    <b v="0"/>
    <n v="356"/>
    <n v="19"/>
    <n v="62"/>
    <n v="4"/>
    <n v="0"/>
    <n v="7"/>
    <n v="8"/>
    <n v="0"/>
    <n v="13"/>
    <n v="4"/>
    <x v="0"/>
    <n v="2742"/>
    <n v="61"/>
    <n v="2.224653537563822E-2"/>
    <n v="0"/>
    <n v="0"/>
    <n v="0"/>
    <n v="0"/>
    <n v="0"/>
    <n v="0"/>
    <n v="0"/>
    <n v="0"/>
    <n v="0"/>
    <n v="61"/>
    <n v="1"/>
    <n v="2.224653537563822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ulir/mautrix-telegram"/>
    <s v="tulir"/>
    <s v="mautrix-telegram"/>
    <s v="https://github.com/tulir/mautrix-telegram"/>
    <d v="2017-11-12T15:42:45"/>
    <d v="2021-04-08T22:42:19"/>
    <n v="1243.2913657407407"/>
    <b v="0"/>
    <b v="0"/>
    <n v="522"/>
    <n v="29"/>
    <n v="76"/>
    <n v="51"/>
    <n v="3"/>
    <n v="21"/>
    <n v="73"/>
    <n v="1"/>
    <n v="535"/>
    <n v="122"/>
    <x v="11"/>
    <n v="8391"/>
    <n v="133"/>
    <n v="1.5850315814563223E-2"/>
    <n v="53"/>
    <n v="0.39849624060150374"/>
    <n v="6.3162912644500061E-3"/>
    <n v="11"/>
    <n v="8.2706766917293228E-2"/>
    <n v="1.3109283756405673E-3"/>
    <n v="20"/>
    <n v="0.15037593984962405"/>
    <n v="2.3835061375283039E-3"/>
    <n v="5"/>
    <n v="3.7593984962406013E-2"/>
    <n v="5.9587653438207598E-4"/>
    <n v="0"/>
    <n v="0"/>
    <n v="0"/>
    <n v="44"/>
    <n v="0.33082706766917291"/>
    <n v="5.2437135025622693E-3"/>
    <b v="1"/>
    <b v="0"/>
    <b v="0"/>
    <b v="0"/>
    <b v="1"/>
    <b v="0"/>
    <b v="0"/>
    <b v="0"/>
    <b v="0"/>
    <b v="0"/>
    <b v="0"/>
    <b v="0"/>
    <b v="0"/>
  </r>
  <r>
    <s v="turicas/covid19-br"/>
    <s v="turicas"/>
    <s v="covid19-br"/>
    <s v="https://github.com/turicas/covid19-br"/>
    <d v="2020-03-18T06:24:32"/>
    <d v="2021-04-09T01:10:17"/>
    <n v="386.78177083333139"/>
    <b v="0"/>
    <b v="0"/>
    <n v="510"/>
    <n v="35"/>
    <n v="125"/>
    <n v="0"/>
    <n v="9"/>
    <n v="27"/>
    <n v="88"/>
    <n v="16"/>
    <n v="124"/>
    <n v="64"/>
    <x v="9"/>
    <n v="2456"/>
    <n v="9"/>
    <n v="3.6644951140065146E-3"/>
    <n v="2"/>
    <n v="0.22222222222222221"/>
    <n v="8.1433224755700329E-4"/>
    <n v="2"/>
    <n v="0.22222222222222221"/>
    <n v="8.1433224755700329E-4"/>
    <n v="2"/>
    <n v="0.22222222222222221"/>
    <n v="8.1433224755700329E-4"/>
    <n v="3"/>
    <n v="0.33333333333333331"/>
    <n v="1.221498371335504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uricas/rows"/>
    <s v="turicas"/>
    <s v="rows"/>
    <s v="https://github.com/turicas/rows"/>
    <d v="2014-05-07T05:43:11"/>
    <d v="2021-03-30T03:20:48"/>
    <n v="2518.9011226851871"/>
    <b v="0"/>
    <b v="0"/>
    <n v="744"/>
    <n v="57"/>
    <n v="131"/>
    <n v="7"/>
    <n v="11"/>
    <n v="28"/>
    <n v="71"/>
    <n v="22"/>
    <n v="287"/>
    <n v="138"/>
    <x v="9"/>
    <n v="7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TuSimple/simpledet"/>
    <s v="TuSimple"/>
    <s v="simpledet"/>
    <s v="https://github.com/TuSimple/simpledet"/>
    <d v="2019-01-29T08:28:55"/>
    <d v="2021-04-08T07:08:39"/>
    <n v="799.94425925925316"/>
    <b v="0"/>
    <b v="1"/>
    <n v="2866"/>
    <n v="117"/>
    <n v="472"/>
    <n v="0"/>
    <n v="0"/>
    <n v="17"/>
    <n v="106"/>
    <n v="3"/>
    <n v="249"/>
    <n v="39"/>
    <x v="4"/>
    <n v="34116"/>
    <n v="50"/>
    <n v="1.465587993903154E-3"/>
    <n v="0"/>
    <n v="0"/>
    <n v="0"/>
    <n v="39"/>
    <n v="0.78"/>
    <n v="1.1431586352444601E-3"/>
    <n v="11"/>
    <n v="0.22"/>
    <n v="3.2242935865869389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wilio/twilio-python"/>
    <s v="twilio"/>
    <s v="twilio-python"/>
    <s v="https://github.com/twilio/twilio-python"/>
    <d v="2009-09-15T05:33:57"/>
    <d v="2021-04-09T03:17:24"/>
    <n v="4223.9051736111142"/>
    <b v="0"/>
    <b v="1"/>
    <n v="1461"/>
    <n v="118"/>
    <n v="552"/>
    <n v="139"/>
    <n v="29"/>
    <n v="93"/>
    <n v="317"/>
    <n v="1"/>
    <n v="244"/>
    <n v="6"/>
    <x v="5"/>
    <n v="83131"/>
    <n v="7"/>
    <n v="8.4204448400716943E-5"/>
    <n v="0"/>
    <n v="0"/>
    <n v="0"/>
    <n v="5"/>
    <n v="0.7142857142857143"/>
    <n v="6.0146034571940671E-5"/>
    <n v="2"/>
    <n v="0.2857142857142857"/>
    <n v="2.4058413828776269E-5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twintproject/twint"/>
    <s v="twintproject"/>
    <s v="twint"/>
    <s v="https://github.com/twintproject/twint"/>
    <d v="2017-06-10T15:16:49"/>
    <d v="2021-04-08T20:55:08"/>
    <n v="1398.2349421296312"/>
    <b v="0"/>
    <b v="1"/>
    <n v="9684"/>
    <n v="259"/>
    <n v="1331"/>
    <n v="9"/>
    <n v="73"/>
    <n v="62"/>
    <n v="196"/>
    <n v="33"/>
    <n v="966"/>
    <n v="352"/>
    <x v="5"/>
    <n v="2346"/>
    <n v="138"/>
    <n v="5.8823529411764705E-2"/>
    <n v="114"/>
    <n v="0.82608695652173914"/>
    <n v="4.859335038363171E-2"/>
    <n v="3"/>
    <n v="2.1739130434782608E-2"/>
    <n v="1.2787723785166241E-3"/>
    <n v="0"/>
    <n v="0"/>
    <n v="0"/>
    <n v="0"/>
    <n v="0"/>
    <n v="0"/>
    <n v="18"/>
    <n v="0.13043478260869565"/>
    <n v="7.6726342710997444E-3"/>
    <n v="3"/>
    <n v="2.1739130434782608E-2"/>
    <n v="1.2787723785166241E-3"/>
    <b v="1"/>
    <b v="0"/>
    <b v="0"/>
    <b v="0"/>
    <b v="1"/>
    <b v="0"/>
    <b v="0"/>
    <b v="0"/>
    <b v="0"/>
    <b v="0"/>
    <b v="0"/>
    <b v="0"/>
    <b v="0"/>
  </r>
  <r>
    <s v="uber-research/deep-neuroevolution"/>
    <s v="uber-research"/>
    <s v="deep-neuroevolution"/>
    <s v="https://github.com/uber-research/deep-neuroevolution"/>
    <d v="2018-01-04T01:12:25"/>
    <d v="2021-04-08T10:57:55"/>
    <n v="1190.4065972222234"/>
    <b v="0"/>
    <b v="1"/>
    <n v="1475"/>
    <n v="85"/>
    <n v="285"/>
    <n v="0"/>
    <n v="1"/>
    <n v="11"/>
    <n v="15"/>
    <n v="3"/>
    <n v="31"/>
    <n v="14"/>
    <x v="7"/>
    <n v="6000"/>
    <n v="121"/>
    <n v="2.0166666666666666E-2"/>
    <n v="4"/>
    <n v="3.3057851239669422E-2"/>
    <n v="6.6666666666666664E-4"/>
    <n v="102"/>
    <n v="0.84297520661157022"/>
    <n v="1.7000000000000001E-2"/>
    <n v="10"/>
    <n v="8.2644628099173556E-2"/>
    <n v="1.6666666666666668E-3"/>
    <n v="0"/>
    <n v="0"/>
    <n v="0"/>
    <n v="0"/>
    <n v="0"/>
    <n v="0"/>
    <n v="5"/>
    <n v="4.1322314049586778E-2"/>
    <n v="8.3333333333333339E-4"/>
    <b v="1"/>
    <b v="1"/>
    <b v="0"/>
    <b v="0"/>
    <b v="1"/>
    <b v="0"/>
    <b v="0"/>
    <b v="0"/>
    <b v="0"/>
    <b v="0"/>
    <b v="0"/>
    <b v="0"/>
    <b v="0"/>
  </r>
  <r>
    <s v="uber-research/go-explore"/>
    <s v="uber-research"/>
    <s v="go-explore"/>
    <s v="https://github.com/uber-research/go-explore"/>
    <d v="2019-01-30T16:29:17"/>
    <d v="2021-04-04T12:45:34"/>
    <n v="794.84464120370103"/>
    <b v="0"/>
    <b v="1"/>
    <n v="409"/>
    <n v="19"/>
    <n v="65"/>
    <n v="1"/>
    <n v="0"/>
    <n v="2"/>
    <n v="15"/>
    <n v="5"/>
    <n v="9"/>
    <n v="5"/>
    <x v="7"/>
    <n v="12010"/>
    <n v="112"/>
    <n v="9.3255620316403005E-3"/>
    <n v="23"/>
    <n v="0.20535714285714285"/>
    <n v="1.9150707743547043E-3"/>
    <n v="77"/>
    <n v="0.6875"/>
    <n v="6.411323896752706E-3"/>
    <n v="12"/>
    <n v="0.10714285714285714"/>
    <n v="9.9916736053288916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ber/fiber"/>
    <s v="uber"/>
    <s v="fiber"/>
    <s v="https://github.com/uber/fiber"/>
    <d v="2020-01-07T18:16:24"/>
    <d v="2021-04-07T20:00:04"/>
    <n v="456.07199074074015"/>
    <b v="0"/>
    <b v="1"/>
    <n v="874"/>
    <n v="23"/>
    <n v="92"/>
    <n v="0"/>
    <n v="0"/>
    <n v="5"/>
    <n v="31"/>
    <n v="2"/>
    <n v="20"/>
    <n v="12"/>
    <x v="4"/>
    <n v="4839"/>
    <n v="201"/>
    <n v="4.1537507749535026E-2"/>
    <n v="190"/>
    <n v="0.94527363184079605"/>
    <n v="3.9264310808018184E-2"/>
    <n v="4"/>
    <n v="1.9900497512437811E-2"/>
    <n v="8.2661706964248815E-4"/>
    <n v="5"/>
    <n v="2.4875621890547265E-2"/>
    <n v="1.0332713370531101E-3"/>
    <n v="2"/>
    <n v="9.9502487562189053E-3"/>
    <n v="4.133085348212440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ber/petastorm"/>
    <s v="uber"/>
    <s v="petastorm"/>
    <s v="https://github.com/uber/petastorm"/>
    <d v="2018-06-15T23:15:29"/>
    <d v="2021-04-06T03:10:42"/>
    <n v="1025.163344907407"/>
    <b v="0"/>
    <b v="1"/>
    <n v="1123"/>
    <n v="40"/>
    <n v="185"/>
    <n v="31"/>
    <n v="6"/>
    <n v="30"/>
    <n v="431"/>
    <n v="20"/>
    <n v="228"/>
    <n v="112"/>
    <x v="4"/>
    <n v="9660"/>
    <n v="74"/>
    <n v="7.6604554865424427E-3"/>
    <n v="29"/>
    <n v="0.39189189189189189"/>
    <n v="3.0020703933747411E-3"/>
    <n v="20"/>
    <n v="0.27027027027027029"/>
    <n v="2.070393374741201E-3"/>
    <n v="21"/>
    <n v="0.28378378378378377"/>
    <n v="2.1739130434782609E-3"/>
    <n v="4"/>
    <n v="5.4054054054054057E-2"/>
    <n v="4.140786749482401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buntu/ubuntu-make"/>
    <s v="ubuntu"/>
    <s v="ubuntu-make"/>
    <s v="https://github.com/ubuntu/ubuntu-make"/>
    <d v="2014-06-04T14:29:09"/>
    <d v="2021-04-05T09:16:45"/>
    <n v="2496.7830555555556"/>
    <b v="0"/>
    <b v="1"/>
    <n v="1047"/>
    <n v="79"/>
    <n v="147"/>
    <n v="3"/>
    <n v="11"/>
    <n v="56"/>
    <n v="247"/>
    <n v="4"/>
    <n v="399"/>
    <n v="31"/>
    <x v="0"/>
    <n v="11911"/>
    <n v="151"/>
    <n v="1.2677357064897993E-2"/>
    <n v="77"/>
    <n v="0.50993377483443714"/>
    <n v="6.4646125430274535E-3"/>
    <n v="24"/>
    <n v="0.15894039735099338"/>
    <n v="2.0149441692553101E-3"/>
    <n v="3"/>
    <n v="1.9867549668874173E-2"/>
    <n v="2.5186802115691377E-4"/>
    <n v="46"/>
    <n v="0.30463576158940397"/>
    <n v="3.8619763244060112E-3"/>
    <n v="0"/>
    <n v="0"/>
    <n v="0"/>
    <n v="1"/>
    <n v="6.6225165562913907E-3"/>
    <n v="8.3956007052304589E-5"/>
    <b v="1"/>
    <b v="0"/>
    <b v="0"/>
    <b v="0"/>
    <b v="1"/>
    <b v="0"/>
    <b v="0"/>
    <b v="0"/>
    <b v="0"/>
    <b v="0"/>
    <b v="0"/>
    <b v="0"/>
    <b v="0"/>
  </r>
  <r>
    <s v="ufora/ufora"/>
    <s v="ufora"/>
    <s v="ufora"/>
    <s v="https://github.com/ufora/ufora"/>
    <d v="2015-10-27T15:03:50"/>
    <d v="2021-02-11T17:27:28"/>
    <n v="1934.0997453703749"/>
    <b v="0"/>
    <b v="1"/>
    <n v="498"/>
    <n v="38"/>
    <n v="28"/>
    <n v="0"/>
    <n v="179"/>
    <n v="6"/>
    <n v="16"/>
    <n v="0"/>
    <n v="280"/>
    <n v="79"/>
    <x v="4"/>
    <n v="43125"/>
    <n v="507"/>
    <n v="1.1756521739130435E-2"/>
    <n v="77"/>
    <n v="0.15187376725838264"/>
    <n v="1.7855072463768115E-3"/>
    <n v="233"/>
    <n v="0.45956607495069035"/>
    <n v="5.4028985507246375E-3"/>
    <n v="45"/>
    <n v="8.8757396449704137E-2"/>
    <n v="1.0434782608695651E-3"/>
    <n v="130"/>
    <n v="0.25641025641025639"/>
    <n v="3.0144927536231883E-3"/>
    <n v="21"/>
    <n v="4.142011834319527E-2"/>
    <n v="4.8695652173913045E-4"/>
    <n v="1"/>
    <n v="1.9723865877712033E-3"/>
    <n v="2.318840579710145E-5"/>
    <b v="1"/>
    <b v="0"/>
    <b v="0"/>
    <b v="0"/>
    <b v="1"/>
    <b v="0"/>
    <b v="0"/>
    <b v="0"/>
    <b v="0"/>
    <b v="0"/>
    <b v="0"/>
    <b v="0"/>
    <b v="0"/>
  </r>
  <r>
    <s v="UKPLab/elmo-bilstm-cnn-crf"/>
    <s v="UKPLab"/>
    <s v="elmo-bilstm-cnn-crf"/>
    <s v="https://github.com/UKPLab/elmo-bilstm-cnn-crf"/>
    <d v="2018-07-09T09:32:03"/>
    <d v="2021-04-04T11:04:14"/>
    <n v="1000.0640162037016"/>
    <b v="0"/>
    <b v="1"/>
    <n v="365"/>
    <n v="28"/>
    <n v="76"/>
    <n v="0"/>
    <n v="0"/>
    <n v="2"/>
    <n v="14"/>
    <n v="7"/>
    <n v="31"/>
    <n v="22"/>
    <x v="4"/>
    <n v="1468"/>
    <n v="31"/>
    <n v="2.111716621253406E-2"/>
    <n v="1"/>
    <n v="3.2258064516129031E-2"/>
    <n v="6.8119891008174384E-4"/>
    <n v="30"/>
    <n v="0.967741935483871"/>
    <n v="2.0435967302452316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KPLab/emnlp2017-bilstm-cnn-crf"/>
    <s v="UKPLab"/>
    <s v="emnlp2017-bilstm-cnn-crf"/>
    <s v="https://github.com/UKPLab/emnlp2017-bilstm-cnn-crf"/>
    <d v="2017-07-13T12:44:56"/>
    <d v="2021-04-05T15:27:59"/>
    <n v="1362.1132291666727"/>
    <b v="0"/>
    <b v="1"/>
    <n v="742"/>
    <n v="58"/>
    <n v="247"/>
    <n v="3"/>
    <n v="0"/>
    <n v="2"/>
    <n v="1"/>
    <n v="0"/>
    <n v="60"/>
    <n v="33"/>
    <x v="4"/>
    <n v="1508"/>
    <n v="36"/>
    <n v="2.3872679045092837E-2"/>
    <n v="1"/>
    <n v="2.7777777777777776E-2"/>
    <n v="6.6312997347480103E-4"/>
    <n v="35"/>
    <n v="0.97222222222222221"/>
    <n v="2.3209549071618037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launcher/Ulauncher"/>
    <s v="Ulauncher"/>
    <s v="Ulauncher"/>
    <s v="https://github.com/Ulauncher/Ulauncher"/>
    <d v="2015-05-10T08:44:08"/>
    <d v="2021-04-08T17:16:48"/>
    <n v="2160.3560185185197"/>
    <b v="0"/>
    <b v="1"/>
    <n v="1907"/>
    <n v="45"/>
    <n v="112"/>
    <n v="103"/>
    <n v="0"/>
    <n v="31"/>
    <n v="119"/>
    <n v="8"/>
    <n v="603"/>
    <n v="201"/>
    <x v="0"/>
    <n v="8173"/>
    <n v="142"/>
    <n v="1.7374281169705127E-2"/>
    <n v="54"/>
    <n v="0.38028169014084506"/>
    <n v="6.6071210081977243E-3"/>
    <n v="52"/>
    <n v="0.36619718309859156"/>
    <n v="6.3624128227089197E-3"/>
    <n v="16"/>
    <n v="0.11267605633802817"/>
    <n v="1.9576654839104368E-3"/>
    <n v="12"/>
    <n v="8.4507042253521125E-2"/>
    <n v="1.4682491129328276E-3"/>
    <n v="0"/>
    <n v="0"/>
    <n v="0"/>
    <n v="8"/>
    <n v="5.6338028169014086E-2"/>
    <n v="9.7883274195521841E-4"/>
    <b v="1"/>
    <b v="0"/>
    <b v="0"/>
    <b v="0"/>
    <b v="1"/>
    <b v="0"/>
    <b v="0"/>
    <b v="0"/>
    <b v="0"/>
    <b v="0"/>
    <b v="0"/>
    <b v="0"/>
    <b v="0"/>
  </r>
  <r>
    <s v="ultralytics/yolov3"/>
    <s v="ultralytics"/>
    <s v="yolov3"/>
    <s v="https://github.com/ultralytics/yolov3"/>
    <d v="2018-08-26T08:57:20"/>
    <d v="2021-04-09T03:00:39"/>
    <n v="956.75230324074073"/>
    <b v="0"/>
    <b v="1"/>
    <n v="6992"/>
    <n v="149"/>
    <n v="2458"/>
    <n v="10"/>
    <n v="58"/>
    <n v="42"/>
    <n v="142"/>
    <n v="0"/>
    <n v="1578"/>
    <n v="28"/>
    <x v="0"/>
    <n v="3528"/>
    <n v="22"/>
    <n v="6.2358276643990932E-3"/>
    <n v="0"/>
    <n v="0"/>
    <n v="0"/>
    <n v="22"/>
    <n v="1"/>
    <n v="6.2358276643990932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ltralytics/yolov5"/>
    <s v="ultralytics"/>
    <s v="yolov5"/>
    <s v="https://github.com/ultralytics/yolov5"/>
    <d v="2020-05-18T03:45:11"/>
    <d v="2021-04-09T04:04:37"/>
    <n v="326.01349537036731"/>
    <b v="0"/>
    <b v="1"/>
    <n v="10097"/>
    <n v="186"/>
    <n v="3327"/>
    <n v="5"/>
    <n v="57"/>
    <n v="90"/>
    <n v="487"/>
    <n v="16"/>
    <n v="2162"/>
    <n v="204"/>
    <x v="0"/>
    <n v="3985"/>
    <n v="22"/>
    <n v="5.520702634880803E-3"/>
    <n v="0"/>
    <n v="0"/>
    <n v="0"/>
    <n v="22"/>
    <n v="1"/>
    <n v="5.520702634880803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nit8co/darts"/>
    <s v="unit8co"/>
    <s v="darts"/>
    <s v="https://github.com/unit8co/darts"/>
    <d v="2018-09-13T15:17:28"/>
    <d v="2021-04-08T12:53:48"/>
    <n v="937.90023148148612"/>
    <b v="0"/>
    <b v="1"/>
    <n v="791"/>
    <n v="28"/>
    <n v="105"/>
    <n v="10"/>
    <n v="0"/>
    <n v="20"/>
    <n v="227"/>
    <n v="3"/>
    <n v="80"/>
    <n v="17"/>
    <x v="4"/>
    <n v="6100"/>
    <n v="34"/>
    <n v="5.5737704918032791E-3"/>
    <n v="0"/>
    <n v="0"/>
    <n v="0"/>
    <n v="8"/>
    <n v="0.23529411764705882"/>
    <n v="1.3114754098360656E-3"/>
    <n v="24"/>
    <n v="0.70588235294117652"/>
    <n v="3.9344262295081967E-3"/>
    <n v="2"/>
    <n v="5.8823529411764705E-2"/>
    <n v="3.2786885245901639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nitedstates/congress"/>
    <s v="unitedstates"/>
    <s v="congress"/>
    <s v="https://github.com/unitedstates/congress"/>
    <d v="2012-08-22T13:42:56"/>
    <d v="2021-03-20T14:45:32"/>
    <n v="3132.0434722222271"/>
    <b v="0"/>
    <b v="1"/>
    <n v="704"/>
    <n v="87"/>
    <n v="148"/>
    <n v="0"/>
    <n v="33"/>
    <n v="26"/>
    <n v="81"/>
    <n v="5"/>
    <n v="185"/>
    <n v="41"/>
    <x v="7"/>
    <n v="4223"/>
    <n v="111"/>
    <n v="2.6284631778356618E-2"/>
    <n v="1"/>
    <n v="9.0090090090090089E-3"/>
    <n v="2.3679848448969926E-4"/>
    <n v="24"/>
    <n v="0.21621621621621623"/>
    <n v="5.6831636277527827E-3"/>
    <n v="43"/>
    <n v="0.38738738738738737"/>
    <n v="1.0182334833057069E-2"/>
    <n v="41"/>
    <n v="0.36936936936936937"/>
    <n v="9.7087378640776691E-3"/>
    <n v="0"/>
    <n v="0"/>
    <n v="0"/>
    <n v="2"/>
    <n v="1.8018018018018018E-2"/>
    <n v="4.7359696897939852E-4"/>
    <b v="1"/>
    <b v="0"/>
    <b v="0"/>
    <b v="0"/>
    <b v="1"/>
    <b v="0"/>
    <b v="0"/>
    <b v="0"/>
    <b v="0"/>
    <b v="0"/>
    <b v="0"/>
    <b v="0"/>
    <b v="0"/>
  </r>
  <r>
    <s v="unknown-horizons/unknown-horizons"/>
    <s v="unknown-horizons"/>
    <s v="unknown-horizons"/>
    <s v="https://github.com/unknown-horizons/unknown-horizons"/>
    <d v="2010-08-23T08:48:29"/>
    <d v="2021-04-03T19:12:06"/>
    <n v="3876.4330671296266"/>
    <b v="0"/>
    <b v="1"/>
    <n v="1180"/>
    <n v="88"/>
    <n v="220"/>
    <n v="25"/>
    <n v="523"/>
    <n v="177"/>
    <n v="561"/>
    <n v="5"/>
    <n v="2381"/>
    <n v="230"/>
    <x v="1"/>
    <n v="46229"/>
    <n v="517"/>
    <n v="1.1183456272037033E-2"/>
    <n v="319"/>
    <n v="0.61702127659574468"/>
    <n v="6.9004304657249776E-3"/>
    <n v="122"/>
    <n v="0.23597678916827852"/>
    <n v="2.6390361028791453E-3"/>
    <n v="38"/>
    <n v="7.3500967117988397E-2"/>
    <n v="8.21994851716455E-4"/>
    <n v="38"/>
    <n v="7.3500967117988397E-2"/>
    <n v="8.2199485171645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rinx/WeixinBot"/>
    <s v="Urinx"/>
    <s v="WeixinBot"/>
    <s v="https://github.com/Urinx/WeixinBot"/>
    <d v="2016-01-31T07:53:08"/>
    <d v="2021-04-08T01:39:06"/>
    <n v="1893.7402546296289"/>
    <b v="0"/>
    <b v="0"/>
    <n v="6849"/>
    <n v="498"/>
    <n v="1849"/>
    <n v="0"/>
    <n v="5"/>
    <n v="25"/>
    <n v="53"/>
    <n v="5"/>
    <n v="228"/>
    <n v="188"/>
    <x v="4"/>
    <n v="2766"/>
    <n v="102"/>
    <n v="3.6876355748373099E-2"/>
    <n v="71"/>
    <n v="0.69607843137254899"/>
    <n v="2.5668835864063631E-2"/>
    <n v="6"/>
    <n v="5.8823529411764705E-2"/>
    <n v="2.1691973969631237E-3"/>
    <n v="0"/>
    <n v="0"/>
    <n v="0"/>
    <n v="25"/>
    <n v="0.24509803921568626"/>
    <n v="9.0383224873463487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SArmyResearchLab/Dshell"/>
    <s v="USArmyResearchLab"/>
    <s v="Dshell"/>
    <s v="https://github.com/USArmyResearchLab/Dshell"/>
    <d v="2014-12-17T12:04:51"/>
    <d v="2021-04-05T12:39:32"/>
    <n v="2301.0240856481469"/>
    <b v="0"/>
    <b v="1"/>
    <n v="5296"/>
    <n v="603"/>
    <n v="1127"/>
    <n v="2"/>
    <n v="1"/>
    <n v="19"/>
    <n v="109"/>
    <n v="2"/>
    <n v="27"/>
    <n v="1"/>
    <x v="7"/>
    <n v="4946"/>
    <n v="104"/>
    <n v="2.1027092600080875E-2"/>
    <n v="32"/>
    <n v="0.30769230769230771"/>
    <n v="6.4698746461787299E-3"/>
    <n v="6"/>
    <n v="5.7692307692307696E-2"/>
    <n v="1.2131014961585119E-3"/>
    <n v="32"/>
    <n v="0.30769230769230771"/>
    <n v="6.4698746461787299E-3"/>
    <n v="34"/>
    <n v="0.32692307692307693"/>
    <n v="6.874241811564900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sergeTeam/Userge"/>
    <s v="UsergeTeam"/>
    <s v="Userge"/>
    <s v="https://github.com/UsergeTeam/Userge"/>
    <d v="2020-03-15T15:42:21"/>
    <d v="2021-04-09T03:00:06"/>
    <n v="389.47065972222481"/>
    <b v="0"/>
    <b v="1"/>
    <n v="377"/>
    <n v="31"/>
    <n v="1294"/>
    <n v="11"/>
    <n v="22"/>
    <n v="27"/>
    <n v="205"/>
    <n v="2"/>
    <n v="88"/>
    <n v="4"/>
    <x v="0"/>
    <n v="9875"/>
    <n v="117"/>
    <n v="1.1848101265822785E-2"/>
    <n v="24"/>
    <n v="0.20512820512820512"/>
    <n v="2.4303797468354432E-3"/>
    <n v="61"/>
    <n v="0.5213675213675214"/>
    <n v="6.177215189873418E-3"/>
    <n v="0"/>
    <n v="0"/>
    <n v="0"/>
    <n v="6"/>
    <n v="5.128205128205128E-2"/>
    <n v="6.075949367088608E-4"/>
    <n v="0"/>
    <n v="0"/>
    <n v="0"/>
    <n v="26"/>
    <n v="0.22222222222222221"/>
    <n v="2.6329113924050632E-3"/>
    <b v="1"/>
    <b v="1"/>
    <b v="0"/>
    <b v="0"/>
    <b v="1"/>
    <b v="0"/>
    <b v="0"/>
    <b v="0"/>
    <b v="0"/>
    <b v="0"/>
    <b v="0"/>
    <b v="0"/>
    <b v="0"/>
  </r>
  <r>
    <s v="ustwo/mastermind"/>
    <s v="ustwo"/>
    <s v="mastermind"/>
    <s v="https://github.com/ustwo/mastermind"/>
    <d v="2015-11-01T16:48:17"/>
    <d v="2021-02-26T09:25:05"/>
    <n v="1943.6922222222202"/>
    <b v="0"/>
    <b v="1"/>
    <n v="341"/>
    <n v="16"/>
    <n v="53"/>
    <n v="5"/>
    <n v="0"/>
    <n v="3"/>
    <n v="11"/>
    <n v="1"/>
    <n v="41"/>
    <n v="10"/>
    <x v="5"/>
    <n v="1000"/>
    <n v="10"/>
    <n v="0.01"/>
    <n v="0"/>
    <n v="0"/>
    <n v="0"/>
    <n v="5"/>
    <n v="0.5"/>
    <n v="5.0000000000000001E-3"/>
    <n v="1"/>
    <n v="0.1"/>
    <n v="1E-3"/>
    <n v="4"/>
    <n v="0.4"/>
    <n v="4.0000000000000001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utterworks/fast-bert"/>
    <s v="utterworks"/>
    <s v="fast-bert"/>
    <s v="https://github.com/utterworks/fast-bert"/>
    <d v="2019-04-18T22:01:20"/>
    <d v="2021-04-07T09:21:53"/>
    <n v="719.47260416666541"/>
    <b v="0"/>
    <b v="1"/>
    <n v="1553"/>
    <n v="40"/>
    <n v="311"/>
    <n v="5"/>
    <n v="1"/>
    <n v="25"/>
    <n v="55"/>
    <n v="6"/>
    <n v="230"/>
    <n v="139"/>
    <x v="4"/>
    <n v="5460"/>
    <n v="90"/>
    <n v="1.6483516483516484E-2"/>
    <n v="2"/>
    <n v="2.2222222222222223E-2"/>
    <n v="3.663003663003663E-4"/>
    <n v="83"/>
    <n v="0.92222222222222228"/>
    <n v="1.5201465201465201E-2"/>
    <n v="4"/>
    <n v="4.4444444444444446E-2"/>
    <n v="7.326007326007326E-4"/>
    <n v="1"/>
    <n v="1.1111111111111112E-2"/>
    <n v="1.8315018315018315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v3n0m-Scanner/V3n0M-Scanner"/>
    <s v="v3n0m-Scanner"/>
    <s v="V3n0M-Scanner"/>
    <s v="https://github.com/v3n0m-Scanner/V3n0M-Scanner"/>
    <d v="2013-10-21T06:05:17"/>
    <d v="2021-03-31T16:24:51"/>
    <n v="2718.4302546296312"/>
    <b v="0"/>
    <b v="1"/>
    <n v="857"/>
    <n v="85"/>
    <n v="300"/>
    <n v="3"/>
    <n v="6"/>
    <n v="11"/>
    <n v="19"/>
    <n v="0"/>
    <n v="164"/>
    <n v="4"/>
    <x v="7"/>
    <n v="7656"/>
    <n v="53"/>
    <n v="6.922675026123302E-3"/>
    <n v="19"/>
    <n v="0.35849056603773582"/>
    <n v="2.4817136886102404E-3"/>
    <n v="22"/>
    <n v="0.41509433962264153"/>
    <n v="2.8735632183908046E-3"/>
    <n v="2"/>
    <n v="3.7735849056603772E-2"/>
    <n v="2.6123301985370953E-4"/>
    <n v="10"/>
    <n v="0.18867924528301888"/>
    <n v="1.306165099268547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v55448330/lazy-balancer"/>
    <s v="v55448330"/>
    <s v="lazy-balancer"/>
    <s v="https://github.com/v55448330/lazy-balancer"/>
    <d v="2016-07-07T09:38:08"/>
    <d v="2021-04-01T09:22:13"/>
    <n v="1728.9889467592584"/>
    <b v="0"/>
    <b v="0"/>
    <n v="498"/>
    <n v="52"/>
    <n v="201"/>
    <n v="0"/>
    <n v="0"/>
    <n v="0"/>
    <n v="9"/>
    <n v="4"/>
    <n v="22"/>
    <n v="5"/>
    <x v="1"/>
    <n v="1395"/>
    <n v="40"/>
    <n v="2.8673835125448029E-2"/>
    <n v="0"/>
    <n v="0"/>
    <n v="0"/>
    <n v="27"/>
    <n v="0.67500000000000004"/>
    <n v="1.935483870967742E-2"/>
    <n v="0"/>
    <n v="0"/>
    <n v="0"/>
    <n v="13"/>
    <n v="0.32500000000000001"/>
    <n v="9.318996415770610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vi3k6i5/flashtext"/>
    <s v="vi3k6i5"/>
    <s v="flashtext"/>
    <s v="https://github.com/vi3k6i5/flashtext"/>
    <d v="2017-08-15T18:03:01"/>
    <d v="2021-04-09T04:16:36"/>
    <n v="1332.426099537035"/>
    <b v="0"/>
    <b v="0"/>
    <n v="4706"/>
    <n v="135"/>
    <n v="522"/>
    <n v="0"/>
    <n v="2"/>
    <n v="5"/>
    <n v="28"/>
    <n v="9"/>
    <n v="92"/>
    <n v="43"/>
    <x v="5"/>
    <n v="970"/>
    <n v="28"/>
    <n v="2.88659793814433E-2"/>
    <n v="0"/>
    <n v="0"/>
    <n v="0"/>
    <n v="28"/>
    <n v="1"/>
    <n v="2.88659793814433E-2"/>
    <n v="0"/>
    <n v="0"/>
    <n v="0"/>
    <n v="0"/>
    <n v="0"/>
    <n v="0"/>
    <n v="0"/>
    <n v="0"/>
    <n v="0"/>
    <n v="0"/>
    <n v="0"/>
    <n v="0"/>
    <b v="0"/>
    <b v="1"/>
    <b v="0"/>
    <b v="0"/>
    <b v="1"/>
    <b v="0"/>
    <b v="0"/>
    <b v="0"/>
    <b v="0"/>
    <b v="0"/>
    <b v="0"/>
    <b v="0"/>
    <b v="0"/>
  </r>
  <r>
    <s v="videoflow/videoflow"/>
    <s v="videoflow"/>
    <s v="videoflow"/>
    <s v="https://github.com/videoflow/videoflow"/>
    <d v="2019-04-15T19:47:22"/>
    <d v="2021-04-04T20:44:47"/>
    <n v="720.0398726851854"/>
    <b v="0"/>
    <b v="1"/>
    <n v="919"/>
    <n v="24"/>
    <n v="76"/>
    <n v="15"/>
    <n v="1"/>
    <n v="11"/>
    <n v="78"/>
    <n v="1"/>
    <n v="51"/>
    <n v="17"/>
    <x v="5"/>
    <n v="2601"/>
    <n v="26"/>
    <n v="9.9961553248750484E-3"/>
    <n v="13"/>
    <n v="0.5"/>
    <n v="4.9980776624375242E-3"/>
    <n v="6"/>
    <n v="0.23076923076923078"/>
    <n v="2.306805074971165E-3"/>
    <n v="0"/>
    <n v="0"/>
    <n v="0"/>
    <n v="7"/>
    <n v="0.26923076923076922"/>
    <n v="2.6912725874663592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vitchyr/rlkit"/>
    <s v="vitchyr"/>
    <s v="rlkit"/>
    <s v="https://github.com/vitchyr/rlkit"/>
    <d v="2018-01-25T00:34:46"/>
    <d v="2021-04-09T04:03:28"/>
    <n v="1170.1449305555579"/>
    <b v="0"/>
    <b v="0"/>
    <n v="1486"/>
    <n v="60"/>
    <n v="360"/>
    <n v="0"/>
    <n v="3"/>
    <n v="19"/>
    <n v="28"/>
    <n v="4"/>
    <n v="105"/>
    <n v="24"/>
    <x v="5"/>
    <n v="10378"/>
    <n v="4"/>
    <n v="3.8543071882829059E-4"/>
    <n v="0"/>
    <n v="0"/>
    <n v="0"/>
    <n v="0"/>
    <n v="0"/>
    <n v="0"/>
    <n v="4"/>
    <n v="1"/>
    <n v="3.8543071882829059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vmware/photon"/>
    <s v="vmware"/>
    <s v="photon"/>
    <s v="https://github.com/vmware/photon"/>
    <d v="2015-04-15T17:22:47"/>
    <d v="2021-04-09T02:00:34"/>
    <n v="2185.3595717592616"/>
    <b v="0"/>
    <b v="1"/>
    <n v="2260"/>
    <n v="204"/>
    <n v="597"/>
    <n v="11"/>
    <n v="42"/>
    <n v="92"/>
    <n v="469"/>
    <n v="4"/>
    <n v="711"/>
    <n v="95"/>
    <x v="7"/>
    <n v="5791"/>
    <n v="268"/>
    <n v="4.6278708340528406E-2"/>
    <n v="109"/>
    <n v="0.40671641791044777"/>
    <n v="1.8822310481782074E-2"/>
    <n v="94"/>
    <n v="0.35074626865671643"/>
    <n v="1.6232084268692798E-2"/>
    <n v="1"/>
    <n v="3.7313432835820895E-3"/>
    <n v="1.7268174753928511E-4"/>
    <n v="58"/>
    <n v="0.21641791044776118"/>
    <n v="1.0015541357278536E-2"/>
    <n v="0"/>
    <n v="0"/>
    <n v="0"/>
    <n v="6"/>
    <n v="2.2388059701492536E-2"/>
    <n v="1.0360904852357105E-3"/>
    <b v="1"/>
    <b v="0"/>
    <b v="0"/>
    <b v="0"/>
    <b v="1"/>
    <b v="0"/>
    <b v="0"/>
    <b v="0"/>
    <b v="0"/>
    <b v="0"/>
    <b v="0"/>
    <b v="0"/>
    <b v="0"/>
  </r>
  <r>
    <s v="voc/voctomix"/>
    <s v="voc"/>
    <s v="voctomix"/>
    <s v="https://github.com/voc/voctomix"/>
    <d v="2014-07-28T22:03:16"/>
    <d v="2021-04-05T13:16:47"/>
    <n v="2442.6343865740782"/>
    <b v="0"/>
    <b v="1"/>
    <n v="474"/>
    <n v="43"/>
    <n v="84"/>
    <n v="13"/>
    <n v="19"/>
    <n v="33"/>
    <n v="102"/>
    <n v="6"/>
    <n v="189"/>
    <n v="68"/>
    <x v="5"/>
    <n v="5929"/>
    <n v="270"/>
    <n v="4.5538876707707877E-2"/>
    <n v="107"/>
    <n v="0.39629629629629631"/>
    <n v="1.8046888176758306E-2"/>
    <n v="108"/>
    <n v="0.4"/>
    <n v="1.821555068308315E-2"/>
    <n v="26"/>
    <n v="9.6296296296296297E-2"/>
    <n v="4.3852251644459434E-3"/>
    <n v="29"/>
    <n v="0.10740740740740741"/>
    <n v="4.8912126834204754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VOLTTRON/volttron"/>
    <s v="VOLTTRON"/>
    <s v="volttron"/>
    <s v="https://github.com/VOLTTRON/volttron"/>
    <d v="2013-11-07T02:07:46"/>
    <d v="2021-04-06T02:30:33"/>
    <n v="2707.0158217592616"/>
    <b v="0"/>
    <b v="1"/>
    <n v="336"/>
    <n v="50"/>
    <n v="170"/>
    <n v="26"/>
    <n v="31"/>
    <n v="62"/>
    <n v="1386"/>
    <n v="14"/>
    <n v="1269"/>
    <n v="284"/>
    <x v="7"/>
    <n v="197034"/>
    <n v="2335"/>
    <n v="1.1850746571657684E-2"/>
    <n v="1221"/>
    <n v="0.52291220556745177"/>
    <n v="6.1969000274064373E-3"/>
    <n v="283"/>
    <n v="0.12119914346895075"/>
    <n v="1.4363003339525158E-3"/>
    <n v="304"/>
    <n v="0.13019271948608138"/>
    <n v="1.5428809241044693E-3"/>
    <n v="461"/>
    <n v="0.19743040685224839"/>
    <n v="2.3396977171452641E-3"/>
    <n v="3"/>
    <n v="1.2847965738758029E-3"/>
    <n v="1.5225798593136211E-5"/>
    <n v="63"/>
    <n v="2.6980728051391862E-2"/>
    <n v="3.1974177045586042E-4"/>
    <b v="1"/>
    <b v="1"/>
    <b v="0"/>
    <b v="0"/>
    <b v="1"/>
    <b v="0"/>
    <b v="0"/>
    <b v="0"/>
    <b v="0"/>
    <b v="0"/>
    <b v="0"/>
    <b v="0"/>
    <b v="0"/>
  </r>
  <r>
    <s v="voxpupuli/puppetboard"/>
    <s v="voxpupuli"/>
    <s v="puppetboard"/>
    <s v="https://github.com/voxpupuli/puppetboard"/>
    <d v="2013-07-29T18:22:09"/>
    <d v="2021-04-08T15:54:41"/>
    <n v="2809.8975925925915"/>
    <b v="0"/>
    <b v="1"/>
    <n v="646"/>
    <n v="90"/>
    <n v="224"/>
    <n v="17"/>
    <n v="12"/>
    <n v="94"/>
    <n v="323"/>
    <n v="8"/>
    <n v="294"/>
    <n v="53"/>
    <x v="4"/>
    <n v="1910"/>
    <n v="15"/>
    <n v="7.8534031413612562E-3"/>
    <n v="0"/>
    <n v="0"/>
    <n v="0"/>
    <n v="1"/>
    <n v="6.6666666666666666E-2"/>
    <n v="5.2356020942408382E-4"/>
    <n v="5"/>
    <n v="0.33333333333333331"/>
    <n v="2.617801047120419E-3"/>
    <n v="9"/>
    <n v="0.6"/>
    <n v="4.712041884816753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vstconsulting/polemarch"/>
    <s v="vstconsulting"/>
    <s v="polemarch"/>
    <s v="https://github.com/vstconsulting/polemarch"/>
    <d v="2017-07-13T04:08:37"/>
    <d v="2021-03-29T07:42:31"/>
    <n v="1355.1485416666692"/>
    <b v="0"/>
    <b v="1"/>
    <n v="531"/>
    <n v="51"/>
    <n v="85"/>
    <n v="60"/>
    <n v="0"/>
    <n v="6"/>
    <n v="7"/>
    <n v="4"/>
    <n v="0"/>
    <n v="0"/>
    <x v="11"/>
    <n v="6248"/>
    <n v="24"/>
    <n v="3.8412291933418692E-3"/>
    <n v="11"/>
    <n v="0.45833333333333331"/>
    <n v="1.7605633802816902E-3"/>
    <n v="4"/>
    <n v="0.16666666666666666"/>
    <n v="6.4020486555697821E-4"/>
    <n v="2"/>
    <n v="8.3333333333333329E-2"/>
    <n v="3.201024327784891E-4"/>
    <n v="7"/>
    <n v="0.29166666666666669"/>
    <n v="1.120358514724712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vwxyzjn/cleanrl"/>
    <s v="vwxyzjn"/>
    <s v="cleanrl"/>
    <s v="https://github.com/vwxyzjn/cleanrl"/>
    <d v="2019-06-07T16:31:50"/>
    <d v="2021-04-08T17:31:13"/>
    <n v="671.04123842592526"/>
    <b v="0"/>
    <b v="0"/>
    <n v="358"/>
    <n v="14"/>
    <n v="42"/>
    <n v="4"/>
    <n v="0"/>
    <n v="7"/>
    <n v="20"/>
    <n v="2"/>
    <n v="22"/>
    <n v="7"/>
    <x v="5"/>
    <n v="18388"/>
    <n v="18"/>
    <n v="9.7889928214052653E-4"/>
    <n v="0"/>
    <n v="0"/>
    <n v="0"/>
    <n v="16"/>
    <n v="0.88888888888888884"/>
    <n v="8.7013269523602351E-4"/>
    <n v="0"/>
    <n v="0"/>
    <n v="0"/>
    <n v="2"/>
    <n v="0.1111111111111111"/>
    <n v="1.087665869045029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vyperlang/vyper"/>
    <s v="vyperlang"/>
    <s v="vyper"/>
    <s v="https://github.com/vyperlang/vyper"/>
    <d v="2016-11-11T08:56:41"/>
    <d v="2021-04-09T03:10:47"/>
    <n v="1609.7597916666637"/>
    <b v="0"/>
    <b v="1"/>
    <n v="2995"/>
    <n v="156"/>
    <n v="473"/>
    <n v="14"/>
    <n v="12"/>
    <n v="144"/>
    <n v="1165"/>
    <n v="6"/>
    <n v="901"/>
    <n v="169"/>
    <x v="4"/>
    <n v="19052"/>
    <n v="5"/>
    <n v="2.6243963888305692E-4"/>
    <n v="0"/>
    <n v="0"/>
    <n v="0"/>
    <n v="0"/>
    <n v="0"/>
    <n v="0"/>
    <n v="5"/>
    <n v="1"/>
    <n v="2.6243963888305692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wagtail/wagtail"/>
    <s v="wagtail"/>
    <s v="wagtail"/>
    <s v="https://github.com/wagtail/wagtail"/>
    <d v="2014-02-03T12:41:59"/>
    <d v="2021-04-09T03:06:15"/>
    <n v="2621.6001851851906"/>
    <b v="0"/>
    <b v="1"/>
    <n v="10458"/>
    <n v="353"/>
    <n v="2153"/>
    <n v="142"/>
    <n v="287"/>
    <n v="465"/>
    <n v="3812"/>
    <n v="181"/>
    <n v="3167"/>
    <n v="779"/>
    <x v="2"/>
    <n v="60539"/>
    <n v="83"/>
    <n v="1.3710170303440758E-3"/>
    <n v="0"/>
    <n v="0"/>
    <n v="0"/>
    <n v="14"/>
    <n v="0.16867469879518071"/>
    <n v="2.3125588463635013E-4"/>
    <n v="17"/>
    <n v="0.20481927710843373"/>
    <n v="2.8081071705842516E-4"/>
    <n v="46"/>
    <n v="0.55421686746987953"/>
    <n v="7.5984076380515044E-4"/>
    <n v="0"/>
    <n v="0"/>
    <n v="0"/>
    <n v="6"/>
    <n v="7.2289156626506021E-2"/>
    <n v="9.9109664844150046E-5"/>
    <b v="1"/>
    <b v="0"/>
    <b v="0"/>
    <b v="0"/>
    <b v="1"/>
    <b v="0"/>
    <b v="0"/>
    <b v="0"/>
    <b v="0"/>
    <b v="0"/>
    <b v="0"/>
    <b v="0"/>
    <b v="0"/>
  </r>
  <r>
    <s v="weaveworks/kubediff"/>
    <s v="weaveworks"/>
    <s v="kubediff"/>
    <s v="https://github.com/weaveworks/kubediff"/>
    <d v="2016-07-08T13:56:37"/>
    <d v="2021-04-06T02:52:14"/>
    <n v="1732.5386226851842"/>
    <b v="0"/>
    <b v="1"/>
    <n v="928"/>
    <n v="45"/>
    <n v="89"/>
    <n v="0"/>
    <n v="0"/>
    <n v="28"/>
    <n v="67"/>
    <n v="6"/>
    <n v="38"/>
    <n v="17"/>
    <x v="7"/>
    <n v="601"/>
    <n v="5"/>
    <n v="8.3194675540765387E-3"/>
    <n v="0"/>
    <n v="0"/>
    <n v="0"/>
    <n v="5"/>
    <n v="1"/>
    <n v="8.3194675540765387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web2py/web2py"/>
    <s v="web2py"/>
    <s v="web2py"/>
    <s v="https://github.com/web2py/web2py"/>
    <d v="2008-11-07T06:08:58"/>
    <d v="2021-04-02T16:37:40"/>
    <n v="4529.4365972222222"/>
    <b v="0"/>
    <b v="1"/>
    <n v="1937"/>
    <n v="229"/>
    <n v="829"/>
    <n v="24"/>
    <n v="119"/>
    <n v="192"/>
    <n v="1376"/>
    <n v="3"/>
    <n v="1007"/>
    <n v="350"/>
    <x v="7"/>
    <n v="59843"/>
    <n v="352"/>
    <n v="5.8820580519024779E-3"/>
    <n v="132"/>
    <n v="0.375"/>
    <n v="2.2057717694634292E-3"/>
    <n v="65"/>
    <n v="0.18465909090909091"/>
    <n v="1.0861754925388099E-3"/>
    <n v="66"/>
    <n v="0.1875"/>
    <n v="1.1028858847317146E-3"/>
    <n v="69"/>
    <n v="0.19602272727272727"/>
    <n v="1.1530170613104291E-3"/>
    <n v="2"/>
    <n v="5.681818181818182E-3"/>
    <n v="3.3420784385809535E-5"/>
    <n v="18"/>
    <n v="5.113636363636364E-2"/>
    <n v="3.0078705947228583E-4"/>
    <b v="1"/>
    <b v="1"/>
    <b v="0"/>
    <b v="0"/>
    <b v="1"/>
    <b v="0"/>
    <b v="0"/>
    <b v="0"/>
    <b v="0"/>
    <b v="0"/>
    <b v="0"/>
    <b v="0"/>
    <b v="0"/>
  </r>
  <r>
    <s v="WeblateOrg/weblate"/>
    <s v="WeblateOrg"/>
    <s v="weblate"/>
    <s v="https://github.com/WeblateOrg/weblate"/>
    <d v="2012-02-27T09:33:29"/>
    <d v="2021-04-09T04:11:43"/>
    <n v="3328.7765509259261"/>
    <b v="0"/>
    <b v="1"/>
    <n v="2346"/>
    <n v="80"/>
    <n v="566"/>
    <n v="39"/>
    <n v="205"/>
    <n v="761"/>
    <n v="1985"/>
    <n v="5"/>
    <n v="3694"/>
    <n v="270"/>
    <x v="0"/>
    <n v="50534"/>
    <n v="140"/>
    <n v="2.7704119998416907E-3"/>
    <n v="2"/>
    <n v="1.4285714285714285E-2"/>
    <n v="3.9577314283452728E-5"/>
    <n v="29"/>
    <n v="0.20714285714285716"/>
    <n v="5.738710571100645E-4"/>
    <n v="22"/>
    <n v="0.15714285714285714"/>
    <n v="4.3535045711797995E-4"/>
    <n v="86"/>
    <n v="0.61428571428571432"/>
    <n v="1.7018245141884672E-3"/>
    <n v="0"/>
    <n v="0"/>
    <n v="0"/>
    <n v="1"/>
    <n v="7.1428571428571426E-3"/>
    <n v="1.9788657141726364E-5"/>
    <b v="1"/>
    <b v="1"/>
    <b v="0"/>
    <b v="0"/>
    <b v="1"/>
    <b v="0"/>
    <b v="0"/>
    <b v="0"/>
    <b v="0"/>
    <b v="0"/>
    <b v="0"/>
    <b v="0"/>
    <b v="0"/>
  </r>
  <r>
    <s v="webrecorder/pywb"/>
    <s v="webrecorder"/>
    <s v="pywb"/>
    <s v="https://github.com/webrecorder/pywb"/>
    <d v="2013-12-09T03:30:31"/>
    <d v="2021-04-07T09:50:55"/>
    <n v="2676.2641666666677"/>
    <b v="0"/>
    <b v="1"/>
    <n v="808"/>
    <n v="52"/>
    <n v="113"/>
    <n v="23"/>
    <n v="4"/>
    <n v="35"/>
    <n v="300"/>
    <n v="13"/>
    <n v="329"/>
    <n v="73"/>
    <x v="0"/>
    <n v="16355"/>
    <n v="23"/>
    <n v="1.406297768266585E-3"/>
    <n v="10"/>
    <n v="0.43478260869565216"/>
    <n v="6.1143381228981959E-4"/>
    <n v="12"/>
    <n v="0.52173913043478259"/>
    <n v="7.3372057474778353E-4"/>
    <n v="0"/>
    <n v="0"/>
    <n v="0"/>
    <n v="1"/>
    <n v="4.3478260869565216E-2"/>
    <n v="6.1143381228981957E-5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welliamcao/OpsManage"/>
    <s v="welliamcao"/>
    <s v="OpsManage"/>
    <s v="https://github.com/welliamcao/OpsManage"/>
    <d v="2017-04-30T11:51:03"/>
    <d v="2021-04-07T14:17:57"/>
    <n v="1438.1020138888853"/>
    <b v="0"/>
    <b v="0"/>
    <n v="2649"/>
    <n v="216"/>
    <n v="1361"/>
    <n v="11"/>
    <n v="6"/>
    <n v="9"/>
    <n v="46"/>
    <n v="17"/>
    <n v="263"/>
    <n v="45"/>
    <x v="3"/>
    <n v="15416"/>
    <n v="281"/>
    <n v="1.8227815256875973E-2"/>
    <n v="0"/>
    <n v="0"/>
    <n v="0"/>
    <n v="3"/>
    <n v="1.0676156583629894E-2"/>
    <n v="1.9460300985988584E-4"/>
    <n v="107"/>
    <n v="0.38078291814946619"/>
    <n v="6.9408406850025948E-3"/>
    <n v="171"/>
    <n v="0.60854092526690395"/>
    <n v="1.1092371562013493E-2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wemake-services/wemake-django-template"/>
    <s v="wemake-services"/>
    <s v="wemake-django-template"/>
    <s v="https://github.com/wemake-services/wemake-django-template"/>
    <d v="2017-09-14T09:23:23"/>
    <d v="2021-04-08T22:20:55"/>
    <n v="1302.5399537037083"/>
    <b v="0"/>
    <b v="1"/>
    <n v="1161"/>
    <n v="35"/>
    <n v="131"/>
    <n v="2"/>
    <n v="6"/>
    <n v="33"/>
    <n v="1036"/>
    <n v="0"/>
    <n v="508"/>
    <n v="31"/>
    <x v="5"/>
    <n v="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1"/>
    <b v="0"/>
  </r>
  <r>
    <s v="weskerfoot/DeleteFB"/>
    <s v="weskerfoot"/>
    <s v="DeleteFB"/>
    <s v="https://github.com/weskerfoot/DeleteFB"/>
    <d v="2019-03-02T21:50:06"/>
    <d v="2021-04-08T22:27:55"/>
    <n v="768.02626157407212"/>
    <b v="0"/>
    <b v="0"/>
    <n v="2683"/>
    <n v="32"/>
    <n v="183"/>
    <n v="12"/>
    <n v="0"/>
    <n v="21"/>
    <n v="67"/>
    <n v="1"/>
    <n v="94"/>
    <n v="23"/>
    <x v="5"/>
    <n v="602"/>
    <n v="1"/>
    <n v="1.6611295681063123E-3"/>
    <n v="0"/>
    <n v="0"/>
    <n v="0"/>
    <n v="0"/>
    <n v="0"/>
    <n v="0"/>
    <n v="0"/>
    <n v="0"/>
    <n v="0"/>
    <n v="1"/>
    <n v="1"/>
    <n v="1.6611295681063123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wger-project/wger"/>
    <s v="wger-project"/>
    <s v="wger"/>
    <s v="https://github.com/wger-project/wger"/>
    <d v="2013-01-19T16:34:38"/>
    <d v="2021-04-08T04:59:30"/>
    <n v="3000.5172685185171"/>
    <b v="0"/>
    <b v="1"/>
    <n v="1414"/>
    <n v="75"/>
    <n v="326"/>
    <n v="8"/>
    <n v="9"/>
    <n v="54"/>
    <n v="220"/>
    <n v="11"/>
    <n v="426"/>
    <n v="93"/>
    <x v="11"/>
    <n v="17265"/>
    <n v="12"/>
    <n v="6.9504778453518678E-4"/>
    <n v="8"/>
    <n v="0.66666666666666663"/>
    <n v="4.6336518969012454E-4"/>
    <n v="3"/>
    <n v="0.25"/>
    <n v="1.7376194613379669E-4"/>
    <n v="0"/>
    <n v="0"/>
    <n v="0"/>
    <n v="1"/>
    <n v="8.3333333333333329E-2"/>
    <n v="5.7920648711265567E-5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Wh0ale/SRC-script"/>
    <s v="Wh0ale"/>
    <s v="SRC-script"/>
    <s v="https://github.com/Wh0ale/SRC-script"/>
    <d v="2019-03-03T13:58:13"/>
    <d v="2021-04-05T06:10:57"/>
    <n v="763.6755092592648"/>
    <b v="0"/>
    <b v="0"/>
    <n v="373"/>
    <n v="7"/>
    <n v="126"/>
    <n v="0"/>
    <n v="0"/>
    <n v="0"/>
    <n v="2"/>
    <n v="2"/>
    <n v="0"/>
    <n v="0"/>
    <x v="1"/>
    <n v="59064"/>
    <n v="452"/>
    <n v="7.6527156982256535E-3"/>
    <n v="159"/>
    <n v="0.35176991150442477"/>
    <n v="2.6919951239333605E-3"/>
    <n v="157"/>
    <n v="0.34734513274336282"/>
    <n v="2.6581335500474061E-3"/>
    <n v="57"/>
    <n v="0.12610619469026549"/>
    <n v="9.6505485574969519E-4"/>
    <n v="72"/>
    <n v="0.15929203539823009"/>
    <n v="1.2190166598943519E-3"/>
    <n v="7"/>
    <n v="1.5486725663716814E-2"/>
    <n v="1.1851550860083976E-4"/>
    <n v="0"/>
    <n v="0"/>
    <n v="0"/>
    <b v="1"/>
    <b v="1"/>
    <b v="0"/>
    <b v="0"/>
    <b v="1"/>
    <b v="0"/>
    <b v="0"/>
    <b v="0"/>
    <b v="0"/>
    <b v="0"/>
    <b v="0"/>
    <b v="0"/>
    <b v="0"/>
  </r>
  <r>
    <s v="WhaleShark-Team/cobra"/>
    <s v="WhaleShark-Team"/>
    <s v="cobra"/>
    <s v="https://github.com/WhaleShark-Team/cobra"/>
    <d v="2016-04-15T08:41:15"/>
    <d v="2021-04-06T07:00:13"/>
    <n v="1816.9298379629618"/>
    <b v="0"/>
    <b v="1"/>
    <n v="2630"/>
    <n v="150"/>
    <n v="840"/>
    <n v="28"/>
    <n v="3"/>
    <n v="18"/>
    <n v="421"/>
    <n v="12"/>
    <n v="974"/>
    <n v="59"/>
    <x v="5"/>
    <n v="5350"/>
    <n v="282"/>
    <n v="5.2710280373831776E-2"/>
    <n v="110"/>
    <n v="0.39007092198581561"/>
    <n v="2.0560747663551402E-2"/>
    <n v="74"/>
    <n v="0.26241134751773049"/>
    <n v="1.3831775700934579E-2"/>
    <n v="43"/>
    <n v="0.1524822695035461"/>
    <n v="8.0373831775700927E-3"/>
    <n v="3"/>
    <n v="1.0638297872340425E-2"/>
    <n v="5.6074766355140187E-4"/>
    <n v="52"/>
    <n v="0.18439716312056736"/>
    <n v="9.7196261682242994E-3"/>
    <n v="0"/>
    <n v="0"/>
    <n v="0"/>
    <b v="1"/>
    <b v="0"/>
    <b v="0"/>
    <b v="0"/>
    <b v="1"/>
    <b v="0"/>
    <b v="0"/>
    <b v="0"/>
    <b v="0"/>
    <b v="0"/>
    <b v="0"/>
    <b v="0"/>
    <b v="0"/>
  </r>
  <r>
    <s v="whipper-team/whipper"/>
    <s v="whipper-team"/>
    <s v="whipper"/>
    <s v="https://github.com/whipper-team/whipper"/>
    <d v="2015-04-08T20:45:29"/>
    <d v="2021-04-09T00:53:41"/>
    <n v="2192.1723611111083"/>
    <b v="0"/>
    <b v="1"/>
    <n v="523"/>
    <n v="49"/>
    <n v="67"/>
    <n v="14"/>
    <n v="22"/>
    <n v="45"/>
    <n v="199"/>
    <n v="3"/>
    <n v="333"/>
    <n v="93"/>
    <x v="0"/>
    <n v="5578"/>
    <n v="278"/>
    <n v="4.9838651846539982E-2"/>
    <n v="174"/>
    <n v="0.62589928057553956"/>
    <n v="3.1193976335604161E-2"/>
    <n v="27"/>
    <n v="9.7122302158273388E-2"/>
    <n v="4.8404446038006451E-3"/>
    <n v="52"/>
    <n v="0.18705035971223022"/>
    <n v="9.3223377554679104E-3"/>
    <n v="11"/>
    <n v="3.9568345323741004E-2"/>
    <n v="1.9720329867335962E-3"/>
    <n v="13"/>
    <n v="4.6762589928057555E-2"/>
    <n v="2.3305844388669776E-3"/>
    <n v="1"/>
    <n v="3.5971223021582736E-3"/>
    <n v="1.7927572606669058E-4"/>
    <b v="1"/>
    <b v="0"/>
    <b v="0"/>
    <b v="0"/>
    <b v="1"/>
    <b v="0"/>
    <b v="0"/>
    <b v="0"/>
    <b v="0"/>
    <b v="0"/>
    <b v="0"/>
    <b v="0"/>
    <b v="0"/>
  </r>
  <r>
    <s v="wikimedia/pywikibot"/>
    <s v="wikimedia"/>
    <s v="pywikibot"/>
    <s v="https://github.com/wikimedia/pywikibot"/>
    <d v="2013-06-19T16:18:45"/>
    <d v="2021-04-08T13:03:39"/>
    <n v="2849.8645138888896"/>
    <b v="0"/>
    <b v="1"/>
    <n v="405"/>
    <n v="52"/>
    <n v="153"/>
    <n v="0"/>
    <n v="7"/>
    <n v="191"/>
    <n v="37"/>
    <n v="0"/>
    <n v="0"/>
    <n v="0"/>
    <x v="5"/>
    <n v="58954"/>
    <n v="352"/>
    <n v="5.9707568612816769E-3"/>
    <n v="51"/>
    <n v="0.14488636363636365"/>
    <n v="8.6508124978797033E-4"/>
    <n v="0"/>
    <n v="0"/>
    <n v="0"/>
    <n v="157"/>
    <n v="0.44602272727272729"/>
    <n v="2.6630932591512027E-3"/>
    <n v="107"/>
    <n v="0.30397727272727271"/>
    <n v="1.8149743868100554E-3"/>
    <n v="1"/>
    <n v="2.840909090909091E-3"/>
    <n v="1.6962377446822947E-5"/>
    <n v="36"/>
    <n v="0.10227272727272728"/>
    <n v="6.1064558808562603E-4"/>
    <b v="1"/>
    <b v="0"/>
    <b v="0"/>
    <b v="0"/>
    <b v="1"/>
    <b v="0"/>
    <b v="0"/>
    <b v="0"/>
    <b v="0"/>
    <b v="0"/>
    <b v="0"/>
    <b v="0"/>
    <b v="0"/>
  </r>
  <r>
    <s v="witten/borgmatic"/>
    <s v="witten"/>
    <s v="borgmatic"/>
    <s v="https://github.com/witten/borgmatic"/>
    <d v="2014-11-19T02:24:38"/>
    <d v="2021-04-08T12:20:06"/>
    <n v="2332.4135185185223"/>
    <b v="0"/>
    <b v="0"/>
    <n v="928"/>
    <n v="32"/>
    <n v="56"/>
    <n v="76"/>
    <n v="2"/>
    <n v="33"/>
    <n v="39"/>
    <n v="0"/>
    <n v="0"/>
    <n v="0"/>
    <x v="0"/>
    <n v="5889"/>
    <n v="53"/>
    <n v="8.9998301918831729E-3"/>
    <n v="18"/>
    <n v="0.33962264150943394"/>
    <n v="3.0565461029037188E-3"/>
    <n v="23"/>
    <n v="0.43396226415094341"/>
    <n v="3.9055866870436407E-3"/>
    <n v="4"/>
    <n v="7.5471698113207544E-2"/>
    <n v="6.7923246731193751E-4"/>
    <n v="0"/>
    <n v="0"/>
    <n v="0"/>
    <n v="8"/>
    <n v="0.15094339622641509"/>
    <n v="1.358464934623875E-3"/>
    <n v="0"/>
    <n v="0"/>
    <n v="0"/>
    <b v="1"/>
    <b v="1"/>
    <b v="0"/>
    <b v="0"/>
    <b v="1"/>
    <b v="0"/>
    <b v="0"/>
    <b v="0"/>
    <b v="0"/>
    <b v="0"/>
    <b v="0"/>
    <b v="0"/>
    <b v="0"/>
  </r>
  <r>
    <s v="wkentaro/labelme"/>
    <s v="wkentaro"/>
    <s v="labelme"/>
    <s v="https://github.com/wkentaro/labelme"/>
    <d v="2016-05-09T12:30:26"/>
    <d v="2021-04-09T00:34:58"/>
    <n v="1795.5031481481492"/>
    <b v="0"/>
    <b v="0"/>
    <n v="6399"/>
    <n v="130"/>
    <n v="1941"/>
    <n v="40"/>
    <n v="5"/>
    <n v="42"/>
    <n v="329"/>
    <n v="15"/>
    <n v="526"/>
    <n v="105"/>
    <x v="7"/>
    <n v="3801"/>
    <n v="22"/>
    <n v="5.7879505393317546E-3"/>
    <n v="0"/>
    <n v="0"/>
    <n v="0"/>
    <n v="6"/>
    <n v="0.27272727272727271"/>
    <n v="1.5785319652722968E-3"/>
    <n v="12"/>
    <n v="0.54545454545454541"/>
    <n v="3.1570639305445935E-3"/>
    <n v="4"/>
    <n v="0.18181818181818182"/>
    <n v="1.0523546435148646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worldveil/dejavu"/>
    <s v="worldveil"/>
    <s v="dejavu"/>
    <s v="https://github.com/worldveil/dejavu"/>
    <d v="2013-11-19T02:50:35"/>
    <d v="2021-04-08T16:51:26"/>
    <n v="2697.5839236111133"/>
    <b v="0"/>
    <b v="0"/>
    <n v="5369"/>
    <n v="264"/>
    <n v="1180"/>
    <n v="0"/>
    <n v="2"/>
    <n v="22"/>
    <n v="64"/>
    <n v="21"/>
    <n v="194"/>
    <n v="65"/>
    <x v="5"/>
    <n v="1224"/>
    <n v="1"/>
    <n v="8.1699346405228761E-4"/>
    <n v="1"/>
    <n v="1"/>
    <n v="8.1699346405228761E-4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WXinlong/SOLO"/>
    <s v="WXinlong"/>
    <s v="SOLO"/>
    <s v="https://github.com/WXinlong/SOLO"/>
    <d v="2020-03-23T22:58:51"/>
    <d v="2021-04-08T01:44:40"/>
    <n v="380.11515046296699"/>
    <b v="0"/>
    <b v="0"/>
    <n v="1020"/>
    <n v="39"/>
    <n v="181"/>
    <n v="0"/>
    <n v="0"/>
    <n v="85"/>
    <n v="7"/>
    <n v="1"/>
    <n v="159"/>
    <n v="64"/>
    <x v="7"/>
    <n v="19724"/>
    <n v="14"/>
    <n v="7.0979517339282098E-4"/>
    <n v="5"/>
    <n v="0.35714285714285715"/>
    <n v="2.5349827621172174E-4"/>
    <n v="5"/>
    <n v="0.35714285714285715"/>
    <n v="2.5349827621172174E-4"/>
    <n v="4"/>
    <n v="0.2857142857142857"/>
    <n v="2.0279862096937742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wzpan/wukong-robot"/>
    <s v="wzpan"/>
    <s v="wukong-robot"/>
    <s v="https://github.com/wzpan/wukong-robot"/>
    <d v="2019-01-16T16:19:51"/>
    <d v="2021-04-08T11:12:38"/>
    <n v="812.78665509259736"/>
    <b v="0"/>
    <b v="0"/>
    <n v="2745"/>
    <n v="141"/>
    <n v="764"/>
    <n v="0"/>
    <n v="6"/>
    <n v="7"/>
    <n v="12"/>
    <n v="0"/>
    <n v="130"/>
    <n v="4"/>
    <x v="5"/>
    <n v="4285"/>
    <n v="181"/>
    <n v="4.2240373395565925E-2"/>
    <n v="60"/>
    <n v="0.33149171270718231"/>
    <n v="1.4002333722287048E-2"/>
    <n v="50"/>
    <n v="0.27624309392265195"/>
    <n v="1.1668611435239206E-2"/>
    <n v="13"/>
    <n v="7.18232044198895E-2"/>
    <n v="3.0338389731621937E-3"/>
    <n v="31"/>
    <n v="0.17127071823204421"/>
    <n v="7.2345390898483084E-3"/>
    <n v="27"/>
    <n v="0.14917127071823205"/>
    <n v="6.3010501750291716E-3"/>
    <n v="0"/>
    <n v="0"/>
    <n v="0"/>
    <b v="1"/>
    <b v="0"/>
    <b v="0"/>
    <b v="0"/>
    <b v="1"/>
    <b v="0"/>
    <b v="0"/>
    <b v="0"/>
    <b v="0"/>
    <b v="0"/>
    <b v="0"/>
    <b v="0"/>
    <b v="0"/>
  </r>
  <r>
    <s v="X-DataInitiative/tick"/>
    <s v="X-DataInitiative"/>
    <s v="tick"/>
    <s v="https://github.com/X-DataInitiative/tick"/>
    <d v="2016-12-01T10:59:08"/>
    <d v="2021-03-28T17:10:22"/>
    <n v="1578.2578009259232"/>
    <b v="0"/>
    <b v="1"/>
    <n v="328"/>
    <n v="36"/>
    <n v="74"/>
    <n v="5"/>
    <n v="8"/>
    <n v="15"/>
    <n v="262"/>
    <n v="12"/>
    <n v="209"/>
    <n v="50"/>
    <x v="2"/>
    <n v="20837"/>
    <n v="21"/>
    <n v="1.0078226232183136E-3"/>
    <n v="0"/>
    <n v="0"/>
    <n v="0"/>
    <n v="0"/>
    <n v="0"/>
    <n v="0"/>
    <n v="21"/>
    <n v="1"/>
    <n v="1.0078226232183136E-3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xhtml2pdf/xhtml2pdf"/>
    <s v="xhtml2pdf"/>
    <s v="xhtml2pdf"/>
    <s v="https://github.com/xhtml2pdf/xhtml2pdf"/>
    <d v="2011-05-16T13:45:29"/>
    <d v="2021-04-08T22:28:45"/>
    <n v="3615.3633796296272"/>
    <b v="0"/>
    <b v="1"/>
    <n v="1778"/>
    <n v="72"/>
    <n v="510"/>
    <n v="8"/>
    <n v="19"/>
    <n v="113"/>
    <n v="265"/>
    <n v="3"/>
    <n v="285"/>
    <n v="102"/>
    <x v="4"/>
    <n v="8749"/>
    <n v="64"/>
    <n v="7.3151217281975083E-3"/>
    <n v="32"/>
    <n v="0.5"/>
    <n v="3.6575608640987542E-3"/>
    <n v="1"/>
    <n v="1.5625E-2"/>
    <n v="1.1429877700308607E-4"/>
    <n v="28"/>
    <n v="0.4375"/>
    <n v="3.2003657560864098E-3"/>
    <n v="1"/>
    <n v="1.5625E-2"/>
    <n v="1.1429877700308607E-4"/>
    <n v="0"/>
    <n v="0"/>
    <n v="0"/>
    <n v="2"/>
    <n v="3.125E-2"/>
    <n v="2.2859755400617213E-4"/>
    <b v="1"/>
    <b v="0"/>
    <b v="0"/>
    <b v="0"/>
    <b v="1"/>
    <b v="0"/>
    <b v="0"/>
    <b v="0"/>
    <b v="0"/>
    <b v="0"/>
    <b v="0"/>
    <b v="0"/>
    <b v="0"/>
  </r>
  <r>
    <s v="xillwillx/skiptracer"/>
    <s v="xillwillx"/>
    <s v="skiptracer"/>
    <s v="https://github.com/xillwillx/skiptracer"/>
    <d v="2018-05-18T00:59:01"/>
    <d v="2021-04-08T23:17:16"/>
    <n v="1056.9293402777766"/>
    <b v="0"/>
    <b v="0"/>
    <n v="826"/>
    <n v="85"/>
    <n v="9"/>
    <n v="2"/>
    <n v="2"/>
    <n v="7"/>
    <n v="16"/>
    <n v="2"/>
    <n v="48"/>
    <n v="5"/>
    <x v="4"/>
    <n v="1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xingyizhou/CenterNet2"/>
    <s v="xingyizhou"/>
    <s v="CenterNet2"/>
    <s v="https://github.com/xingyizhou/CenterNet2"/>
    <d v="2021-03-15T00:27:22"/>
    <d v="2021-04-08T20:45:04"/>
    <n v="24.845625000001746"/>
    <b v="0"/>
    <b v="0"/>
    <n v="708"/>
    <n v="19"/>
    <n v="73"/>
    <n v="0"/>
    <n v="0"/>
    <n v="0"/>
    <n v="3"/>
    <n v="3"/>
    <n v="29"/>
    <n v="13"/>
    <x v="4"/>
    <n v="22376"/>
    <n v="195"/>
    <n v="8.714694315337862E-3"/>
    <n v="0"/>
    <n v="0"/>
    <n v="0"/>
    <n v="143"/>
    <n v="0.73333333333333328"/>
    <n v="6.3907758312477655E-3"/>
    <n v="42"/>
    <n v="0.2153846153846154"/>
    <n v="1.8770110833035395E-3"/>
    <n v="9"/>
    <n v="4.6153846153846156E-2"/>
    <n v="4.0221666070790131E-4"/>
    <n v="0"/>
    <n v="0"/>
    <n v="0"/>
    <n v="1"/>
    <n v="5.1282051282051282E-3"/>
    <n v="4.4690740078655701E-5"/>
    <b v="1"/>
    <b v="1"/>
    <b v="0"/>
    <b v="0"/>
    <b v="1"/>
    <b v="0"/>
    <b v="0"/>
    <b v="0"/>
    <b v="0"/>
    <b v="0"/>
    <b v="0"/>
    <b v="0"/>
    <b v="0"/>
  </r>
  <r>
    <s v="xmendez/wfuzz"/>
    <s v="xmendez"/>
    <s v="wfuzz"/>
    <s v="https://github.com/xmendez/wfuzz"/>
    <d v="2014-10-22T21:23:49"/>
    <d v="2021-04-09T01:58:18"/>
    <n v="2360.1906134259261"/>
    <b v="0"/>
    <b v="0"/>
    <n v="3617"/>
    <n v="154"/>
    <n v="877"/>
    <n v="31"/>
    <n v="2"/>
    <n v="25"/>
    <n v="109"/>
    <n v="14"/>
    <n v="160"/>
    <n v="39"/>
    <x v="3"/>
    <n v="8915"/>
    <n v="23"/>
    <n v="2.579921480650589E-3"/>
    <n v="4"/>
    <n v="0.17391304347826086"/>
    <n v="4.4868199663488501E-4"/>
    <n v="0"/>
    <n v="0"/>
    <n v="0"/>
    <n v="17"/>
    <n v="0.73913043478260865"/>
    <n v="1.9068984856982613E-3"/>
    <n v="0"/>
    <n v="0"/>
    <n v="0"/>
    <n v="2"/>
    <n v="8.6956521739130432E-2"/>
    <n v="2.243409983174425E-4"/>
    <n v="0"/>
    <n v="0"/>
    <n v="0"/>
    <b v="1"/>
    <b v="1"/>
    <b v="0"/>
    <b v="0"/>
    <b v="1"/>
    <b v="0"/>
    <b v="0"/>
    <b v="0"/>
    <b v="0"/>
    <b v="0"/>
    <b v="0"/>
    <b v="0"/>
    <b v="0"/>
  </r>
  <r>
    <s v="Xonshiz/comic-dl"/>
    <s v="Xonshiz"/>
    <s v="comic-dl"/>
    <s v="https://github.com/Xonshiz/comic-dl"/>
    <d v="2016-11-13T13:30:33"/>
    <d v="2021-03-30T19:04:37"/>
    <n v="1598.2319907407364"/>
    <b v="0"/>
    <b v="0"/>
    <n v="369"/>
    <n v="29"/>
    <n v="48"/>
    <n v="56"/>
    <n v="9"/>
    <n v="19"/>
    <n v="61"/>
    <n v="0"/>
    <n v="219"/>
    <n v="41"/>
    <x v="5"/>
    <n v="3031"/>
    <n v="61"/>
    <n v="2.0125371164632134E-2"/>
    <n v="35"/>
    <n v="0.57377049180327866"/>
    <n v="1.1547344110854504E-2"/>
    <n v="1"/>
    <n v="1.6393442622950821E-2"/>
    <n v="3.2992411745298581E-4"/>
    <n v="0"/>
    <n v="0"/>
    <n v="0"/>
    <n v="25"/>
    <n v="0.4098360655737705"/>
    <n v="8.2481029363246448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xsren/wx_taobao_fanli"/>
    <s v="xsren"/>
    <s v="wx_taobao_fanli"/>
    <s v="https://github.com/xsren/wx_taobao_fanli"/>
    <d v="2017-05-26T09:53:26"/>
    <d v="2021-03-29T03:29:10"/>
    <n v="1402.7331481481451"/>
    <b v="0"/>
    <b v="0"/>
    <n v="428"/>
    <n v="38"/>
    <n v="165"/>
    <n v="0"/>
    <n v="0"/>
    <n v="2"/>
    <n v="1"/>
    <n v="0"/>
    <n v="43"/>
    <n v="23"/>
    <x v="1"/>
    <n v="382"/>
    <n v="19"/>
    <n v="4.9738219895287955E-2"/>
    <n v="14"/>
    <n v="0.73684210526315785"/>
    <n v="3.6649214659685861E-2"/>
    <n v="0"/>
    <n v="0"/>
    <n v="0"/>
    <n v="5"/>
    <n v="0.26315789473684209"/>
    <n v="1.3089005235602094E-2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yampelo/beagle"/>
    <s v="yampelo"/>
    <s v="beagle"/>
    <s v="https://github.com/yampelo/beagle"/>
    <d v="2018-01-21T22:59:40"/>
    <d v="2021-04-07T15:59:53"/>
    <n v="1171.7084837962975"/>
    <b v="0"/>
    <b v="0"/>
    <n v="979"/>
    <n v="49"/>
    <n v="117"/>
    <n v="2"/>
    <n v="1"/>
    <n v="8"/>
    <n v="37"/>
    <n v="7"/>
    <n v="49"/>
    <n v="22"/>
    <x v="5"/>
    <n v="5859"/>
    <n v="116"/>
    <n v="1.9798600443761735E-2"/>
    <n v="31"/>
    <n v="0.26724137931034481"/>
    <n v="5.2910052910052907E-3"/>
    <n v="72"/>
    <n v="0.62068965517241381"/>
    <n v="1.2288786482334869E-2"/>
    <n v="6"/>
    <n v="5.1724137931034482E-2"/>
    <n v="1.0240655401945725E-3"/>
    <n v="1"/>
    <n v="8.6206896551724137E-3"/>
    <n v="1.7067759003242875E-4"/>
    <n v="6"/>
    <n v="5.1724137931034482E-2"/>
    <n v="1.0240655401945725E-3"/>
    <n v="0"/>
    <n v="0"/>
    <n v="0"/>
    <b v="1"/>
    <b v="0"/>
    <b v="0"/>
    <b v="0"/>
    <b v="1"/>
    <b v="0"/>
    <b v="0"/>
    <b v="0"/>
    <b v="1"/>
    <b v="0"/>
    <b v="0"/>
    <b v="0"/>
    <b v="0"/>
  </r>
  <r>
    <s v="yandex/gixy"/>
    <s v="yandex"/>
    <s v="gixy"/>
    <s v="https://github.com/yandex/gixy"/>
    <d v="2017-03-15T01:02:40"/>
    <d v="2021-04-06T18:48:15"/>
    <n v="1483.7399884259212"/>
    <b v="0"/>
    <b v="1"/>
    <n v="6813"/>
    <n v="168"/>
    <n v="320"/>
    <n v="9"/>
    <n v="1"/>
    <n v="17"/>
    <n v="55"/>
    <n v="3"/>
    <n v="62"/>
    <n v="35"/>
    <x v="7"/>
    <n v="3734"/>
    <n v="18"/>
    <n v="4.8205677557579003E-3"/>
    <n v="4"/>
    <n v="0.22222222222222221"/>
    <n v="1.0712372790573112E-3"/>
    <n v="4"/>
    <n v="0.22222222222222221"/>
    <n v="1.0712372790573112E-3"/>
    <n v="7"/>
    <n v="0.3888888888888889"/>
    <n v="1.8746652383502945E-3"/>
    <n v="3"/>
    <n v="0.16666666666666666"/>
    <n v="8.034279592929833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yandex/pgmigrate"/>
    <s v="yandex"/>
    <s v="pgmigrate"/>
    <s v="https://github.com/yandex/pgmigrate"/>
    <d v="2016-10-02T15:36:29"/>
    <d v="2021-04-06T09:49:59"/>
    <n v="1646.7593750000015"/>
    <b v="0"/>
    <b v="1"/>
    <n v="489"/>
    <n v="24"/>
    <n v="46"/>
    <n v="0"/>
    <n v="0"/>
    <n v="3"/>
    <n v="12"/>
    <n v="0"/>
    <n v="10"/>
    <n v="0"/>
    <x v="16"/>
    <n v="747"/>
    <n v="39"/>
    <n v="5.2208835341365459E-2"/>
    <n v="1"/>
    <n v="2.564102564102564E-2"/>
    <n v="1.3386880856760374E-3"/>
    <n v="29"/>
    <n v="0.74358974358974361"/>
    <n v="3.8821954484605084E-2"/>
    <n v="1"/>
    <n v="2.564102564102564E-2"/>
    <n v="1.3386880856760374E-3"/>
    <n v="8"/>
    <n v="0.20512820512820512"/>
    <n v="1.0709504685408299E-2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yandex/yandex-tank"/>
    <s v="yandex"/>
    <s v="yandex-tank"/>
    <s v="https://github.com/yandex/yandex-tank"/>
    <d v="2012-07-23T11:05:58"/>
    <d v="2021-04-07T08:50:49"/>
    <n v="3179.9061458333308"/>
    <b v="0"/>
    <b v="1"/>
    <n v="2003"/>
    <n v="83"/>
    <n v="220"/>
    <n v="20"/>
    <n v="13"/>
    <n v="59"/>
    <n v="694"/>
    <n v="8"/>
    <n v="163"/>
    <n v="57"/>
    <x v="15"/>
    <n v="12609"/>
    <n v="599"/>
    <n v="4.7505749861210249E-2"/>
    <n v="203"/>
    <n v="0.33889816360600999"/>
    <n v="1.6099611388690618E-2"/>
    <n v="218"/>
    <n v="0.36393989983305508"/>
    <n v="1.7289237845983029E-2"/>
    <n v="101"/>
    <n v="0.1686143572621035"/>
    <n v="8.0101514791022285E-3"/>
    <n v="67"/>
    <n v="0.11185308848080133"/>
    <n v="5.3136648425727651E-3"/>
    <n v="0"/>
    <n v="0"/>
    <n v="0"/>
    <n v="10"/>
    <n v="1.6694490818030049E-2"/>
    <n v="7.9308430486160677E-4"/>
    <b v="1"/>
    <b v="0"/>
    <b v="0"/>
    <b v="0"/>
    <b v="1"/>
    <b v="0"/>
    <b v="0"/>
    <b v="0"/>
    <b v="0"/>
    <b v="0"/>
    <b v="0"/>
    <b v="0"/>
    <b v="0"/>
  </r>
  <r>
    <s v="yasinkuyu/binance-trader"/>
    <s v="yasinkuyu"/>
    <s v="binance-trader"/>
    <s v="https://github.com/yasinkuyu/binance-trader"/>
    <d v="2017-10-06T21:22:47"/>
    <d v="2021-04-08T20:40:12"/>
    <n v="1279.9704282407401"/>
    <b v="0"/>
    <b v="0"/>
    <n v="1725"/>
    <n v="237"/>
    <n v="642"/>
    <n v="0"/>
    <n v="8"/>
    <n v="10"/>
    <n v="45"/>
    <n v="1"/>
    <n v="242"/>
    <n v="88"/>
    <x v="1"/>
    <n v="753"/>
    <n v="25"/>
    <n v="3.3200531208499334E-2"/>
    <n v="2"/>
    <n v="0.08"/>
    <n v="2.6560424966799467E-3"/>
    <n v="18"/>
    <n v="0.72"/>
    <n v="2.3904382470119521E-2"/>
    <n v="1"/>
    <n v="0.04"/>
    <n v="1.3280212483399733E-3"/>
    <n v="4"/>
    <n v="0.16"/>
    <n v="5.3120849933598934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YBIGTA/pytorch-hair-segmentation"/>
    <s v="YBIGTA"/>
    <s v="pytorch-hair-segmentation"/>
    <s v="https://github.com/YBIGTA/pytorch-hair-segmentation"/>
    <d v="2018-11-03T04:33:00"/>
    <d v="2021-04-06T11:04:09"/>
    <n v="885.27163194444438"/>
    <b v="0"/>
    <b v="1"/>
    <n v="357"/>
    <n v="22"/>
    <n v="82"/>
    <n v="1"/>
    <n v="0"/>
    <n v="3"/>
    <n v="16"/>
    <n v="1"/>
    <n v="43"/>
    <n v="9"/>
    <x v="5"/>
    <n v="1341"/>
    <n v="20"/>
    <n v="1.4914243102162566E-2"/>
    <n v="0"/>
    <n v="0"/>
    <n v="0"/>
    <n v="20"/>
    <n v="1"/>
    <n v="1.4914243102162566E-2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ycm-core/YouCompleteMe"/>
    <s v="ycm-core"/>
    <s v="YouCompleteMe"/>
    <s v="https://github.com/ycm-core/YouCompleteMe"/>
    <d v="2012-04-16T03:12:14"/>
    <d v="2021-04-09T02:41:30"/>
    <n v="3279.9786574074096"/>
    <b v="0"/>
    <b v="1"/>
    <n v="22723"/>
    <n v="596"/>
    <n v="2538"/>
    <n v="0"/>
    <n v="99"/>
    <n v="152"/>
    <n v="871"/>
    <n v="10"/>
    <n v="2987"/>
    <n v="26"/>
    <x v="0"/>
    <n v="5980"/>
    <n v="12"/>
    <n v="2.0066889632107021E-3"/>
    <n v="3"/>
    <n v="0.25"/>
    <n v="5.0167224080267553E-4"/>
    <n v="0"/>
    <n v="0"/>
    <n v="0"/>
    <n v="0"/>
    <n v="0"/>
    <n v="0"/>
    <n v="5"/>
    <n v="0.41666666666666669"/>
    <n v="8.3612040133779263E-4"/>
    <n v="1"/>
    <n v="8.3333333333333329E-2"/>
    <n v="1.6722408026755852E-4"/>
    <n v="3"/>
    <n v="0.25"/>
    <n v="5.0167224080267553E-4"/>
    <b v="1"/>
    <b v="0"/>
    <b v="0"/>
    <b v="0"/>
    <b v="1"/>
    <b v="0"/>
    <b v="0"/>
    <b v="0"/>
    <b v="0"/>
    <b v="0"/>
    <b v="0"/>
    <b v="0"/>
    <b v="0"/>
  </r>
  <r>
    <s v="Yelp/docker-custodian"/>
    <s v="Yelp"/>
    <s v="docker-custodian"/>
    <s v="https://github.com/Yelp/docker-custodian"/>
    <d v="2015-06-29T21:30:58"/>
    <d v="2021-03-08T13:21:09"/>
    <n v="2078.6598495370345"/>
    <b v="0"/>
    <b v="1"/>
    <n v="340"/>
    <n v="48"/>
    <n v="44"/>
    <n v="0"/>
    <n v="1"/>
    <n v="14"/>
    <n v="32"/>
    <n v="6"/>
    <n v="22"/>
    <n v="11"/>
    <x v="4"/>
    <n v="569"/>
    <n v="16"/>
    <n v="2.8119507908611598E-2"/>
    <n v="0"/>
    <n v="0"/>
    <n v="0"/>
    <n v="11"/>
    <n v="0.6875"/>
    <n v="1.9332161687170474E-2"/>
    <n v="4"/>
    <n v="0.25"/>
    <n v="7.0298769771528994E-3"/>
    <n v="1"/>
    <n v="6.25E-2"/>
    <n v="1.7574692442882249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Yelp/elastalert"/>
    <s v="Yelp"/>
    <s v="elastalert"/>
    <s v="https://github.com/Yelp/elastalert"/>
    <d v="2014-11-24T19:39:19"/>
    <d v="2021-04-08T13:59:40"/>
    <n v="2326.7641319444447"/>
    <b v="0"/>
    <b v="1"/>
    <n v="7382"/>
    <n v="266"/>
    <n v="1601"/>
    <n v="1"/>
    <n v="35"/>
    <n v="198"/>
    <n v="918"/>
    <n v="148"/>
    <n v="2249"/>
    <n v="1239"/>
    <x v="4"/>
    <n v="9432"/>
    <n v="114"/>
    <n v="1.2086513994910942E-2"/>
    <n v="10"/>
    <n v="8.771929824561403E-2"/>
    <n v="1.0602205258693808E-3"/>
    <n v="63"/>
    <n v="0.55263157894736847"/>
    <n v="6.6793893129770991E-3"/>
    <n v="21"/>
    <n v="0.18421052631578946"/>
    <n v="2.2264631043256997E-3"/>
    <n v="12"/>
    <n v="0.10526315789473684"/>
    <n v="1.2722646310432571E-3"/>
    <n v="0"/>
    <n v="0"/>
    <n v="0"/>
    <n v="8"/>
    <n v="7.0175438596491224E-2"/>
    <n v="8.4817642069550466E-4"/>
    <b v="0"/>
    <b v="1"/>
    <b v="0"/>
    <b v="0"/>
    <b v="1"/>
    <b v="0"/>
    <b v="0"/>
    <b v="0"/>
    <b v="0"/>
    <b v="0"/>
    <b v="0"/>
    <b v="0"/>
    <b v="0"/>
  </r>
  <r>
    <s v="Yelp/mysql_streamer"/>
    <s v="Yelp"/>
    <s v="mysql_streamer"/>
    <s v="https://github.com/Yelp/mysql_streamer"/>
    <d v="2016-08-23T19:52:38"/>
    <d v="2021-03-29T01:52:08"/>
    <n v="1678.2496527777766"/>
    <b v="0"/>
    <b v="1"/>
    <n v="379"/>
    <n v="45"/>
    <n v="80"/>
    <n v="0"/>
    <n v="0"/>
    <n v="13"/>
    <n v="10"/>
    <n v="4"/>
    <n v="17"/>
    <n v="16"/>
    <x v="4"/>
    <n v="6293"/>
    <n v="72"/>
    <n v="1.1441283966311775E-2"/>
    <n v="4"/>
    <n v="5.5555555555555552E-2"/>
    <n v="6.3562688701732084E-4"/>
    <n v="62"/>
    <n v="0.86111111111111116"/>
    <n v="9.852216748768473E-3"/>
    <n v="1"/>
    <n v="1.3888888888888888E-2"/>
    <n v="1.5890672175433021E-4"/>
    <n v="3"/>
    <n v="4.1666666666666664E-2"/>
    <n v="4.7672016526299061E-4"/>
    <n v="0"/>
    <n v="0"/>
    <n v="0"/>
    <n v="2"/>
    <n v="2.7777777777777776E-2"/>
    <n v="3.1781344350866042E-4"/>
    <b v="1"/>
    <b v="1"/>
    <b v="0"/>
    <b v="0"/>
    <b v="1"/>
    <b v="0"/>
    <b v="0"/>
    <b v="0"/>
    <b v="0"/>
    <b v="0"/>
    <b v="0"/>
    <b v="0"/>
    <b v="0"/>
  </r>
  <r>
    <s v="Yelp/paasta"/>
    <s v="Yelp"/>
    <s v="paasta"/>
    <s v="https://github.com/Yelp/paasta"/>
    <d v="2015-10-26T21:35:53"/>
    <d v="2021-04-08T21:12:35"/>
    <n v="1990.9838194444455"/>
    <b v="0"/>
    <b v="1"/>
    <n v="1517"/>
    <n v="98"/>
    <n v="191"/>
    <n v="0"/>
    <n v="44"/>
    <n v="128"/>
    <n v="2697"/>
    <n v="18"/>
    <n v="318"/>
    <n v="67"/>
    <x v="4"/>
    <n v="50310"/>
    <n v="460"/>
    <n v="9.143311468892865E-3"/>
    <n v="152"/>
    <n v="0.33043478260869563"/>
    <n v="3.0212681375472073E-3"/>
    <n v="145"/>
    <n v="0.31521739130434784"/>
    <n v="2.8821307891075333E-3"/>
    <n v="68"/>
    <n v="0.14782608695652175"/>
    <n v="1.351619956271119E-3"/>
    <n v="82"/>
    <n v="0.17826086956521739"/>
    <n v="1.6298946531504671E-3"/>
    <n v="5"/>
    <n v="1.0869565217391304E-2"/>
    <n v="9.9383820314052871E-5"/>
    <n v="8"/>
    <n v="1.7391304347826087E-2"/>
    <n v="1.5901411250248459E-4"/>
    <b v="1"/>
    <b v="1"/>
    <b v="0"/>
    <b v="0"/>
    <b v="1"/>
    <b v="0"/>
    <b v="0"/>
    <b v="0"/>
    <b v="0"/>
    <b v="0"/>
    <b v="0"/>
    <b v="0"/>
    <b v="0"/>
  </r>
  <r>
    <s v="Yelp/Tron"/>
    <s v="Yelp"/>
    <s v="Tron"/>
    <s v="https://github.com/Yelp/Tron"/>
    <d v="2010-09-09T20:54:04"/>
    <d v="2021-03-09T17:39:16"/>
    <n v="3833.864722222228"/>
    <b v="0"/>
    <b v="1"/>
    <n v="329"/>
    <n v="37"/>
    <n v="57"/>
    <n v="0"/>
    <n v="1"/>
    <n v="40"/>
    <n v="634"/>
    <n v="6"/>
    <n v="151"/>
    <n v="14"/>
    <x v="7"/>
    <n v="17171"/>
    <n v="263"/>
    <n v="1.5316522042979442E-2"/>
    <n v="37"/>
    <n v="0.14068441064638784"/>
    <n v="2.1547958767689709E-3"/>
    <n v="110"/>
    <n v="0.41825095057034223"/>
    <n v="6.4061499039077515E-3"/>
    <n v="64"/>
    <n v="0.24334600760456274"/>
    <n v="3.7272144895463279E-3"/>
    <n v="46"/>
    <n v="0.17490494296577946"/>
    <n v="2.6789354143614231E-3"/>
    <n v="0"/>
    <n v="0"/>
    <n v="0"/>
    <n v="6"/>
    <n v="2.2813688212927757E-2"/>
    <n v="3.4942635839496828E-4"/>
    <b v="1"/>
    <b v="1"/>
    <b v="0"/>
    <b v="0"/>
    <b v="1"/>
    <b v="0"/>
    <b v="0"/>
    <b v="0"/>
    <b v="0"/>
    <b v="0"/>
    <b v="0"/>
    <b v="0"/>
    <b v="0"/>
  </r>
  <r>
    <s v="yeti-platform/yeti"/>
    <s v="yeti-platform"/>
    <s v="yeti"/>
    <s v="https://github.com/yeti-platform/yeti"/>
    <d v="2015-12-13T16:54:26"/>
    <d v="2021-04-08T19:15:13"/>
    <n v="1943.0977662037039"/>
    <b v="0"/>
    <b v="1"/>
    <n v="1055"/>
    <n v="96"/>
    <n v="211"/>
    <n v="6"/>
    <n v="4"/>
    <n v="46"/>
    <n v="274"/>
    <n v="13"/>
    <n v="368"/>
    <n v="98"/>
    <x v="4"/>
    <n v="9836"/>
    <n v="221"/>
    <n v="2.246848312322082E-2"/>
    <n v="51"/>
    <n v="0.23076923076923078"/>
    <n v="5.1850345668971124E-3"/>
    <n v="21"/>
    <n v="9.5022624434389136E-2"/>
    <n v="2.1350142334282227E-3"/>
    <n v="12"/>
    <n v="5.4298642533936653E-2"/>
    <n v="1.2200081333875558E-3"/>
    <n v="136"/>
    <n v="0.61538461538461542"/>
    <n v="1.3826758845058967E-2"/>
    <n v="0"/>
    <n v="0"/>
    <n v="0"/>
    <n v="1"/>
    <n v="4.5248868778280547E-3"/>
    <n v="1.0166734444896299E-4"/>
    <b v="1"/>
    <b v="1"/>
    <b v="0"/>
    <b v="0"/>
    <b v="1"/>
    <b v="0"/>
    <b v="0"/>
    <b v="0"/>
    <b v="0"/>
    <b v="0"/>
    <b v="0"/>
    <b v="0"/>
    <b v="0"/>
  </r>
  <r>
    <s v="yihui-he/KL-Loss"/>
    <s v="yihui-he"/>
    <s v="KL-Loss"/>
    <s v="https://github.com/yihui-he/KL-Loss"/>
    <d v="2019-03-01T04:47:09"/>
    <d v="2021-04-08T07:31:23"/>
    <n v="769.11405092592759"/>
    <b v="0"/>
    <b v="0"/>
    <n v="626"/>
    <n v="20"/>
    <n v="102"/>
    <n v="1"/>
    <n v="0"/>
    <n v="2"/>
    <n v="1"/>
    <n v="0"/>
    <n v="29"/>
    <n v="4"/>
    <x v="4"/>
    <n v="9497"/>
    <n v="173"/>
    <n v="1.821627882489207E-2"/>
    <n v="24"/>
    <n v="0.13872832369942195"/>
    <n v="2.5271138254185531E-3"/>
    <n v="124"/>
    <n v="0.7167630057803468"/>
    <n v="1.3056754764662525E-2"/>
    <n v="22"/>
    <n v="0.12716763005780346"/>
    <n v="2.3165210066336739E-3"/>
    <n v="2"/>
    <n v="1.1560693641618497E-2"/>
    <n v="2.1059281878487945E-4"/>
    <n v="1"/>
    <n v="5.7803468208092483E-3"/>
    <n v="1.0529640939243972E-4"/>
    <n v="0"/>
    <n v="0"/>
    <n v="0"/>
    <b v="1"/>
    <b v="0"/>
    <b v="0"/>
    <b v="0"/>
    <b v="1"/>
    <b v="0"/>
    <b v="0"/>
    <b v="0"/>
    <b v="0"/>
    <b v="0"/>
    <b v="0"/>
    <b v="0"/>
    <b v="0"/>
  </r>
  <r>
    <s v="Yinzo/SmartQQBot"/>
    <s v="Yinzo"/>
    <s v="SmartQQBot"/>
    <s v="https://github.com/Yinzo/SmartQQBot"/>
    <d v="2015-01-18T09:08:34"/>
    <d v="2021-03-27T08:37:01"/>
    <n v="2259.9780902777784"/>
    <b v="0"/>
    <b v="0"/>
    <n v="1010"/>
    <n v="90"/>
    <n v="328"/>
    <n v="1"/>
    <n v="12"/>
    <n v="18"/>
    <n v="61"/>
    <n v="0"/>
    <n v="93"/>
    <n v="17"/>
    <x v="0"/>
    <n v="1593"/>
    <n v="132"/>
    <n v="8.2862523540489647E-2"/>
    <n v="29"/>
    <n v="0.2196969696969697"/>
    <n v="1.820464532328939E-2"/>
    <n v="45"/>
    <n v="0.34090909090909088"/>
    <n v="2.8248587570621469E-2"/>
    <n v="39"/>
    <n v="0.29545454545454547"/>
    <n v="2.4482109227871938E-2"/>
    <n v="4"/>
    <n v="3.0303030303030304E-2"/>
    <n v="2.5109855618330196E-3"/>
    <n v="0"/>
    <n v="0"/>
    <n v="0"/>
    <n v="15"/>
    <n v="0.11363636363636363"/>
    <n v="9.4161958568738224E-3"/>
    <b v="1"/>
    <b v="0"/>
    <b v="0"/>
    <b v="0"/>
    <b v="1"/>
    <b v="0"/>
    <b v="0"/>
    <b v="0"/>
    <b v="0"/>
    <b v="0"/>
    <b v="0"/>
    <b v="0"/>
    <b v="0"/>
  </r>
  <r>
    <s v="yogeshojha/rengine"/>
    <s v="yogeshojha"/>
    <s v="rengine"/>
    <s v="https://github.com/yogeshojha/rengine"/>
    <d v="2020-05-03T12:13:12"/>
    <d v="2021-04-07T10:46:08"/>
    <n v="338.93953703704028"/>
    <b v="0"/>
    <b v="0"/>
    <n v="2697"/>
    <n v="99"/>
    <n v="388"/>
    <n v="4"/>
    <n v="4"/>
    <n v="25"/>
    <n v="140"/>
    <n v="8"/>
    <n v="231"/>
    <n v="75"/>
    <x v="0"/>
    <n v="19278"/>
    <n v="69"/>
    <n v="3.5792094615624027E-3"/>
    <n v="25"/>
    <n v="0.36231884057971014"/>
    <n v="1.2968150223052184E-3"/>
    <n v="14"/>
    <n v="0.20289855072463769"/>
    <n v="7.2621641249092229E-4"/>
    <n v="10"/>
    <n v="0.14492753623188406"/>
    <n v="5.1872600892208731E-4"/>
    <n v="20"/>
    <n v="0.28985507246376813"/>
    <n v="1.0374520178441746E-3"/>
    <n v="0"/>
    <n v="0"/>
    <n v="0"/>
    <n v="0"/>
    <n v="0"/>
    <n v="0"/>
    <b v="1"/>
    <b v="1"/>
    <b v="0"/>
    <b v="0"/>
    <b v="1"/>
    <b v="0"/>
    <b v="0"/>
    <b v="0"/>
    <b v="1"/>
    <b v="0"/>
    <b v="0"/>
    <b v="0"/>
    <b v="0"/>
  </r>
  <r>
    <s v="youngwanLEE/CenterMask"/>
    <s v="youngwanLEE"/>
    <s v="CenterMask"/>
    <s v="https://github.com/youngwanLEE/CenterMask"/>
    <d v="2019-12-05T09:24:12"/>
    <d v="2021-04-08T08:30:19"/>
    <n v="489.96258101851708"/>
    <b v="0"/>
    <b v="0"/>
    <n v="656"/>
    <n v="30"/>
    <n v="104"/>
    <n v="0"/>
    <n v="0"/>
    <n v="3"/>
    <n v="1"/>
    <n v="0"/>
    <n v="60"/>
    <n v="27"/>
    <x v="7"/>
    <n v="8895"/>
    <n v="47"/>
    <n v="5.2838673412029229E-3"/>
    <n v="0"/>
    <n v="0"/>
    <n v="0"/>
    <n v="42"/>
    <n v="0.8936170212765957"/>
    <n v="4.7217537942664421E-3"/>
    <n v="4"/>
    <n v="8.5106382978723402E-2"/>
    <n v="4.4969083754918494E-4"/>
    <n v="1"/>
    <n v="2.1276595744680851E-2"/>
    <n v="1.1242270938729624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ysrc/GourdScanV2"/>
    <s v="ysrc"/>
    <s v="GourdScanV2"/>
    <s v="https://github.com/ysrc/GourdScanV2"/>
    <d v="2016-10-10T09:56:13"/>
    <d v="2021-04-07T16:37:05"/>
    <n v="1640.278379629628"/>
    <b v="0"/>
    <b v="1"/>
    <n v="742"/>
    <n v="50"/>
    <n v="300"/>
    <n v="0"/>
    <n v="2"/>
    <n v="5"/>
    <n v="4"/>
    <n v="0"/>
    <n v="34"/>
    <n v="10"/>
    <x v="3"/>
    <n v="1267"/>
    <n v="11"/>
    <n v="8.6819258089976328E-3"/>
    <n v="5"/>
    <n v="0.45454545454545453"/>
    <n v="3.9463299131807421E-3"/>
    <n v="0"/>
    <n v="0"/>
    <n v="0"/>
    <n v="2"/>
    <n v="0.18181818181818182"/>
    <n v="1.5785319652722968E-3"/>
    <n v="4"/>
    <n v="0.36363636363636365"/>
    <n v="3.1570639305445935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YunoHost/yunohost"/>
    <s v="YunoHost"/>
    <s v="yunohost"/>
    <s v="https://github.com/YunoHost/yunohost"/>
    <d v="2014-05-16T11:29:11"/>
    <d v="2021-04-08T22:00:52"/>
    <n v="2519.4386689814783"/>
    <b v="0"/>
    <b v="1"/>
    <n v="849"/>
    <n v="56"/>
    <n v="169"/>
    <n v="64"/>
    <n v="145"/>
    <n v="140"/>
    <n v="1135"/>
    <n v="42"/>
    <n v="0"/>
    <n v="0"/>
    <x v="11"/>
    <n v="12265"/>
    <n v="411"/>
    <n v="3.3509987770077458E-2"/>
    <n v="128"/>
    <n v="0.31143552311435524"/>
    <n v="1.0436200570729718E-2"/>
    <n v="64"/>
    <n v="0.15571776155717762"/>
    <n v="5.2181002853648592E-3"/>
    <n v="134"/>
    <n v="0.32603406326034062"/>
    <n v="1.0925397472482674E-2"/>
    <n v="85"/>
    <n v="0.20681265206812652"/>
    <n v="6.9302894415002037E-3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</r>
  <r>
    <s v="zalando/patroni"/>
    <s v="zalando"/>
    <s v="patroni"/>
    <s v="https://github.com/zalando/patroni"/>
    <d v="2015-07-08T09:27:19"/>
    <d v="2021-04-09T04:12:26"/>
    <n v="2101.7813310185156"/>
    <b v="0"/>
    <b v="1"/>
    <n v="3907"/>
    <n v="114"/>
    <n v="454"/>
    <n v="39"/>
    <n v="30"/>
    <n v="106"/>
    <n v="829"/>
    <n v="9"/>
    <n v="1073"/>
    <n v="50"/>
    <x v="5"/>
    <n v="17829"/>
    <n v="375"/>
    <n v="2.1033148241628805E-2"/>
    <n v="35"/>
    <n v="9.3333333333333338E-2"/>
    <n v="1.9630938358853552E-3"/>
    <n v="115"/>
    <n v="0.30666666666666664"/>
    <n v="6.4501654607661673E-3"/>
    <n v="82"/>
    <n v="0.21866666666666668"/>
    <n v="4.5992484155028329E-3"/>
    <n v="70"/>
    <n v="0.18666666666666668"/>
    <n v="3.9261876717707105E-3"/>
    <n v="0"/>
    <n v="0"/>
    <n v="0"/>
    <n v="73"/>
    <n v="0.19466666666666665"/>
    <n v="4.0944528577037415E-3"/>
    <b v="1"/>
    <b v="1"/>
    <b v="0"/>
    <b v="0"/>
    <b v="1"/>
    <b v="0"/>
    <b v="0"/>
    <b v="0"/>
    <b v="0"/>
    <b v="0"/>
    <b v="0"/>
    <b v="0"/>
    <b v="0"/>
  </r>
  <r>
    <s v="zalando/spilo"/>
    <s v="zalando"/>
    <s v="spilo"/>
    <s v="https://github.com/zalando/spilo"/>
    <d v="2015-04-17T13:22:42"/>
    <d v="2021-04-07T13:15:27"/>
    <n v="2181.9949652777796"/>
    <b v="0"/>
    <b v="1"/>
    <n v="786"/>
    <n v="42"/>
    <n v="169"/>
    <n v="19"/>
    <n v="28"/>
    <n v="58"/>
    <n v="376"/>
    <n v="6"/>
    <n v="199"/>
    <n v="46"/>
    <x v="4"/>
    <n v="2536"/>
    <n v="125"/>
    <n v="4.9290220820189273E-2"/>
    <n v="17"/>
    <n v="0.13600000000000001"/>
    <n v="6.7034700315457413E-3"/>
    <n v="62"/>
    <n v="0.496"/>
    <n v="2.4447949526813881E-2"/>
    <n v="13"/>
    <n v="0.104"/>
    <n v="5.1261829652996848E-3"/>
    <n v="29"/>
    <n v="0.23200000000000001"/>
    <n v="1.1435331230283912E-2"/>
    <n v="0"/>
    <n v="0"/>
    <n v="0"/>
    <n v="4"/>
    <n v="3.2000000000000001E-2"/>
    <n v="1.5772870662460567E-3"/>
    <b v="1"/>
    <b v="1"/>
    <b v="0"/>
    <b v="0"/>
    <b v="1"/>
    <b v="0"/>
    <b v="0"/>
    <b v="0"/>
    <b v="0"/>
    <b v="0"/>
    <b v="0"/>
    <b v="0"/>
    <b v="0"/>
  </r>
  <r>
    <s v="zenodo/zenodo"/>
    <s v="zenodo"/>
    <s v="zenodo"/>
    <s v="https://github.com/zenodo/zenodo"/>
    <d v="2013-02-11T09:34:27"/>
    <d v="2021-04-09T02:55:52"/>
    <n v="2978.7232060185197"/>
    <b v="0"/>
    <b v="1"/>
    <n v="544"/>
    <n v="38"/>
    <n v="168"/>
    <n v="0"/>
    <n v="2"/>
    <n v="51"/>
    <n v="925"/>
    <n v="16"/>
    <n v="1234"/>
    <n v="420"/>
    <x v="3"/>
    <n v="16761"/>
    <n v="19"/>
    <n v="1.1335839150408687E-3"/>
    <n v="0"/>
    <n v="0"/>
    <n v="0"/>
    <n v="3"/>
    <n v="0.15789473684210525"/>
    <n v="1.7898693395382138E-4"/>
    <n v="5"/>
    <n v="0.26315789473684209"/>
    <n v="2.9831155658970228E-4"/>
    <n v="1"/>
    <n v="5.2631578947368418E-2"/>
    <n v="5.9662311317940454E-5"/>
    <n v="0"/>
    <n v="0"/>
    <n v="0"/>
    <n v="10"/>
    <n v="0.52631578947368418"/>
    <n v="5.9662311317940455E-4"/>
    <b v="1"/>
    <b v="1"/>
    <b v="0"/>
    <b v="0"/>
    <b v="1"/>
    <b v="0"/>
    <b v="0"/>
    <b v="0"/>
    <b v="0"/>
    <b v="0"/>
    <b v="0"/>
    <b v="0"/>
    <b v="0"/>
  </r>
  <r>
    <s v="zentralopensource/zentral"/>
    <s v="zentralopensource"/>
    <s v="zentral"/>
    <s v="https://github.com/zentralopensource/zentral"/>
    <d v="2015-10-20T14:03:03"/>
    <d v="2021-04-08T21:15:05"/>
    <n v="1997.3000231481419"/>
    <b v="0"/>
    <b v="1"/>
    <n v="529"/>
    <n v="29"/>
    <n v="57"/>
    <n v="9"/>
    <n v="0"/>
    <n v="12"/>
    <n v="157"/>
    <n v="0"/>
    <n v="100"/>
    <n v="21"/>
    <x v="4"/>
    <n v="37369"/>
    <n v="380"/>
    <n v="1.0168856538842357E-2"/>
    <n v="66"/>
    <n v="0.1736842105263158"/>
    <n v="1.7661698199041987E-3"/>
    <n v="67"/>
    <n v="0.1763157894736842"/>
    <n v="1.7929299686906259E-3"/>
    <n v="80"/>
    <n v="0.21052631578947367"/>
    <n v="2.1408119029141803E-3"/>
    <n v="117"/>
    <n v="0.30789473684210528"/>
    <n v="3.1309374080119886E-3"/>
    <n v="0"/>
    <n v="0"/>
    <n v="0"/>
    <n v="50"/>
    <n v="0.13157894736842105"/>
    <n v="1.3380074393213627E-3"/>
    <b v="1"/>
    <b v="1"/>
    <b v="0"/>
    <b v="0"/>
    <b v="1"/>
    <b v="0"/>
    <b v="0"/>
    <b v="0"/>
    <b v="0"/>
    <b v="0"/>
    <b v="0"/>
    <b v="0"/>
    <b v="0"/>
  </r>
  <r>
    <s v="zeromq/pyzmq"/>
    <s v="zeromq"/>
    <s v="pyzmq"/>
    <s v="https://github.com/zeromq/pyzmq"/>
    <d v="2010-07-21T07:20:37"/>
    <d v="2021-04-08T12:06:42"/>
    <n v="3914.1986689814876"/>
    <b v="0"/>
    <b v="1"/>
    <n v="2764"/>
    <n v="109"/>
    <n v="537"/>
    <n v="5"/>
    <n v="26"/>
    <n v="149"/>
    <n v="683"/>
    <n v="3"/>
    <n v="834"/>
    <n v="105"/>
    <x v="7"/>
    <n v="13582"/>
    <n v="109"/>
    <n v="8.0253276395228987E-3"/>
    <n v="35"/>
    <n v="0.32110091743119268"/>
    <n v="2.5769400677367106E-3"/>
    <n v="17"/>
    <n v="0.15596330275229359"/>
    <n v="1.2516566043292592E-3"/>
    <n v="19"/>
    <n v="0.1743119266055046"/>
    <n v="1.3989103224856427E-3"/>
    <n v="32"/>
    <n v="0.29357798165137616"/>
    <n v="2.3560594905021352E-3"/>
    <n v="4"/>
    <n v="3.669724770642202E-2"/>
    <n v="2.945074363127669E-4"/>
    <n v="2"/>
    <n v="1.834862385321101E-2"/>
    <n v="1.4725371815638345E-4"/>
    <b v="1"/>
    <b v="0"/>
    <b v="0"/>
    <b v="0"/>
    <b v="1"/>
    <b v="0"/>
    <b v="0"/>
    <b v="0"/>
    <b v="0"/>
    <b v="0"/>
    <b v="0"/>
    <b v="0"/>
    <b v="0"/>
  </r>
  <r>
    <s v="zerosum0x0/koadic"/>
    <s v="zerosum0x0"/>
    <s v="koadic"/>
    <s v="https://github.com/zerosum0x0/koadic"/>
    <d v="2017-07-19T16:33:29"/>
    <d v="2021-04-08T09:43:56"/>
    <n v="1358.7155902777813"/>
    <b v="0"/>
    <b v="0"/>
    <n v="1913"/>
    <n v="115"/>
    <n v="477"/>
    <n v="0"/>
    <n v="5"/>
    <n v="8"/>
    <n v="38"/>
    <n v="0"/>
    <n v="107"/>
    <n v="5"/>
    <x v="4"/>
    <n v="7949"/>
    <n v="39"/>
    <n v="4.9062775191848033E-3"/>
    <n v="1"/>
    <n v="2.564102564102564E-2"/>
    <n v="1.258019876714052E-4"/>
    <n v="3"/>
    <n v="7.6923076923076927E-2"/>
    <n v="3.7740596301421561E-4"/>
    <n v="0"/>
    <n v="0"/>
    <n v="0"/>
    <n v="35"/>
    <n v="0.89743589743589747"/>
    <n v="4.4030695684991825E-3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zewelor/bt-mqtt-gateway"/>
    <s v="zewelor"/>
    <s v="bt-mqtt-gateway"/>
    <s v="https://github.com/zewelor/bt-mqtt-gateway"/>
    <d v="2017-11-22T17:40:26"/>
    <d v="2021-04-06T06:25:20"/>
    <n v="1230.5311805555539"/>
    <b v="0"/>
    <b v="0"/>
    <n v="357"/>
    <n v="26"/>
    <n v="81"/>
    <n v="0"/>
    <n v="5"/>
    <n v="32"/>
    <n v="108"/>
    <n v="1"/>
    <n v="115"/>
    <n v="45"/>
    <x v="5"/>
    <n v="1994"/>
    <n v="88"/>
    <n v="4.4132397191574725E-2"/>
    <n v="49"/>
    <n v="0.55681818181818177"/>
    <n v="2.4573721163490471E-2"/>
    <n v="34"/>
    <n v="0.38636363636363635"/>
    <n v="1.7051153460381142E-2"/>
    <n v="1"/>
    <n v="1.1363636363636364E-2"/>
    <n v="5.0150451354062187E-4"/>
    <n v="3"/>
    <n v="3.4090909090909088E-2"/>
    <n v="1.5045135406218655E-3"/>
    <n v="0"/>
    <n v="0"/>
    <n v="0"/>
    <n v="1"/>
    <n v="1.1363636363636364E-2"/>
    <n v="5.0150451354062187E-4"/>
    <b v="1"/>
    <b v="1"/>
    <b v="0"/>
    <b v="0"/>
    <b v="1"/>
    <b v="0"/>
    <b v="0"/>
    <b v="0"/>
    <b v="0"/>
    <b v="0"/>
    <b v="0"/>
    <b v="0"/>
    <b v="0"/>
  </r>
  <r>
    <s v="zh-plus/video-to-pose3D"/>
    <s v="zh-plus"/>
    <s v="video-to-pose3D"/>
    <s v="https://github.com/zh-plus/video-to-pose3D"/>
    <d v="2019-07-04T08:50:53"/>
    <d v="2021-04-04T20:22:15"/>
    <n v="640.48011574074189"/>
    <b v="0"/>
    <b v="0"/>
    <n v="457"/>
    <n v="16"/>
    <n v="96"/>
    <n v="0"/>
    <n v="2"/>
    <n v="3"/>
    <n v="5"/>
    <n v="1"/>
    <n v="38"/>
    <n v="4"/>
    <x v="5"/>
    <n v="25627"/>
    <n v="64"/>
    <n v="2.4973660592344012E-3"/>
    <n v="1"/>
    <n v="1.5625E-2"/>
    <n v="3.9021344675537519E-5"/>
    <n v="46"/>
    <n v="0.71875"/>
    <n v="1.7949818550747258E-3"/>
    <n v="4"/>
    <n v="6.25E-2"/>
    <n v="1.5608537870215008E-4"/>
    <n v="9"/>
    <n v="0.140625"/>
    <n v="3.5119210207983765E-4"/>
    <n v="3"/>
    <n v="4.6875E-2"/>
    <n v="1.1706403402661256E-4"/>
    <n v="1"/>
    <n v="1.5625E-2"/>
    <n v="3.9021344675537519E-5"/>
    <b v="1"/>
    <b v="0"/>
    <b v="0"/>
    <b v="0"/>
    <b v="1"/>
    <b v="0"/>
    <b v="0"/>
    <b v="0"/>
    <b v="0"/>
    <b v="0"/>
    <b v="0"/>
    <b v="0"/>
    <b v="0"/>
  </r>
  <r>
    <s v="zhaoweicai/Detectron-Cascade-RCNN"/>
    <s v="zhaoweicai"/>
    <s v="Detectron-Cascade-RCNN"/>
    <s v="https://github.com/zhaoweicai/Detectron-Cascade-RCNN"/>
    <d v="2018-09-27T00:01:38"/>
    <d v="2021-04-06T09:39:04"/>
    <n v="922.4009953703644"/>
    <b v="0"/>
    <b v="0"/>
    <n v="436"/>
    <n v="15"/>
    <n v="99"/>
    <n v="0"/>
    <n v="0"/>
    <n v="0"/>
    <n v="0"/>
    <n v="0"/>
    <n v="21"/>
    <n v="7"/>
    <x v="4"/>
    <n v="9586"/>
    <n v="173"/>
    <n v="1.8047152096807843E-2"/>
    <n v="24"/>
    <n v="0.13872832369942195"/>
    <n v="2.5036511579386604E-3"/>
    <n v="124"/>
    <n v="0.7167630057803468"/>
    <n v="1.293553098268308E-2"/>
    <n v="22"/>
    <n v="0.12716763005780346"/>
    <n v="2.2950135614437724E-3"/>
    <n v="2"/>
    <n v="1.1560693641618497E-2"/>
    <n v="2.0863759649488838E-4"/>
    <n v="1"/>
    <n v="5.7803468208092483E-3"/>
    <n v="1.0431879824744419E-4"/>
    <n v="0"/>
    <n v="0"/>
    <n v="0"/>
    <b v="1"/>
    <b v="0"/>
    <b v="0"/>
    <b v="0"/>
    <b v="1"/>
    <b v="0"/>
    <b v="0"/>
    <b v="0"/>
    <b v="0"/>
    <b v="0"/>
    <b v="0"/>
    <b v="0"/>
    <b v="0"/>
  </r>
  <r>
    <s v="Zhongdao/Towards-Realtime-MOT"/>
    <s v="Zhongdao"/>
    <s v="Towards-Realtime-MOT"/>
    <s v="https://github.com/Zhongdao/Towards-Realtime-MOT"/>
    <d v="2019-09-27T05:09:33"/>
    <d v="2021-04-08T15:43:53"/>
    <n v="559.44050925925694"/>
    <b v="0"/>
    <b v="0"/>
    <n v="1632"/>
    <n v="57"/>
    <n v="429"/>
    <n v="0"/>
    <n v="3"/>
    <n v="7"/>
    <n v="14"/>
    <n v="3"/>
    <n v="210"/>
    <n v="97"/>
    <x v="5"/>
    <n v="2358"/>
    <n v="15"/>
    <n v="6.3613231552162846E-3"/>
    <n v="5"/>
    <n v="0.33333333333333331"/>
    <n v="2.1204410517387615E-3"/>
    <n v="10"/>
    <n v="0.66666666666666663"/>
    <n v="4.2408821034775231E-3"/>
    <n v="0"/>
    <n v="0"/>
    <n v="0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zhoubear/open-paperless"/>
    <s v="zhoubear"/>
    <s v="open-paperless"/>
    <s v="https://github.com/zhoubear/open-paperless"/>
    <d v="2017-12-18T06:46:00"/>
    <d v="2021-04-07T01:23:31"/>
    <n v="1205.776053240741"/>
    <b v="0"/>
    <b v="0"/>
    <n v="2509"/>
    <n v="98"/>
    <n v="208"/>
    <n v="0"/>
    <n v="0"/>
    <n v="8"/>
    <n v="8"/>
    <n v="1"/>
    <n v="14"/>
    <n v="9"/>
    <x v="7"/>
    <n v="26679"/>
    <n v="291"/>
    <n v="1.090745530192286E-2"/>
    <n v="144"/>
    <n v="0.49484536082474229"/>
    <n v="5.3975036545597663E-3"/>
    <n v="45"/>
    <n v="0.15463917525773196"/>
    <n v="1.6867198920499269E-3"/>
    <n v="26"/>
    <n v="8.9347079037800689E-2"/>
    <n v="9.7454927096218E-4"/>
    <n v="72"/>
    <n v="0.24742268041237114"/>
    <n v="2.6987518272798832E-3"/>
    <n v="3"/>
    <n v="1.0309278350515464E-2"/>
    <n v="1.1244799280332846E-4"/>
    <n v="1"/>
    <n v="3.4364261168384879E-3"/>
    <n v="3.7482664267776152E-5"/>
    <b v="1"/>
    <b v="1"/>
    <b v="0"/>
    <b v="0"/>
    <b v="1"/>
    <b v="0"/>
    <b v="0"/>
    <b v="0"/>
    <b v="0"/>
    <b v="0"/>
    <b v="0"/>
    <b v="0"/>
    <b v="0"/>
  </r>
  <r>
    <s v="zhreshold/mxnet-ssd"/>
    <s v="zhreshold"/>
    <s v="mxnet-ssd"/>
    <s v="https://github.com/zhreshold/mxnet-ssd"/>
    <d v="2016-09-28T23:20:20"/>
    <d v="2021-04-07T03:49:03"/>
    <n v="1651.186608796299"/>
    <b v="0"/>
    <b v="0"/>
    <n v="765"/>
    <n v="50"/>
    <n v="343"/>
    <n v="5"/>
    <n v="5"/>
    <n v="7"/>
    <n v="8"/>
    <n v="0"/>
    <n v="232"/>
    <n v="93"/>
    <x v="5"/>
    <n v="4353"/>
    <n v="14"/>
    <n v="3.2161727544222376E-3"/>
    <n v="0"/>
    <n v="0"/>
    <n v="0"/>
    <n v="7"/>
    <n v="0.5"/>
    <n v="1.6080863772111188E-3"/>
    <n v="3"/>
    <n v="0.21428571428571427"/>
    <n v="6.8917987594762232E-4"/>
    <n v="4"/>
    <n v="0.2857142857142857"/>
    <n v="9.1890650126349646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zjhuang22/maskscoring_rcnn"/>
    <s v="zjhuang22"/>
    <s v="maskscoring_rcnn"/>
    <s v="https://github.com/zjhuang22/maskscoring_rcnn"/>
    <d v="2019-02-27T02:53:55"/>
    <d v="2021-04-08T03:08:40"/>
    <n v="771.0102430555562"/>
    <b v="0"/>
    <b v="0"/>
    <n v="1798"/>
    <n v="45"/>
    <n v="374"/>
    <n v="0"/>
    <n v="2"/>
    <n v="2"/>
    <n v="6"/>
    <n v="5"/>
    <n v="102"/>
    <n v="56"/>
    <x v="5"/>
    <n v="4002"/>
    <n v="37"/>
    <n v="9.2453773113443279E-3"/>
    <n v="0"/>
    <n v="0"/>
    <n v="0"/>
    <n v="34"/>
    <n v="0.91891891891891897"/>
    <n v="8.4957521239380305E-3"/>
    <n v="2"/>
    <n v="5.4054054054054057E-2"/>
    <n v="4.9975012493753122E-4"/>
    <n v="1"/>
    <n v="2.7027027027027029E-2"/>
    <n v="2.4987506246876561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ZJULearning/ttfnet"/>
    <s v="ZJULearning"/>
    <s v="ttfnet"/>
    <s v="https://github.com/ZJULearning/ttfnet"/>
    <d v="2019-08-11T13:42:32"/>
    <d v="2021-04-07T02:15:47"/>
    <n v="604.52309027778392"/>
    <b v="0"/>
    <b v="1"/>
    <n v="400"/>
    <n v="21"/>
    <n v="78"/>
    <n v="0"/>
    <n v="1"/>
    <n v="37"/>
    <n v="0"/>
    <n v="0"/>
    <n v="40"/>
    <n v="26"/>
    <x v="4"/>
    <n v="16103"/>
    <n v="6"/>
    <n v="3.7260137862510091E-4"/>
    <n v="0"/>
    <n v="0"/>
    <n v="0"/>
    <n v="3"/>
    <n v="0.5"/>
    <n v="1.8630068931255045E-4"/>
    <n v="3"/>
    <n v="0.5"/>
    <n v="1.8630068931255045E-4"/>
    <n v="0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zsdlove/Hades"/>
    <s v="zsdlove"/>
    <s v="Hades"/>
    <s v="https://github.com/zsdlove/Hades"/>
    <d v="2020-03-01T13:16:39"/>
    <d v="2021-04-02T06:21:58"/>
    <n v="396.71202546296263"/>
    <b v="0"/>
    <b v="0"/>
    <n v="338"/>
    <n v="10"/>
    <n v="80"/>
    <n v="0"/>
    <n v="1"/>
    <n v="2"/>
    <n v="0"/>
    <n v="0"/>
    <n v="6"/>
    <n v="0"/>
    <x v="1"/>
    <n v="2593"/>
    <n v="116"/>
    <n v="4.473582722715002E-2"/>
    <n v="0"/>
    <n v="0"/>
    <n v="0"/>
    <n v="115"/>
    <n v="0.99137931034482762"/>
    <n v="4.4350173544157344E-2"/>
    <n v="0"/>
    <n v="0"/>
    <n v="0"/>
    <n v="1"/>
    <n v="8.6206896551724137E-3"/>
    <n v="3.8565368299267258E-4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</r>
  <r>
    <s v="ztgrace/changeme"/>
    <s v="ztgrace"/>
    <s v="changeme"/>
    <s v="https://github.com/ztgrace/changeme"/>
    <d v="2016-03-11T17:10:34"/>
    <d v="2021-04-08T14:05:52"/>
    <n v="1853.8717361111121"/>
    <b v="0"/>
    <b v="0"/>
    <n v="934"/>
    <n v="58"/>
    <n v="189"/>
    <n v="15"/>
    <n v="0"/>
    <n v="19"/>
    <n v="41"/>
    <n v="0"/>
    <n v="55"/>
    <n v="12"/>
    <x v="0"/>
    <n v="1995"/>
    <n v="109"/>
    <n v="5.463659147869674E-2"/>
    <n v="71"/>
    <n v="0.65137614678899081"/>
    <n v="3.5588972431077691E-2"/>
    <n v="12"/>
    <n v="0.11009174311926606"/>
    <n v="6.0150375939849628E-3"/>
    <n v="6"/>
    <n v="5.5045871559633031E-2"/>
    <n v="3.0075187969924814E-3"/>
    <n v="14"/>
    <n v="0.12844036697247707"/>
    <n v="7.0175438596491229E-3"/>
    <n v="6"/>
    <n v="5.5045871559633031E-2"/>
    <n v="3.0075187969924814E-3"/>
    <n v="0"/>
    <n v="0"/>
    <n v="0"/>
    <b v="1"/>
    <b v="0"/>
    <b v="0"/>
    <b v="0"/>
    <b v="1"/>
    <b v="0"/>
    <b v="0"/>
    <b v="0"/>
    <b v="0"/>
    <b v="0"/>
    <b v="0"/>
    <b v="0"/>
    <b v="0"/>
  </r>
  <r>
    <s v="zulip/zulip"/>
    <s v="zulip"/>
    <s v="zulip"/>
    <s v="https://github.com/zulip/zulip"/>
    <d v="2015-09-25T16:37:25"/>
    <d v="2021-04-09T02:03:27"/>
    <n v="2022.3930787037025"/>
    <b v="0"/>
    <b v="1"/>
    <n v="13336"/>
    <n v="375"/>
    <n v="4359"/>
    <n v="54"/>
    <n v="184"/>
    <n v="685"/>
    <n v="12011"/>
    <n v="749"/>
    <n v="6005"/>
    <n v="1329"/>
    <x v="4"/>
    <n v="101567"/>
    <n v="355"/>
    <n v="3.4952297498203155E-3"/>
    <n v="12"/>
    <n v="3.3802816901408447E-2"/>
    <n v="1.181486112615318E-4"/>
    <n v="212"/>
    <n v="0.59718309859154928"/>
    <n v="2.0872921322870617E-3"/>
    <n v="74"/>
    <n v="0.20845070422535211"/>
    <n v="7.2858310277944607E-4"/>
    <n v="35"/>
    <n v="9.8591549295774641E-2"/>
    <n v="3.4460011617946777E-4"/>
    <n v="2"/>
    <n v="5.6338028169014088E-3"/>
    <n v="1.96914352102553E-5"/>
    <n v="20"/>
    <n v="5.6338028169014086E-2"/>
    <n v="1.96914352102553E-4"/>
    <b v="1"/>
    <b v="0"/>
    <b v="0"/>
    <b v="0"/>
    <b v="1"/>
    <b v="0"/>
    <b v="0"/>
    <b v="0"/>
    <b v="0"/>
    <b v="0"/>
    <b v="0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E8F41-C0B1-4AA3-ABF7-49E46AB60D0A}" name="Tabela dinâmica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A1:O19" firstHeaderRow="0" firstDataRow="1" firstDataCol="1"/>
  <pivotFields count="54">
    <pivotField showAll="0"/>
    <pivotField showAll="0"/>
    <pivotField showAll="0"/>
    <pivotField showAll="0"/>
    <pivotField numFmtId="164" showAll="0"/>
    <pivotField numFmtId="164"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4"/>
        <item x="8"/>
        <item x="2"/>
        <item x="12"/>
        <item x="13"/>
        <item x="11"/>
        <item x="3"/>
        <item x="0"/>
        <item x="15"/>
        <item x="9"/>
        <item x="14"/>
        <item x="5"/>
        <item x="10"/>
        <item x="6"/>
        <item x="1"/>
        <item x="7"/>
        <item x="16"/>
        <item t="default"/>
      </items>
    </pivotField>
    <pivotField showAll="0"/>
    <pivotField showAll="0"/>
    <pivotField dataField="1" numFmtId="166" showAll="0"/>
    <pivotField showAll="0"/>
    <pivotField dataField="1" numFmtId="166" showAll="0"/>
    <pivotField dataField="1" numFmtId="166" showAll="0"/>
    <pivotField showAll="0"/>
    <pivotField dataField="1" numFmtId="166" showAll="0"/>
    <pivotField dataField="1" numFmtId="166" showAll="0"/>
    <pivotField showAll="0"/>
    <pivotField dataField="1" numFmtId="166" showAll="0"/>
    <pivotField dataField="1" numFmtId="166" showAll="0"/>
    <pivotField showAll="0"/>
    <pivotField dataField="1" numFmtId="166" showAll="0"/>
    <pivotField dataField="1" numFmtId="166" showAll="0"/>
    <pivotField showAll="0"/>
    <pivotField dataField="1" numFmtId="166" showAll="0"/>
    <pivotField dataField="1" numFmtId="166" showAll="0"/>
    <pivotField showAll="0"/>
    <pivotField dataField="1" numFmtId="166" showAll="0"/>
    <pivotField dataField="1"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Média de repo_age" fld="6" subtotal="average" baseField="19" baseItem="0"/>
    <dataField name="Média de logger/lloc" fld="22" subtotal="average" baseField="19" baseItem="0"/>
    <dataField name="Média de debug/lloc" fld="25" subtotal="average" baseField="19" baseItem="0"/>
    <dataField name="Média de debug/loggers" fld="24" subtotal="average" baseField="19" baseItem="0"/>
    <dataField name="Média de info/loggers" fld="27" subtotal="average" baseField="19" baseItem="0"/>
    <dataField name="Média de info/lloc" fld="28" subtotal="average" baseField="19" baseItem="0"/>
    <dataField name="Média de warning/loggers" fld="30" subtotal="average" baseField="19" baseItem="0"/>
    <dataField name="Média de warning/lloc" fld="31" subtotal="average" baseField="19" baseItem="0"/>
    <dataField name="Média de error/loggers" fld="33" subtotal="average" baseField="19" baseItem="0"/>
    <dataField name="Média de error/lloc" fld="34" subtotal="average" baseField="19" baseItem="0"/>
    <dataField name="Média de critical/loggers" fld="36" subtotal="average" baseField="19" baseItem="0"/>
    <dataField name="Média de critical/lloc" fld="37" subtotal="average" baseField="19" baseItem="0"/>
    <dataField name="Média de exception/loggers" fld="39" subtotal="average" baseField="19" baseItem="0"/>
    <dataField name="Média de exception/lloc" fld="40" subtotal="average" baseField="19" baseItem="0"/>
  </dataFields>
  <formats count="1">
    <format dxfId="3">
      <pivotArea collapsedLevelsAreSubtotals="1" fieldPosition="0">
        <references count="1">
          <reference field="1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3C7280-D8FA-438B-B214-031A052A2698}" name="Tabela3" displayName="Tabela3" ref="A1:AF1167" totalsRowShown="0">
  <autoFilter ref="A1:AF1167" xr:uid="{C8D49BB9-EB54-49BA-98CD-70B50CC7F8FF}"/>
  <tableColumns count="32">
    <tableColumn id="1" xr3:uid="{00E0B3BC-67F9-4E85-A7A2-851602E60028}" name="repo_age"/>
    <tableColumn id="2" xr3:uid="{AB6386A7-6476-4517-82F6-EA1FE232A700}" name="stars"/>
    <tableColumn id="3" xr3:uid="{CD59E068-1351-441B-9E5A-3F8F5925B4D3}" name="watchers"/>
    <tableColumn id="4" xr3:uid="{F3A8B0DF-9BDD-4DAC-BDA5-F6F78E2CE11C}" name="forks"/>
    <tableColumn id="5" xr3:uid="{0F147788-6C76-4A78-A64F-053161F8E3F4}" name="releases"/>
    <tableColumn id="6" xr3:uid="{E459826D-F26F-4C9A-8C77-0DDC301B807B}" name="commit_comments"/>
    <tableColumn id="7" xr3:uid="{161F7366-2335-4FC9-AE6F-945C2310E8AF}" name="contributors"/>
    <tableColumn id="8" xr3:uid="{D84E8770-7F5D-4086-8E33-B93CFCEA026F}" name="prs"/>
    <tableColumn id="9" xr3:uid="{5F8CC5E3-E20E-421F-9B08-BA593219CE6A}" name="prs_open"/>
    <tableColumn id="10" xr3:uid="{E0B00C7C-A721-45B5-B198-FD95A6BA96CE}" name="issues"/>
    <tableColumn id="11" xr3:uid="{283F94CB-50E0-4F29-84D6-EB92C5BBE7B1}" name="issues_open"/>
    <tableColumn id="12" xr3:uid="{A9F5A8B9-DCAF-43A5-9145-71C884193E77}" name="lloc"/>
    <tableColumn id="13" xr3:uid="{D415CCC2-426A-4CF5-B57C-8FDBCB86E9BA}" name="logger_calls"/>
    <tableColumn id="14" xr3:uid="{4069046C-0BD5-4640-9DED-64D2A33D88EF}" name="logger/lloc"/>
    <tableColumn id="15" xr3:uid="{D80A6672-5383-4C13-9F66-AEB816E61C3E}" name="verbosity_debug"/>
    <tableColumn id="16" xr3:uid="{EBBC46D6-7AAE-4739-8D0E-29EDCDF59FD1}" name="debug/loggers"/>
    <tableColumn id="17" xr3:uid="{9A8856A8-6E87-4EDD-B5BC-6490E0C304E5}" name="debug/lloc"/>
    <tableColumn id="18" xr3:uid="{E5CCB21A-E67B-4838-B2D3-6F35B1C65DCF}" name="verbosity_info"/>
    <tableColumn id="19" xr3:uid="{A745E318-799C-471D-A631-3F8086B85A0F}" name="info/loggers"/>
    <tableColumn id="20" xr3:uid="{37C3F048-A28D-433F-A3CF-42BA8747D5C5}" name="info/lloc"/>
    <tableColumn id="21" xr3:uid="{C8CF58CF-811D-409A-A45B-44AC6DB2C334}" name="verbosity_warning"/>
    <tableColumn id="22" xr3:uid="{168F897C-8CF8-4376-8E1A-A4F49C85BED0}" name="warning/loggers"/>
    <tableColumn id="23" xr3:uid="{DF7EFE52-4CF6-4966-B126-869CCC63A787}" name="warning/lloc"/>
    <tableColumn id="24" xr3:uid="{5D7571D8-D3BF-405D-8CFE-D4FAA9A41ABB}" name="verbosity_error"/>
    <tableColumn id="25" xr3:uid="{18DAA780-F40F-44C8-B7C9-FFB133AEE126}" name="error/loggers"/>
    <tableColumn id="26" xr3:uid="{0E7E6876-0217-4FF9-B5C5-50D353E8F759}" name="error/lloc"/>
    <tableColumn id="27" xr3:uid="{0E70EE00-E0A2-4D3B-AC09-47C389153D21}" name="verbosity_critical"/>
    <tableColumn id="28" xr3:uid="{9EF25F76-B2AB-4AA3-90DB-020388BABF4A}" name="critical/loggers"/>
    <tableColumn id="29" xr3:uid="{8D81193B-A579-4315-B07D-022475614DD7}" name="critical/lloc"/>
    <tableColumn id="30" xr3:uid="{E618882A-0B36-4B2F-B679-1A24EB7BB249}" name="verbosity_exception"/>
    <tableColumn id="31" xr3:uid="{AEC28C8E-054D-4CB9-AF49-98E4CAA12C14}" name="exception/loggers"/>
    <tableColumn id="32" xr3:uid="{7E051D95-7E68-4777-8A03-D527C04847F6}" name="exception/lloc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github.com/aio-libs/aiocache" TargetMode="External"/><Relationship Id="rId170" Type="http://schemas.openxmlformats.org/officeDocument/2006/relationships/hyperlink" Target="https://github.com/citusdata/django-multitenant" TargetMode="External"/><Relationship Id="rId268" Type="http://schemas.openxmlformats.org/officeDocument/2006/relationships/hyperlink" Target="https://github.com/dwisiswant0/apkleaks" TargetMode="External"/><Relationship Id="rId475" Type="http://schemas.openxmlformats.org/officeDocument/2006/relationships/hyperlink" Target="https://github.com/IntelAI/nauta" TargetMode="External"/><Relationship Id="rId682" Type="http://schemas.openxmlformats.org/officeDocument/2006/relationships/hyperlink" Target="https://github.com/mobvoi/wenet" TargetMode="External"/><Relationship Id="rId128" Type="http://schemas.openxmlformats.org/officeDocument/2006/relationships/hyperlink" Target="https://github.com/byt3bl33d3r/DeathStar" TargetMode="External"/><Relationship Id="rId335" Type="http://schemas.openxmlformats.org/officeDocument/2006/relationships/hyperlink" Target="https://github.com/firmianay/IoT-vulhub" TargetMode="External"/><Relationship Id="rId542" Type="http://schemas.openxmlformats.org/officeDocument/2006/relationships/hyperlink" Target="https://github.com/KDD-OpenSource/DeepADoTS" TargetMode="External"/><Relationship Id="rId987" Type="http://schemas.openxmlformats.org/officeDocument/2006/relationships/hyperlink" Target="https://github.com/skoczen/will" TargetMode="External"/><Relationship Id="rId1172" Type="http://schemas.openxmlformats.org/officeDocument/2006/relationships/hyperlink" Target="https://github.com/zhaoweicai/Detectron-Cascade-RCNN" TargetMode="External"/><Relationship Id="rId402" Type="http://schemas.openxmlformats.org/officeDocument/2006/relationships/hyperlink" Target="https://github.com/googleapis/google-auth-library-python" TargetMode="External"/><Relationship Id="rId847" Type="http://schemas.openxmlformats.org/officeDocument/2006/relationships/hyperlink" Target="https://github.com/pulp/pulp" TargetMode="External"/><Relationship Id="rId1032" Type="http://schemas.openxmlformats.org/officeDocument/2006/relationships/hyperlink" Target="https://github.com/tensorflow/data-validation" TargetMode="External"/><Relationship Id="rId707" Type="http://schemas.openxmlformats.org/officeDocument/2006/relationships/hyperlink" Target="https://github.com/mwarkentin/django-watchman" TargetMode="External"/><Relationship Id="rId914" Type="http://schemas.openxmlformats.org/officeDocument/2006/relationships/hyperlink" Target="https://github.com/rigetti/pyquil" TargetMode="External"/><Relationship Id="rId43" Type="http://schemas.openxmlformats.org/officeDocument/2006/relationships/hyperlink" Target="https://github.com/altdesktop/i3ipc-python" TargetMode="External"/><Relationship Id="rId192" Type="http://schemas.openxmlformats.org/officeDocument/2006/relationships/hyperlink" Target="https://github.com/cookiecutter-flask/cookiecutter-flask" TargetMode="External"/><Relationship Id="rId497" Type="http://schemas.openxmlformats.org/officeDocument/2006/relationships/hyperlink" Target="https://github.com/jasonrbriggs/stomp.py" TargetMode="External"/><Relationship Id="rId357" Type="http://schemas.openxmlformats.org/officeDocument/2006/relationships/hyperlink" Target="https://github.com/FSecureLABS/awspx" TargetMode="External"/><Relationship Id="rId217" Type="http://schemas.openxmlformats.org/officeDocument/2006/relationships/hyperlink" Target="https://github.com/datmo/datmo" TargetMode="External"/><Relationship Id="rId564" Type="http://schemas.openxmlformats.org/officeDocument/2006/relationships/hyperlink" Target="https://github.com/kornia/kornia" TargetMode="External"/><Relationship Id="rId771" Type="http://schemas.openxmlformats.org/officeDocument/2006/relationships/hyperlink" Target="https://github.com/open-telemetry/opentelemetry-python" TargetMode="External"/><Relationship Id="rId869" Type="http://schemas.openxmlformats.org/officeDocument/2006/relationships/hyperlink" Target="https://github.com/python-social-auth/social-core" TargetMode="External"/><Relationship Id="rId424" Type="http://schemas.openxmlformats.org/officeDocument/2006/relationships/hyperlink" Target="https://github.com/guessit-io/guessit" TargetMode="External"/><Relationship Id="rId631" Type="http://schemas.openxmlformats.org/officeDocument/2006/relationships/hyperlink" Target="https://github.com/maxbbraun/trump2cash" TargetMode="External"/><Relationship Id="rId729" Type="http://schemas.openxmlformats.org/officeDocument/2006/relationships/hyperlink" Target="https://github.com/Netflix/lemur" TargetMode="External"/><Relationship Id="rId1054" Type="http://schemas.openxmlformats.org/officeDocument/2006/relationships/hyperlink" Target="https://github.com/thushv89/attention_keras" TargetMode="External"/><Relationship Id="rId936" Type="http://schemas.openxmlformats.org/officeDocument/2006/relationships/hyperlink" Target="https://github.com/sagemath/sage" TargetMode="External"/><Relationship Id="rId1121" Type="http://schemas.openxmlformats.org/officeDocument/2006/relationships/hyperlink" Target="https://github.com/weaveworks/kubediff" TargetMode="External"/><Relationship Id="rId65" Type="http://schemas.openxmlformats.org/officeDocument/2006/relationships/hyperlink" Target="https://github.com/appu1232/Discord-Selfbot" TargetMode="External"/><Relationship Id="rId281" Type="http://schemas.openxmlformats.org/officeDocument/2006/relationships/hyperlink" Target="https://github.com/eliasgranderubio/dagda" TargetMode="External"/><Relationship Id="rId141" Type="http://schemas.openxmlformats.org/officeDocument/2006/relationships/hyperlink" Target="https://github.com/cea-sec/miasm" TargetMode="External"/><Relationship Id="rId379" Type="http://schemas.openxmlformats.org/officeDocument/2006/relationships/hyperlink" Target="https://github.com/gitpython-developers/GitPython" TargetMode="External"/><Relationship Id="rId586" Type="http://schemas.openxmlformats.org/officeDocument/2006/relationships/hyperlink" Target="http://liberapay.com/" TargetMode="External"/><Relationship Id="rId793" Type="http://schemas.openxmlformats.org/officeDocument/2006/relationships/hyperlink" Target="https://github.com/ottogroup/palladium" TargetMode="External"/><Relationship Id="rId7" Type="http://schemas.openxmlformats.org/officeDocument/2006/relationships/hyperlink" Target="https://github.com/aancw/Belati" TargetMode="External"/><Relationship Id="rId239" Type="http://schemas.openxmlformats.org/officeDocument/2006/relationships/hyperlink" Target="https://github.com/django-oscar/django-oscar" TargetMode="External"/><Relationship Id="rId446" Type="http://schemas.openxmlformats.org/officeDocument/2006/relationships/hyperlink" Target="https://github.com/home-assistant/core" TargetMode="External"/><Relationship Id="rId653" Type="http://schemas.openxmlformats.org/officeDocument/2006/relationships/hyperlink" Target="https://github.com/microsoft/nni" TargetMode="External"/><Relationship Id="rId1076" Type="http://schemas.openxmlformats.org/officeDocument/2006/relationships/hyperlink" Target="https://github.com/tribe29/checkmk" TargetMode="External"/><Relationship Id="rId306" Type="http://schemas.openxmlformats.org/officeDocument/2006/relationships/hyperlink" Target="https://github.com/Exodus-Privacy/exodus" TargetMode="External"/><Relationship Id="rId860" Type="http://schemas.openxmlformats.org/officeDocument/2006/relationships/hyperlink" Target="https://github.com/pymssql/pymssql" TargetMode="External"/><Relationship Id="rId958" Type="http://schemas.openxmlformats.org/officeDocument/2006/relationships/hyperlink" Target="https://github.com/scrapinghub/scrapyrt" TargetMode="External"/><Relationship Id="rId1143" Type="http://schemas.openxmlformats.org/officeDocument/2006/relationships/hyperlink" Target="https://github.com/Xonshiz/comic-dl" TargetMode="External"/><Relationship Id="rId87" Type="http://schemas.openxmlformats.org/officeDocument/2006/relationships/hyperlink" Target="https://github.com/awslabs/gluon-ts" TargetMode="External"/><Relationship Id="rId513" Type="http://schemas.openxmlformats.org/officeDocument/2006/relationships/hyperlink" Target="https://github.com/joe-siyuan-qiao/DetectoRS" TargetMode="External"/><Relationship Id="rId720" Type="http://schemas.openxmlformats.org/officeDocument/2006/relationships/hyperlink" Target="https://github.com/Nekmo/amazon-dash" TargetMode="External"/><Relationship Id="rId818" Type="http://schemas.openxmlformats.org/officeDocument/2006/relationships/hyperlink" Target="https://github.com/pinry/pinry" TargetMode="External"/><Relationship Id="rId1003" Type="http://schemas.openxmlformats.org/officeDocument/2006/relationships/hyperlink" Target="https://github.com/spulec/moto" TargetMode="External"/><Relationship Id="rId14" Type="http://schemas.openxmlformats.org/officeDocument/2006/relationships/hyperlink" Target="https://github.com/Adapter-Hub/adapter-transformers" TargetMode="External"/><Relationship Id="rId163" Type="http://schemas.openxmlformats.org/officeDocument/2006/relationships/hyperlink" Target="https://github.com/chubin/cheat.sh" TargetMode="External"/><Relationship Id="rId370" Type="http://schemas.openxmlformats.org/officeDocument/2006/relationships/hyperlink" Target="https://github.com/getsentry/freight" TargetMode="External"/><Relationship Id="rId230" Type="http://schemas.openxmlformats.org/officeDocument/2006/relationships/hyperlink" Target="https://github.com/Delta-ML/delta" TargetMode="External"/><Relationship Id="rId468" Type="http://schemas.openxmlformats.org/officeDocument/2006/relationships/hyperlink" Target="https://github.com/idank/explainshell" TargetMode="External"/><Relationship Id="rId675" Type="http://schemas.openxmlformats.org/officeDocument/2006/relationships/hyperlink" Target="https://github.com/mlbvn/d2l-vn" TargetMode="External"/><Relationship Id="rId882" Type="http://schemas.openxmlformats.org/officeDocument/2006/relationships/hyperlink" Target="https://github.com/quantopian/zipline" TargetMode="External"/><Relationship Id="rId1098" Type="http://schemas.openxmlformats.org/officeDocument/2006/relationships/hyperlink" Target="https://github.com/ultralytics/yolov3" TargetMode="External"/><Relationship Id="rId328" Type="http://schemas.openxmlformats.org/officeDocument/2006/relationships/hyperlink" Target="https://github.com/FDA/openfda" TargetMode="External"/><Relationship Id="rId535" Type="http://schemas.openxmlformats.org/officeDocument/2006/relationships/hyperlink" Target="https://github.com/kakao/buffalo" TargetMode="External"/><Relationship Id="rId742" Type="http://schemas.openxmlformats.org/officeDocument/2006/relationships/hyperlink" Target="https://github.com/nimia/public_drown_scanner" TargetMode="External"/><Relationship Id="rId1165" Type="http://schemas.openxmlformats.org/officeDocument/2006/relationships/hyperlink" Target="https://github.com/zalando/spilo" TargetMode="External"/><Relationship Id="rId602" Type="http://schemas.openxmlformats.org/officeDocument/2006/relationships/hyperlink" Target="https://github.com/Lonero-Team/Decentralized-Internet" TargetMode="External"/><Relationship Id="rId1025" Type="http://schemas.openxmlformats.org/officeDocument/2006/relationships/hyperlink" Target="https://github.com/TarrySingh/Artificial-Intelligence-Deep-Learning-Machine-Learning-Tutorials" TargetMode="External"/><Relationship Id="rId907" Type="http://schemas.openxmlformats.org/officeDocument/2006/relationships/hyperlink" Target="https://github.com/ReFirmLabs/binwalk" TargetMode="External"/><Relationship Id="rId36" Type="http://schemas.openxmlformats.org/officeDocument/2006/relationships/hyperlink" Target="https://github.com/alisen39/TrWebOCR" TargetMode="External"/><Relationship Id="rId185" Type="http://schemas.openxmlformats.org/officeDocument/2006/relationships/hyperlink" Target="https://github.com/CoinAlpha/hummingbot" TargetMode="External"/><Relationship Id="rId392" Type="http://schemas.openxmlformats.org/officeDocument/2006/relationships/hyperlink" Target="https://github.com/google/deepvariant" TargetMode="External"/><Relationship Id="rId697" Type="http://schemas.openxmlformats.org/officeDocument/2006/relationships/hyperlink" Target="https://github.com/mozilla/OpenWPM" TargetMode="External"/><Relationship Id="rId252" Type="http://schemas.openxmlformats.org/officeDocument/2006/relationships/hyperlink" Target="https://github.com/dongweiming/web_develop" TargetMode="External"/><Relationship Id="rId112" Type="http://schemas.openxmlformats.org/officeDocument/2006/relationships/hyperlink" Target="https://github.com/bokeh/bokeh" TargetMode="External"/><Relationship Id="rId557" Type="http://schemas.openxmlformats.org/officeDocument/2006/relationships/hyperlink" Target="https://github.com/kivy/python-for-android" TargetMode="External"/><Relationship Id="rId764" Type="http://schemas.openxmlformats.org/officeDocument/2006/relationships/hyperlink" Target="https://github.com/open-mmlab/mmcv" TargetMode="External"/><Relationship Id="rId971" Type="http://schemas.openxmlformats.org/officeDocument/2006/relationships/hyperlink" Target="https://github.com/ShangtongZhang/DeepRL" TargetMode="External"/><Relationship Id="rId417" Type="http://schemas.openxmlformats.org/officeDocument/2006/relationships/hyperlink" Target="http://gratipay.com/" TargetMode="External"/><Relationship Id="rId624" Type="http://schemas.openxmlformats.org/officeDocument/2006/relationships/hyperlink" Target="https://github.com/mariusmotea/diyHue" TargetMode="External"/><Relationship Id="rId831" Type="http://schemas.openxmlformats.org/officeDocument/2006/relationships/hyperlink" Target="https://github.com/postgres/pgadmin4" TargetMode="External"/><Relationship Id="rId1047" Type="http://schemas.openxmlformats.org/officeDocument/2006/relationships/hyperlink" Target="https://github.com/theotherp/nzbhydra" TargetMode="External"/><Relationship Id="rId929" Type="http://schemas.openxmlformats.org/officeDocument/2006/relationships/hyperlink" Target="https://github.com/ruddra/docker-django" TargetMode="External"/><Relationship Id="rId1114" Type="http://schemas.openxmlformats.org/officeDocument/2006/relationships/hyperlink" Target="https://github.com/voc/voctomix" TargetMode="External"/><Relationship Id="rId58" Type="http://schemas.openxmlformats.org/officeDocument/2006/relationships/hyperlink" Target="https://github.com/anyant/rssant" TargetMode="External"/><Relationship Id="rId274" Type="http://schemas.openxmlformats.org/officeDocument/2006/relationships/hyperlink" Target="https://github.com/ehendrix23/tesla_dashcam" TargetMode="External"/><Relationship Id="rId481" Type="http://schemas.openxmlformats.org/officeDocument/2006/relationships/hyperlink" Target="https://github.com/italomaia/flask-empty" TargetMode="External"/><Relationship Id="rId134" Type="http://schemas.openxmlformats.org/officeDocument/2006/relationships/hyperlink" Target="https://github.com/CanopyTax/asyncpgsa" TargetMode="External"/><Relationship Id="rId579" Type="http://schemas.openxmlformats.org/officeDocument/2006/relationships/hyperlink" Target="https://github.com/langgithub/CloudControl" TargetMode="External"/><Relationship Id="rId786" Type="http://schemas.openxmlformats.org/officeDocument/2006/relationships/hyperlink" Target="https://github.com/OpnTec/open-event-server" TargetMode="External"/><Relationship Id="rId993" Type="http://schemas.openxmlformats.org/officeDocument/2006/relationships/hyperlink" Target="https://github.com/spaam/svtplay-dl" TargetMode="External"/><Relationship Id="rId341" Type="http://schemas.openxmlformats.org/officeDocument/2006/relationships/hyperlink" Target="https://github.com/flipkart-incubator/watchdog" TargetMode="External"/><Relationship Id="rId439" Type="http://schemas.openxmlformats.org/officeDocument/2006/relationships/hyperlink" Target="https://github.com/HazyResearch/fonduer" TargetMode="External"/><Relationship Id="rId646" Type="http://schemas.openxmlformats.org/officeDocument/2006/relationships/hyperlink" Target="https://github.com/micahhausler/container-transform" TargetMode="External"/><Relationship Id="rId1069" Type="http://schemas.openxmlformats.org/officeDocument/2006/relationships/hyperlink" Target="https://github.com/torque59/Nosql-Exploitation-Framework" TargetMode="External"/><Relationship Id="rId201" Type="http://schemas.openxmlformats.org/officeDocument/2006/relationships/hyperlink" Target="https://github.com/ctf-wiki/ctf-wiki" TargetMode="External"/><Relationship Id="rId285" Type="http://schemas.openxmlformats.org/officeDocument/2006/relationships/hyperlink" Target="https://github.com/Emptyset110/dHydra" TargetMode="External"/><Relationship Id="rId506" Type="http://schemas.openxmlformats.org/officeDocument/2006/relationships/hyperlink" Target="https://github.com/jhpyle/docassemble" TargetMode="External"/><Relationship Id="rId853" Type="http://schemas.openxmlformats.org/officeDocument/2006/relationships/hyperlink" Target="https://github.com/PyCQA/pylint" TargetMode="External"/><Relationship Id="rId1136" Type="http://schemas.openxmlformats.org/officeDocument/2006/relationships/hyperlink" Target="https://github.com/WXinlong/SOLO" TargetMode="External"/><Relationship Id="rId492" Type="http://schemas.openxmlformats.org/officeDocument/2006/relationships/hyperlink" Target="https://github.com/jamesoff/simplemonitor" TargetMode="External"/><Relationship Id="rId713" Type="http://schemas.openxmlformats.org/officeDocument/2006/relationships/hyperlink" Target="https://github.com/Nandaka/PixivUtil2" TargetMode="External"/><Relationship Id="rId797" Type="http://schemas.openxmlformats.org/officeDocument/2006/relationships/hyperlink" Target="https://github.com/owtf/owtf" TargetMode="External"/><Relationship Id="rId920" Type="http://schemas.openxmlformats.org/officeDocument/2006/relationships/hyperlink" Target="https://github.com/rochacbruno/dynaconf" TargetMode="External"/><Relationship Id="rId145" Type="http://schemas.openxmlformats.org/officeDocument/2006/relationships/hyperlink" Target="http://osf.io/" TargetMode="External"/><Relationship Id="rId352" Type="http://schemas.openxmlformats.org/officeDocument/2006/relationships/hyperlink" Target="https://github.com/freedomofpress/securedrop" TargetMode="External"/><Relationship Id="rId212" Type="http://schemas.openxmlformats.org/officeDocument/2006/relationships/hyperlink" Target="https://github.com/DataBiosphere/toil" TargetMode="External"/><Relationship Id="rId657" Type="http://schemas.openxmlformats.org/officeDocument/2006/relationships/hyperlink" Target="https://github.com/microsoft/TextWorld" TargetMode="External"/><Relationship Id="rId864" Type="http://schemas.openxmlformats.org/officeDocument/2006/relationships/hyperlink" Target="https://github.com/pyro-ppl/pyro" TargetMode="External"/><Relationship Id="rId296" Type="http://schemas.openxmlformats.org/officeDocument/2006/relationships/hyperlink" Target="http://web3.py/" TargetMode="External"/><Relationship Id="rId517" Type="http://schemas.openxmlformats.org/officeDocument/2006/relationships/hyperlink" Target="https://github.com/jorisroovers/gitlint" TargetMode="External"/><Relationship Id="rId724" Type="http://schemas.openxmlformats.org/officeDocument/2006/relationships/hyperlink" Target="https://github.com/NetEaseGame/git-webhook" TargetMode="External"/><Relationship Id="rId931" Type="http://schemas.openxmlformats.org/officeDocument/2006/relationships/hyperlink" Target="https://github.com/rusty1s/pytorch_geometric" TargetMode="External"/><Relationship Id="rId1147" Type="http://schemas.openxmlformats.org/officeDocument/2006/relationships/hyperlink" Target="https://github.com/yandex/pgmigrate" TargetMode="External"/><Relationship Id="rId60" Type="http://schemas.openxmlformats.org/officeDocument/2006/relationships/hyperlink" Target="https://github.com/apache/airflow" TargetMode="External"/><Relationship Id="rId156" Type="http://schemas.openxmlformats.org/officeDocument/2006/relationships/hyperlink" Target="https://github.com/chdsbd/kodiak" TargetMode="External"/><Relationship Id="rId363" Type="http://schemas.openxmlformats.org/officeDocument/2006/relationships/hyperlink" Target="https://github.com/gamechanger/dusty" TargetMode="External"/><Relationship Id="rId570" Type="http://schemas.openxmlformats.org/officeDocument/2006/relationships/hyperlink" Target="https://github.com/kubeflow-kale/kale" TargetMode="External"/><Relationship Id="rId1007" Type="http://schemas.openxmlformats.org/officeDocument/2006/relationships/hyperlink" Target="https://github.com/Staffjoy/suite" TargetMode="External"/><Relationship Id="rId223" Type="http://schemas.openxmlformats.org/officeDocument/2006/relationships/hyperlink" Target="https://github.com/dcowden/cadquery" TargetMode="External"/><Relationship Id="rId430" Type="http://schemas.openxmlformats.org/officeDocument/2006/relationships/hyperlink" Target="https://github.com/haarnoja/softqlearning" TargetMode="External"/><Relationship Id="rId668" Type="http://schemas.openxmlformats.org/officeDocument/2006/relationships/hyperlink" Target="https://github.com/minimaxir/person-blocker" TargetMode="External"/><Relationship Id="rId875" Type="http://schemas.openxmlformats.org/officeDocument/2006/relationships/hyperlink" Target="https://github.com/pytorch/text" TargetMode="External"/><Relationship Id="rId1060" Type="http://schemas.openxmlformats.org/officeDocument/2006/relationships/hyperlink" Target="https://github.com/tmrowco/electricitymap-contrib" TargetMode="External"/><Relationship Id="rId18" Type="http://schemas.openxmlformats.org/officeDocument/2006/relationships/hyperlink" Target="https://github.com/ahmetozlu/vehicle_counting_tensorflow" TargetMode="External"/><Relationship Id="rId528" Type="http://schemas.openxmlformats.org/officeDocument/2006/relationships/hyperlink" Target="https://github.com/jupyterhub/dockerspawner" TargetMode="External"/><Relationship Id="rId735" Type="http://schemas.openxmlformats.org/officeDocument/2006/relationships/hyperlink" Target="https://github.com/nexB/scancode-toolkit" TargetMode="External"/><Relationship Id="rId942" Type="http://schemas.openxmlformats.org/officeDocument/2006/relationships/hyperlink" Target="https://github.com/samre12/deep-trading-agent" TargetMode="External"/><Relationship Id="rId1158" Type="http://schemas.openxmlformats.org/officeDocument/2006/relationships/hyperlink" Target="https://github.com/yihui-he/KL-Loss" TargetMode="External"/><Relationship Id="rId167" Type="http://schemas.openxmlformats.org/officeDocument/2006/relationships/hyperlink" Target="https://github.com/cisagov/Malcolm" TargetMode="External"/><Relationship Id="rId374" Type="http://schemas.openxmlformats.org/officeDocument/2006/relationships/hyperlink" Target="https://github.com/GhostManager/Ghostwriter" TargetMode="External"/><Relationship Id="rId581" Type="http://schemas.openxmlformats.org/officeDocument/2006/relationships/hyperlink" Target="https://github.com/lardbit/nefarious" TargetMode="External"/><Relationship Id="rId1018" Type="http://schemas.openxmlformats.org/officeDocument/2006/relationships/hyperlink" Target="https://github.com/sympy/sympy_gamma" TargetMode="External"/><Relationship Id="rId71" Type="http://schemas.openxmlformats.org/officeDocument/2006/relationships/hyperlink" Target="https://github.com/automl/auto-sklearn" TargetMode="External"/><Relationship Id="rId234" Type="http://schemas.openxmlformats.org/officeDocument/2006/relationships/hyperlink" Target="https://github.com/Diaoul/subliminal" TargetMode="External"/><Relationship Id="rId679" Type="http://schemas.openxmlformats.org/officeDocument/2006/relationships/hyperlink" Target="https://github.com/mlsecproject/combine" TargetMode="External"/><Relationship Id="rId802" Type="http://schemas.openxmlformats.org/officeDocument/2006/relationships/hyperlink" Target="https://github.com/pact-foundation/pact-python" TargetMode="External"/><Relationship Id="rId886" Type="http://schemas.openxmlformats.org/officeDocument/2006/relationships/hyperlink" Target="https://github.com/quay/quay" TargetMode="External"/><Relationship Id="rId2" Type="http://schemas.openxmlformats.org/officeDocument/2006/relationships/hyperlink" Target="https://github.com/0vercl0k/stuffz" TargetMode="External"/><Relationship Id="rId29" Type="http://schemas.openxmlformats.org/officeDocument/2006/relationships/hyperlink" Target="https://github.com/alerta/alerta" TargetMode="External"/><Relationship Id="rId441" Type="http://schemas.openxmlformats.org/officeDocument/2006/relationships/hyperlink" Target="https://github.com/HendrikStrobelt/Seq2Seq-Vis" TargetMode="External"/><Relationship Id="rId539" Type="http://schemas.openxmlformats.org/officeDocument/2006/relationships/hyperlink" Target="https://github.com/karec/cookiecutter-flask-restful" TargetMode="External"/><Relationship Id="rId746" Type="http://schemas.openxmlformats.org/officeDocument/2006/relationships/hyperlink" Target="https://github.com/nsidnev/fastapi-realworld-example-app" TargetMode="External"/><Relationship Id="rId1071" Type="http://schemas.openxmlformats.org/officeDocument/2006/relationships/hyperlink" Target="https://github.com/trailofbits/manticore" TargetMode="External"/><Relationship Id="rId1169" Type="http://schemas.openxmlformats.org/officeDocument/2006/relationships/hyperlink" Target="https://github.com/zerosum0x0/koadic" TargetMode="External"/><Relationship Id="rId178" Type="http://schemas.openxmlformats.org/officeDocument/2006/relationships/hyperlink" Target="https://github.com/cloud-custodian/cloud-custodian" TargetMode="External"/><Relationship Id="rId301" Type="http://schemas.openxmlformats.org/officeDocument/2006/relationships/hyperlink" Target="https://github.com/evyatarmeged/Raccoon" TargetMode="External"/><Relationship Id="rId953" Type="http://schemas.openxmlformats.org/officeDocument/2006/relationships/hyperlink" Target="https://github.com/scikit-multiflow/scikit-multiflow" TargetMode="External"/><Relationship Id="rId1029" Type="http://schemas.openxmlformats.org/officeDocument/2006/relationships/hyperlink" Target="https://github.com/taverntesting/tavern" TargetMode="External"/><Relationship Id="rId82" Type="http://schemas.openxmlformats.org/officeDocument/2006/relationships/hyperlink" Target="https://github.com/awslabs/amazon-redshift-utils" TargetMode="External"/><Relationship Id="rId385" Type="http://schemas.openxmlformats.org/officeDocument/2006/relationships/hyperlink" Target="https://github.com/google-research/football" TargetMode="External"/><Relationship Id="rId592" Type="http://schemas.openxmlformats.org/officeDocument/2006/relationships/hyperlink" Target="https://github.com/linkedin/iris" TargetMode="External"/><Relationship Id="rId606" Type="http://schemas.openxmlformats.org/officeDocument/2006/relationships/hyperlink" Target="https://github.com/LTD-Beget/sprutio" TargetMode="External"/><Relationship Id="rId813" Type="http://schemas.openxmlformats.org/officeDocument/2006/relationships/hyperlink" Target="https://github.com/paver/paver" TargetMode="External"/><Relationship Id="rId245" Type="http://schemas.openxmlformats.org/officeDocument/2006/relationships/hyperlink" Target="https://github.com/dmlc/minpy" TargetMode="External"/><Relationship Id="rId452" Type="http://schemas.openxmlformats.org/officeDocument/2006/relationships/hyperlink" Target="https://github.com/huggingface/transfer-learning-conv-ai" TargetMode="External"/><Relationship Id="rId897" Type="http://schemas.openxmlformats.org/officeDocument/2006/relationships/hyperlink" Target="https://github.com/RasaHQ/rasa" TargetMode="External"/><Relationship Id="rId1082" Type="http://schemas.openxmlformats.org/officeDocument/2006/relationships/hyperlink" Target="https://github.com/Tuhinshubhra/ExtAnalysis" TargetMode="External"/><Relationship Id="rId105" Type="http://schemas.openxmlformats.org/officeDocument/2006/relationships/hyperlink" Target="https://github.com/blacklanternsecurity/writehat" TargetMode="External"/><Relationship Id="rId312" Type="http://schemas.openxmlformats.org/officeDocument/2006/relationships/hyperlink" Target="https://github.com/facebookresearch/ClassyVision" TargetMode="External"/><Relationship Id="rId757" Type="http://schemas.openxmlformats.org/officeDocument/2006/relationships/hyperlink" Target="https://github.com/obspy/obspy" TargetMode="External"/><Relationship Id="rId964" Type="http://schemas.openxmlformats.org/officeDocument/2006/relationships/hyperlink" Target="https://github.com/securing/DumpsterDiver" TargetMode="External"/><Relationship Id="rId93" Type="http://schemas.openxmlformats.org/officeDocument/2006/relationships/hyperlink" Target="https://github.com/baabaaox/ScrapyDouban" TargetMode="External"/><Relationship Id="rId189" Type="http://schemas.openxmlformats.org/officeDocument/2006/relationships/hyperlink" Target="https://github.com/ConsenSys/mythril" TargetMode="External"/><Relationship Id="rId396" Type="http://schemas.openxmlformats.org/officeDocument/2006/relationships/hyperlink" Target="https://github.com/google/personfinder" TargetMode="External"/><Relationship Id="rId617" Type="http://schemas.openxmlformats.org/officeDocument/2006/relationships/hyperlink" Target="https://github.com/Mailu/Mailu" TargetMode="External"/><Relationship Id="rId824" Type="http://schemas.openxmlformats.org/officeDocument/2006/relationships/hyperlink" Target="https://github.com/pogodevorg/pgoapi" TargetMode="External"/><Relationship Id="rId256" Type="http://schemas.openxmlformats.org/officeDocument/2006/relationships/hyperlink" Target="https://github.com/douban/dpark" TargetMode="External"/><Relationship Id="rId463" Type="http://schemas.openxmlformats.org/officeDocument/2006/relationships/hyperlink" Target="https://github.com/ianmiell/shutit" TargetMode="External"/><Relationship Id="rId670" Type="http://schemas.openxmlformats.org/officeDocument/2006/relationships/hyperlink" Target="https://github.com/mit-han-lab/data-efficient-gans" TargetMode="External"/><Relationship Id="rId1093" Type="http://schemas.openxmlformats.org/officeDocument/2006/relationships/hyperlink" Target="https://github.com/ubuntu/ubuntu-make" TargetMode="External"/><Relationship Id="rId1107" Type="http://schemas.openxmlformats.org/officeDocument/2006/relationships/hyperlink" Target="https://github.com/utterworks/fast-bert" TargetMode="External"/><Relationship Id="rId116" Type="http://schemas.openxmlformats.org/officeDocument/2006/relationships/hyperlink" Target="https://github.com/briancappello/flask-react-spa" TargetMode="External"/><Relationship Id="rId323" Type="http://schemas.openxmlformats.org/officeDocument/2006/relationships/hyperlink" Target="https://github.com/facebookresearch/torchbeast" TargetMode="External"/><Relationship Id="rId530" Type="http://schemas.openxmlformats.org/officeDocument/2006/relationships/hyperlink" Target="https://github.com/jupyterhub/repo2docker" TargetMode="External"/><Relationship Id="rId768" Type="http://schemas.openxmlformats.org/officeDocument/2006/relationships/hyperlink" Target="https://github.com/open-mmlab/mmfashion" TargetMode="External"/><Relationship Id="rId975" Type="http://schemas.openxmlformats.org/officeDocument/2006/relationships/hyperlink" Target="https://github.com/shirosaidev/stocksight" TargetMode="External"/><Relationship Id="rId1160" Type="http://schemas.openxmlformats.org/officeDocument/2006/relationships/hyperlink" Target="https://github.com/yogeshojha/rengine" TargetMode="External"/><Relationship Id="rId20" Type="http://schemas.openxmlformats.org/officeDocument/2006/relationships/hyperlink" Target="https://github.com/aim-uofa/AdelaiDet" TargetMode="External"/><Relationship Id="rId628" Type="http://schemas.openxmlformats.org/officeDocument/2006/relationships/hyperlink" Target="https://github.com/matrix-org/synapse" TargetMode="External"/><Relationship Id="rId835" Type="http://schemas.openxmlformats.org/officeDocument/2006/relationships/hyperlink" Target="https://github.com/praekeltfoundation/vumi" TargetMode="External"/><Relationship Id="rId267" Type="http://schemas.openxmlformats.org/officeDocument/2006/relationships/hyperlink" Target="https://github.com/duckietown/gym-duckietown" TargetMode="External"/><Relationship Id="rId474" Type="http://schemas.openxmlformats.org/officeDocument/2006/relationships/hyperlink" Target="https://github.com/insanum/sncli" TargetMode="External"/><Relationship Id="rId1020" Type="http://schemas.openxmlformats.org/officeDocument/2006/relationships/hyperlink" Target="https://github.com/tahoe-lafs/tahoe-lafs" TargetMode="External"/><Relationship Id="rId1118" Type="http://schemas.openxmlformats.org/officeDocument/2006/relationships/hyperlink" Target="https://github.com/vwxyzjn/cleanrl" TargetMode="External"/><Relationship Id="rId127" Type="http://schemas.openxmlformats.org/officeDocument/2006/relationships/hyperlink" Target="https://github.com/byt3bl33d3r/CrackMapExec" TargetMode="External"/><Relationship Id="rId681" Type="http://schemas.openxmlformats.org/officeDocument/2006/relationships/hyperlink" Target="https://github.com/MobSF/Mobile-Security-Framework-MobSF" TargetMode="External"/><Relationship Id="rId779" Type="http://schemas.openxmlformats.org/officeDocument/2006/relationships/hyperlink" Target="https://github.com/OpenGeoscience/geonotebook" TargetMode="External"/><Relationship Id="rId902" Type="http://schemas.openxmlformats.org/officeDocument/2006/relationships/hyperlink" Target="http://readthedocs.org/" TargetMode="External"/><Relationship Id="rId986" Type="http://schemas.openxmlformats.org/officeDocument/2006/relationships/hyperlink" Target="https://github.com/Sitoi/dailycheckin" TargetMode="External"/><Relationship Id="rId31" Type="http://schemas.openxmlformats.org/officeDocument/2006/relationships/hyperlink" Target="https://github.com/alexmojaki/futurecoder" TargetMode="External"/><Relationship Id="rId334" Type="http://schemas.openxmlformats.org/officeDocument/2006/relationships/hyperlink" Target="https://github.com/fireeye/speakeasy" TargetMode="External"/><Relationship Id="rId541" Type="http://schemas.openxmlformats.org/officeDocument/2006/relationships/hyperlink" Target="https://github.com/kbumsik/VirtScreen" TargetMode="External"/><Relationship Id="rId639" Type="http://schemas.openxmlformats.org/officeDocument/2006/relationships/hyperlink" Target="https://github.com/meolu/walle-web" TargetMode="External"/><Relationship Id="rId1171" Type="http://schemas.openxmlformats.org/officeDocument/2006/relationships/hyperlink" Target="https://github.com/zh-plus/video-to-pose3D" TargetMode="External"/><Relationship Id="rId180" Type="http://schemas.openxmlformats.org/officeDocument/2006/relationships/hyperlink" Target="https://github.com/cloudtools/stacker" TargetMode="External"/><Relationship Id="rId278" Type="http://schemas.openxmlformats.org/officeDocument/2006/relationships/hyperlink" Target="https://github.com/elastic/rally" TargetMode="External"/><Relationship Id="rId401" Type="http://schemas.openxmlformats.org/officeDocument/2006/relationships/hyperlink" Target="https://github.com/google/vulncode-db" TargetMode="External"/><Relationship Id="rId846" Type="http://schemas.openxmlformats.org/officeDocument/2006/relationships/hyperlink" Target="https://github.com/ptpb/pb" TargetMode="External"/><Relationship Id="rId1031" Type="http://schemas.openxmlformats.org/officeDocument/2006/relationships/hyperlink" Target="https://github.com/Tecnativa/docker-socket-proxy" TargetMode="External"/><Relationship Id="rId1129" Type="http://schemas.openxmlformats.org/officeDocument/2006/relationships/hyperlink" Target="https://github.com/Wh0ale/SRC-script" TargetMode="External"/><Relationship Id="rId485" Type="http://schemas.openxmlformats.org/officeDocument/2006/relationships/hyperlink" Target="https://github.com/j-bennet/wharfee" TargetMode="External"/><Relationship Id="rId692" Type="http://schemas.openxmlformats.org/officeDocument/2006/relationships/hyperlink" Target="https://github.com/mozilla/dxr" TargetMode="External"/><Relationship Id="rId706" Type="http://schemas.openxmlformats.org/officeDocument/2006/relationships/hyperlink" Target="https://github.com/mvantellingen/localshop" TargetMode="External"/><Relationship Id="rId913" Type="http://schemas.openxmlformats.org/officeDocument/2006/relationships/hyperlink" Target="https://github.com/richardaecn/class-balanced-loss" TargetMode="External"/><Relationship Id="rId42" Type="http://schemas.openxmlformats.org/officeDocument/2006/relationships/hyperlink" Target="https://github.com/alpacahq/pylivetrader" TargetMode="External"/><Relationship Id="rId138" Type="http://schemas.openxmlformats.org/officeDocument/2006/relationships/hyperlink" Target="https://github.com/ccrisan/motioneye" TargetMode="External"/><Relationship Id="rId345" Type="http://schemas.openxmlformats.org/officeDocument/2006/relationships/hyperlink" Target="https://github.com/foolcage/fooltrader" TargetMode="External"/><Relationship Id="rId552" Type="http://schemas.openxmlformats.org/officeDocument/2006/relationships/hyperlink" Target="https://github.com/kfei/slack-cleaner" TargetMode="External"/><Relationship Id="rId997" Type="http://schemas.openxmlformats.org/officeDocument/2006/relationships/hyperlink" Target="https://github.com/SpiderClub/weibospider" TargetMode="External"/><Relationship Id="rId191" Type="http://schemas.openxmlformats.org/officeDocument/2006/relationships/hyperlink" Target="https://github.com/ConvLab/ConvLab" TargetMode="External"/><Relationship Id="rId205" Type="http://schemas.openxmlformats.org/officeDocument/2006/relationships/hyperlink" Target="https://github.com/D0g3-Lab/H1ve" TargetMode="External"/><Relationship Id="rId412" Type="http://schemas.openxmlformats.org/officeDocument/2006/relationships/hyperlink" Target="https://github.com/gouthambs/Flask-Blogging" TargetMode="External"/><Relationship Id="rId857" Type="http://schemas.openxmlformats.org/officeDocument/2006/relationships/hyperlink" Target="https://github.com/pyload/pyload" TargetMode="External"/><Relationship Id="rId1042" Type="http://schemas.openxmlformats.org/officeDocument/2006/relationships/hyperlink" Target="https://github.com/testerSunshine/12306" TargetMode="External"/><Relationship Id="rId289" Type="http://schemas.openxmlformats.org/officeDocument/2006/relationships/hyperlink" Target="https://github.com/EricJMarti/inventory-hunter" TargetMode="External"/><Relationship Id="rId496" Type="http://schemas.openxmlformats.org/officeDocument/2006/relationships/hyperlink" Target="http://stomp.py/" TargetMode="External"/><Relationship Id="rId717" Type="http://schemas.openxmlformats.org/officeDocument/2006/relationships/hyperlink" Target="https://github.com/natlas/natlas" TargetMode="External"/><Relationship Id="rId924" Type="http://schemas.openxmlformats.org/officeDocument/2006/relationships/hyperlink" Target="https://github.com/ropnop/impacket_static_binaries" TargetMode="External"/><Relationship Id="rId53" Type="http://schemas.openxmlformats.org/officeDocument/2006/relationships/hyperlink" Target="https://github.com/ansible/ansible-container" TargetMode="External"/><Relationship Id="rId149" Type="http://schemas.openxmlformats.org/officeDocument/2006/relationships/hyperlink" Target="https://github.com/cesium-ml/cesium" TargetMode="External"/><Relationship Id="rId356" Type="http://schemas.openxmlformats.org/officeDocument/2006/relationships/hyperlink" Target="https://github.com/frol/flask-restplus-server-example" TargetMode="External"/><Relationship Id="rId563" Type="http://schemas.openxmlformats.org/officeDocument/2006/relationships/hyperlink" Target="https://github.com/Komodo/KomodoEdit" TargetMode="External"/><Relationship Id="rId770" Type="http://schemas.openxmlformats.org/officeDocument/2006/relationships/hyperlink" Target="https://github.com/open-mmlab/mmsegmentation" TargetMode="External"/><Relationship Id="rId216" Type="http://schemas.openxmlformats.org/officeDocument/2006/relationships/hyperlink" Target="https://github.com/datawire/forge" TargetMode="External"/><Relationship Id="rId423" Type="http://schemas.openxmlformats.org/officeDocument/2006/relationships/hyperlink" Target="https://github.com/guardicore/monkey" TargetMode="External"/><Relationship Id="rId868" Type="http://schemas.openxmlformats.org/officeDocument/2006/relationships/hyperlink" Target="https://github.com/python-social-auth/social-app-django" TargetMode="External"/><Relationship Id="rId1053" Type="http://schemas.openxmlformats.org/officeDocument/2006/relationships/hyperlink" Target="https://github.com/THUDM/cogdl" TargetMode="External"/><Relationship Id="rId630" Type="http://schemas.openxmlformats.org/officeDocument/2006/relationships/hyperlink" Target="https://github.com/maurosoria/dirsearch" TargetMode="External"/><Relationship Id="rId728" Type="http://schemas.openxmlformats.org/officeDocument/2006/relationships/hyperlink" Target="https://github.com/Netflix/dispatch" TargetMode="External"/><Relationship Id="rId935" Type="http://schemas.openxmlformats.org/officeDocument/2006/relationships/hyperlink" Target="https://github.com/sabri-zaki/EasY_HaCk" TargetMode="External"/><Relationship Id="rId64" Type="http://schemas.openxmlformats.org/officeDocument/2006/relationships/hyperlink" Target="https://github.com/apple/coremltools" TargetMode="External"/><Relationship Id="rId367" Type="http://schemas.openxmlformats.org/officeDocument/2006/relationships/hyperlink" Target="https://github.com/gboeing/osmnx" TargetMode="External"/><Relationship Id="rId574" Type="http://schemas.openxmlformats.org/officeDocument/2006/relationships/hyperlink" Target="https://github.com/kymatio/kymatio" TargetMode="External"/><Relationship Id="rId1120" Type="http://schemas.openxmlformats.org/officeDocument/2006/relationships/hyperlink" Target="https://github.com/wagtail/wagtail" TargetMode="External"/><Relationship Id="rId227" Type="http://schemas.openxmlformats.org/officeDocument/2006/relationships/hyperlink" Target="https://github.com/deepset-ai/FARM" TargetMode="External"/><Relationship Id="rId781" Type="http://schemas.openxmlformats.org/officeDocument/2006/relationships/hyperlink" Target="https://github.com/OpenMined/PyGrid" TargetMode="External"/><Relationship Id="rId879" Type="http://schemas.openxmlformats.org/officeDocument/2006/relationships/hyperlink" Target="https://github.com/qilingframework/qiling" TargetMode="External"/><Relationship Id="rId434" Type="http://schemas.openxmlformats.org/officeDocument/2006/relationships/hyperlink" Target="https://github.com/hamcrest/PyHamcrest" TargetMode="External"/><Relationship Id="rId641" Type="http://schemas.openxmlformats.org/officeDocument/2006/relationships/hyperlink" Target="https://github.com/mesosphere/marathon-lb" TargetMode="External"/><Relationship Id="rId739" Type="http://schemas.openxmlformats.org/officeDocument/2006/relationships/hyperlink" Target="https://github.com/nicolargo/glances" TargetMode="External"/><Relationship Id="rId1064" Type="http://schemas.openxmlformats.org/officeDocument/2006/relationships/hyperlink" Target="https://github.com/tomerfiliba-org/rpyc" TargetMode="External"/><Relationship Id="rId280" Type="http://schemas.openxmlformats.org/officeDocument/2006/relationships/hyperlink" Target="https://github.com/EleutherAI/gpt-neox" TargetMode="External"/><Relationship Id="rId501" Type="http://schemas.openxmlformats.org/officeDocument/2006/relationships/hyperlink" Target="http://ghost.py/" TargetMode="External"/><Relationship Id="rId946" Type="http://schemas.openxmlformats.org/officeDocument/2006/relationships/hyperlink" Target="https://github.com/saulpw/visidata" TargetMode="External"/><Relationship Id="rId1131" Type="http://schemas.openxmlformats.org/officeDocument/2006/relationships/hyperlink" Target="https://github.com/whipper-team/whipper" TargetMode="External"/><Relationship Id="rId75" Type="http://schemas.openxmlformats.org/officeDocument/2006/relationships/hyperlink" Target="https://github.com/aws-cloudformation/cfn-python-lint" TargetMode="External"/><Relationship Id="rId140" Type="http://schemas.openxmlformats.org/officeDocument/2006/relationships/hyperlink" Target="https://github.com/cea-sec/ivre" TargetMode="External"/><Relationship Id="rId378" Type="http://schemas.openxmlformats.org/officeDocument/2006/relationships/hyperlink" Target="https://github.com/githublitao/api_automation_test" TargetMode="External"/><Relationship Id="rId585" Type="http://schemas.openxmlformats.org/officeDocument/2006/relationships/hyperlink" Target="https://github.com/liangliangyy/DjangoBlog" TargetMode="External"/><Relationship Id="rId792" Type="http://schemas.openxmlformats.org/officeDocument/2006/relationships/hyperlink" Target="https://github.com/OTRF/OSSEM" TargetMode="External"/><Relationship Id="rId806" Type="http://schemas.openxmlformats.org/officeDocument/2006/relationships/hyperlink" Target="https://github.com/PaddlePaddle/PARL" TargetMode="External"/><Relationship Id="rId6" Type="http://schemas.openxmlformats.org/officeDocument/2006/relationships/hyperlink" Target="https://github.com/5hirish/adam_qas" TargetMode="External"/><Relationship Id="rId238" Type="http://schemas.openxmlformats.org/officeDocument/2006/relationships/hyperlink" Target="https://github.com/django-import-export/django-import-export" TargetMode="External"/><Relationship Id="rId445" Type="http://schemas.openxmlformats.org/officeDocument/2006/relationships/hyperlink" Target="https://github.com/home-assistant-libs/pytradfri" TargetMode="External"/><Relationship Id="rId652" Type="http://schemas.openxmlformats.org/officeDocument/2006/relationships/hyperlink" Target="https://github.com/microsoft/nlp-recipes" TargetMode="External"/><Relationship Id="rId1075" Type="http://schemas.openxmlformats.org/officeDocument/2006/relationships/hyperlink" Target="https://github.com/TRI-ML/packnet-sfm" TargetMode="External"/><Relationship Id="rId291" Type="http://schemas.openxmlformats.org/officeDocument/2006/relationships/hyperlink" Target="https://github.com/erikbern/ann-benchmarks" TargetMode="External"/><Relationship Id="rId305" Type="http://schemas.openxmlformats.org/officeDocument/2006/relationships/hyperlink" Target="https://github.com/exercism/python" TargetMode="External"/><Relationship Id="rId512" Type="http://schemas.openxmlformats.org/officeDocument/2006/relationships/hyperlink" Target="https://github.com/joaoricardo000/whatsapp-bot-seed" TargetMode="External"/><Relationship Id="rId957" Type="http://schemas.openxmlformats.org/officeDocument/2006/relationships/hyperlink" Target="https://github.com/scrapinghub/portia" TargetMode="External"/><Relationship Id="rId1142" Type="http://schemas.openxmlformats.org/officeDocument/2006/relationships/hyperlink" Target="https://github.com/xmendez/wfuzz" TargetMode="External"/><Relationship Id="rId86" Type="http://schemas.openxmlformats.org/officeDocument/2006/relationships/hyperlink" Target="https://github.com/awslabs/aws-servicebroker" TargetMode="External"/><Relationship Id="rId151" Type="http://schemas.openxmlformats.org/officeDocument/2006/relationships/hyperlink" Target="https://github.com/cgre-aachen/gempy" TargetMode="External"/><Relationship Id="rId389" Type="http://schemas.openxmlformats.org/officeDocument/2006/relationships/hyperlink" Target="https://github.com/google/capirca" TargetMode="External"/><Relationship Id="rId596" Type="http://schemas.openxmlformats.org/officeDocument/2006/relationships/hyperlink" Target="https://github.com/llimllib/limbo" TargetMode="External"/><Relationship Id="rId817" Type="http://schemas.openxmlformats.org/officeDocument/2006/relationships/hyperlink" Target="https://github.com/pimutils/vdirsyncer" TargetMode="External"/><Relationship Id="rId1002" Type="http://schemas.openxmlformats.org/officeDocument/2006/relationships/hyperlink" Target="https://github.com/spotify/snakebite" TargetMode="External"/><Relationship Id="rId249" Type="http://schemas.openxmlformats.org/officeDocument/2006/relationships/hyperlink" Target="https://github.com/docker-archive/docker-registry" TargetMode="External"/><Relationship Id="rId456" Type="http://schemas.openxmlformats.org/officeDocument/2006/relationships/hyperlink" Target="https://github.com/HydraChain/hydrachain" TargetMode="External"/><Relationship Id="rId663" Type="http://schemas.openxmlformats.org/officeDocument/2006/relationships/hyperlink" Target="https://github.com/mil-tokyo/webdnn" TargetMode="External"/><Relationship Id="rId870" Type="http://schemas.openxmlformats.org/officeDocument/2006/relationships/hyperlink" Target="https://github.com/python-streamz/streamz" TargetMode="External"/><Relationship Id="rId1086" Type="http://schemas.openxmlformats.org/officeDocument/2006/relationships/hyperlink" Target="https://github.com/TuSimple/simpledet" TargetMode="External"/><Relationship Id="rId13" Type="http://schemas.openxmlformats.org/officeDocument/2006/relationships/hyperlink" Target="https://github.com/adamrehn/ue4-docker" TargetMode="External"/><Relationship Id="rId109" Type="http://schemas.openxmlformats.org/officeDocument/2006/relationships/hyperlink" Target="https://github.com/BMW-InnovationLab/BMW-TensorFlow-Training-GUI" TargetMode="External"/><Relationship Id="rId316" Type="http://schemas.openxmlformats.org/officeDocument/2006/relationships/hyperlink" Target="https://github.com/facebookresearch/detectron2" TargetMode="External"/><Relationship Id="rId523" Type="http://schemas.openxmlformats.org/officeDocument/2006/relationships/hyperlink" Target="https://github.com/jupyter-incubator/sparkmagic" TargetMode="External"/><Relationship Id="rId968" Type="http://schemas.openxmlformats.org/officeDocument/2006/relationships/hyperlink" Target="https://github.com/sfzhang15/ATSS" TargetMode="External"/><Relationship Id="rId1153" Type="http://schemas.openxmlformats.org/officeDocument/2006/relationships/hyperlink" Target="https://github.com/Yelp/elastalert" TargetMode="External"/><Relationship Id="rId97" Type="http://schemas.openxmlformats.org/officeDocument/2006/relationships/hyperlink" Target="https://github.com/bear/python-twitter" TargetMode="External"/><Relationship Id="rId730" Type="http://schemas.openxmlformats.org/officeDocument/2006/relationships/hyperlink" Target="https://github.com/Netflix/repokid" TargetMode="External"/><Relationship Id="rId828" Type="http://schemas.openxmlformats.org/officeDocument/2006/relationships/hyperlink" Target="https://github.com/polyaxon/polyaxon" TargetMode="External"/><Relationship Id="rId1013" Type="http://schemas.openxmlformats.org/officeDocument/2006/relationships/hyperlink" Target="https://github.com/superdesk/superdesk" TargetMode="External"/><Relationship Id="rId162" Type="http://schemas.openxmlformats.org/officeDocument/2006/relationships/hyperlink" Target="http://cheat.sh/" TargetMode="External"/><Relationship Id="rId467" Type="http://schemas.openxmlformats.org/officeDocument/2006/relationships/hyperlink" Target="https://github.com/icopy-site/awesome-cn" TargetMode="External"/><Relationship Id="rId1097" Type="http://schemas.openxmlformats.org/officeDocument/2006/relationships/hyperlink" Target="https://github.com/Ulauncher/Ulauncher" TargetMode="External"/><Relationship Id="rId674" Type="http://schemas.openxmlformats.org/officeDocument/2006/relationships/hyperlink" Target="https://github.com/MITRECND/chopshop" TargetMode="External"/><Relationship Id="rId881" Type="http://schemas.openxmlformats.org/officeDocument/2006/relationships/hyperlink" Target="https://github.com/QUANTAXIS/QUANTAXIS" TargetMode="External"/><Relationship Id="rId979" Type="http://schemas.openxmlformats.org/officeDocument/2006/relationships/hyperlink" Target="https://github.com/SiCKRAGE/SiCKRAGE" TargetMode="External"/><Relationship Id="rId24" Type="http://schemas.openxmlformats.org/officeDocument/2006/relationships/hyperlink" Target="https://github.com/airnotifier/airnotifier" TargetMode="External"/><Relationship Id="rId327" Type="http://schemas.openxmlformats.org/officeDocument/2006/relationships/hyperlink" Target="https://github.com/fcavallarin/htcap" TargetMode="External"/><Relationship Id="rId534" Type="http://schemas.openxmlformats.org/officeDocument/2006/relationships/hyperlink" Target="https://github.com/Kaggle/docker-python" TargetMode="External"/><Relationship Id="rId741" Type="http://schemas.openxmlformats.org/officeDocument/2006/relationships/hyperlink" Target="https://github.com/nidhaloff/igel" TargetMode="External"/><Relationship Id="rId839" Type="http://schemas.openxmlformats.org/officeDocument/2006/relationships/hyperlink" Target="https://github.com/pretix/pretix" TargetMode="External"/><Relationship Id="rId1164" Type="http://schemas.openxmlformats.org/officeDocument/2006/relationships/hyperlink" Target="https://github.com/zalando/patroni" TargetMode="External"/><Relationship Id="rId173" Type="http://schemas.openxmlformats.org/officeDocument/2006/relationships/hyperlink" Target="https://github.com/Cl0udG0d/SZhe_Scan" TargetMode="External"/><Relationship Id="rId380" Type="http://schemas.openxmlformats.org/officeDocument/2006/relationships/hyperlink" Target="https://github.com/GNS3/gns3-gui" TargetMode="External"/><Relationship Id="rId601" Type="http://schemas.openxmlformats.org/officeDocument/2006/relationships/hyperlink" Target="https://github.com/log2timeline/plaso" TargetMode="External"/><Relationship Id="rId1024" Type="http://schemas.openxmlformats.org/officeDocument/2006/relationships/hyperlink" Target="https://github.com/target/strelka" TargetMode="External"/><Relationship Id="rId240" Type="http://schemas.openxmlformats.org/officeDocument/2006/relationships/hyperlink" Target="https://github.com/django-tenants/django-tenants" TargetMode="External"/><Relationship Id="rId478" Type="http://schemas.openxmlformats.org/officeDocument/2006/relationships/hyperlink" Target="https://github.com/intelowlproject/IntelOwl" TargetMode="External"/><Relationship Id="rId685" Type="http://schemas.openxmlformats.org/officeDocument/2006/relationships/hyperlink" Target="https://github.com/molecularsets/moses" TargetMode="External"/><Relationship Id="rId892" Type="http://schemas.openxmlformats.org/officeDocument/2006/relationships/hyperlink" Target="https://github.com/RackHD/RackHD" TargetMode="External"/><Relationship Id="rId906" Type="http://schemas.openxmlformats.org/officeDocument/2006/relationships/hyperlink" Target="https://github.com/reddit/baseplate.py" TargetMode="External"/><Relationship Id="rId35" Type="http://schemas.openxmlformats.org/officeDocument/2006/relationships/hyperlink" Target="https://github.com/alisaifee/flask-limiter" TargetMode="External"/><Relationship Id="rId100" Type="http://schemas.openxmlformats.org/officeDocument/2006/relationships/hyperlink" Target="https://github.com/bigbaser/TcloudServer" TargetMode="External"/><Relationship Id="rId338" Type="http://schemas.openxmlformats.org/officeDocument/2006/relationships/hyperlink" Target="https://github.com/Flexget/Flexget" TargetMode="External"/><Relationship Id="rId545" Type="http://schemas.openxmlformats.org/officeDocument/2006/relationships/hyperlink" Target="https://github.com/kengz/SLM-Lab" TargetMode="External"/><Relationship Id="rId752" Type="http://schemas.openxmlformats.org/officeDocument/2006/relationships/hyperlink" Target="https://github.com/NVlabs/stylegan2" TargetMode="External"/><Relationship Id="rId1175" Type="http://schemas.openxmlformats.org/officeDocument/2006/relationships/hyperlink" Target="https://github.com/zhreshold/mxnet-ssd" TargetMode="External"/><Relationship Id="rId184" Type="http://schemas.openxmlformats.org/officeDocument/2006/relationships/hyperlink" Target="https://github.com/coddingtonbear/inthe.am" TargetMode="External"/><Relationship Id="rId391" Type="http://schemas.openxmlformats.org/officeDocument/2006/relationships/hyperlink" Target="https://github.com/google/clusterfuzz" TargetMode="External"/><Relationship Id="rId405" Type="http://schemas.openxmlformats.org/officeDocument/2006/relationships/hyperlink" Target="https://github.com/GoogleCloudPlatform/getting-started-python" TargetMode="External"/><Relationship Id="rId612" Type="http://schemas.openxmlformats.org/officeDocument/2006/relationships/hyperlink" Target="https://github.com/madflojo/automatron" TargetMode="External"/><Relationship Id="rId1035" Type="http://schemas.openxmlformats.org/officeDocument/2006/relationships/hyperlink" Target="https://github.com/tensorflow/models" TargetMode="External"/><Relationship Id="rId251" Type="http://schemas.openxmlformats.org/officeDocument/2006/relationships/hyperlink" Target="https://github.com/docker/docker-py" TargetMode="External"/><Relationship Id="rId489" Type="http://schemas.openxmlformats.org/officeDocument/2006/relationships/hyperlink" Target="https://github.com/jaegertracing/jaeger-client-python" TargetMode="External"/><Relationship Id="rId696" Type="http://schemas.openxmlformats.org/officeDocument/2006/relationships/hyperlink" Target="https://github.com/mozilla/MozDef" TargetMode="External"/><Relationship Id="rId917" Type="http://schemas.openxmlformats.org/officeDocument/2006/relationships/hyperlink" Target="https://github.com/rmax/scrapy-redis" TargetMode="External"/><Relationship Id="rId1102" Type="http://schemas.openxmlformats.org/officeDocument/2006/relationships/hyperlink" Target="https://github.com/unknown-horizons/unknown-horizons" TargetMode="External"/><Relationship Id="rId46" Type="http://schemas.openxmlformats.org/officeDocument/2006/relationships/hyperlink" Target="https://github.com/amoffat/sh" TargetMode="External"/><Relationship Id="rId349" Type="http://schemas.openxmlformats.org/officeDocument/2006/relationships/hyperlink" Target="http://bloodhound.py/" TargetMode="External"/><Relationship Id="rId556" Type="http://schemas.openxmlformats.org/officeDocument/2006/relationships/hyperlink" Target="https://github.com/Kismuz/btgym" TargetMode="External"/><Relationship Id="rId763" Type="http://schemas.openxmlformats.org/officeDocument/2006/relationships/hyperlink" Target="https://github.com/open-mmlab/mmaction2" TargetMode="External"/><Relationship Id="rId111" Type="http://schemas.openxmlformats.org/officeDocument/2006/relationships/hyperlink" Target="https://github.com/Boerderij/Varken" TargetMode="External"/><Relationship Id="rId195" Type="http://schemas.openxmlformats.org/officeDocument/2006/relationships/hyperlink" Target="https://github.com/coursera-dl/coursera-dl" TargetMode="External"/><Relationship Id="rId209" Type="http://schemas.openxmlformats.org/officeDocument/2006/relationships/hyperlink" Target="https://github.com/DarkSecDevelopers/HiddenEye-Legacy" TargetMode="External"/><Relationship Id="rId416" Type="http://schemas.openxmlformats.org/officeDocument/2006/relationships/hyperlink" Target="https://github.com/grapl-security/grapl" TargetMode="External"/><Relationship Id="rId970" Type="http://schemas.openxmlformats.org/officeDocument/2006/relationships/hyperlink" Target="https://github.com/shadowmoose/RedditDownloader" TargetMode="External"/><Relationship Id="rId1046" Type="http://schemas.openxmlformats.org/officeDocument/2006/relationships/hyperlink" Target="https://github.com/TheKevJames/coveralls-python" TargetMode="External"/><Relationship Id="rId623" Type="http://schemas.openxmlformats.org/officeDocument/2006/relationships/hyperlink" Target="https://github.com/Mariewelt/OpenChem" TargetMode="External"/><Relationship Id="rId830" Type="http://schemas.openxmlformats.org/officeDocument/2006/relationships/hyperlink" Target="https://github.com/posativ/isso" TargetMode="External"/><Relationship Id="rId928" Type="http://schemas.openxmlformats.org/officeDocument/2006/relationships/hyperlink" Target="https://github.com/rsmusllp/king-phisher" TargetMode="External"/><Relationship Id="rId57" Type="http://schemas.openxmlformats.org/officeDocument/2006/relationships/hyperlink" Target="https://github.com/ansible/galaxy" TargetMode="External"/><Relationship Id="rId262" Type="http://schemas.openxmlformats.org/officeDocument/2006/relationships/hyperlink" Target="https://github.com/droope/droopescan" TargetMode="External"/><Relationship Id="rId567" Type="http://schemas.openxmlformats.org/officeDocument/2006/relationships/hyperlink" Target="https://github.com/Kozea/wdb" TargetMode="External"/><Relationship Id="rId1113" Type="http://schemas.openxmlformats.org/officeDocument/2006/relationships/hyperlink" Target="https://github.com/vmware/photon" TargetMode="External"/><Relationship Id="rId122" Type="http://schemas.openxmlformats.org/officeDocument/2006/relationships/hyperlink" Target="https://github.com/buildbot/buildbot" TargetMode="External"/><Relationship Id="rId774" Type="http://schemas.openxmlformats.org/officeDocument/2006/relationships/hyperlink" Target="https://github.com/openai/kubernetes-ec2-autoscaler" TargetMode="External"/><Relationship Id="rId981" Type="http://schemas.openxmlformats.org/officeDocument/2006/relationships/hyperlink" Target="https://github.com/signalfx/maestro-ng" TargetMode="External"/><Relationship Id="rId1057" Type="http://schemas.openxmlformats.org/officeDocument/2006/relationships/hyperlink" Target="https://github.com/tiangolo/full-stack-fastapi-postgresql" TargetMode="External"/><Relationship Id="rId427" Type="http://schemas.openxmlformats.org/officeDocument/2006/relationships/hyperlink" Target="https://github.com/gyoisamurai/GyoiThon" TargetMode="External"/><Relationship Id="rId634" Type="http://schemas.openxmlformats.org/officeDocument/2006/relationships/hyperlink" Target="https://github.com/megvii-model/YOLOF" TargetMode="External"/><Relationship Id="rId841" Type="http://schemas.openxmlformats.org/officeDocument/2006/relationships/hyperlink" Target="https://github.com/pritunl/pritunl" TargetMode="External"/><Relationship Id="rId273" Type="http://schemas.openxmlformats.org/officeDocument/2006/relationships/hyperlink" Target="https://github.com/EFForg/crocodilehunter" TargetMode="External"/><Relationship Id="rId480" Type="http://schemas.openxmlformats.org/officeDocument/2006/relationships/hyperlink" Target="https://github.com/istresearch/scrapy-cluster" TargetMode="External"/><Relationship Id="rId701" Type="http://schemas.openxmlformats.org/officeDocument/2006/relationships/hyperlink" Target="https://github.com/mtianyan/VueDjangoAntdProBookShop" TargetMode="External"/><Relationship Id="rId939" Type="http://schemas.openxmlformats.org/officeDocument/2006/relationships/hyperlink" Target="https://github.com/salesforce/hassh" TargetMode="External"/><Relationship Id="rId1124" Type="http://schemas.openxmlformats.org/officeDocument/2006/relationships/hyperlink" Target="https://github.com/webrecorder/pywb" TargetMode="External"/><Relationship Id="rId68" Type="http://schemas.openxmlformats.org/officeDocument/2006/relationships/hyperlink" Target="https://github.com/arviz-devs/arviz" TargetMode="External"/><Relationship Id="rId133" Type="http://schemas.openxmlformats.org/officeDocument/2006/relationships/hyperlink" Target="https://github.com/calebstewart/pwncat" TargetMode="External"/><Relationship Id="rId340" Type="http://schemas.openxmlformats.org/officeDocument/2006/relationships/hyperlink" Target="https://github.com/flipkart-incubator/Astra" TargetMode="External"/><Relationship Id="rId578" Type="http://schemas.openxmlformats.org/officeDocument/2006/relationships/hyperlink" Target="https://github.com/lancachenet/steamcache" TargetMode="External"/><Relationship Id="rId785" Type="http://schemas.openxmlformats.org/officeDocument/2006/relationships/hyperlink" Target="https://github.com/openstates/openstates-scrapers" TargetMode="External"/><Relationship Id="rId992" Type="http://schemas.openxmlformats.org/officeDocument/2006/relationships/hyperlink" Target="https://github.com/sony/nnabla" TargetMode="External"/><Relationship Id="rId200" Type="http://schemas.openxmlformats.org/officeDocument/2006/relationships/hyperlink" Target="https://github.com/csxmli2016/DFDNet" TargetMode="External"/><Relationship Id="rId438" Type="http://schemas.openxmlformats.org/officeDocument/2006/relationships/hyperlink" Target="https://github.com/HashPals/Name-That-Hash" TargetMode="External"/><Relationship Id="rId645" Type="http://schemas.openxmlformats.org/officeDocument/2006/relationships/hyperlink" Target="https://github.com/mherrmann/fbs" TargetMode="External"/><Relationship Id="rId852" Type="http://schemas.openxmlformats.org/officeDocument/2006/relationships/hyperlink" Target="https://github.com/PyCQA/prospector" TargetMode="External"/><Relationship Id="rId1068" Type="http://schemas.openxmlformats.org/officeDocument/2006/relationships/hyperlink" Target="https://github.com/tornadoweb/tornado" TargetMode="External"/><Relationship Id="rId284" Type="http://schemas.openxmlformats.org/officeDocument/2006/relationships/hyperlink" Target="https://github.com/elyra-ai/elyra" TargetMode="External"/><Relationship Id="rId491" Type="http://schemas.openxmlformats.org/officeDocument/2006/relationships/hyperlink" Target="https://github.com/jamesob/tinychain" TargetMode="External"/><Relationship Id="rId505" Type="http://schemas.openxmlformats.org/officeDocument/2006/relationships/hyperlink" Target="https://github.com/jhao104/proxy_pool" TargetMode="External"/><Relationship Id="rId712" Type="http://schemas.openxmlformats.org/officeDocument/2006/relationships/hyperlink" Target="https://github.com/namisan/mt-dnn" TargetMode="External"/><Relationship Id="rId1135" Type="http://schemas.openxmlformats.org/officeDocument/2006/relationships/hyperlink" Target="https://github.com/worldveil/dejavu" TargetMode="External"/><Relationship Id="rId79" Type="http://schemas.openxmlformats.org/officeDocument/2006/relationships/hyperlink" Target="https://github.com/aws/aws-parallelcluster" TargetMode="External"/><Relationship Id="rId144" Type="http://schemas.openxmlformats.org/officeDocument/2006/relationships/hyperlink" Target="https://github.com/celery/django-celery-beat" TargetMode="External"/><Relationship Id="rId589" Type="http://schemas.openxmlformats.org/officeDocument/2006/relationships/hyperlink" Target="https://github.com/liiight/notifiers" TargetMode="External"/><Relationship Id="rId796" Type="http://schemas.openxmlformats.org/officeDocument/2006/relationships/hyperlink" Target="https://github.com/OWASP/Nettacker" TargetMode="External"/><Relationship Id="rId351" Type="http://schemas.openxmlformats.org/officeDocument/2006/relationships/hyperlink" Target="https://github.com/foxmask/django-th" TargetMode="External"/><Relationship Id="rId449" Type="http://schemas.openxmlformats.org/officeDocument/2006/relationships/hyperlink" Target="https://github.com/huashengdun/webssh" TargetMode="External"/><Relationship Id="rId656" Type="http://schemas.openxmlformats.org/officeDocument/2006/relationships/hyperlink" Target="https://github.com/microsoft/restler-fuzzer" TargetMode="External"/><Relationship Id="rId863" Type="http://schemas.openxmlformats.org/officeDocument/2006/relationships/hyperlink" Target="https://github.com/pypiserver/pypiserver" TargetMode="External"/><Relationship Id="rId1079" Type="http://schemas.openxmlformats.org/officeDocument/2006/relationships/hyperlink" Target="https://github.com/trustedsec/ptf" TargetMode="External"/><Relationship Id="rId211" Type="http://schemas.openxmlformats.org/officeDocument/2006/relationships/hyperlink" Target="https://github.com/dask/dask" TargetMode="External"/><Relationship Id="rId295" Type="http://schemas.openxmlformats.org/officeDocument/2006/relationships/hyperlink" Target="https://github.com/ethereum/trinity" TargetMode="External"/><Relationship Id="rId309" Type="http://schemas.openxmlformats.org/officeDocument/2006/relationships/hyperlink" Target="https://github.com/f0cker/crackq" TargetMode="External"/><Relationship Id="rId516" Type="http://schemas.openxmlformats.org/officeDocument/2006/relationships/hyperlink" Target="https://github.com/jopohl/urh" TargetMode="External"/><Relationship Id="rId1146" Type="http://schemas.openxmlformats.org/officeDocument/2006/relationships/hyperlink" Target="https://github.com/yandex/gixy" TargetMode="External"/><Relationship Id="rId723" Type="http://schemas.openxmlformats.org/officeDocument/2006/relationships/hyperlink" Target="https://github.com/NervanaSystems/neon" TargetMode="External"/><Relationship Id="rId930" Type="http://schemas.openxmlformats.org/officeDocument/2006/relationships/hyperlink" Target="https://github.com/rushter/MLAlgorithms" TargetMode="External"/><Relationship Id="rId1006" Type="http://schemas.openxmlformats.org/officeDocument/2006/relationships/hyperlink" Target="https://github.com/st4lk/django-rest-social-auth" TargetMode="External"/><Relationship Id="rId155" Type="http://schemas.openxmlformats.org/officeDocument/2006/relationships/hyperlink" Target="https://github.com/Charcoal-SE/SmokeDetector" TargetMode="External"/><Relationship Id="rId362" Type="http://schemas.openxmlformats.org/officeDocument/2006/relationships/hyperlink" Target="https://github.com/Gallopsled/pwntools" TargetMode="External"/><Relationship Id="rId222" Type="http://schemas.openxmlformats.org/officeDocument/2006/relationships/hyperlink" Target="https://github.com/dcos/dcos" TargetMode="External"/><Relationship Id="rId667" Type="http://schemas.openxmlformats.org/officeDocument/2006/relationships/hyperlink" Target="https://github.com/minimaxir/aitextgen" TargetMode="External"/><Relationship Id="rId874" Type="http://schemas.openxmlformats.org/officeDocument/2006/relationships/hyperlink" Target="https://github.com/pytorch/elastic" TargetMode="External"/><Relationship Id="rId17" Type="http://schemas.openxmlformats.org/officeDocument/2006/relationships/hyperlink" Target="https://github.com/agronholm/apscheduler" TargetMode="External"/><Relationship Id="rId527" Type="http://schemas.openxmlformats.org/officeDocument/2006/relationships/hyperlink" Target="https://github.com/jupyterhub/binderhub" TargetMode="External"/><Relationship Id="rId734" Type="http://schemas.openxmlformats.org/officeDocument/2006/relationships/hyperlink" Target="https://github.com/NewFuture/DDNS" TargetMode="External"/><Relationship Id="rId941" Type="http://schemas.openxmlformats.org/officeDocument/2006/relationships/hyperlink" Target="https://github.com/saltstack/salt" TargetMode="External"/><Relationship Id="rId1157" Type="http://schemas.openxmlformats.org/officeDocument/2006/relationships/hyperlink" Target="https://github.com/yeti-platform/yeti" TargetMode="External"/><Relationship Id="rId70" Type="http://schemas.openxmlformats.org/officeDocument/2006/relationships/hyperlink" Target="https://github.com/asyml/texar-pytorch" TargetMode="External"/><Relationship Id="rId166" Type="http://schemas.openxmlformats.org/officeDocument/2006/relationships/hyperlink" Target="https://github.com/CIRCL/AIL-framework" TargetMode="External"/><Relationship Id="rId373" Type="http://schemas.openxmlformats.org/officeDocument/2006/relationships/hyperlink" Target="https://github.com/Ghadjeres/DeepBach" TargetMode="External"/><Relationship Id="rId580" Type="http://schemas.openxmlformats.org/officeDocument/2006/relationships/hyperlink" Target="https://github.com/lanjelot/patator" TargetMode="External"/><Relationship Id="rId801" Type="http://schemas.openxmlformats.org/officeDocument/2006/relationships/hyperlink" Target="https://github.com/p1r06u3/opencanary_web" TargetMode="External"/><Relationship Id="rId1017" Type="http://schemas.openxmlformats.org/officeDocument/2006/relationships/hyperlink" Target="https://github.com/sympy/sympy" TargetMode="External"/><Relationship Id="rId1" Type="http://schemas.openxmlformats.org/officeDocument/2006/relationships/hyperlink" Target="https://github.com/0Kee-Team/WatchAD" TargetMode="External"/><Relationship Id="rId233" Type="http://schemas.openxmlformats.org/officeDocument/2006/relationships/hyperlink" Target="https://github.com/DexterInd/GrovePi" TargetMode="External"/><Relationship Id="rId440" Type="http://schemas.openxmlformats.org/officeDocument/2006/relationships/hyperlink" Target="https://github.com/heartexlabs/label-studio" TargetMode="External"/><Relationship Id="rId678" Type="http://schemas.openxmlformats.org/officeDocument/2006/relationships/hyperlink" Target="https://github.com/mlflow/mlflow" TargetMode="External"/><Relationship Id="rId885" Type="http://schemas.openxmlformats.org/officeDocument/2006/relationships/hyperlink" Target="https://github.com/quark-engine/quark-engine" TargetMode="External"/><Relationship Id="rId1070" Type="http://schemas.openxmlformats.org/officeDocument/2006/relationships/hyperlink" Target="https://github.com/trailofbits/deepstate" TargetMode="External"/><Relationship Id="rId28" Type="http://schemas.openxmlformats.org/officeDocument/2006/relationships/hyperlink" Target="https://github.com/alectrocute/flaskSaaS" TargetMode="External"/><Relationship Id="rId300" Type="http://schemas.openxmlformats.org/officeDocument/2006/relationships/hyperlink" Target="https://github.com/EvgenyKashin/stylegan2-distillation" TargetMode="External"/><Relationship Id="rId538" Type="http://schemas.openxmlformats.org/officeDocument/2006/relationships/hyperlink" Target="https://github.com/kapicorp/kapitan" TargetMode="External"/><Relationship Id="rId745" Type="http://schemas.openxmlformats.org/officeDocument/2006/relationships/hyperlink" Target="https://github.com/nsacyber/WALKOFF" TargetMode="External"/><Relationship Id="rId952" Type="http://schemas.openxmlformats.org/officeDocument/2006/relationships/hyperlink" Target="https://github.com/schutzwerk/CANalyzat0r" TargetMode="External"/><Relationship Id="rId1168" Type="http://schemas.openxmlformats.org/officeDocument/2006/relationships/hyperlink" Target="https://github.com/zeromq/pyzmq" TargetMode="External"/><Relationship Id="rId81" Type="http://schemas.openxmlformats.org/officeDocument/2006/relationships/hyperlink" Target="https://github.com/aws/sagemaker-python-sdk" TargetMode="External"/><Relationship Id="rId177" Type="http://schemas.openxmlformats.org/officeDocument/2006/relationships/hyperlink" Target="https://github.com/closeio/tasktiger" TargetMode="External"/><Relationship Id="rId384" Type="http://schemas.openxmlformats.org/officeDocument/2006/relationships/hyperlink" Target="https://github.com/golismero/golismero" TargetMode="External"/><Relationship Id="rId591" Type="http://schemas.openxmlformats.org/officeDocument/2006/relationships/hyperlink" Target="https://github.com/linkchecker/linkchecker" TargetMode="External"/><Relationship Id="rId605" Type="http://schemas.openxmlformats.org/officeDocument/2006/relationships/hyperlink" Target="https://github.com/lspvic/jupyter_tensorboard" TargetMode="External"/><Relationship Id="rId812" Type="http://schemas.openxmlformats.org/officeDocument/2006/relationships/hyperlink" Target="https://github.com/paulpierre/informer" TargetMode="External"/><Relationship Id="rId1028" Type="http://schemas.openxmlformats.org/officeDocument/2006/relationships/hyperlink" Target="https://github.com/Tautulli/Tautulli" TargetMode="External"/><Relationship Id="rId244" Type="http://schemas.openxmlformats.org/officeDocument/2006/relationships/hyperlink" Target="https://github.com/dmlc/gluon-cv" TargetMode="External"/><Relationship Id="rId689" Type="http://schemas.openxmlformats.org/officeDocument/2006/relationships/hyperlink" Target="https://github.com/mozilla-services/syncserver" TargetMode="External"/><Relationship Id="rId896" Type="http://schemas.openxmlformats.org/officeDocument/2006/relationships/hyperlink" Target="https://github.com/ranger/ranger" TargetMode="External"/><Relationship Id="rId1081" Type="http://schemas.openxmlformats.org/officeDocument/2006/relationships/hyperlink" Target="https://github.com/Tuhinshubhra/CMSeeK" TargetMode="External"/><Relationship Id="rId39" Type="http://schemas.openxmlformats.org/officeDocument/2006/relationships/hyperlink" Target="https://github.com/allenai/scibert" TargetMode="External"/><Relationship Id="rId451" Type="http://schemas.openxmlformats.org/officeDocument/2006/relationships/hyperlink" Target="https://github.com/hugapi/hug" TargetMode="External"/><Relationship Id="rId549" Type="http://schemas.openxmlformats.org/officeDocument/2006/relationships/hyperlink" Target="https://github.com/kerlomz/captcha_platform" TargetMode="External"/><Relationship Id="rId756" Type="http://schemas.openxmlformats.org/officeDocument/2006/relationships/hyperlink" Target="https://github.com/obsidianforensics/unfurl" TargetMode="External"/><Relationship Id="rId1179" Type="http://schemas.openxmlformats.org/officeDocument/2006/relationships/hyperlink" Target="https://github.com/ztgrace/changeme" TargetMode="External"/><Relationship Id="rId104" Type="http://schemas.openxmlformats.org/officeDocument/2006/relationships/hyperlink" Target="https://github.com/blackholll/loonflow" TargetMode="External"/><Relationship Id="rId188" Type="http://schemas.openxmlformats.org/officeDocument/2006/relationships/hyperlink" Target="https://github.com/confluentinc/confluent-kafka-python" TargetMode="External"/><Relationship Id="rId311" Type="http://schemas.openxmlformats.org/officeDocument/2006/relationships/hyperlink" Target="https://github.com/facebook/prophet" TargetMode="External"/><Relationship Id="rId395" Type="http://schemas.openxmlformats.org/officeDocument/2006/relationships/hyperlink" Target="https://github.com/google/jax" TargetMode="External"/><Relationship Id="rId409" Type="http://schemas.openxmlformats.org/officeDocument/2006/relationships/hyperlink" Target="https://github.com/GoogleCloudPlatform/professional-services" TargetMode="External"/><Relationship Id="rId963" Type="http://schemas.openxmlformats.org/officeDocument/2006/relationships/hyperlink" Target="https://github.com/secureworks/dcept" TargetMode="External"/><Relationship Id="rId1039" Type="http://schemas.openxmlformats.org/officeDocument/2006/relationships/hyperlink" Target="https://github.com/TensorSpeech/TensorFlowTTS" TargetMode="External"/><Relationship Id="rId92" Type="http://schemas.openxmlformats.org/officeDocument/2006/relationships/hyperlink" Target="https://github.com/Azure/Stormspotter" TargetMode="External"/><Relationship Id="rId616" Type="http://schemas.openxmlformats.org/officeDocument/2006/relationships/hyperlink" Target="https://github.com/mailpile/Mailpile" TargetMode="External"/><Relationship Id="rId823" Type="http://schemas.openxmlformats.org/officeDocument/2006/relationships/hyperlink" Target="https://github.com/plotly/dash-docs" TargetMode="External"/><Relationship Id="rId255" Type="http://schemas.openxmlformats.org/officeDocument/2006/relationships/hyperlink" Target="https://github.com/donnemartin/saws" TargetMode="External"/><Relationship Id="rId462" Type="http://schemas.openxmlformats.org/officeDocument/2006/relationships/hyperlink" Target="https://github.com/hzy46/Deep-Learning-21-Examples" TargetMode="External"/><Relationship Id="rId1092" Type="http://schemas.openxmlformats.org/officeDocument/2006/relationships/hyperlink" Target="https://github.com/uber/petastorm" TargetMode="External"/><Relationship Id="rId1106" Type="http://schemas.openxmlformats.org/officeDocument/2006/relationships/hyperlink" Target="https://github.com/ustwo/mastermind" TargetMode="External"/><Relationship Id="rId115" Type="http://schemas.openxmlformats.org/officeDocument/2006/relationships/hyperlink" Target="https://github.com/brettkromkamp/contextualise" TargetMode="External"/><Relationship Id="rId322" Type="http://schemas.openxmlformats.org/officeDocument/2006/relationships/hyperlink" Target="https://github.com/facebookresearch/pytext" TargetMode="External"/><Relationship Id="rId767" Type="http://schemas.openxmlformats.org/officeDocument/2006/relationships/hyperlink" Target="https://github.com/open-mmlab/mmediting" TargetMode="External"/><Relationship Id="rId974" Type="http://schemas.openxmlformats.org/officeDocument/2006/relationships/hyperlink" Target="https://github.com/shibing624/pycorrector" TargetMode="External"/><Relationship Id="rId199" Type="http://schemas.openxmlformats.org/officeDocument/2006/relationships/hyperlink" Target="https://github.com/crytic/slither" TargetMode="External"/><Relationship Id="rId627" Type="http://schemas.openxmlformats.org/officeDocument/2006/relationships/hyperlink" Target="https://github.com/martomo/SublimeTextXdebug" TargetMode="External"/><Relationship Id="rId834" Type="http://schemas.openxmlformats.org/officeDocument/2006/relationships/hyperlink" Target="https://github.com/pprp/SimpleCVReproduction" TargetMode="External"/><Relationship Id="rId266" Type="http://schemas.openxmlformats.org/officeDocument/2006/relationships/hyperlink" Target="https://github.com/DT42/BerryNet" TargetMode="External"/><Relationship Id="rId473" Type="http://schemas.openxmlformats.org/officeDocument/2006/relationships/hyperlink" Target="https://github.com/imWildCat/scylla" TargetMode="External"/><Relationship Id="rId680" Type="http://schemas.openxmlformats.org/officeDocument/2006/relationships/hyperlink" Target="https://github.com/mobier/shadowsocksr-speed" TargetMode="External"/><Relationship Id="rId901" Type="http://schemas.openxmlformats.org/officeDocument/2006/relationships/hyperlink" Target="https://github.com/ray-project/ray" TargetMode="External"/><Relationship Id="rId1117" Type="http://schemas.openxmlformats.org/officeDocument/2006/relationships/hyperlink" Target="https://github.com/vstconsulting/polemarch" TargetMode="External"/><Relationship Id="rId30" Type="http://schemas.openxmlformats.org/officeDocument/2006/relationships/hyperlink" Target="https://github.com/alexander-akhmetov/python-shortcuts" TargetMode="External"/><Relationship Id="rId126" Type="http://schemas.openxmlformats.org/officeDocument/2006/relationships/hyperlink" Target="https://github.com/Buuntu/fastapi-react" TargetMode="External"/><Relationship Id="rId333" Type="http://schemas.openxmlformats.org/officeDocument/2006/relationships/hyperlink" Target="https://github.com/fhamborg/news-please" TargetMode="External"/><Relationship Id="rId540" Type="http://schemas.openxmlformats.org/officeDocument/2006/relationships/hyperlink" Target="https://github.com/karlicoss/promnesia" TargetMode="External"/><Relationship Id="rId778" Type="http://schemas.openxmlformats.org/officeDocument/2006/relationships/hyperlink" Target="https://github.com/OpenDroneMap/ODM" TargetMode="External"/><Relationship Id="rId985" Type="http://schemas.openxmlformats.org/officeDocument/2006/relationships/hyperlink" Target="https://github.com/sissbruecker/linkding" TargetMode="External"/><Relationship Id="rId1170" Type="http://schemas.openxmlformats.org/officeDocument/2006/relationships/hyperlink" Target="https://github.com/zewelor/bt-mqtt-gateway" TargetMode="External"/><Relationship Id="rId638" Type="http://schemas.openxmlformats.org/officeDocument/2006/relationships/hyperlink" Target="https://github.com/mengskysama/shadowsocks-rm" TargetMode="External"/><Relationship Id="rId845" Type="http://schemas.openxmlformats.org/officeDocument/2006/relationships/hyperlink" Target="https://github.com/psincraian/pepy" TargetMode="External"/><Relationship Id="rId1030" Type="http://schemas.openxmlformats.org/officeDocument/2006/relationships/hyperlink" Target="https://github.com/tdryer/hangups" TargetMode="External"/><Relationship Id="rId277" Type="http://schemas.openxmlformats.org/officeDocument/2006/relationships/hyperlink" Target="https://github.com/elastic/elasticsearch-py" TargetMode="External"/><Relationship Id="rId400" Type="http://schemas.openxmlformats.org/officeDocument/2006/relationships/hyperlink" Target="https://github.com/google/turbinia" TargetMode="External"/><Relationship Id="rId484" Type="http://schemas.openxmlformats.org/officeDocument/2006/relationships/hyperlink" Target="https://github.com/izar/pytm" TargetMode="External"/><Relationship Id="rId705" Type="http://schemas.openxmlformats.org/officeDocument/2006/relationships/hyperlink" Target="https://github.com/mushorg/glastopf" TargetMode="External"/><Relationship Id="rId1128" Type="http://schemas.openxmlformats.org/officeDocument/2006/relationships/hyperlink" Target="https://github.com/wger-project/wger" TargetMode="External"/><Relationship Id="rId137" Type="http://schemas.openxmlformats.org/officeDocument/2006/relationships/hyperlink" Target="https://github.com/cburmeister/flask-bones" TargetMode="External"/><Relationship Id="rId344" Type="http://schemas.openxmlformats.org/officeDocument/2006/relationships/hyperlink" Target="https://github.com/fofapro/vulfocus" TargetMode="External"/><Relationship Id="rId691" Type="http://schemas.openxmlformats.org/officeDocument/2006/relationships/hyperlink" Target="https://github.com/mozilla/bugbug" TargetMode="External"/><Relationship Id="rId789" Type="http://schemas.openxmlformats.org/officeDocument/2006/relationships/hyperlink" Target="https://github.com/orchest/orchest" TargetMode="External"/><Relationship Id="rId912" Type="http://schemas.openxmlformats.org/officeDocument/2006/relationships/hyperlink" Target="https://github.com/Rhynorater/CVE-2018-15473-Exploit" TargetMode="External"/><Relationship Id="rId996" Type="http://schemas.openxmlformats.org/officeDocument/2006/relationships/hyperlink" Target="https://github.com/SpiderClub/haipproxy" TargetMode="External"/><Relationship Id="rId41" Type="http://schemas.openxmlformats.org/officeDocument/2006/relationships/hyperlink" Target="https://github.com/almandin/fuxploider" TargetMode="External"/><Relationship Id="rId551" Type="http://schemas.openxmlformats.org/officeDocument/2006/relationships/hyperlink" Target="https://github.com/keylase/nvidia-patch" TargetMode="External"/><Relationship Id="rId649" Type="http://schemas.openxmlformats.org/officeDocument/2006/relationships/hyperlink" Target="https://github.com/microsoft/DeepSpeed" TargetMode="External"/><Relationship Id="rId856" Type="http://schemas.openxmlformats.org/officeDocument/2006/relationships/hyperlink" Target="https://github.com/pykaldi/pykaldi" TargetMode="External"/><Relationship Id="rId1181" Type="http://schemas.openxmlformats.org/officeDocument/2006/relationships/printerSettings" Target="../printerSettings/printerSettings1.bin"/><Relationship Id="rId190" Type="http://schemas.openxmlformats.org/officeDocument/2006/relationships/hyperlink" Target="https://github.com/controlscanmdr/cyphon" TargetMode="External"/><Relationship Id="rId204" Type="http://schemas.openxmlformats.org/officeDocument/2006/relationships/hyperlink" Target="https://github.com/cyrildiagne/basnet-http" TargetMode="External"/><Relationship Id="rId288" Type="http://schemas.openxmlformats.org/officeDocument/2006/relationships/hyperlink" Target="https://github.com/epinna/weevely3" TargetMode="External"/><Relationship Id="rId411" Type="http://schemas.openxmlformats.org/officeDocument/2006/relationships/hyperlink" Target="https://github.com/GoSecure/pyrdp" TargetMode="External"/><Relationship Id="rId509" Type="http://schemas.openxmlformats.org/officeDocument/2006/relationships/hyperlink" Target="https://github.com/jindaxiang/akshare" TargetMode="External"/><Relationship Id="rId1041" Type="http://schemas.openxmlformats.org/officeDocument/2006/relationships/hyperlink" Target="https://github.com/tern-tools/tern" TargetMode="External"/><Relationship Id="rId1139" Type="http://schemas.openxmlformats.org/officeDocument/2006/relationships/hyperlink" Target="https://github.com/xhtml2pdf/xhtml2pdf" TargetMode="External"/><Relationship Id="rId495" Type="http://schemas.openxmlformats.org/officeDocument/2006/relationships/hyperlink" Target="https://github.com/jarun/buku" TargetMode="External"/><Relationship Id="rId716" Type="http://schemas.openxmlformats.org/officeDocument/2006/relationships/hyperlink" Target="https://github.com/Naresh1318/Topaz" TargetMode="External"/><Relationship Id="rId923" Type="http://schemas.openxmlformats.org/officeDocument/2006/relationships/hyperlink" Target="https://github.com/ronreiter/interactive-tutorials" TargetMode="External"/><Relationship Id="rId52" Type="http://schemas.openxmlformats.org/officeDocument/2006/relationships/hyperlink" Target="https://github.com/ansible/ansible" TargetMode="External"/><Relationship Id="rId148" Type="http://schemas.openxmlformats.org/officeDocument/2006/relationships/hyperlink" Target="https://github.com/Ceruleanacg/Personae" TargetMode="External"/><Relationship Id="rId355" Type="http://schemas.openxmlformats.org/officeDocument/2006/relationships/hyperlink" Target="https://github.com/freqtrade/freqtrade" TargetMode="External"/><Relationship Id="rId562" Type="http://schemas.openxmlformats.org/officeDocument/2006/relationships/hyperlink" Target="https://github.com/koalalorenzo/python-digitalocean" TargetMode="External"/><Relationship Id="rId215" Type="http://schemas.openxmlformats.org/officeDocument/2006/relationships/hyperlink" Target="https://github.com/datawire/ambassador" TargetMode="External"/><Relationship Id="rId422" Type="http://schemas.openxmlformats.org/officeDocument/2006/relationships/hyperlink" Target="https://github.com/grycap/scar" TargetMode="External"/><Relationship Id="rId867" Type="http://schemas.openxmlformats.org/officeDocument/2006/relationships/hyperlink" Target="https://github.com/python-discord/site" TargetMode="External"/><Relationship Id="rId1052" Type="http://schemas.openxmlformats.org/officeDocument/2006/relationships/hyperlink" Target="https://github.com/threat9/routersploit" TargetMode="External"/><Relationship Id="rId299" Type="http://schemas.openxmlformats.org/officeDocument/2006/relationships/hyperlink" Target="https://github.com/ets-labs/python-dependency-injector" TargetMode="External"/><Relationship Id="rId727" Type="http://schemas.openxmlformats.org/officeDocument/2006/relationships/hyperlink" Target="https://github.com/Netflix/consoleme" TargetMode="External"/><Relationship Id="rId934" Type="http://schemas.openxmlformats.org/officeDocument/2006/relationships/hyperlink" Target="https://github.com/sa7mon/S3Scanner" TargetMode="External"/><Relationship Id="rId63" Type="http://schemas.openxmlformats.org/officeDocument/2006/relationships/hyperlink" Target="https://github.com/AppDaemon/appdaemon" TargetMode="External"/><Relationship Id="rId159" Type="http://schemas.openxmlformats.org/officeDocument/2006/relationships/hyperlink" Target="https://github.com/chengyumeng/spider163" TargetMode="External"/><Relationship Id="rId366" Type="http://schemas.openxmlformats.org/officeDocument/2006/relationships/hyperlink" Target="https://github.com/gbeced/pyalgotrade" TargetMode="External"/><Relationship Id="rId573" Type="http://schemas.openxmlformats.org/officeDocument/2006/relationships/hyperlink" Target="https://github.com/kyb3r/modmail" TargetMode="External"/><Relationship Id="rId780" Type="http://schemas.openxmlformats.org/officeDocument/2006/relationships/hyperlink" Target="https://github.com/OpenIDC/pyoidc" TargetMode="External"/><Relationship Id="rId226" Type="http://schemas.openxmlformats.org/officeDocument/2006/relationships/hyperlink" Target="https://github.com/DeepPavlov/convai" TargetMode="External"/><Relationship Id="rId433" Type="http://schemas.openxmlformats.org/officeDocument/2006/relationships/hyperlink" Target="https://github.com/haiwen/seafile-docker" TargetMode="External"/><Relationship Id="rId878" Type="http://schemas.openxmlformats.org/officeDocument/2006/relationships/hyperlink" Target="https://github.com/pyvista/pyvista" TargetMode="External"/><Relationship Id="rId1063" Type="http://schemas.openxmlformats.org/officeDocument/2006/relationships/hyperlink" Target="https://github.com/tomchop/malcom" TargetMode="External"/><Relationship Id="rId640" Type="http://schemas.openxmlformats.org/officeDocument/2006/relationships/hyperlink" Target="https://github.com/mesalock-linux/mesapy" TargetMode="External"/><Relationship Id="rId738" Type="http://schemas.openxmlformats.org/officeDocument/2006/relationships/hyperlink" Target="https://github.com/ngoduykhanh/PowerDNS-Admin" TargetMode="External"/><Relationship Id="rId945" Type="http://schemas.openxmlformats.org/officeDocument/2006/relationships/hyperlink" Target="https://github.com/SathyaBhat/spotify-dl" TargetMode="External"/><Relationship Id="rId74" Type="http://schemas.openxmlformats.org/officeDocument/2006/relationships/hyperlink" Target="https://github.com/awolfly9/IPProxyTool" TargetMode="External"/><Relationship Id="rId377" Type="http://schemas.openxmlformats.org/officeDocument/2006/relationships/hyperlink" Target="https://github.com/girder/girder" TargetMode="External"/><Relationship Id="rId500" Type="http://schemas.openxmlformats.org/officeDocument/2006/relationships/hyperlink" Target="https://github.com/JDAI-CV/fast-reid" TargetMode="External"/><Relationship Id="rId584" Type="http://schemas.openxmlformats.org/officeDocument/2006/relationships/hyperlink" Target="https://github.com/levlaz/braindump" TargetMode="External"/><Relationship Id="rId805" Type="http://schemas.openxmlformats.org/officeDocument/2006/relationships/hyperlink" Target="https://github.com/PaddlePaddle/PaddleSeg" TargetMode="External"/><Relationship Id="rId1130" Type="http://schemas.openxmlformats.org/officeDocument/2006/relationships/hyperlink" Target="https://github.com/WhaleShark-Team/cobra" TargetMode="External"/><Relationship Id="rId5" Type="http://schemas.openxmlformats.org/officeDocument/2006/relationships/hyperlink" Target="https://github.com/1tayH/noisy" TargetMode="External"/><Relationship Id="rId237" Type="http://schemas.openxmlformats.org/officeDocument/2006/relationships/hyperlink" Target="https://github.com/DinoTools/dionaea" TargetMode="External"/><Relationship Id="rId791" Type="http://schemas.openxmlformats.org/officeDocument/2006/relationships/hyperlink" Target="https://github.com/OTRF/mordor" TargetMode="External"/><Relationship Id="rId889" Type="http://schemas.openxmlformats.org/officeDocument/2006/relationships/hyperlink" Target="https://github.com/quodlibet/quodlibet" TargetMode="External"/><Relationship Id="rId1074" Type="http://schemas.openxmlformats.org/officeDocument/2006/relationships/hyperlink" Target="https://github.com/trezor/trezor-firmware" TargetMode="External"/><Relationship Id="rId444" Type="http://schemas.openxmlformats.org/officeDocument/2006/relationships/hyperlink" Target="https://github.com/hjacobs/kube-janitor" TargetMode="External"/><Relationship Id="rId651" Type="http://schemas.openxmlformats.org/officeDocument/2006/relationships/hyperlink" Target="https://github.com/microsoft/maro" TargetMode="External"/><Relationship Id="rId749" Type="http://schemas.openxmlformats.org/officeDocument/2006/relationships/hyperlink" Target="https://github.com/NVIDIA/semantic-segmentation" TargetMode="External"/><Relationship Id="rId290" Type="http://schemas.openxmlformats.org/officeDocument/2006/relationships/hyperlink" Target="https://github.com/Ericsson/codechecker" TargetMode="External"/><Relationship Id="rId304" Type="http://schemas.openxmlformats.org/officeDocument/2006/relationships/hyperlink" Target="https://github.com/exadel-inc/CompreFace" TargetMode="External"/><Relationship Id="rId388" Type="http://schemas.openxmlformats.org/officeDocument/2006/relationships/hyperlink" Target="https://github.com/google/caliban" TargetMode="External"/><Relationship Id="rId511" Type="http://schemas.openxmlformats.org/officeDocument/2006/relationships/hyperlink" Target="https://github.com/jmathai/elodie" TargetMode="External"/><Relationship Id="rId609" Type="http://schemas.openxmlformats.org/officeDocument/2006/relationships/hyperlink" Target="https://github.com/lyft/metadataproxy" TargetMode="External"/><Relationship Id="rId956" Type="http://schemas.openxmlformats.org/officeDocument/2006/relationships/hyperlink" Target="https://github.com/scrapinghub/frontera" TargetMode="External"/><Relationship Id="rId1141" Type="http://schemas.openxmlformats.org/officeDocument/2006/relationships/hyperlink" Target="https://github.com/xingyizhou/CenterNet2" TargetMode="External"/><Relationship Id="rId85" Type="http://schemas.openxmlformats.org/officeDocument/2006/relationships/hyperlink" Target="https://github.com/awslabs/aws-lambda-powertools-python" TargetMode="External"/><Relationship Id="rId150" Type="http://schemas.openxmlformats.org/officeDocument/2006/relationships/hyperlink" Target="https://github.com/cevoaustralia/aws-google-auth" TargetMode="External"/><Relationship Id="rId595" Type="http://schemas.openxmlformats.org/officeDocument/2006/relationships/hyperlink" Target="https://github.com/LiuRoy/zhihu_spider" TargetMode="External"/><Relationship Id="rId816" Type="http://schemas.openxmlformats.org/officeDocument/2006/relationships/hyperlink" Target="https://github.com/PeizeSun/SparseR-CNN" TargetMode="External"/><Relationship Id="rId1001" Type="http://schemas.openxmlformats.org/officeDocument/2006/relationships/hyperlink" Target="https://github.com/spotify/klio" TargetMode="External"/><Relationship Id="rId248" Type="http://schemas.openxmlformats.org/officeDocument/2006/relationships/hyperlink" Target="https://github.com/doccano/doccano" TargetMode="External"/><Relationship Id="rId455" Type="http://schemas.openxmlformats.org/officeDocument/2006/relationships/hyperlink" Target="https://github.com/huseinzol05/Gather-Deployment" TargetMode="External"/><Relationship Id="rId662" Type="http://schemas.openxmlformats.org/officeDocument/2006/relationships/hyperlink" Target="https://github.com/mikeyy/nonoCAPTCHA" TargetMode="External"/><Relationship Id="rId1085" Type="http://schemas.openxmlformats.org/officeDocument/2006/relationships/hyperlink" Target="https://github.com/turicas/rows" TargetMode="External"/><Relationship Id="rId12" Type="http://schemas.openxmlformats.org/officeDocument/2006/relationships/hyperlink" Target="https://github.com/activeloopai/Hub" TargetMode="External"/><Relationship Id="rId108" Type="http://schemas.openxmlformats.org/officeDocument/2006/relationships/hyperlink" Target="https://github.com/blockchain-etl/ethereum-etl" TargetMode="External"/><Relationship Id="rId315" Type="http://schemas.openxmlformats.org/officeDocument/2006/relationships/hyperlink" Target="https://github.com/facebookresearch/Detectron" TargetMode="External"/><Relationship Id="rId522" Type="http://schemas.openxmlformats.org/officeDocument/2006/relationships/hyperlink" Target="https://github.com/Juniper/py-junos-eznc" TargetMode="External"/><Relationship Id="rId967" Type="http://schemas.openxmlformats.org/officeDocument/2006/relationships/hyperlink" Target="https://github.com/Sense-X/TSD" TargetMode="External"/><Relationship Id="rId1152" Type="http://schemas.openxmlformats.org/officeDocument/2006/relationships/hyperlink" Target="https://github.com/Yelp/docker-custodian" TargetMode="External"/><Relationship Id="rId96" Type="http://schemas.openxmlformats.org/officeDocument/2006/relationships/hyperlink" Target="https://github.com/beancount/fava" TargetMode="External"/><Relationship Id="rId161" Type="http://schemas.openxmlformats.org/officeDocument/2006/relationships/hyperlink" Target="https://github.com/cholcombe973/autodock" TargetMode="External"/><Relationship Id="rId399" Type="http://schemas.openxmlformats.org/officeDocument/2006/relationships/hyperlink" Target="https://github.com/google/timesketch" TargetMode="External"/><Relationship Id="rId827" Type="http://schemas.openxmlformats.org/officeDocument/2006/relationships/hyperlink" Target="https://github.com/poljar/weechat-matrix" TargetMode="External"/><Relationship Id="rId1012" Type="http://schemas.openxmlformats.org/officeDocument/2006/relationships/hyperlink" Target="https://github.com/studioml/studio" TargetMode="External"/><Relationship Id="rId259" Type="http://schemas.openxmlformats.org/officeDocument/2006/relationships/hyperlink" Target="https://github.com/dragonchain/dragonchain" TargetMode="External"/><Relationship Id="rId466" Type="http://schemas.openxmlformats.org/officeDocument/2006/relationships/hyperlink" Target="https://github.com/ICLRandD/Blackstone" TargetMode="External"/><Relationship Id="rId673" Type="http://schemas.openxmlformats.org/officeDocument/2006/relationships/hyperlink" Target="https://github.com/mitre/multiscanner" TargetMode="External"/><Relationship Id="rId880" Type="http://schemas.openxmlformats.org/officeDocument/2006/relationships/hyperlink" Target="https://github.com/QingdaoU/OnlineJudge" TargetMode="External"/><Relationship Id="rId1096" Type="http://schemas.openxmlformats.org/officeDocument/2006/relationships/hyperlink" Target="https://github.com/UKPLab/emnlp2017-bilstm-cnn-crf" TargetMode="External"/><Relationship Id="rId23" Type="http://schemas.openxmlformats.org/officeDocument/2006/relationships/hyperlink" Target="https://github.com/aio-libs/aiomysql" TargetMode="External"/><Relationship Id="rId119" Type="http://schemas.openxmlformats.org/officeDocument/2006/relationships/hyperlink" Target="https://github.com/brutasse/graphite-api" TargetMode="External"/><Relationship Id="rId326" Type="http://schemas.openxmlformats.org/officeDocument/2006/relationships/hyperlink" Target="https://github.com/favll/pogom" TargetMode="External"/><Relationship Id="rId533" Type="http://schemas.openxmlformats.org/officeDocument/2006/relationships/hyperlink" Target="https://github.com/Just-Some-Bots/MusicBot" TargetMode="External"/><Relationship Id="rId978" Type="http://schemas.openxmlformats.org/officeDocument/2006/relationships/hyperlink" Target="https://github.com/SickChill/SickChill" TargetMode="External"/><Relationship Id="rId1163" Type="http://schemas.openxmlformats.org/officeDocument/2006/relationships/hyperlink" Target="https://github.com/YunoHost/yunohost" TargetMode="External"/><Relationship Id="rId740" Type="http://schemas.openxmlformats.org/officeDocument/2006/relationships/hyperlink" Target="https://github.com/nicolas-chaulet/torch-points3d" TargetMode="External"/><Relationship Id="rId838" Type="http://schemas.openxmlformats.org/officeDocument/2006/relationships/hyperlink" Target="https://github.com/PrefectHQ/prefect" TargetMode="External"/><Relationship Id="rId1023" Type="http://schemas.openxmlformats.org/officeDocument/2006/relationships/hyperlink" Target="https://github.com/taokong/FoveaBox" TargetMode="External"/><Relationship Id="rId172" Type="http://schemas.openxmlformats.org/officeDocument/2006/relationships/hyperlink" Target="https://github.com/ckan/ckan" TargetMode="External"/><Relationship Id="rId477" Type="http://schemas.openxmlformats.org/officeDocument/2006/relationships/hyperlink" Target="https://github.com/IntelLabs/nlp-architect" TargetMode="External"/><Relationship Id="rId600" Type="http://schemas.openxmlformats.org/officeDocument/2006/relationships/hyperlink" Target="https://github.com/locustio/locust" TargetMode="External"/><Relationship Id="rId684" Type="http://schemas.openxmlformats.org/officeDocument/2006/relationships/hyperlink" Target="https://github.com/modoboa/modoboa" TargetMode="External"/><Relationship Id="rId337" Type="http://schemas.openxmlformats.org/officeDocument/2006/relationships/hyperlink" Target="https://github.com/fkie-cad/FACT_core" TargetMode="External"/><Relationship Id="rId891" Type="http://schemas.openxmlformats.org/officeDocument/2006/relationships/hyperlink" Target="https://github.com/qzq1111/flask-restful-example" TargetMode="External"/><Relationship Id="rId905" Type="http://schemas.openxmlformats.org/officeDocument/2006/relationships/hyperlink" Target="http://baseplate.py/" TargetMode="External"/><Relationship Id="rId989" Type="http://schemas.openxmlformats.org/officeDocument/2006/relationships/hyperlink" Target="https://github.com/snakemake/snakemake" TargetMode="External"/><Relationship Id="rId34" Type="http://schemas.openxmlformats.org/officeDocument/2006/relationships/hyperlink" Target="https://github.com/aliparlakci/bulk-downloader-for-reddit" TargetMode="External"/><Relationship Id="rId544" Type="http://schemas.openxmlformats.org/officeDocument/2006/relationships/hyperlink" Target="https://github.com/keithrozario/Klayers" TargetMode="External"/><Relationship Id="rId751" Type="http://schemas.openxmlformats.org/officeDocument/2006/relationships/hyperlink" Target="https://github.com/NVlabs/NVAE" TargetMode="External"/><Relationship Id="rId849" Type="http://schemas.openxmlformats.org/officeDocument/2006/relationships/hyperlink" Target="https://github.com/pwnlandia/mhn" TargetMode="External"/><Relationship Id="rId1174" Type="http://schemas.openxmlformats.org/officeDocument/2006/relationships/hyperlink" Target="https://github.com/zhoubear/open-paperless" TargetMode="External"/><Relationship Id="rId183" Type="http://schemas.openxmlformats.org/officeDocument/2006/relationships/hyperlink" Target="http://inthe.am/" TargetMode="External"/><Relationship Id="rId390" Type="http://schemas.openxmlformats.org/officeDocument/2006/relationships/hyperlink" Target="https://github.com/google/clif" TargetMode="External"/><Relationship Id="rId404" Type="http://schemas.openxmlformats.org/officeDocument/2006/relationships/hyperlink" Target="https://github.com/GoogleCloudPlatform/deploymentmanager-samples" TargetMode="External"/><Relationship Id="rId611" Type="http://schemas.openxmlformats.org/officeDocument/2006/relationships/hyperlink" Target="https://github.com/m4n3dw0lf/pythem" TargetMode="External"/><Relationship Id="rId1034" Type="http://schemas.openxmlformats.org/officeDocument/2006/relationships/hyperlink" Target="https://github.com/tensorflow/model-optimization" TargetMode="External"/><Relationship Id="rId250" Type="http://schemas.openxmlformats.org/officeDocument/2006/relationships/hyperlink" Target="https://github.com/docker/compose" TargetMode="External"/><Relationship Id="rId488" Type="http://schemas.openxmlformats.org/officeDocument/2006/relationships/hyperlink" Target="https://github.com/jachinlin/geektime_dl" TargetMode="External"/><Relationship Id="rId695" Type="http://schemas.openxmlformats.org/officeDocument/2006/relationships/hyperlink" Target="https://github.com/mozilla/kitsune" TargetMode="External"/><Relationship Id="rId709" Type="http://schemas.openxmlformats.org/officeDocument/2006/relationships/hyperlink" Target="https://github.com/MycroftAI/mycroft-core" TargetMode="External"/><Relationship Id="rId916" Type="http://schemas.openxmlformats.org/officeDocument/2006/relationships/hyperlink" Target="https://github.com/rll/rllab" TargetMode="External"/><Relationship Id="rId1101" Type="http://schemas.openxmlformats.org/officeDocument/2006/relationships/hyperlink" Target="https://github.com/unitedstates/congress" TargetMode="External"/><Relationship Id="rId45" Type="http://schemas.openxmlformats.org/officeDocument/2006/relationships/hyperlink" Target="https://github.com/amitt001/pygmy" TargetMode="External"/><Relationship Id="rId110" Type="http://schemas.openxmlformats.org/officeDocument/2006/relationships/hyperlink" Target="https://github.com/BMW-InnovationLab/BMW-YOLOv4-Training-Automation" TargetMode="External"/><Relationship Id="rId348" Type="http://schemas.openxmlformats.org/officeDocument/2006/relationships/hyperlink" Target="https://github.com/fossasia/open-event-server" TargetMode="External"/><Relationship Id="rId555" Type="http://schemas.openxmlformats.org/officeDocument/2006/relationships/hyperlink" Target="https://github.com/Kinto/kinto" TargetMode="External"/><Relationship Id="rId762" Type="http://schemas.openxmlformats.org/officeDocument/2006/relationships/hyperlink" Target="https://github.com/open-mmlab/mmaction" TargetMode="External"/><Relationship Id="rId194" Type="http://schemas.openxmlformats.org/officeDocument/2006/relationships/hyperlink" Target="https://github.com/cosmicpython/code" TargetMode="External"/><Relationship Id="rId208" Type="http://schemas.openxmlformats.org/officeDocument/2006/relationships/hyperlink" Target="https://github.com/danmacnish/cartoonify" TargetMode="External"/><Relationship Id="rId415" Type="http://schemas.openxmlformats.org/officeDocument/2006/relationships/hyperlink" Target="https://github.com/graphistry/pygraphistry" TargetMode="External"/><Relationship Id="rId622" Type="http://schemas.openxmlformats.org/officeDocument/2006/relationships/hyperlink" Target="https://github.com/mar10/wsgidav" TargetMode="External"/><Relationship Id="rId1045" Type="http://schemas.openxmlformats.org/officeDocument/2006/relationships/hyperlink" Target="https://github.com/the-paperless-project/paperless" TargetMode="External"/><Relationship Id="rId261" Type="http://schemas.openxmlformats.org/officeDocument/2006/relationships/hyperlink" Target="https://github.com/Drakkar-Software/OctoBot" TargetMode="External"/><Relationship Id="rId499" Type="http://schemas.openxmlformats.org/officeDocument/2006/relationships/hyperlink" Target="https://github.com/jbesomi/texthero" TargetMode="External"/><Relationship Id="rId927" Type="http://schemas.openxmlformats.org/officeDocument/2006/relationships/hyperlink" Target="https://github.com/rsms/inter" TargetMode="External"/><Relationship Id="rId1112" Type="http://schemas.openxmlformats.org/officeDocument/2006/relationships/hyperlink" Target="https://github.com/vitchyr/rlkit" TargetMode="External"/><Relationship Id="rId56" Type="http://schemas.openxmlformats.org/officeDocument/2006/relationships/hyperlink" Target="https://github.com/ansible/awx" TargetMode="External"/><Relationship Id="rId359" Type="http://schemas.openxmlformats.org/officeDocument/2006/relationships/hyperlink" Target="https://github.com/FZambia/centrifuge" TargetMode="External"/><Relationship Id="rId566" Type="http://schemas.openxmlformats.org/officeDocument/2006/relationships/hyperlink" Target="https://github.com/Kozea/Radicale" TargetMode="External"/><Relationship Id="rId773" Type="http://schemas.openxmlformats.org/officeDocument/2006/relationships/hyperlink" Target="https://github.com/openai/jukebox" TargetMode="External"/><Relationship Id="rId121" Type="http://schemas.openxmlformats.org/officeDocument/2006/relationships/hyperlink" Target="https://github.com/bugy/script-server" TargetMode="External"/><Relationship Id="rId219" Type="http://schemas.openxmlformats.org/officeDocument/2006/relationships/hyperlink" Target="https://github.com/davidteather/TikTok-Api" TargetMode="External"/><Relationship Id="rId426" Type="http://schemas.openxmlformats.org/officeDocument/2006/relationships/hyperlink" Target="https://github.com/guoday/CCF-BDCI-Sentiment-Analysis-Baseline" TargetMode="External"/><Relationship Id="rId633" Type="http://schemas.openxmlformats.org/officeDocument/2006/relationships/hyperlink" Target="https://github.com/MeetMe/newrelic-plugin-agent" TargetMode="External"/><Relationship Id="rId980" Type="http://schemas.openxmlformats.org/officeDocument/2006/relationships/hyperlink" Target="https://github.com/sightmachine/SimpleCV" TargetMode="External"/><Relationship Id="rId1056" Type="http://schemas.openxmlformats.org/officeDocument/2006/relationships/hyperlink" Target="https://github.com/tiangolo/full-stack" TargetMode="External"/><Relationship Id="rId840" Type="http://schemas.openxmlformats.org/officeDocument/2006/relationships/hyperlink" Target="https://github.com/pricingassistant/mrq" TargetMode="External"/><Relationship Id="rId938" Type="http://schemas.openxmlformats.org/officeDocument/2006/relationships/hyperlink" Target="https://github.com/salesforce/cove" TargetMode="External"/><Relationship Id="rId67" Type="http://schemas.openxmlformats.org/officeDocument/2006/relationships/hyperlink" Target="https://github.com/AragonSnow/qiandao" TargetMode="External"/><Relationship Id="rId272" Type="http://schemas.openxmlformats.org/officeDocument/2006/relationships/hyperlink" Target="https://github.com/edx/edx-platform" TargetMode="External"/><Relationship Id="rId577" Type="http://schemas.openxmlformats.org/officeDocument/2006/relationships/hyperlink" Target="https://github.com/laixintao/iredis" TargetMode="External"/><Relationship Id="rId700" Type="http://schemas.openxmlformats.org/officeDocument/2006/relationships/hyperlink" Target="https://github.com/mps-youtube/mps-youtube" TargetMode="External"/><Relationship Id="rId1123" Type="http://schemas.openxmlformats.org/officeDocument/2006/relationships/hyperlink" Target="https://github.com/WeblateOrg/weblate" TargetMode="External"/><Relationship Id="rId132" Type="http://schemas.openxmlformats.org/officeDocument/2006/relationships/hyperlink" Target="https://github.com/c4urself/bump2version" TargetMode="External"/><Relationship Id="rId784" Type="http://schemas.openxmlformats.org/officeDocument/2006/relationships/hyperlink" Target="https://github.com/openstack/swift" TargetMode="External"/><Relationship Id="rId991" Type="http://schemas.openxmlformats.org/officeDocument/2006/relationships/hyperlink" Target="https://github.com/songcser/sanic-ms" TargetMode="External"/><Relationship Id="rId1067" Type="http://schemas.openxmlformats.org/officeDocument/2006/relationships/hyperlink" Target="https://github.com/TophantTechnology/osprey" TargetMode="External"/><Relationship Id="rId437" Type="http://schemas.openxmlformats.org/officeDocument/2006/relationships/hyperlink" Target="https://github.com/HASecuritySolutions/VulnWhisperer" TargetMode="External"/><Relationship Id="rId644" Type="http://schemas.openxmlformats.org/officeDocument/2006/relationships/hyperlink" Target="https://github.com/mher/flower" TargetMode="External"/><Relationship Id="rId851" Type="http://schemas.openxmlformats.org/officeDocument/2006/relationships/hyperlink" Target="https://github.com/PyCQA/isort" TargetMode="External"/><Relationship Id="rId283" Type="http://schemas.openxmlformats.org/officeDocument/2006/relationships/hyperlink" Target="https://github.com/EliotAndres/pretrained.ml" TargetMode="External"/><Relationship Id="rId490" Type="http://schemas.openxmlformats.org/officeDocument/2006/relationships/hyperlink" Target="https://github.com/JaidedAI/EasyOCR" TargetMode="External"/><Relationship Id="rId504" Type="http://schemas.openxmlformats.org/officeDocument/2006/relationships/hyperlink" Target="https://github.com/jet-admin/jet-bridge" TargetMode="External"/><Relationship Id="rId711" Type="http://schemas.openxmlformats.org/officeDocument/2006/relationships/hyperlink" Target="https://github.com/nabla-c0d3/sslyze" TargetMode="External"/><Relationship Id="rId949" Type="http://schemas.openxmlformats.org/officeDocument/2006/relationships/hyperlink" Target="https://github.com/scanapi/scanapi" TargetMode="External"/><Relationship Id="rId1134" Type="http://schemas.openxmlformats.org/officeDocument/2006/relationships/hyperlink" Target="https://github.com/wkentaro/labelme" TargetMode="External"/><Relationship Id="rId78" Type="http://schemas.openxmlformats.org/officeDocument/2006/relationships/hyperlink" Target="https://github.com/aws-samples/aws-glue-samples" TargetMode="External"/><Relationship Id="rId143" Type="http://schemas.openxmlformats.org/officeDocument/2006/relationships/hyperlink" Target="https://github.com/celery/celery" TargetMode="External"/><Relationship Id="rId350" Type="http://schemas.openxmlformats.org/officeDocument/2006/relationships/hyperlink" Target="https://github.com/fox-it/BloodHound.py" TargetMode="External"/><Relationship Id="rId588" Type="http://schemas.openxmlformats.org/officeDocument/2006/relationships/hyperlink" Target="https://github.com/lightbulb-framework/lightbulb-framework" TargetMode="External"/><Relationship Id="rId795" Type="http://schemas.openxmlformats.org/officeDocument/2006/relationships/hyperlink" Target="https://github.com/overhangio/tutor" TargetMode="External"/><Relationship Id="rId809" Type="http://schemas.openxmlformats.org/officeDocument/2006/relationships/hyperlink" Target="https://github.com/pandas-dev/pandas" TargetMode="External"/><Relationship Id="rId9" Type="http://schemas.openxmlformats.org/officeDocument/2006/relationships/hyperlink" Target="https://github.com/abhinavsingh/proxy.py" TargetMode="External"/><Relationship Id="rId210" Type="http://schemas.openxmlformats.org/officeDocument/2006/relationships/hyperlink" Target="https://github.com/dasguptar/treelstm.pytorch" TargetMode="External"/><Relationship Id="rId448" Type="http://schemas.openxmlformats.org/officeDocument/2006/relationships/hyperlink" Target="https://github.com/howie6879/owllook" TargetMode="External"/><Relationship Id="rId655" Type="http://schemas.openxmlformats.org/officeDocument/2006/relationships/hyperlink" Target="https://github.com/microsoft/recommenders" TargetMode="External"/><Relationship Id="rId862" Type="http://schemas.openxmlformats.org/officeDocument/2006/relationships/hyperlink" Target="https://github.com/pypa/warehouse" TargetMode="External"/><Relationship Id="rId1078" Type="http://schemas.openxmlformats.org/officeDocument/2006/relationships/hyperlink" Target="https://github.com/Trusted-AI/AIF360" TargetMode="External"/><Relationship Id="rId294" Type="http://schemas.openxmlformats.org/officeDocument/2006/relationships/hyperlink" Target="https://github.com/eth-brownie/brownie" TargetMode="External"/><Relationship Id="rId308" Type="http://schemas.openxmlformats.org/officeDocument/2006/relationships/hyperlink" Target="https://github.com/explosion/projects" TargetMode="External"/><Relationship Id="rId515" Type="http://schemas.openxmlformats.org/officeDocument/2006/relationships/hyperlink" Target="https://github.com/jookies/jasmin" TargetMode="External"/><Relationship Id="rId722" Type="http://schemas.openxmlformats.org/officeDocument/2006/relationships/hyperlink" Target="https://github.com/nerdvegas/rez" TargetMode="External"/><Relationship Id="rId1145" Type="http://schemas.openxmlformats.org/officeDocument/2006/relationships/hyperlink" Target="https://github.com/yampelo/beagle" TargetMode="External"/><Relationship Id="rId89" Type="http://schemas.openxmlformats.org/officeDocument/2006/relationships/hyperlink" Target="https://github.com/azavea/raster-vision" TargetMode="External"/><Relationship Id="rId154" Type="http://schemas.openxmlformats.org/officeDocument/2006/relationships/hyperlink" Target="https://github.com/chaostoolkit/chaostoolkit" TargetMode="External"/><Relationship Id="rId361" Type="http://schemas.openxmlformats.org/officeDocument/2006/relationships/hyperlink" Target="https://github.com/galaxyproject/galaxy" TargetMode="External"/><Relationship Id="rId599" Type="http://schemas.openxmlformats.org/officeDocument/2006/relationships/hyperlink" Target="https://github.com/localstack/localstack" TargetMode="External"/><Relationship Id="rId1005" Type="http://schemas.openxmlformats.org/officeDocument/2006/relationships/hyperlink" Target="https://github.com/Srinivas11789/PcapXray" TargetMode="External"/><Relationship Id="rId459" Type="http://schemas.openxmlformats.org/officeDocument/2006/relationships/hyperlink" Target="https://github.com/hyperledger/sawtooth-core" TargetMode="External"/><Relationship Id="rId666" Type="http://schemas.openxmlformats.org/officeDocument/2006/relationships/hyperlink" Target="https://github.com/milvus-io/bootcamp" TargetMode="External"/><Relationship Id="rId873" Type="http://schemas.openxmlformats.org/officeDocument/2006/relationships/hyperlink" Target="https://github.com/pytorch/audio" TargetMode="External"/><Relationship Id="rId1089" Type="http://schemas.openxmlformats.org/officeDocument/2006/relationships/hyperlink" Target="https://github.com/uber-research/deep-neuroevolution" TargetMode="External"/><Relationship Id="rId16" Type="http://schemas.openxmlformats.org/officeDocument/2006/relationships/hyperlink" Target="https://github.com/agconti/cookiecutter-django-rest" TargetMode="External"/><Relationship Id="rId221" Type="http://schemas.openxmlformats.org/officeDocument/2006/relationships/hyperlink" Target="https://github.com/dbcli/pgcli" TargetMode="External"/><Relationship Id="rId319" Type="http://schemas.openxmlformats.org/officeDocument/2006/relationships/hyperlink" Target="https://github.com/facebookresearch/LASER" TargetMode="External"/><Relationship Id="rId526" Type="http://schemas.openxmlformats.org/officeDocument/2006/relationships/hyperlink" Target="https://github.com/jupyter/nbviewer" TargetMode="External"/><Relationship Id="rId1156" Type="http://schemas.openxmlformats.org/officeDocument/2006/relationships/hyperlink" Target="https://github.com/Yelp/Tron" TargetMode="External"/><Relationship Id="rId733" Type="http://schemas.openxmlformats.org/officeDocument/2006/relationships/hyperlink" Target="https://github.com/netzob/netzob" TargetMode="External"/><Relationship Id="rId940" Type="http://schemas.openxmlformats.org/officeDocument/2006/relationships/hyperlink" Target="https://github.com/salesforce/policy_sentry" TargetMode="External"/><Relationship Id="rId1016" Type="http://schemas.openxmlformats.org/officeDocument/2006/relationships/hyperlink" Target="https://github.com/SymbiFlow/prjxray" TargetMode="External"/><Relationship Id="rId165" Type="http://schemas.openxmlformats.org/officeDocument/2006/relationships/hyperlink" Target="https://github.com/chubin/wttr.in" TargetMode="External"/><Relationship Id="rId372" Type="http://schemas.openxmlformats.org/officeDocument/2006/relationships/hyperlink" Target="https://github.com/getsentry/sentry-kubernetes" TargetMode="External"/><Relationship Id="rId677" Type="http://schemas.openxmlformats.org/officeDocument/2006/relationships/hyperlink" Target="https://github.com/mlcommons/training" TargetMode="External"/><Relationship Id="rId800" Type="http://schemas.openxmlformats.org/officeDocument/2006/relationships/hyperlink" Target="https://github.com/P0cL4bs/wifipumpkin3" TargetMode="External"/><Relationship Id="rId232" Type="http://schemas.openxmlformats.org/officeDocument/2006/relationships/hyperlink" Target="https://github.com/deoplete-plugins/deoplete-jedi" TargetMode="External"/><Relationship Id="rId884" Type="http://schemas.openxmlformats.org/officeDocument/2006/relationships/hyperlink" Target="https://github.com/quantumlib/OpenFermion" TargetMode="External"/><Relationship Id="rId27" Type="http://schemas.openxmlformats.org/officeDocument/2006/relationships/hyperlink" Target="https://github.com/alan-turing-institute/sktime" TargetMode="External"/><Relationship Id="rId537" Type="http://schemas.openxmlformats.org/officeDocument/2006/relationships/hyperlink" Target="https://github.com/kakaobrain/pororo" TargetMode="External"/><Relationship Id="rId744" Type="http://schemas.openxmlformats.org/officeDocument/2006/relationships/hyperlink" Target="https://github.com/nornir-automation/nornir" TargetMode="External"/><Relationship Id="rId951" Type="http://schemas.openxmlformats.org/officeDocument/2006/relationships/hyperlink" Target="https://github.com/schemathesis/schemathesis" TargetMode="External"/><Relationship Id="rId1167" Type="http://schemas.openxmlformats.org/officeDocument/2006/relationships/hyperlink" Target="https://github.com/zentralopensource/zentral" TargetMode="External"/><Relationship Id="rId80" Type="http://schemas.openxmlformats.org/officeDocument/2006/relationships/hyperlink" Target="https://github.com/aws/aws-sam-cli" TargetMode="External"/><Relationship Id="rId176" Type="http://schemas.openxmlformats.org/officeDocument/2006/relationships/hyperlink" Target="https://github.com/cleardusk/3DDFA" TargetMode="External"/><Relationship Id="rId383" Type="http://schemas.openxmlformats.org/officeDocument/2006/relationships/hyperlink" Target="https://github.com/golemfactory/clay" TargetMode="External"/><Relationship Id="rId590" Type="http://schemas.openxmlformats.org/officeDocument/2006/relationships/hyperlink" Target="https://github.com/line/promgen" TargetMode="External"/><Relationship Id="rId604" Type="http://schemas.openxmlformats.org/officeDocument/2006/relationships/hyperlink" Target="https://github.com/lowerquality/gentle" TargetMode="External"/><Relationship Id="rId811" Type="http://schemas.openxmlformats.org/officeDocument/2006/relationships/hyperlink" Target="https://github.com/pantsbuild/pex" TargetMode="External"/><Relationship Id="rId1027" Type="http://schemas.openxmlformats.org/officeDocument/2006/relationships/hyperlink" Target="https://github.com/taspinar/twitterscraper" TargetMode="External"/><Relationship Id="rId243" Type="http://schemas.openxmlformats.org/officeDocument/2006/relationships/hyperlink" Target="https://github.com/DLLXW/data-science-competition" TargetMode="External"/><Relationship Id="rId450" Type="http://schemas.openxmlformats.org/officeDocument/2006/relationships/hyperlink" Target="https://github.com/huawei-noah/Pretrained-Language-Model" TargetMode="External"/><Relationship Id="rId688" Type="http://schemas.openxmlformats.org/officeDocument/2006/relationships/hyperlink" Target="https://github.com/mozilla-services/socorro" TargetMode="External"/><Relationship Id="rId895" Type="http://schemas.openxmlformats.org/officeDocument/2006/relationships/hyperlink" Target="https://github.com/RameenAbdal/StyleFlow" TargetMode="External"/><Relationship Id="rId909" Type="http://schemas.openxmlformats.org/officeDocument/2006/relationships/hyperlink" Target="https://github.com/RhinoSecurityLabs/pacu" TargetMode="External"/><Relationship Id="rId1080" Type="http://schemas.openxmlformats.org/officeDocument/2006/relationships/hyperlink" Target="https://github.com/tsileo/microblog.pub" TargetMode="External"/><Relationship Id="rId38" Type="http://schemas.openxmlformats.org/officeDocument/2006/relationships/hyperlink" Target="https://github.com/allenai/allennlp" TargetMode="External"/><Relationship Id="rId103" Type="http://schemas.openxmlformats.org/officeDocument/2006/relationships/hyperlink" Target="https://github.com/Bitmessage/PyBitmessage" TargetMode="External"/><Relationship Id="rId310" Type="http://schemas.openxmlformats.org/officeDocument/2006/relationships/hyperlink" Target="https://github.com/fabfuel/ecs-deploy" TargetMode="External"/><Relationship Id="rId548" Type="http://schemas.openxmlformats.org/officeDocument/2006/relationships/hyperlink" Target="https://github.com/keras-team/keras-tuner" TargetMode="External"/><Relationship Id="rId755" Type="http://schemas.openxmlformats.org/officeDocument/2006/relationships/hyperlink" Target="https://github.com/oarriaga/face_classification" TargetMode="External"/><Relationship Id="rId962" Type="http://schemas.openxmlformats.org/officeDocument/2006/relationships/hyperlink" Target="https://github.com/SecureAuthCorp/impacket" TargetMode="External"/><Relationship Id="rId1178" Type="http://schemas.openxmlformats.org/officeDocument/2006/relationships/hyperlink" Target="https://github.com/zsdlove/Hades" TargetMode="External"/><Relationship Id="rId91" Type="http://schemas.openxmlformats.org/officeDocument/2006/relationships/hyperlink" Target="https://github.com/Azure/azure-sdk-for-python" TargetMode="External"/><Relationship Id="rId187" Type="http://schemas.openxmlformats.org/officeDocument/2006/relationships/hyperlink" Target="https://github.com/Conchylicultor/DeepQA" TargetMode="External"/><Relationship Id="rId394" Type="http://schemas.openxmlformats.org/officeDocument/2006/relationships/hyperlink" Target="https://github.com/google/grr" TargetMode="External"/><Relationship Id="rId408" Type="http://schemas.openxmlformats.org/officeDocument/2006/relationships/hyperlink" Target="https://github.com/GoogleCloudPlatform/PerfKitBenchmarker" TargetMode="External"/><Relationship Id="rId615" Type="http://schemas.openxmlformats.org/officeDocument/2006/relationships/hyperlink" Target="https://github.com/Maicius/QQZoneMood" TargetMode="External"/><Relationship Id="rId822" Type="http://schemas.openxmlformats.org/officeDocument/2006/relationships/hyperlink" Target="https://github.com/plajjan/vrnetlab" TargetMode="External"/><Relationship Id="rId1038" Type="http://schemas.openxmlformats.org/officeDocument/2006/relationships/hyperlink" Target="https://github.com/tensorlayer/tensorlayer" TargetMode="External"/><Relationship Id="rId254" Type="http://schemas.openxmlformats.org/officeDocument/2006/relationships/hyperlink" Target="https://github.com/donnemartin/gitsome" TargetMode="External"/><Relationship Id="rId699" Type="http://schemas.openxmlformats.org/officeDocument/2006/relationships/hyperlink" Target="https://github.com/MozillaSecurity/dharma" TargetMode="External"/><Relationship Id="rId1091" Type="http://schemas.openxmlformats.org/officeDocument/2006/relationships/hyperlink" Target="https://github.com/uber/fiber" TargetMode="External"/><Relationship Id="rId1105" Type="http://schemas.openxmlformats.org/officeDocument/2006/relationships/hyperlink" Target="https://github.com/UsergeTeam/Userge" TargetMode="External"/><Relationship Id="rId49" Type="http://schemas.openxmlformats.org/officeDocument/2006/relationships/hyperlink" Target="https://github.com/andresriancho/w3af" TargetMode="External"/><Relationship Id="rId114" Type="http://schemas.openxmlformats.org/officeDocument/2006/relationships/hyperlink" Target="https://github.com/boston-dynamics/spot-sdk" TargetMode="External"/><Relationship Id="rId461" Type="http://schemas.openxmlformats.org/officeDocument/2006/relationships/hyperlink" Target="https://github.com/hzwer/arXiv2020-RIFE" TargetMode="External"/><Relationship Id="rId559" Type="http://schemas.openxmlformats.org/officeDocument/2006/relationships/hyperlink" Target="https://github.com/Kkevsterrr/geneva" TargetMode="External"/><Relationship Id="rId766" Type="http://schemas.openxmlformats.org/officeDocument/2006/relationships/hyperlink" Target="https://github.com/open-mmlab/mmdetection3d" TargetMode="External"/><Relationship Id="rId198" Type="http://schemas.openxmlformats.org/officeDocument/2006/relationships/hyperlink" Target="https://github.com/CryptoSignal/Crypto-Signal" TargetMode="External"/><Relationship Id="rId321" Type="http://schemas.openxmlformats.org/officeDocument/2006/relationships/hyperlink" Target="https://github.com/facebookresearch/phyre" TargetMode="External"/><Relationship Id="rId419" Type="http://schemas.openxmlformats.org/officeDocument/2006/relationships/hyperlink" Target="https://github.com/graydon/bors" TargetMode="External"/><Relationship Id="rId626" Type="http://schemas.openxmlformats.org/officeDocument/2006/relationships/hyperlink" Target="https://github.com/Marten4n6/EvilOSX" TargetMode="External"/><Relationship Id="rId973" Type="http://schemas.openxmlformats.org/officeDocument/2006/relationships/hyperlink" Target="https://github.com/shenril/Sitadel" TargetMode="External"/><Relationship Id="rId1049" Type="http://schemas.openxmlformats.org/officeDocument/2006/relationships/hyperlink" Target="https://github.com/thinkst/opencanary" TargetMode="External"/><Relationship Id="rId833" Type="http://schemas.openxmlformats.org/officeDocument/2006/relationships/hyperlink" Target="https://github.com/powerfulseal/powerfulseal" TargetMode="External"/><Relationship Id="rId1116" Type="http://schemas.openxmlformats.org/officeDocument/2006/relationships/hyperlink" Target="https://github.com/voxpupuli/puppetboard" TargetMode="External"/><Relationship Id="rId265" Type="http://schemas.openxmlformats.org/officeDocument/2006/relationships/hyperlink" Target="https://github.com/dssg/aequitas" TargetMode="External"/><Relationship Id="rId472" Type="http://schemas.openxmlformats.org/officeDocument/2006/relationships/hyperlink" Target="https://github.com/implus/GFocal" TargetMode="External"/><Relationship Id="rId900" Type="http://schemas.openxmlformats.org/officeDocument/2006/relationships/hyperlink" Target="https://github.com/raveberry/raveberry" TargetMode="External"/><Relationship Id="rId125" Type="http://schemas.openxmlformats.org/officeDocument/2006/relationships/hyperlink" Target="https://github.com/burnettk/delete-docker-registry-image" TargetMode="External"/><Relationship Id="rId332" Type="http://schemas.openxmlformats.org/officeDocument/2006/relationships/hyperlink" Target="https://github.com/fennerm/flashfocus" TargetMode="External"/><Relationship Id="rId777" Type="http://schemas.openxmlformats.org/officeDocument/2006/relationships/hyperlink" Target="https://github.com/openbmc/openbmc" TargetMode="External"/><Relationship Id="rId984" Type="http://schemas.openxmlformats.org/officeDocument/2006/relationships/hyperlink" Target="https://github.com/sirfz/tesserocr" TargetMode="External"/><Relationship Id="rId637" Type="http://schemas.openxmlformats.org/officeDocument/2006/relationships/hyperlink" Target="https://github.com/Melissa-AI/Melissa-Core" TargetMode="External"/><Relationship Id="rId844" Type="http://schemas.openxmlformats.org/officeDocument/2006/relationships/hyperlink" Target="https://github.com/psf/black" TargetMode="External"/><Relationship Id="rId276" Type="http://schemas.openxmlformats.org/officeDocument/2006/relationships/hyperlink" Target="https://github.com/elastic/curator" TargetMode="External"/><Relationship Id="rId483" Type="http://schemas.openxmlformats.org/officeDocument/2006/relationships/hyperlink" Target="https://github.com/its-a-feature/Mythic" TargetMode="External"/><Relationship Id="rId690" Type="http://schemas.openxmlformats.org/officeDocument/2006/relationships/hyperlink" Target="https://github.com/mozilla/addons-server" TargetMode="External"/><Relationship Id="rId704" Type="http://schemas.openxmlformats.org/officeDocument/2006/relationships/hyperlink" Target="https://github.com/mushorg/conpot" TargetMode="External"/><Relationship Id="rId911" Type="http://schemas.openxmlformats.org/officeDocument/2006/relationships/hyperlink" Target="https://github.com/Rhizome-Conifer/conifer" TargetMode="External"/><Relationship Id="rId1127" Type="http://schemas.openxmlformats.org/officeDocument/2006/relationships/hyperlink" Target="https://github.com/weskerfoot/DeleteFB" TargetMode="External"/><Relationship Id="rId40" Type="http://schemas.openxmlformats.org/officeDocument/2006/relationships/hyperlink" Target="https://github.com/allenai/writing-code-for-nlp-research-emnlp2018" TargetMode="External"/><Relationship Id="rId136" Type="http://schemas.openxmlformats.org/officeDocument/2006/relationships/hyperlink" Target="https://github.com/cbfinn/maml_rl" TargetMode="External"/><Relationship Id="rId343" Type="http://schemas.openxmlformats.org/officeDocument/2006/relationships/hyperlink" Target="https://github.com/flow-project/flow" TargetMode="External"/><Relationship Id="rId550" Type="http://schemas.openxmlformats.org/officeDocument/2006/relationships/hyperlink" Target="https://github.com/kevthehermit/PasteHunter" TargetMode="External"/><Relationship Id="rId788" Type="http://schemas.openxmlformats.org/officeDocument/2006/relationships/hyperlink" Target="https://github.com/optuna/optuna" TargetMode="External"/><Relationship Id="rId995" Type="http://schemas.openxmlformats.org/officeDocument/2006/relationships/hyperlink" Target="https://github.com/spesmilo/electrum" TargetMode="External"/><Relationship Id="rId1180" Type="http://schemas.openxmlformats.org/officeDocument/2006/relationships/hyperlink" Target="https://github.com/zulip/zulip" TargetMode="External"/><Relationship Id="rId203" Type="http://schemas.openxmlformats.org/officeDocument/2006/relationships/hyperlink" Target="https://github.com/cvg/Hierarchical-Localization" TargetMode="External"/><Relationship Id="rId648" Type="http://schemas.openxmlformats.org/officeDocument/2006/relationships/hyperlink" Target="https://github.com/microsoft/DeBERTa" TargetMode="External"/><Relationship Id="rId855" Type="http://schemas.openxmlformats.org/officeDocument/2006/relationships/hyperlink" Target="https://github.com/pyinstaller/pyinstaller" TargetMode="External"/><Relationship Id="rId1040" Type="http://schemas.openxmlformats.org/officeDocument/2006/relationships/hyperlink" Target="https://github.com/tensortrade-org/tensortrade" TargetMode="External"/><Relationship Id="rId287" Type="http://schemas.openxmlformats.org/officeDocument/2006/relationships/hyperlink" Target="https://github.com/epinna/tplmap" TargetMode="External"/><Relationship Id="rId410" Type="http://schemas.openxmlformats.org/officeDocument/2006/relationships/hyperlink" Target="https://github.com/GoogleCloudPlatform/python-docs-samples" TargetMode="External"/><Relationship Id="rId494" Type="http://schemas.openxmlformats.org/officeDocument/2006/relationships/hyperlink" Target="https://github.com/jaraco/keyring" TargetMode="External"/><Relationship Id="rId508" Type="http://schemas.openxmlformats.org/officeDocument/2006/relationships/hyperlink" Target="https://github.com/jina-ai/jina" TargetMode="External"/><Relationship Id="rId715" Type="http://schemas.openxmlformats.org/officeDocument/2006/relationships/hyperlink" Target="https://github.com/napari/napari" TargetMode="External"/><Relationship Id="rId922" Type="http://schemas.openxmlformats.org/officeDocument/2006/relationships/hyperlink" Target="https://github.com/ronghanghu/seg_every_thing" TargetMode="External"/><Relationship Id="rId1138" Type="http://schemas.openxmlformats.org/officeDocument/2006/relationships/hyperlink" Target="https://github.com/X-DataInitiative/tick" TargetMode="External"/><Relationship Id="rId147" Type="http://schemas.openxmlformats.org/officeDocument/2006/relationships/hyperlink" Target="https://github.com/certbot/certbot" TargetMode="External"/><Relationship Id="rId354" Type="http://schemas.openxmlformats.org/officeDocument/2006/relationships/hyperlink" Target="https://github.com/FreeOpcUa/python-opcua" TargetMode="External"/><Relationship Id="rId799" Type="http://schemas.openxmlformats.org/officeDocument/2006/relationships/hyperlink" Target="https://github.com/ozhiwei/SmartProxyPool" TargetMode="External"/><Relationship Id="rId51" Type="http://schemas.openxmlformats.org/officeDocument/2006/relationships/hyperlink" Target="https://github.com/angr/rex" TargetMode="External"/><Relationship Id="rId561" Type="http://schemas.openxmlformats.org/officeDocument/2006/relationships/hyperlink" Target="https://github.com/knipknap/SpiffWorkflow" TargetMode="External"/><Relationship Id="rId659" Type="http://schemas.openxmlformats.org/officeDocument/2006/relationships/hyperlink" Target="https://github.com/miguelgrinberg/microblog" TargetMode="External"/><Relationship Id="rId866" Type="http://schemas.openxmlformats.org/officeDocument/2006/relationships/hyperlink" Target="https://github.com/python-discord/bot" TargetMode="External"/><Relationship Id="rId214" Type="http://schemas.openxmlformats.org/officeDocument/2006/relationships/hyperlink" Target="https://github.com/datafolklabs/cement" TargetMode="External"/><Relationship Id="rId298" Type="http://schemas.openxmlformats.org/officeDocument/2006/relationships/hyperlink" Target="https://github.com/EthVentures/CryptoTracker" TargetMode="External"/><Relationship Id="rId421" Type="http://schemas.openxmlformats.org/officeDocument/2006/relationships/hyperlink" Target="https://github.com/grow/grow" TargetMode="External"/><Relationship Id="rId519" Type="http://schemas.openxmlformats.org/officeDocument/2006/relationships/hyperlink" Target="https://github.com/josiahcarlson/redis-in-action" TargetMode="External"/><Relationship Id="rId1051" Type="http://schemas.openxmlformats.org/officeDocument/2006/relationships/hyperlink" Target="https://github.com/thp/urlwatch" TargetMode="External"/><Relationship Id="rId1149" Type="http://schemas.openxmlformats.org/officeDocument/2006/relationships/hyperlink" Target="https://github.com/yasinkuyu/binance-trader" TargetMode="External"/><Relationship Id="rId158" Type="http://schemas.openxmlformats.org/officeDocument/2006/relationships/hyperlink" Target="https://github.com/chemprop/chemprop" TargetMode="External"/><Relationship Id="rId726" Type="http://schemas.openxmlformats.org/officeDocument/2006/relationships/hyperlink" Target="https://github.com/Netflix-Skunkworks/stethoscope" TargetMode="External"/><Relationship Id="rId933" Type="http://schemas.openxmlformats.org/officeDocument/2006/relationships/hyperlink" Target="https://github.com/s3ql/s3ql" TargetMode="External"/><Relationship Id="rId1009" Type="http://schemas.openxmlformats.org/officeDocument/2006/relationships/hyperlink" Target="https://github.com/stevenleeg/geemusic" TargetMode="External"/><Relationship Id="rId62" Type="http://schemas.openxmlformats.org/officeDocument/2006/relationships/hyperlink" Target="https://github.com/apache/superset" TargetMode="External"/><Relationship Id="rId365" Type="http://schemas.openxmlformats.org/officeDocument/2006/relationships/hyperlink" Target="https://github.com/gautamajay52/TorrentLeech-Gdrive" TargetMode="External"/><Relationship Id="rId572" Type="http://schemas.openxmlformats.org/officeDocument/2006/relationships/hyperlink" Target="https://github.com/kubernetes-client/python" TargetMode="External"/><Relationship Id="rId225" Type="http://schemas.openxmlformats.org/officeDocument/2006/relationships/hyperlink" Target="https://github.com/deepdrive/deepdrive" TargetMode="External"/><Relationship Id="rId432" Type="http://schemas.openxmlformats.org/officeDocument/2006/relationships/hyperlink" Target="https://github.com/hacs/integration" TargetMode="External"/><Relationship Id="rId877" Type="http://schemas.openxmlformats.org/officeDocument/2006/relationships/hyperlink" Target="https://github.com/PyTorchLightning/pytorch-lightning" TargetMode="External"/><Relationship Id="rId1062" Type="http://schemas.openxmlformats.org/officeDocument/2006/relationships/hyperlink" Target="https://github.com/TomasTomecek/sen" TargetMode="External"/><Relationship Id="rId737" Type="http://schemas.openxmlformats.org/officeDocument/2006/relationships/hyperlink" Target="https://github.com/nginx-proxy/nginx-proxy" TargetMode="External"/><Relationship Id="rId944" Type="http://schemas.openxmlformats.org/officeDocument/2006/relationships/hyperlink" Target="https://github.com/sanic-org/sanic" TargetMode="External"/><Relationship Id="rId73" Type="http://schemas.openxmlformats.org/officeDocument/2006/relationships/hyperlink" Target="https://github.com/avatartwo/avatar2" TargetMode="External"/><Relationship Id="rId169" Type="http://schemas.openxmlformats.org/officeDocument/2006/relationships/hyperlink" Target="https://github.com/cisco/mindmeld" TargetMode="External"/><Relationship Id="rId376" Type="http://schemas.openxmlformats.org/officeDocument/2006/relationships/hyperlink" Target="https://github.com/Giphy/celeb-detection-oss" TargetMode="External"/><Relationship Id="rId583" Type="http://schemas.openxmlformats.org/officeDocument/2006/relationships/hyperlink" Target="https://github.com/leeroybrun/glacier-vault-remove" TargetMode="External"/><Relationship Id="rId790" Type="http://schemas.openxmlformats.org/officeDocument/2006/relationships/hyperlink" Target="https://github.com/osmr/imgclsmob" TargetMode="External"/><Relationship Id="rId804" Type="http://schemas.openxmlformats.org/officeDocument/2006/relationships/hyperlink" Target="https://github.com/PaddlePaddle/PaddleOCR" TargetMode="External"/><Relationship Id="rId4" Type="http://schemas.openxmlformats.org/officeDocument/2006/relationships/hyperlink" Target="https://github.com/1adrianb/face-alignment" TargetMode="External"/><Relationship Id="rId236" Type="http://schemas.openxmlformats.org/officeDocument/2006/relationships/hyperlink" Target="https://github.com/dimagi/commcare-hq" TargetMode="External"/><Relationship Id="rId443" Type="http://schemas.openxmlformats.org/officeDocument/2006/relationships/hyperlink" Target="https://github.com/hjacobs/kube-downscaler" TargetMode="External"/><Relationship Id="rId650" Type="http://schemas.openxmlformats.org/officeDocument/2006/relationships/hyperlink" Target="https://github.com/microsoft/fastformers" TargetMode="External"/><Relationship Id="rId888" Type="http://schemas.openxmlformats.org/officeDocument/2006/relationships/hyperlink" Target="https://github.com/quic/aimet" TargetMode="External"/><Relationship Id="rId1073" Type="http://schemas.openxmlformats.org/officeDocument/2006/relationships/hyperlink" Target="https://github.com/traveller59/second.pytorch" TargetMode="External"/><Relationship Id="rId303" Type="http://schemas.openxmlformats.org/officeDocument/2006/relationships/hyperlink" Target="https://github.com/Exa-Networks/exabgp" TargetMode="External"/><Relationship Id="rId748" Type="http://schemas.openxmlformats.org/officeDocument/2006/relationships/hyperlink" Target="https://github.com/nv-tlabs/GSCNN" TargetMode="External"/><Relationship Id="rId955" Type="http://schemas.openxmlformats.org/officeDocument/2006/relationships/hyperlink" Target="https://github.com/scragg0x/realms-wiki" TargetMode="External"/><Relationship Id="rId1140" Type="http://schemas.openxmlformats.org/officeDocument/2006/relationships/hyperlink" Target="https://github.com/xillwillx/skiptracer" TargetMode="External"/><Relationship Id="rId84" Type="http://schemas.openxmlformats.org/officeDocument/2006/relationships/hyperlink" Target="https://github.com/awslabs/aws-deployment-framework" TargetMode="External"/><Relationship Id="rId387" Type="http://schemas.openxmlformats.org/officeDocument/2006/relationships/hyperlink" Target="https://github.com/google/brain-tokyo-workshop" TargetMode="External"/><Relationship Id="rId510" Type="http://schemas.openxmlformats.org/officeDocument/2006/relationships/hyperlink" Target="https://github.com/jiny2001/dcscn-super-resolution" TargetMode="External"/><Relationship Id="rId594" Type="http://schemas.openxmlformats.org/officeDocument/2006/relationships/hyperlink" Target="https://github.com/LinOTP/LinOTP" TargetMode="External"/><Relationship Id="rId608" Type="http://schemas.openxmlformats.org/officeDocument/2006/relationships/hyperlink" Target="https://github.com/lyft/confidant" TargetMode="External"/><Relationship Id="rId815" Type="http://schemas.openxmlformats.org/officeDocument/2006/relationships/hyperlink" Target="https://github.com/PeizeSun/OneNet" TargetMode="External"/><Relationship Id="rId247" Type="http://schemas.openxmlformats.org/officeDocument/2006/relationships/hyperlink" Target="https://github.com/dnsviz/dnsviz" TargetMode="External"/><Relationship Id="rId899" Type="http://schemas.openxmlformats.org/officeDocument/2006/relationships/hyperlink" Target="https://github.com/RasaHQ/rasa-demo" TargetMode="External"/><Relationship Id="rId1000" Type="http://schemas.openxmlformats.org/officeDocument/2006/relationships/hyperlink" Target="https://github.com/spotify/dh-virtualenv" TargetMode="External"/><Relationship Id="rId1084" Type="http://schemas.openxmlformats.org/officeDocument/2006/relationships/hyperlink" Target="https://github.com/turicas/covid19-br" TargetMode="External"/><Relationship Id="rId107" Type="http://schemas.openxmlformats.org/officeDocument/2006/relationships/hyperlink" Target="https://github.com/blockchain-certificates/cert-issuer" TargetMode="External"/><Relationship Id="rId454" Type="http://schemas.openxmlformats.org/officeDocument/2006/relationships/hyperlink" Target="https://github.com/hukkelas/DeepPrivacy" TargetMode="External"/><Relationship Id="rId661" Type="http://schemas.openxmlformats.org/officeDocument/2006/relationships/hyperlink" Target="https://github.com/mikedh/trimesh" TargetMode="External"/><Relationship Id="rId759" Type="http://schemas.openxmlformats.org/officeDocument/2006/relationships/hyperlink" Target="https://github.com/ohld/igbot" TargetMode="External"/><Relationship Id="rId966" Type="http://schemas.openxmlformats.org/officeDocument/2006/relationships/hyperlink" Target="https://github.com/seleniumbase/SeleniumBase" TargetMode="External"/><Relationship Id="rId11" Type="http://schemas.openxmlformats.org/officeDocument/2006/relationships/hyperlink" Target="https://github.com/achillesrasquinha/pipupgrade" TargetMode="External"/><Relationship Id="rId314" Type="http://schemas.openxmlformats.org/officeDocument/2006/relationships/hyperlink" Target="https://github.com/facebookresearch/DetectAndTrack" TargetMode="External"/><Relationship Id="rId398" Type="http://schemas.openxmlformats.org/officeDocument/2006/relationships/hyperlink" Target="https://github.com/google/tf-quant-finance" TargetMode="External"/><Relationship Id="rId521" Type="http://schemas.openxmlformats.org/officeDocument/2006/relationships/hyperlink" Target="https://github.com/jumpserver/jumpserver" TargetMode="External"/><Relationship Id="rId619" Type="http://schemas.openxmlformats.org/officeDocument/2006/relationships/hyperlink" Target="https://github.com/manateelazycat/emacs-application-framework" TargetMode="External"/><Relationship Id="rId1151" Type="http://schemas.openxmlformats.org/officeDocument/2006/relationships/hyperlink" Target="https://github.com/ycm-core/YouCompleteMe" TargetMode="External"/><Relationship Id="rId95" Type="http://schemas.openxmlformats.org/officeDocument/2006/relationships/hyperlink" Target="https://github.com/bchew/dynamodump" TargetMode="External"/><Relationship Id="rId160" Type="http://schemas.openxmlformats.org/officeDocument/2006/relationships/hyperlink" Target="https://github.com/ChenRocks/UNITER" TargetMode="External"/><Relationship Id="rId826" Type="http://schemas.openxmlformats.org/officeDocument/2006/relationships/hyperlink" Target="https://github.com/polakowo/vectorbt" TargetMode="External"/><Relationship Id="rId1011" Type="http://schemas.openxmlformats.org/officeDocument/2006/relationships/hyperlink" Target="https://github.com/striver-ing/wechat-spider" TargetMode="External"/><Relationship Id="rId1109" Type="http://schemas.openxmlformats.org/officeDocument/2006/relationships/hyperlink" Target="https://github.com/v55448330/lazy-balancer" TargetMode="External"/><Relationship Id="rId258" Type="http://schemas.openxmlformats.org/officeDocument/2006/relationships/hyperlink" Target="https://github.com/dpgaspar/Flask-AppBuilder" TargetMode="External"/><Relationship Id="rId465" Type="http://schemas.openxmlformats.org/officeDocument/2006/relationships/hyperlink" Target="https://github.com/icloud-photos-downloader/icloud_photos_downloader" TargetMode="External"/><Relationship Id="rId672" Type="http://schemas.openxmlformats.org/officeDocument/2006/relationships/hyperlink" Target="https://github.com/mitre/caldera" TargetMode="External"/><Relationship Id="rId1095" Type="http://schemas.openxmlformats.org/officeDocument/2006/relationships/hyperlink" Target="https://github.com/UKPLab/elmo-bilstm-cnn-crf" TargetMode="External"/><Relationship Id="rId22" Type="http://schemas.openxmlformats.org/officeDocument/2006/relationships/hyperlink" Target="https://github.com/aio-libs/aiokafka" TargetMode="External"/><Relationship Id="rId118" Type="http://schemas.openxmlformats.org/officeDocument/2006/relationships/hyperlink" Target="https://github.com/brndnmtthws/thetagang" TargetMode="External"/><Relationship Id="rId325" Type="http://schemas.openxmlformats.org/officeDocument/2006/relationships/hyperlink" Target="https://github.com/faucetsdn/faucet" TargetMode="External"/><Relationship Id="rId532" Type="http://schemas.openxmlformats.org/officeDocument/2006/relationships/hyperlink" Target="https://github.com/jupyterhub/zero-to-jupyterhub-k8s" TargetMode="External"/><Relationship Id="rId977" Type="http://schemas.openxmlformats.org/officeDocument/2006/relationships/hyperlink" Target="https://github.com/shuup/shuup" TargetMode="External"/><Relationship Id="rId1162" Type="http://schemas.openxmlformats.org/officeDocument/2006/relationships/hyperlink" Target="https://github.com/ysrc/GourdScanV2" TargetMode="External"/><Relationship Id="rId171" Type="http://schemas.openxmlformats.org/officeDocument/2006/relationships/hyperlink" Target="https://github.com/ciur/papermerge" TargetMode="External"/><Relationship Id="rId837" Type="http://schemas.openxmlformats.org/officeDocument/2006/relationships/hyperlink" Target="https://github.com/pre-commit/pre-commit" TargetMode="External"/><Relationship Id="rId1022" Type="http://schemas.openxmlformats.org/officeDocument/2006/relationships/hyperlink" Target="https://github.com/tankywoo/simiki" TargetMode="External"/><Relationship Id="rId269" Type="http://schemas.openxmlformats.org/officeDocument/2006/relationships/hyperlink" Target="https://github.com/ebhy/budgetml" TargetMode="External"/><Relationship Id="rId476" Type="http://schemas.openxmlformats.org/officeDocument/2006/relationships/hyperlink" Target="https://github.com/IntelLabs/coach" TargetMode="External"/><Relationship Id="rId683" Type="http://schemas.openxmlformats.org/officeDocument/2006/relationships/hyperlink" Target="https://github.com/modin-project/modin" TargetMode="External"/><Relationship Id="rId890" Type="http://schemas.openxmlformats.org/officeDocument/2006/relationships/hyperlink" Target="https://github.com/quokkaproject/quokka" TargetMode="External"/><Relationship Id="rId904" Type="http://schemas.openxmlformats.org/officeDocument/2006/relationships/hyperlink" Target="https://github.com/realgam3/pymultitor" TargetMode="External"/><Relationship Id="rId33" Type="http://schemas.openxmlformats.org/officeDocument/2006/relationships/hyperlink" Target="https://github.com/alibaba/flink-ai-extended" TargetMode="External"/><Relationship Id="rId129" Type="http://schemas.openxmlformats.org/officeDocument/2006/relationships/hyperlink" Target="https://github.com/byt3bl33d3r/WitnessMe" TargetMode="External"/><Relationship Id="rId336" Type="http://schemas.openxmlformats.org/officeDocument/2006/relationships/hyperlink" Target="https://github.com/fishtown-analytics/dbt" TargetMode="External"/><Relationship Id="rId543" Type="http://schemas.openxmlformats.org/officeDocument/2006/relationships/hyperlink" Target="https://github.com/keiohta/tf2rl" TargetMode="External"/><Relationship Id="rId988" Type="http://schemas.openxmlformats.org/officeDocument/2006/relationships/hyperlink" Target="https://github.com/smicallef/spiderfoot" TargetMode="External"/><Relationship Id="rId1173" Type="http://schemas.openxmlformats.org/officeDocument/2006/relationships/hyperlink" Target="https://github.com/Zhongdao/Towards-Realtime-MOT" TargetMode="External"/><Relationship Id="rId182" Type="http://schemas.openxmlformats.org/officeDocument/2006/relationships/hyperlink" Target="https://github.com/cobbler/cobbler" TargetMode="External"/><Relationship Id="rId403" Type="http://schemas.openxmlformats.org/officeDocument/2006/relationships/hyperlink" Target="https://github.com/GoogleCloudPlatform/cloudml-samples" TargetMode="External"/><Relationship Id="rId750" Type="http://schemas.openxmlformats.org/officeDocument/2006/relationships/hyperlink" Target="https://github.com/NVIDIAGameWorks/kaolin" TargetMode="External"/><Relationship Id="rId848" Type="http://schemas.openxmlformats.org/officeDocument/2006/relationships/hyperlink" Target="https://github.com/PUNCH-Cyber/stoq" TargetMode="External"/><Relationship Id="rId1033" Type="http://schemas.openxmlformats.org/officeDocument/2006/relationships/hyperlink" Target="https://github.com/tensorflow/federated" TargetMode="External"/><Relationship Id="rId487" Type="http://schemas.openxmlformats.org/officeDocument/2006/relationships/hyperlink" Target="https://github.com/j96w/DenseFusion" TargetMode="External"/><Relationship Id="rId610" Type="http://schemas.openxmlformats.org/officeDocument/2006/relationships/hyperlink" Target="https://github.com/lzzy12/python-aria-mirror-bot" TargetMode="External"/><Relationship Id="rId694" Type="http://schemas.openxmlformats.org/officeDocument/2006/relationships/hyperlink" Target="https://github.com/mozilla/ichnaea" TargetMode="External"/><Relationship Id="rId708" Type="http://schemas.openxmlformats.org/officeDocument/2006/relationships/hyperlink" Target="https://github.com/mwielgoszewski/doorman" TargetMode="External"/><Relationship Id="rId915" Type="http://schemas.openxmlformats.org/officeDocument/2006/relationships/hyperlink" Target="https://github.com/RiotGames/cloud-inquisitor" TargetMode="External"/><Relationship Id="rId347" Type="http://schemas.openxmlformats.org/officeDocument/2006/relationships/hyperlink" Target="https://github.com/fossasia/open-event-legacy" TargetMode="External"/><Relationship Id="rId999" Type="http://schemas.openxmlformats.org/officeDocument/2006/relationships/hyperlink" Target="https://github.com/splunk/splunk-sdk-python" TargetMode="External"/><Relationship Id="rId1100" Type="http://schemas.openxmlformats.org/officeDocument/2006/relationships/hyperlink" Target="https://github.com/unit8co/darts" TargetMode="External"/><Relationship Id="rId44" Type="http://schemas.openxmlformats.org/officeDocument/2006/relationships/hyperlink" Target="https://github.com/amirassov/kaggle-imaterialist" TargetMode="External"/><Relationship Id="rId554" Type="http://schemas.openxmlformats.org/officeDocument/2006/relationships/hyperlink" Target="https://github.com/kibitzr/kibitzr" TargetMode="External"/><Relationship Id="rId761" Type="http://schemas.openxmlformats.org/officeDocument/2006/relationships/hyperlink" Target="https://github.com/okigan/awscurl" TargetMode="External"/><Relationship Id="rId859" Type="http://schemas.openxmlformats.org/officeDocument/2006/relationships/hyperlink" Target="https://github.com/pymedusa/Medusa" TargetMode="External"/><Relationship Id="rId193" Type="http://schemas.openxmlformats.org/officeDocument/2006/relationships/hyperlink" Target="https://github.com/CorralPeltzer/newTrackon" TargetMode="External"/><Relationship Id="rId207" Type="http://schemas.openxmlformats.org/officeDocument/2006/relationships/hyperlink" Target="https://github.com/damianmoore/photonix" TargetMode="External"/><Relationship Id="rId414" Type="http://schemas.openxmlformats.org/officeDocument/2006/relationships/hyperlink" Target="https://github.com/grapheneX/grapheneX" TargetMode="External"/><Relationship Id="rId498" Type="http://schemas.openxmlformats.org/officeDocument/2006/relationships/hyperlink" Target="https://github.com/jbarlow83/OCRmyPDF" TargetMode="External"/><Relationship Id="rId621" Type="http://schemas.openxmlformats.org/officeDocument/2006/relationships/hyperlink" Target="https://github.com/mantl/mantl" TargetMode="External"/><Relationship Id="rId1044" Type="http://schemas.openxmlformats.org/officeDocument/2006/relationships/hyperlink" Target="https://github.com/tgbot-collection/YYeTsBot" TargetMode="External"/><Relationship Id="rId260" Type="http://schemas.openxmlformats.org/officeDocument/2006/relationships/hyperlink" Target="https://github.com/DragonComputer/Dragonfire" TargetMode="External"/><Relationship Id="rId719" Type="http://schemas.openxmlformats.org/officeDocument/2006/relationships/hyperlink" Target="https://github.com/nccgroup/Winpayloads" TargetMode="External"/><Relationship Id="rId926" Type="http://schemas.openxmlformats.org/officeDocument/2006/relationships/hyperlink" Target="https://github.com/rq/rq" TargetMode="External"/><Relationship Id="rId1111" Type="http://schemas.openxmlformats.org/officeDocument/2006/relationships/hyperlink" Target="https://github.com/videoflow/videoflow" TargetMode="External"/><Relationship Id="rId55" Type="http://schemas.openxmlformats.org/officeDocument/2006/relationships/hyperlink" Target="https://github.com/ansible/ansible-runner" TargetMode="External"/><Relationship Id="rId120" Type="http://schemas.openxmlformats.org/officeDocument/2006/relationships/hyperlink" Target="https://github.com/buffer/thug" TargetMode="External"/><Relationship Id="rId358" Type="http://schemas.openxmlformats.org/officeDocument/2006/relationships/hyperlink" Target="https://github.com/FSecureLABS/drozer" TargetMode="External"/><Relationship Id="rId565" Type="http://schemas.openxmlformats.org/officeDocument/2006/relationships/hyperlink" Target="https://github.com/koursaros-ai/nboost" TargetMode="External"/><Relationship Id="rId772" Type="http://schemas.openxmlformats.org/officeDocument/2006/relationships/hyperlink" Target="https://github.com/openai/baselines" TargetMode="External"/><Relationship Id="rId218" Type="http://schemas.openxmlformats.org/officeDocument/2006/relationships/hyperlink" Target="https://github.com/david8862/keras-YOLOv3-model-set" TargetMode="External"/><Relationship Id="rId425" Type="http://schemas.openxmlformats.org/officeDocument/2006/relationships/hyperlink" Target="https://github.com/guildai/guildai" TargetMode="External"/><Relationship Id="rId632" Type="http://schemas.openxmlformats.org/officeDocument/2006/relationships/hyperlink" Target="https://github.com/mdn/kuma" TargetMode="External"/><Relationship Id="rId1055" Type="http://schemas.openxmlformats.org/officeDocument/2006/relationships/hyperlink" Target="https://github.com/tiangolo/fastapi" TargetMode="External"/><Relationship Id="rId271" Type="http://schemas.openxmlformats.org/officeDocument/2006/relationships/hyperlink" Target="https://github.com/edx/configuration" TargetMode="External"/><Relationship Id="rId937" Type="http://schemas.openxmlformats.org/officeDocument/2006/relationships/hyperlink" Target="https://github.com/sahana/eden" TargetMode="External"/><Relationship Id="rId1122" Type="http://schemas.openxmlformats.org/officeDocument/2006/relationships/hyperlink" Target="https://github.com/web2py/web2py" TargetMode="External"/><Relationship Id="rId66" Type="http://schemas.openxmlformats.org/officeDocument/2006/relationships/hyperlink" Target="https://github.com/aquasecurity/kube-hunter" TargetMode="External"/><Relationship Id="rId131" Type="http://schemas.openxmlformats.org/officeDocument/2006/relationships/hyperlink" Target="https://github.com/bytedance/fedlearner" TargetMode="External"/><Relationship Id="rId369" Type="http://schemas.openxmlformats.org/officeDocument/2006/relationships/hyperlink" Target="https://github.com/getredash/redash" TargetMode="External"/><Relationship Id="rId576" Type="http://schemas.openxmlformats.org/officeDocument/2006/relationships/hyperlink" Target="https://github.com/l3uddz/traktarr" TargetMode="External"/><Relationship Id="rId783" Type="http://schemas.openxmlformats.org/officeDocument/2006/relationships/hyperlink" Target="https://github.com/openstack/cinder" TargetMode="External"/><Relationship Id="rId990" Type="http://schemas.openxmlformats.org/officeDocument/2006/relationships/hyperlink" Target="https://github.com/snapcore/snapcraft" TargetMode="External"/><Relationship Id="rId229" Type="http://schemas.openxmlformats.org/officeDocument/2006/relationships/hyperlink" Target="https://github.com/deis/deis" TargetMode="External"/><Relationship Id="rId436" Type="http://schemas.openxmlformats.org/officeDocument/2006/relationships/hyperlink" Target="https://github.com/hanxiao/bert-as-service" TargetMode="External"/><Relationship Id="rId643" Type="http://schemas.openxmlformats.org/officeDocument/2006/relationships/hyperlink" Target="https://github.com/mhallsmoore/qstrader" TargetMode="External"/><Relationship Id="rId1066" Type="http://schemas.openxmlformats.org/officeDocument/2006/relationships/hyperlink" Target="https://github.com/TophantTechnology/ARL" TargetMode="External"/><Relationship Id="rId850" Type="http://schemas.openxmlformats.org/officeDocument/2006/relationships/hyperlink" Target="https://github.com/pycook/cmdb" TargetMode="External"/><Relationship Id="rId948" Type="http://schemas.openxmlformats.org/officeDocument/2006/relationships/hyperlink" Target="https://github.com/scalingexcellence/scrapybook" TargetMode="External"/><Relationship Id="rId1133" Type="http://schemas.openxmlformats.org/officeDocument/2006/relationships/hyperlink" Target="https://github.com/witten/borgmatic" TargetMode="External"/><Relationship Id="rId77" Type="http://schemas.openxmlformats.org/officeDocument/2006/relationships/hyperlink" Target="https://github.com/aws-samples/aws-cdk-examples" TargetMode="External"/><Relationship Id="rId282" Type="http://schemas.openxmlformats.org/officeDocument/2006/relationships/hyperlink" Target="http://pretrained.ml/" TargetMode="External"/><Relationship Id="rId503" Type="http://schemas.openxmlformats.org/officeDocument/2006/relationships/hyperlink" Target="https://github.com/jeffzh3ng/fuxi" TargetMode="External"/><Relationship Id="rId587" Type="http://schemas.openxmlformats.org/officeDocument/2006/relationships/hyperlink" Target="https://github.com/liberapay/liberapay.com" TargetMode="External"/><Relationship Id="rId710" Type="http://schemas.openxmlformats.org/officeDocument/2006/relationships/hyperlink" Target="https://github.com/Naategh/PyCk" TargetMode="External"/><Relationship Id="rId808" Type="http://schemas.openxmlformats.org/officeDocument/2006/relationships/hyperlink" Target="https://github.com/pahaz/sshtunnel" TargetMode="External"/><Relationship Id="rId8" Type="http://schemas.openxmlformats.org/officeDocument/2006/relationships/hyperlink" Target="http://proxy.py/" TargetMode="External"/><Relationship Id="rId142" Type="http://schemas.openxmlformats.org/officeDocument/2006/relationships/hyperlink" Target="https://github.com/cea-sec/Sibyl" TargetMode="External"/><Relationship Id="rId447" Type="http://schemas.openxmlformats.org/officeDocument/2006/relationships/hyperlink" Target="https://github.com/home-assistant/supervisor" TargetMode="External"/><Relationship Id="rId794" Type="http://schemas.openxmlformats.org/officeDocument/2006/relationships/hyperlink" Target="https://github.com/outflanknl/RedELK" TargetMode="External"/><Relationship Id="rId1077" Type="http://schemas.openxmlformats.org/officeDocument/2006/relationships/hyperlink" Target="https://github.com/Trusted-AI/adversarial-robustness-toolbox" TargetMode="External"/><Relationship Id="rId654" Type="http://schemas.openxmlformats.org/officeDocument/2006/relationships/hyperlink" Target="https://github.com/microsoft/presidio" TargetMode="External"/><Relationship Id="rId861" Type="http://schemas.openxmlformats.org/officeDocument/2006/relationships/hyperlink" Target="https://github.com/pyouroboros/ouroboros" TargetMode="External"/><Relationship Id="rId959" Type="http://schemas.openxmlformats.org/officeDocument/2006/relationships/hyperlink" Target="https://github.com/SeanNaren/deepspeech.pytorch" TargetMode="External"/><Relationship Id="rId293" Type="http://schemas.openxmlformats.org/officeDocument/2006/relationships/hyperlink" Target="https://github.com/espnet/espnet" TargetMode="External"/><Relationship Id="rId307" Type="http://schemas.openxmlformats.org/officeDocument/2006/relationships/hyperlink" Target="https://github.com/ExpDev07/coronavirus-tracker-api" TargetMode="External"/><Relationship Id="rId514" Type="http://schemas.openxmlformats.org/officeDocument/2006/relationships/hyperlink" Target="https://github.com/JohnHammond/katana" TargetMode="External"/><Relationship Id="rId721" Type="http://schemas.openxmlformats.org/officeDocument/2006/relationships/hyperlink" Target="https://github.com/neo4j/neo4j-python-driver" TargetMode="External"/><Relationship Id="rId1144" Type="http://schemas.openxmlformats.org/officeDocument/2006/relationships/hyperlink" Target="https://github.com/xsren/wx_taobao_fanli" TargetMode="External"/><Relationship Id="rId88" Type="http://schemas.openxmlformats.org/officeDocument/2006/relationships/hyperlink" Target="https://github.com/awslabs/sockeye" TargetMode="External"/><Relationship Id="rId153" Type="http://schemas.openxmlformats.org/officeDocument/2006/relationships/hyperlink" Target="https://github.com/Chaosthebot/Chaos" TargetMode="External"/><Relationship Id="rId360" Type="http://schemas.openxmlformats.org/officeDocument/2006/relationships/hyperlink" Target="https://github.com/GadgetReactor/pyHS100" TargetMode="External"/><Relationship Id="rId598" Type="http://schemas.openxmlformats.org/officeDocument/2006/relationships/hyperlink" Target="https://github.com/lmco/laikaboss" TargetMode="External"/><Relationship Id="rId819" Type="http://schemas.openxmlformats.org/officeDocument/2006/relationships/hyperlink" Target="https://github.com/pixie-labs/pixie" TargetMode="External"/><Relationship Id="rId1004" Type="http://schemas.openxmlformats.org/officeDocument/2006/relationships/hyperlink" Target="https://github.com/sql-machine-learning/elasticdl" TargetMode="External"/><Relationship Id="rId220" Type="http://schemas.openxmlformats.org/officeDocument/2006/relationships/hyperlink" Target="https://github.com/dbcli/mssql-cli" TargetMode="External"/><Relationship Id="rId458" Type="http://schemas.openxmlformats.org/officeDocument/2006/relationships/hyperlink" Target="https://github.com/hyperledger/indy-node" TargetMode="External"/><Relationship Id="rId665" Type="http://schemas.openxmlformats.org/officeDocument/2006/relationships/hyperlink" Target="https://github.com/milesmcc/shynet" TargetMode="External"/><Relationship Id="rId872" Type="http://schemas.openxmlformats.org/officeDocument/2006/relationships/hyperlink" Target="https://github.com/pythonstock/stock" TargetMode="External"/><Relationship Id="rId1088" Type="http://schemas.openxmlformats.org/officeDocument/2006/relationships/hyperlink" Target="https://github.com/twintproject/twint" TargetMode="External"/><Relationship Id="rId15" Type="http://schemas.openxmlformats.org/officeDocument/2006/relationships/hyperlink" Target="https://github.com/adferrand/dnsrobocert" TargetMode="External"/><Relationship Id="rId318" Type="http://schemas.openxmlformats.org/officeDocument/2006/relationships/hyperlink" Target="https://github.com/facebookresearch/habitat-lab" TargetMode="External"/><Relationship Id="rId525" Type="http://schemas.openxmlformats.org/officeDocument/2006/relationships/hyperlink" Target="https://github.com/jupyter/enterprise_gateway" TargetMode="External"/><Relationship Id="rId732" Type="http://schemas.openxmlformats.org/officeDocument/2006/relationships/hyperlink" Target="https://github.com/Netflix/vmaf" TargetMode="External"/><Relationship Id="rId1155" Type="http://schemas.openxmlformats.org/officeDocument/2006/relationships/hyperlink" Target="https://github.com/Yelp/paasta" TargetMode="External"/><Relationship Id="rId99" Type="http://schemas.openxmlformats.org/officeDocument/2006/relationships/hyperlink" Target="https://github.com/bhoov/exbert" TargetMode="External"/><Relationship Id="rId164" Type="http://schemas.openxmlformats.org/officeDocument/2006/relationships/hyperlink" Target="http://wttr.in/" TargetMode="External"/><Relationship Id="rId371" Type="http://schemas.openxmlformats.org/officeDocument/2006/relationships/hyperlink" Target="https://github.com/getsentry/sentry" TargetMode="External"/><Relationship Id="rId1015" Type="http://schemas.openxmlformats.org/officeDocument/2006/relationships/hyperlink" Target="https://github.com/swisskyrepo/SSRFmap" TargetMode="External"/><Relationship Id="rId469" Type="http://schemas.openxmlformats.org/officeDocument/2006/relationships/hyperlink" Target="https://github.com/IDSIA/sacred" TargetMode="External"/><Relationship Id="rId676" Type="http://schemas.openxmlformats.org/officeDocument/2006/relationships/hyperlink" Target="https://github.com/mlcommons/inference" TargetMode="External"/><Relationship Id="rId883" Type="http://schemas.openxmlformats.org/officeDocument/2006/relationships/hyperlink" Target="https://github.com/quantumlib/Cirq" TargetMode="External"/><Relationship Id="rId1099" Type="http://schemas.openxmlformats.org/officeDocument/2006/relationships/hyperlink" Target="https://github.com/ultralytics/yolov5" TargetMode="External"/><Relationship Id="rId26" Type="http://schemas.openxmlformats.org/officeDocument/2006/relationships/hyperlink" Target="https://github.com/AKSHAYUBHAT/DeepVideoAnalytics" TargetMode="External"/><Relationship Id="rId231" Type="http://schemas.openxmlformats.org/officeDocument/2006/relationships/hyperlink" Target="https://github.com/Dentosal/python-sc2" TargetMode="External"/><Relationship Id="rId329" Type="http://schemas.openxmlformats.org/officeDocument/2006/relationships/hyperlink" Target="https://github.com/feast-dev/feast" TargetMode="External"/><Relationship Id="rId536" Type="http://schemas.openxmlformats.org/officeDocument/2006/relationships/hyperlink" Target="https://github.com/kakao/khaiii" TargetMode="External"/><Relationship Id="rId1166" Type="http://schemas.openxmlformats.org/officeDocument/2006/relationships/hyperlink" Target="https://github.com/zenodo/zenodo" TargetMode="External"/><Relationship Id="rId175" Type="http://schemas.openxmlformats.org/officeDocument/2006/relationships/hyperlink" Target="https://github.com/ClaudiuGeorgiu/PlaystoreDownloader" TargetMode="External"/><Relationship Id="rId743" Type="http://schemas.openxmlformats.org/officeDocument/2006/relationships/hyperlink" Target="https://github.com/nixawk/labs" TargetMode="External"/><Relationship Id="rId950" Type="http://schemas.openxmlformats.org/officeDocument/2006/relationships/hyperlink" Target="https://github.com/Sceptre/sceptre" TargetMode="External"/><Relationship Id="rId1026" Type="http://schemas.openxmlformats.org/officeDocument/2006/relationships/hyperlink" Target="https://github.com/tartiflette/tartiflette" TargetMode="External"/><Relationship Id="rId382" Type="http://schemas.openxmlformats.org/officeDocument/2006/relationships/hyperlink" Target="https://github.com/godotengine/godot-blender-exporter" TargetMode="External"/><Relationship Id="rId603" Type="http://schemas.openxmlformats.org/officeDocument/2006/relationships/hyperlink" Target="https://github.com/Lookyloo/lookyloo" TargetMode="External"/><Relationship Id="rId687" Type="http://schemas.openxmlformats.org/officeDocument/2006/relationships/hyperlink" Target="https://github.com/mouse-reeve/bookwyrm" TargetMode="External"/><Relationship Id="rId810" Type="http://schemas.openxmlformats.org/officeDocument/2006/relationships/hyperlink" Target="https://github.com/pantsbuild/pants" TargetMode="External"/><Relationship Id="rId908" Type="http://schemas.openxmlformats.org/officeDocument/2006/relationships/hyperlink" Target="https://github.com/reviewboard/reviewboard" TargetMode="External"/><Relationship Id="rId242" Type="http://schemas.openxmlformats.org/officeDocument/2006/relationships/hyperlink" Target="https://github.com/dlapiduz/certbot-s3front" TargetMode="External"/><Relationship Id="rId894" Type="http://schemas.openxmlformats.org/officeDocument/2006/relationships/hyperlink" Target="https://github.com/raiden-network/raiden" TargetMode="External"/><Relationship Id="rId1177" Type="http://schemas.openxmlformats.org/officeDocument/2006/relationships/hyperlink" Target="https://github.com/ZJULearning/ttfnet" TargetMode="External"/><Relationship Id="rId37" Type="http://schemas.openxmlformats.org/officeDocument/2006/relationships/hyperlink" Target="https://github.com/allegro/ralph" TargetMode="External"/><Relationship Id="rId102" Type="http://schemas.openxmlformats.org/officeDocument/2006/relationships/hyperlink" Target="https://github.com/binux/pyspider" TargetMode="External"/><Relationship Id="rId547" Type="http://schemas.openxmlformats.org/officeDocument/2006/relationships/hyperlink" Target="https://github.com/kensho-technologies/graphql-compiler" TargetMode="External"/><Relationship Id="rId754" Type="http://schemas.openxmlformats.org/officeDocument/2006/relationships/hyperlink" Target="https://github.com/nyaadevs/nyaa" TargetMode="External"/><Relationship Id="rId961" Type="http://schemas.openxmlformats.org/officeDocument/2006/relationships/hyperlink" Target="https://github.com/secrary/SSMA" TargetMode="External"/><Relationship Id="rId90" Type="http://schemas.openxmlformats.org/officeDocument/2006/relationships/hyperlink" Target="https://github.com/Azure/azure-cli" TargetMode="External"/><Relationship Id="rId186" Type="http://schemas.openxmlformats.org/officeDocument/2006/relationships/hyperlink" Target="https://github.com/ComplianceAsCode/content" TargetMode="External"/><Relationship Id="rId393" Type="http://schemas.openxmlformats.org/officeDocument/2006/relationships/hyperlink" Target="https://github.com/google/fuzzbench" TargetMode="External"/><Relationship Id="rId407" Type="http://schemas.openxmlformats.org/officeDocument/2006/relationships/hyperlink" Target="https://github.com/GoogleCloudPlatform/ml-on-gcp" TargetMode="External"/><Relationship Id="rId614" Type="http://schemas.openxmlformats.org/officeDocument/2006/relationships/hyperlink" Target="https://github.com/mahyarnajibi/SNIPER" TargetMode="External"/><Relationship Id="rId821" Type="http://schemas.openxmlformats.org/officeDocument/2006/relationships/hyperlink" Target="https://github.com/PKUbahuangliuhe/CBNet" TargetMode="External"/><Relationship Id="rId1037" Type="http://schemas.openxmlformats.org/officeDocument/2006/relationships/hyperlink" Target="https://github.com/tensorlayer/hyperpose" TargetMode="External"/><Relationship Id="rId253" Type="http://schemas.openxmlformats.org/officeDocument/2006/relationships/hyperlink" Target="https://github.com/donnemartin/data-science-ipython-notebooks" TargetMode="External"/><Relationship Id="rId460" Type="http://schemas.openxmlformats.org/officeDocument/2006/relationships/hyperlink" Target="https://github.com/hypothesis/h" TargetMode="External"/><Relationship Id="rId698" Type="http://schemas.openxmlformats.org/officeDocument/2006/relationships/hyperlink" Target="https://github.com/mozilla/zamboni" TargetMode="External"/><Relationship Id="rId919" Type="http://schemas.openxmlformats.org/officeDocument/2006/relationships/hyperlink" Target="https://github.com/robinhood/faust" TargetMode="External"/><Relationship Id="rId1090" Type="http://schemas.openxmlformats.org/officeDocument/2006/relationships/hyperlink" Target="https://github.com/uber-research/go-explore" TargetMode="External"/><Relationship Id="rId1104" Type="http://schemas.openxmlformats.org/officeDocument/2006/relationships/hyperlink" Target="https://github.com/USArmyResearchLab/Dshell" TargetMode="External"/><Relationship Id="rId48" Type="http://schemas.openxmlformats.org/officeDocument/2006/relationships/hyperlink" Target="https://github.com/anchore/anchore-engine" TargetMode="External"/><Relationship Id="rId113" Type="http://schemas.openxmlformats.org/officeDocument/2006/relationships/hyperlink" Target="https://github.com/bootphon/phonemizer" TargetMode="External"/><Relationship Id="rId320" Type="http://schemas.openxmlformats.org/officeDocument/2006/relationships/hyperlink" Target="https://github.com/facebookresearch/maskrcnn-benchmark" TargetMode="External"/><Relationship Id="rId558" Type="http://schemas.openxmlformats.org/officeDocument/2006/relationships/hyperlink" Target="https://github.com/kizniche/Mycodo" TargetMode="External"/><Relationship Id="rId765" Type="http://schemas.openxmlformats.org/officeDocument/2006/relationships/hyperlink" Target="https://github.com/open-mmlab/mmdetection" TargetMode="External"/><Relationship Id="rId972" Type="http://schemas.openxmlformats.org/officeDocument/2006/relationships/hyperlink" Target="https://github.com/SharpAI/DeepCamera" TargetMode="External"/><Relationship Id="rId197" Type="http://schemas.openxmlformats.org/officeDocument/2006/relationships/hyperlink" Target="https://github.com/crccheck/django-object-actions" TargetMode="External"/><Relationship Id="rId418" Type="http://schemas.openxmlformats.org/officeDocument/2006/relationships/hyperlink" Target="https://github.com/gratipay/gratipay.com" TargetMode="External"/><Relationship Id="rId625" Type="http://schemas.openxmlformats.org/officeDocument/2006/relationships/hyperlink" Target="https://github.com/mars-project/mars" TargetMode="External"/><Relationship Id="rId832" Type="http://schemas.openxmlformats.org/officeDocument/2006/relationships/hyperlink" Target="https://github.com/PostHog/posthog" TargetMode="External"/><Relationship Id="rId1048" Type="http://schemas.openxmlformats.org/officeDocument/2006/relationships/hyperlink" Target="https://github.com/thingsboard/thingsboard-gateway" TargetMode="External"/><Relationship Id="rId264" Type="http://schemas.openxmlformats.org/officeDocument/2006/relationships/hyperlink" Target="https://github.com/dropbox/nsot" TargetMode="External"/><Relationship Id="rId471" Type="http://schemas.openxmlformats.org/officeDocument/2006/relationships/hyperlink" Target="https://github.com/ilius/pyglossary" TargetMode="External"/><Relationship Id="rId1115" Type="http://schemas.openxmlformats.org/officeDocument/2006/relationships/hyperlink" Target="https://github.com/VOLTTRON/volttron" TargetMode="External"/><Relationship Id="rId59" Type="http://schemas.openxmlformats.org/officeDocument/2006/relationships/hyperlink" Target="https://github.com/aosp-mirror/platform_development" TargetMode="External"/><Relationship Id="rId124" Type="http://schemas.openxmlformats.org/officeDocument/2006/relationships/hyperlink" Target="https://github.com/buriburisuri/sugartensor" TargetMode="External"/><Relationship Id="rId569" Type="http://schemas.openxmlformats.org/officeDocument/2006/relationships/hyperlink" Target="https://github.com/KuangDD/zhrtvc" TargetMode="External"/><Relationship Id="rId776" Type="http://schemas.openxmlformats.org/officeDocument/2006/relationships/hyperlink" Target="https://github.com/openai/universe" TargetMode="External"/><Relationship Id="rId983" Type="http://schemas.openxmlformats.org/officeDocument/2006/relationships/hyperlink" Target="https://github.com/SimplySecurity/SimplyEmail" TargetMode="External"/><Relationship Id="rId331" Type="http://schemas.openxmlformats.org/officeDocument/2006/relationships/hyperlink" Target="https://github.com/FederatedAI/FATE" TargetMode="External"/><Relationship Id="rId429" Type="http://schemas.openxmlformats.org/officeDocument/2006/relationships/hyperlink" Target="https://github.com/haarnoja/sac" TargetMode="External"/><Relationship Id="rId636" Type="http://schemas.openxmlformats.org/officeDocument/2006/relationships/hyperlink" Target="https://github.com/Meituan-Dianping/lyrebird" TargetMode="External"/><Relationship Id="rId1059" Type="http://schemas.openxmlformats.org/officeDocument/2006/relationships/hyperlink" Target="https://github.com/TileStache/TileStache" TargetMode="External"/><Relationship Id="rId843" Type="http://schemas.openxmlformats.org/officeDocument/2006/relationships/hyperlink" Target="https://github.com/Project-MONAI/MONAI" TargetMode="External"/><Relationship Id="rId1126" Type="http://schemas.openxmlformats.org/officeDocument/2006/relationships/hyperlink" Target="https://github.com/wemake-services/wemake-django-template" TargetMode="External"/><Relationship Id="rId275" Type="http://schemas.openxmlformats.org/officeDocument/2006/relationships/hyperlink" Target="https://github.com/Ekultek/Zeus-Scanner" TargetMode="External"/><Relationship Id="rId482" Type="http://schemas.openxmlformats.org/officeDocument/2006/relationships/hyperlink" Target="https://github.com/iterative/dvc" TargetMode="External"/><Relationship Id="rId703" Type="http://schemas.openxmlformats.org/officeDocument/2006/relationships/hyperlink" Target="https://github.com/MultiAgentLearning/playground" TargetMode="External"/><Relationship Id="rId910" Type="http://schemas.openxmlformats.org/officeDocument/2006/relationships/hyperlink" Target="https://github.com/rhinstaller/anaconda" TargetMode="External"/><Relationship Id="rId135" Type="http://schemas.openxmlformats.org/officeDocument/2006/relationships/hyperlink" Target="https://github.com/catalyst-team/catalyst" TargetMode="External"/><Relationship Id="rId342" Type="http://schemas.openxmlformats.org/officeDocument/2006/relationships/hyperlink" Target="https://github.com/flosell/trailscraper" TargetMode="External"/><Relationship Id="rId787" Type="http://schemas.openxmlformats.org/officeDocument/2006/relationships/hyperlink" Target="https://github.com/opsdroid/opsdroid" TargetMode="External"/><Relationship Id="rId994" Type="http://schemas.openxmlformats.org/officeDocument/2006/relationships/hyperlink" Target="https://github.com/spack/spack" TargetMode="External"/><Relationship Id="rId202" Type="http://schemas.openxmlformats.org/officeDocument/2006/relationships/hyperlink" Target="https://github.com/CTFd/CTFd" TargetMode="External"/><Relationship Id="rId647" Type="http://schemas.openxmlformats.org/officeDocument/2006/relationships/hyperlink" Target="https://github.com/microsoft/botbuilder-python" TargetMode="External"/><Relationship Id="rId854" Type="http://schemas.openxmlformats.org/officeDocument/2006/relationships/hyperlink" Target="https://github.com/pydanny/cookiecutter-django" TargetMode="External"/><Relationship Id="rId286" Type="http://schemas.openxmlformats.org/officeDocument/2006/relationships/hyperlink" Target="https://github.com/enigmampc/catalyst" TargetMode="External"/><Relationship Id="rId493" Type="http://schemas.openxmlformats.org/officeDocument/2006/relationships/hyperlink" Target="https://github.com/jantman/awslimitchecker" TargetMode="External"/><Relationship Id="rId507" Type="http://schemas.openxmlformats.org/officeDocument/2006/relationships/hyperlink" Target="https://github.com/jimmy201602/webterminal" TargetMode="External"/><Relationship Id="rId714" Type="http://schemas.openxmlformats.org/officeDocument/2006/relationships/hyperlink" Target="https://github.com/napalm-automation/napalm" TargetMode="External"/><Relationship Id="rId921" Type="http://schemas.openxmlformats.org/officeDocument/2006/relationships/hyperlink" Target="https://github.com/RocketMap/RocketMap" TargetMode="External"/><Relationship Id="rId1137" Type="http://schemas.openxmlformats.org/officeDocument/2006/relationships/hyperlink" Target="https://github.com/wzpan/wukong-robot" TargetMode="External"/><Relationship Id="rId50" Type="http://schemas.openxmlformats.org/officeDocument/2006/relationships/hyperlink" Target="https://github.com/angr/angr" TargetMode="External"/><Relationship Id="rId146" Type="http://schemas.openxmlformats.org/officeDocument/2006/relationships/hyperlink" Target="https://github.com/CenterForOpenScience/osf.io" TargetMode="External"/><Relationship Id="rId353" Type="http://schemas.openxmlformats.org/officeDocument/2006/relationships/hyperlink" Target="https://github.com/freeipa/freeipa" TargetMode="External"/><Relationship Id="rId560" Type="http://schemas.openxmlformats.org/officeDocument/2006/relationships/hyperlink" Target="https://github.com/klen/py-frameworks-bench" TargetMode="External"/><Relationship Id="rId798" Type="http://schemas.openxmlformats.org/officeDocument/2006/relationships/hyperlink" Target="https://github.com/oxwhirl/pymarl" TargetMode="External"/><Relationship Id="rId213" Type="http://schemas.openxmlformats.org/officeDocument/2006/relationships/hyperlink" Target="https://github.com/DataDog/integrations-core" TargetMode="External"/><Relationship Id="rId420" Type="http://schemas.openxmlformats.org/officeDocument/2006/relationships/hyperlink" Target="https://github.com/great-expectations/great_expectations" TargetMode="External"/><Relationship Id="rId658" Type="http://schemas.openxmlformats.org/officeDocument/2006/relationships/hyperlink" Target="https://github.com/miguelgrinberg/flasky" TargetMode="External"/><Relationship Id="rId865" Type="http://schemas.openxmlformats.org/officeDocument/2006/relationships/hyperlink" Target="https://github.com/pytest-dev/pytest-testinfra" TargetMode="External"/><Relationship Id="rId1050" Type="http://schemas.openxmlformats.org/officeDocument/2006/relationships/hyperlink" Target="https://github.com/thomasloven/hass-browser_mod" TargetMode="External"/><Relationship Id="rId297" Type="http://schemas.openxmlformats.org/officeDocument/2006/relationships/hyperlink" Target="https://github.com/ethereum/web3.py" TargetMode="External"/><Relationship Id="rId518" Type="http://schemas.openxmlformats.org/officeDocument/2006/relationships/hyperlink" Target="https://github.com/JosephKJ/OWOD" TargetMode="External"/><Relationship Id="rId725" Type="http://schemas.openxmlformats.org/officeDocument/2006/relationships/hyperlink" Target="https://github.com/Netflix-Skunkworks/aardvark" TargetMode="External"/><Relationship Id="rId932" Type="http://schemas.openxmlformats.org/officeDocument/2006/relationships/hyperlink" Target="https://github.com/Rydgel/Fake-images-please" TargetMode="External"/><Relationship Id="rId1148" Type="http://schemas.openxmlformats.org/officeDocument/2006/relationships/hyperlink" Target="https://github.com/yandex/yandex-tank" TargetMode="External"/><Relationship Id="rId157" Type="http://schemas.openxmlformats.org/officeDocument/2006/relationships/hyperlink" Target="https://github.com/cheind/py-motmetrics" TargetMode="External"/><Relationship Id="rId364" Type="http://schemas.openxmlformats.org/officeDocument/2006/relationships/hyperlink" Target="https://github.com/gamenet/redis-memory-analyzer" TargetMode="External"/><Relationship Id="rId1008" Type="http://schemas.openxmlformats.org/officeDocument/2006/relationships/hyperlink" Target="https://github.com/stellargraph/stellargraph" TargetMode="External"/><Relationship Id="rId61" Type="http://schemas.openxmlformats.org/officeDocument/2006/relationships/hyperlink" Target="https://github.com/apache/libcloud" TargetMode="External"/><Relationship Id="rId571" Type="http://schemas.openxmlformats.org/officeDocument/2006/relationships/hyperlink" Target="https://github.com/kubeflow/pipelines" TargetMode="External"/><Relationship Id="rId669" Type="http://schemas.openxmlformats.org/officeDocument/2006/relationships/hyperlink" Target="https://github.com/mirumee/saleor" TargetMode="External"/><Relationship Id="rId876" Type="http://schemas.openxmlformats.org/officeDocument/2006/relationships/hyperlink" Target="https://github.com/pytorch/translate" TargetMode="External"/><Relationship Id="rId19" Type="http://schemas.openxmlformats.org/officeDocument/2006/relationships/hyperlink" Target="https://github.com/AIChallenger/AI_Challenger_2018" TargetMode="External"/><Relationship Id="rId224" Type="http://schemas.openxmlformats.org/officeDocument/2006/relationships/hyperlink" Target="https://github.com/deepchem/deepchem" TargetMode="External"/><Relationship Id="rId431" Type="http://schemas.openxmlformats.org/officeDocument/2006/relationships/hyperlink" Target="https://github.com/hacktoolspack/hack-tools" TargetMode="External"/><Relationship Id="rId529" Type="http://schemas.openxmlformats.org/officeDocument/2006/relationships/hyperlink" Target="https://github.com/jupyterhub/jupyterhub" TargetMode="External"/><Relationship Id="rId736" Type="http://schemas.openxmlformats.org/officeDocument/2006/relationships/hyperlink" Target="https://github.com/Nextdoor/ndscheduler" TargetMode="External"/><Relationship Id="rId1061" Type="http://schemas.openxmlformats.org/officeDocument/2006/relationships/hyperlink" Target="https://github.com/TokenMarketNet/smart-contracts" TargetMode="External"/><Relationship Id="rId1159" Type="http://schemas.openxmlformats.org/officeDocument/2006/relationships/hyperlink" Target="https://github.com/Yinzo/SmartQQBot" TargetMode="External"/><Relationship Id="rId168" Type="http://schemas.openxmlformats.org/officeDocument/2006/relationships/hyperlink" Target="https://github.com/cisagov/pshtt" TargetMode="External"/><Relationship Id="rId943" Type="http://schemas.openxmlformats.org/officeDocument/2006/relationships/hyperlink" Target="https://github.com/SamSchott/maestral" TargetMode="External"/><Relationship Id="rId1019" Type="http://schemas.openxmlformats.org/officeDocument/2006/relationships/hyperlink" Target="https://github.com/tableau/TabPy" TargetMode="External"/><Relationship Id="rId72" Type="http://schemas.openxmlformats.org/officeDocument/2006/relationships/hyperlink" Target="https://github.com/autorope/donkeycar" TargetMode="External"/><Relationship Id="rId375" Type="http://schemas.openxmlformats.org/officeDocument/2006/relationships/hyperlink" Target="https://github.com/gilesknap/gphotos-sync" TargetMode="External"/><Relationship Id="rId582" Type="http://schemas.openxmlformats.org/officeDocument/2006/relationships/hyperlink" Target="https://github.com/learningequality/ka-lite" TargetMode="External"/><Relationship Id="rId803" Type="http://schemas.openxmlformats.org/officeDocument/2006/relationships/hyperlink" Target="https://github.com/PaddlePaddle/Paddle" TargetMode="External"/><Relationship Id="rId3" Type="http://schemas.openxmlformats.org/officeDocument/2006/relationships/hyperlink" Target="https://github.com/0xInfection/TIDoS-Framework" TargetMode="External"/><Relationship Id="rId235" Type="http://schemas.openxmlformats.org/officeDocument/2006/relationships/hyperlink" Target="https://github.com/DIGITALCRIMINAL/OnlyFans" TargetMode="External"/><Relationship Id="rId442" Type="http://schemas.openxmlformats.org/officeDocument/2006/relationships/hyperlink" Target="https://github.com/hhyo/Archery" TargetMode="External"/><Relationship Id="rId887" Type="http://schemas.openxmlformats.org/officeDocument/2006/relationships/hyperlink" Target="https://github.com/quentinhardy/odat" TargetMode="External"/><Relationship Id="rId1072" Type="http://schemas.openxmlformats.org/officeDocument/2006/relationships/hyperlink" Target="https://github.com/translate/pootle" TargetMode="External"/><Relationship Id="rId302" Type="http://schemas.openxmlformats.org/officeDocument/2006/relationships/hyperlink" Target="https://github.com/ewels/MultiQC" TargetMode="External"/><Relationship Id="rId747" Type="http://schemas.openxmlformats.org/officeDocument/2006/relationships/hyperlink" Target="https://github.com/numenta/nupic" TargetMode="External"/><Relationship Id="rId954" Type="http://schemas.openxmlformats.org/officeDocument/2006/relationships/hyperlink" Target="https://github.com/scipy/scipy" TargetMode="External"/><Relationship Id="rId83" Type="http://schemas.openxmlformats.org/officeDocument/2006/relationships/hyperlink" Target="https://github.com/awslabs/aws-data-wrangler" TargetMode="External"/><Relationship Id="rId179" Type="http://schemas.openxmlformats.org/officeDocument/2006/relationships/hyperlink" Target="https://github.com/Cloud-CV/EvalAI" TargetMode="External"/><Relationship Id="rId386" Type="http://schemas.openxmlformats.org/officeDocument/2006/relationships/hyperlink" Target="https://github.com/google/android-emulator-container-scripts" TargetMode="External"/><Relationship Id="rId593" Type="http://schemas.openxmlformats.org/officeDocument/2006/relationships/hyperlink" Target="https://github.com/linkedin/oncall" TargetMode="External"/><Relationship Id="rId607" Type="http://schemas.openxmlformats.org/officeDocument/2006/relationships/hyperlink" Target="https://github.com/ludwig-ai/ludwig" TargetMode="External"/><Relationship Id="rId814" Type="http://schemas.openxmlformats.org/officeDocument/2006/relationships/hyperlink" Target="https://github.com/pdm-project/pdm" TargetMode="External"/><Relationship Id="rId246" Type="http://schemas.openxmlformats.org/officeDocument/2006/relationships/hyperlink" Target="https://github.com/DMOJ/judge-server" TargetMode="External"/><Relationship Id="rId453" Type="http://schemas.openxmlformats.org/officeDocument/2006/relationships/hyperlink" Target="https://github.com/huggingface/transformers" TargetMode="External"/><Relationship Id="rId660" Type="http://schemas.openxmlformats.org/officeDocument/2006/relationships/hyperlink" Target="https://github.com/mike-grant/haaska" TargetMode="External"/><Relationship Id="rId898" Type="http://schemas.openxmlformats.org/officeDocument/2006/relationships/hyperlink" Target="https://github.com/RasaHQ/rasa_core" TargetMode="External"/><Relationship Id="rId1083" Type="http://schemas.openxmlformats.org/officeDocument/2006/relationships/hyperlink" Target="https://github.com/tulir/mautrix-telegram" TargetMode="External"/><Relationship Id="rId106" Type="http://schemas.openxmlformats.org/officeDocument/2006/relationships/hyperlink" Target="https://github.com/Blazemeter/taurus" TargetMode="External"/><Relationship Id="rId313" Type="http://schemas.openxmlformats.org/officeDocument/2006/relationships/hyperlink" Target="https://github.com/facebookresearch/CrypTen" TargetMode="External"/><Relationship Id="rId758" Type="http://schemas.openxmlformats.org/officeDocument/2006/relationships/hyperlink" Target="https://github.com/oduwsdl/ipwb" TargetMode="External"/><Relationship Id="rId965" Type="http://schemas.openxmlformats.org/officeDocument/2006/relationships/hyperlink" Target="https://github.com/Segfault-Inc/Multicorn" TargetMode="External"/><Relationship Id="rId1150" Type="http://schemas.openxmlformats.org/officeDocument/2006/relationships/hyperlink" Target="https://github.com/YBIGTA/pytorch-hair-segmentation" TargetMode="External"/><Relationship Id="rId10" Type="http://schemas.openxmlformats.org/officeDocument/2006/relationships/hyperlink" Target="https://github.com/AcademySoftwareFoundation/OpenCue" TargetMode="External"/><Relationship Id="rId94" Type="http://schemas.openxmlformats.org/officeDocument/2006/relationships/hyperlink" Target="https://github.com/bbc/brave" TargetMode="External"/><Relationship Id="rId397" Type="http://schemas.openxmlformats.org/officeDocument/2006/relationships/hyperlink" Target="https://github.com/google/subpar" TargetMode="External"/><Relationship Id="rId520" Type="http://schemas.openxmlformats.org/officeDocument/2006/relationships/hyperlink" Target="https://github.com/jpmens/mqttwarn" TargetMode="External"/><Relationship Id="rId618" Type="http://schemas.openxmlformats.org/officeDocument/2006/relationships/hyperlink" Target="https://github.com/makerdao/market-maker-keeper" TargetMode="External"/><Relationship Id="rId825" Type="http://schemas.openxmlformats.org/officeDocument/2006/relationships/hyperlink" Target="https://github.com/PokemonGoF/PokemonGo-Bot" TargetMode="External"/><Relationship Id="rId257" Type="http://schemas.openxmlformats.org/officeDocument/2006/relationships/hyperlink" Target="https://github.com/dowjones/hammer" TargetMode="External"/><Relationship Id="rId464" Type="http://schemas.openxmlformats.org/officeDocument/2006/relationships/hyperlink" Target="https://github.com/IBM/MAX-Image-Resolution-Enhancer" TargetMode="External"/><Relationship Id="rId1010" Type="http://schemas.openxmlformats.org/officeDocument/2006/relationships/hyperlink" Target="https://github.com/streamlit/streamlit" TargetMode="External"/><Relationship Id="rId1094" Type="http://schemas.openxmlformats.org/officeDocument/2006/relationships/hyperlink" Target="https://github.com/ufora/ufora" TargetMode="External"/><Relationship Id="rId1108" Type="http://schemas.openxmlformats.org/officeDocument/2006/relationships/hyperlink" Target="https://github.com/v3n0m-Scanner/V3n0M-Scanner" TargetMode="External"/><Relationship Id="rId117" Type="http://schemas.openxmlformats.org/officeDocument/2006/relationships/hyperlink" Target="https://github.com/bridgecrewio/checkov" TargetMode="External"/><Relationship Id="rId671" Type="http://schemas.openxmlformats.org/officeDocument/2006/relationships/hyperlink" Target="https://github.com/mitmproxy/mitmproxy" TargetMode="External"/><Relationship Id="rId769" Type="http://schemas.openxmlformats.org/officeDocument/2006/relationships/hyperlink" Target="https://github.com/open-mmlab/mmpose" TargetMode="External"/><Relationship Id="rId976" Type="http://schemas.openxmlformats.org/officeDocument/2006/relationships/hyperlink" Target="https://github.com/shmilylty/OneForAll" TargetMode="External"/><Relationship Id="rId324" Type="http://schemas.openxmlformats.org/officeDocument/2006/relationships/hyperlink" Target="https://github.com/faizann24/XssPy" TargetMode="External"/><Relationship Id="rId531" Type="http://schemas.openxmlformats.org/officeDocument/2006/relationships/hyperlink" Target="https://github.com/jupyterhub/the-littlest-jupyterhub" TargetMode="External"/><Relationship Id="rId629" Type="http://schemas.openxmlformats.org/officeDocument/2006/relationships/hyperlink" Target="https://github.com/mattupstate/overholt" TargetMode="External"/><Relationship Id="rId1161" Type="http://schemas.openxmlformats.org/officeDocument/2006/relationships/hyperlink" Target="https://github.com/youngwanLEE/CenterMask" TargetMode="External"/><Relationship Id="rId836" Type="http://schemas.openxmlformats.org/officeDocument/2006/relationships/hyperlink" Target="https://github.com/praveendath92/fitbit-googlefit" TargetMode="External"/><Relationship Id="rId1021" Type="http://schemas.openxmlformats.org/officeDocument/2006/relationships/hyperlink" Target="https://github.com/taigaio/taiga-back" TargetMode="External"/><Relationship Id="rId1119" Type="http://schemas.openxmlformats.org/officeDocument/2006/relationships/hyperlink" Target="https://github.com/vyperlang/vyper" TargetMode="External"/><Relationship Id="rId903" Type="http://schemas.openxmlformats.org/officeDocument/2006/relationships/hyperlink" Target="https://github.com/readthedocs/readthedocs.org" TargetMode="External"/><Relationship Id="rId32" Type="http://schemas.openxmlformats.org/officeDocument/2006/relationships/hyperlink" Target="https://github.com/alfredfrancis/ai-chatbot-framework" TargetMode="External"/><Relationship Id="rId181" Type="http://schemas.openxmlformats.org/officeDocument/2006/relationships/hyperlink" Target="https://github.com/ClusterHQ/flocker" TargetMode="External"/><Relationship Id="rId279" Type="http://schemas.openxmlformats.org/officeDocument/2006/relationships/hyperlink" Target="https://github.com/EleutherAI/gpt-neo" TargetMode="External"/><Relationship Id="rId486" Type="http://schemas.openxmlformats.org/officeDocument/2006/relationships/hyperlink" Target="https://github.com/j3ssie/Osmedeus" TargetMode="External"/><Relationship Id="rId693" Type="http://schemas.openxmlformats.org/officeDocument/2006/relationships/hyperlink" Target="https://github.com/mozilla/http-observatory" TargetMode="External"/><Relationship Id="rId139" Type="http://schemas.openxmlformats.org/officeDocument/2006/relationships/hyperlink" Target="https://github.com/cdrx/rancher-gitlab-deploy" TargetMode="External"/><Relationship Id="rId346" Type="http://schemas.openxmlformats.org/officeDocument/2006/relationships/hyperlink" Target="https://github.com/forseti-security/forseti-security" TargetMode="External"/><Relationship Id="rId553" Type="http://schemas.openxmlformats.org/officeDocument/2006/relationships/hyperlink" Target="https://github.com/khanrc/pt.darts" TargetMode="External"/><Relationship Id="rId760" Type="http://schemas.openxmlformats.org/officeDocument/2006/relationships/hyperlink" Target="https://github.com/okfn-brasil/serenata-de-amor" TargetMode="External"/><Relationship Id="rId998" Type="http://schemas.openxmlformats.org/officeDocument/2006/relationships/hyperlink" Target="https://github.com/spiral-project/ihatemoney" TargetMode="External"/><Relationship Id="rId206" Type="http://schemas.openxmlformats.org/officeDocument/2006/relationships/hyperlink" Target="https://github.com/dagster-io/dagster" TargetMode="External"/><Relationship Id="rId413" Type="http://schemas.openxmlformats.org/officeDocument/2006/relationships/hyperlink" Target="https://github.com/GoVanguard/legion" TargetMode="External"/><Relationship Id="rId858" Type="http://schemas.openxmlformats.org/officeDocument/2006/relationships/hyperlink" Target="https://github.com/pymc-devs/pymc3" TargetMode="External"/><Relationship Id="rId1043" Type="http://schemas.openxmlformats.org/officeDocument/2006/relationships/hyperlink" Target="https://github.com/tf-encrypted/tf-encrypted" TargetMode="External"/><Relationship Id="rId620" Type="http://schemas.openxmlformats.org/officeDocument/2006/relationships/hyperlink" Target="https://github.com/ManimCommunity/manim" TargetMode="External"/><Relationship Id="rId718" Type="http://schemas.openxmlformats.org/officeDocument/2006/relationships/hyperlink" Target="https://github.com/nccgroup/ScoutSuite" TargetMode="External"/><Relationship Id="rId925" Type="http://schemas.openxmlformats.org/officeDocument/2006/relationships/hyperlink" Target="https://github.com/rotki/rotki" TargetMode="External"/><Relationship Id="rId1110" Type="http://schemas.openxmlformats.org/officeDocument/2006/relationships/hyperlink" Target="https://github.com/vi3k6i5/flashtext" TargetMode="External"/><Relationship Id="rId54" Type="http://schemas.openxmlformats.org/officeDocument/2006/relationships/hyperlink" Target="https://github.com/ansible/ansible-jupyter-kernel" TargetMode="External"/><Relationship Id="rId270" Type="http://schemas.openxmlformats.org/officeDocument/2006/relationships/hyperlink" Target="https://github.com/edeng23/binance-trade-bot" TargetMode="External"/><Relationship Id="rId130" Type="http://schemas.openxmlformats.org/officeDocument/2006/relationships/hyperlink" Target="https://github.com/bytedance/byteps" TargetMode="External"/><Relationship Id="rId368" Type="http://schemas.openxmlformats.org/officeDocument/2006/relationships/hyperlink" Target="https://github.com/Gerapy/Gerapy" TargetMode="External"/><Relationship Id="rId575" Type="http://schemas.openxmlformats.org/officeDocument/2006/relationships/hyperlink" Target="https://github.com/kyuupichan/electrumx" TargetMode="External"/><Relationship Id="rId782" Type="http://schemas.openxmlformats.org/officeDocument/2006/relationships/hyperlink" Target="https://github.com/openshift/openshift-ansible" TargetMode="External"/><Relationship Id="rId228" Type="http://schemas.openxmlformats.org/officeDocument/2006/relationships/hyperlink" Target="https://github.com/deepset-ai/haystack" TargetMode="External"/><Relationship Id="rId435" Type="http://schemas.openxmlformats.org/officeDocument/2006/relationships/hyperlink" Target="https://github.com/hangoutsbot/hangoutsbot" TargetMode="External"/><Relationship Id="rId642" Type="http://schemas.openxmlformats.org/officeDocument/2006/relationships/hyperlink" Target="https://github.com/metabrainz/listenbrainz-server" TargetMode="External"/><Relationship Id="rId1065" Type="http://schemas.openxmlformats.org/officeDocument/2006/relationships/hyperlink" Target="https://github.com/tomslee/airbnb-data-collection" TargetMode="External"/><Relationship Id="rId502" Type="http://schemas.openxmlformats.org/officeDocument/2006/relationships/hyperlink" Target="https://github.com/jeanphix/Ghost.py" TargetMode="External"/><Relationship Id="rId947" Type="http://schemas.openxmlformats.org/officeDocument/2006/relationships/hyperlink" Target="https://github.com/sbaresearch/simcoin" TargetMode="External"/><Relationship Id="rId1132" Type="http://schemas.openxmlformats.org/officeDocument/2006/relationships/hyperlink" Target="https://github.com/wikimedia/pywikibot" TargetMode="External"/><Relationship Id="rId76" Type="http://schemas.openxmlformats.org/officeDocument/2006/relationships/hyperlink" Target="https://github.com/aws-quickstart/taskcat" TargetMode="External"/><Relationship Id="rId807" Type="http://schemas.openxmlformats.org/officeDocument/2006/relationships/hyperlink" Target="https://github.com/pageauc/speed-camera" TargetMode="External"/><Relationship Id="rId292" Type="http://schemas.openxmlformats.org/officeDocument/2006/relationships/hyperlink" Target="https://github.com/errbotio/errbot" TargetMode="External"/><Relationship Id="rId597" Type="http://schemas.openxmlformats.org/officeDocument/2006/relationships/hyperlink" Target="https://github.com/llSourcell/AI_Startup_Prototype" TargetMode="External"/><Relationship Id="rId152" Type="http://schemas.openxmlformats.org/officeDocument/2006/relationships/hyperlink" Target="https://github.com/chainer/chainer-chemistry" TargetMode="External"/><Relationship Id="rId457" Type="http://schemas.openxmlformats.org/officeDocument/2006/relationships/hyperlink" Target="https://github.com/hyperledger/cello" TargetMode="External"/><Relationship Id="rId1087" Type="http://schemas.openxmlformats.org/officeDocument/2006/relationships/hyperlink" Target="https://github.com/twilio/twilio-python" TargetMode="External"/><Relationship Id="rId664" Type="http://schemas.openxmlformats.org/officeDocument/2006/relationships/hyperlink" Target="https://github.com/mila-iqia/babyai" TargetMode="External"/><Relationship Id="rId871" Type="http://schemas.openxmlformats.org/officeDocument/2006/relationships/hyperlink" Target="https://github.com/Python3WebSpider/ProxyPool" TargetMode="External"/><Relationship Id="rId969" Type="http://schemas.openxmlformats.org/officeDocument/2006/relationships/hyperlink" Target="https://github.com/sgratzl/slack-cleaner" TargetMode="External"/><Relationship Id="rId317" Type="http://schemas.openxmlformats.org/officeDocument/2006/relationships/hyperlink" Target="https://github.com/facebookresearch/detr" TargetMode="External"/><Relationship Id="rId524" Type="http://schemas.openxmlformats.org/officeDocument/2006/relationships/hyperlink" Target="https://github.com/jupyter/docker-stacks" TargetMode="External"/><Relationship Id="rId731" Type="http://schemas.openxmlformats.org/officeDocument/2006/relationships/hyperlink" Target="https://github.com/Netflix/security_monkey" TargetMode="External"/><Relationship Id="rId1154" Type="http://schemas.openxmlformats.org/officeDocument/2006/relationships/hyperlink" Target="https://github.com/Yelp/mysql_streamer" TargetMode="External"/><Relationship Id="rId98" Type="http://schemas.openxmlformats.org/officeDocument/2006/relationships/hyperlink" Target="https://github.com/bentoml/BentoML" TargetMode="External"/><Relationship Id="rId829" Type="http://schemas.openxmlformats.org/officeDocument/2006/relationships/hyperlink" Target="https://github.com/polygamma/aurman" TargetMode="External"/><Relationship Id="rId1014" Type="http://schemas.openxmlformats.org/officeDocument/2006/relationships/hyperlink" Target="https://github.com/svanoort/pyresttest" TargetMode="External"/><Relationship Id="rId25" Type="http://schemas.openxmlformats.org/officeDocument/2006/relationships/hyperlink" Target="https://github.com/akirasosa/mobile-semantic-segmentation" TargetMode="External"/><Relationship Id="rId174" Type="http://schemas.openxmlformats.org/officeDocument/2006/relationships/hyperlink" Target="https://github.com/ClaudiuGeorgiu/Obfuscapk" TargetMode="External"/><Relationship Id="rId381" Type="http://schemas.openxmlformats.org/officeDocument/2006/relationships/hyperlink" Target="https://github.com/GNS3/gns3-server" TargetMode="External"/><Relationship Id="rId241" Type="http://schemas.openxmlformats.org/officeDocument/2006/relationships/hyperlink" Target="https://github.com/djangopackages/djangopackages" TargetMode="External"/><Relationship Id="rId479" Type="http://schemas.openxmlformats.org/officeDocument/2006/relationships/hyperlink" Target="https://github.com/internetarchive/openlibrary" TargetMode="External"/><Relationship Id="rId686" Type="http://schemas.openxmlformats.org/officeDocument/2006/relationships/hyperlink" Target="https://github.com/momosecurity/aswan" TargetMode="External"/><Relationship Id="rId893" Type="http://schemas.openxmlformats.org/officeDocument/2006/relationships/hyperlink" Target="https://github.com/rafalp/Misago" TargetMode="External"/><Relationship Id="rId339" Type="http://schemas.openxmlformats.org/officeDocument/2006/relationships/hyperlink" Target="https://github.com/flexxui/flexx" TargetMode="External"/><Relationship Id="rId546" Type="http://schemas.openxmlformats.org/officeDocument/2006/relationships/hyperlink" Target="https://github.com/kennethreitz-archive/requests3" TargetMode="External"/><Relationship Id="rId753" Type="http://schemas.openxmlformats.org/officeDocument/2006/relationships/hyperlink" Target="https://github.com/NVlabs/stylegan2-ada" TargetMode="External"/><Relationship Id="rId1176" Type="http://schemas.openxmlformats.org/officeDocument/2006/relationships/hyperlink" Target="https://github.com/zjhuang22/maskscoring_rcnn" TargetMode="External"/><Relationship Id="rId101" Type="http://schemas.openxmlformats.org/officeDocument/2006/relationships/hyperlink" Target="https://github.com/bigchaindb/bigchaindb" TargetMode="External"/><Relationship Id="rId406" Type="http://schemas.openxmlformats.org/officeDocument/2006/relationships/hyperlink" Target="https://github.com/GoogleCloudPlatform/microservices-demo" TargetMode="External"/><Relationship Id="rId960" Type="http://schemas.openxmlformats.org/officeDocument/2006/relationships/hyperlink" Target="https://github.com/searx/searx" TargetMode="External"/><Relationship Id="rId1036" Type="http://schemas.openxmlformats.org/officeDocument/2006/relationships/hyperlink" Target="https://github.com/tensorflow/tfx" TargetMode="External"/><Relationship Id="rId613" Type="http://schemas.openxmlformats.org/officeDocument/2006/relationships/hyperlink" Target="https://github.com/madhawav/YOLO3-4-Py" TargetMode="External"/><Relationship Id="rId820" Type="http://schemas.openxmlformats.org/officeDocument/2006/relationships/hyperlink" Target="https://github.com/pjialin/py12306" TargetMode="External"/><Relationship Id="rId918" Type="http://schemas.openxmlformats.org/officeDocument/2006/relationships/hyperlink" Target="https://github.com/rmountjoy92/DashMachine" TargetMode="External"/><Relationship Id="rId1103" Type="http://schemas.openxmlformats.org/officeDocument/2006/relationships/hyperlink" Target="https://github.com/Urinx/WeixinBot" TargetMode="External"/><Relationship Id="rId47" Type="http://schemas.openxmlformats.org/officeDocument/2006/relationships/hyperlink" Target="https://github.com/AnalogJ/lexicon" TargetMode="External"/><Relationship Id="rId196" Type="http://schemas.openxmlformats.org/officeDocument/2006/relationships/hyperlink" Target="https://github.com/cr0hn/aiotasks" TargetMode="External"/><Relationship Id="rId263" Type="http://schemas.openxmlformats.org/officeDocument/2006/relationships/hyperlink" Target="https://github.com/dropbox/changes" TargetMode="External"/><Relationship Id="rId470" Type="http://schemas.openxmlformats.org/officeDocument/2006/relationships/hyperlink" Target="https://github.com/ifzhang/FairMOT" TargetMode="External"/><Relationship Id="rId123" Type="http://schemas.openxmlformats.org/officeDocument/2006/relationships/hyperlink" Target="https://github.com/buildout/buildout" TargetMode="External"/><Relationship Id="rId330" Type="http://schemas.openxmlformats.org/officeDocument/2006/relationships/hyperlink" Target="https://github.com/fedden/poker_ai" TargetMode="External"/><Relationship Id="rId568" Type="http://schemas.openxmlformats.org/officeDocument/2006/relationships/hyperlink" Target="https://github.com/krmaxwell/maltrieve" TargetMode="External"/><Relationship Id="rId775" Type="http://schemas.openxmlformats.org/officeDocument/2006/relationships/hyperlink" Target="https://github.com/openai/mlsh" TargetMode="External"/><Relationship Id="rId982" Type="http://schemas.openxmlformats.org/officeDocument/2006/relationships/hyperlink" Target="https://github.com/simple-login/app" TargetMode="External"/><Relationship Id="rId428" Type="http://schemas.openxmlformats.org/officeDocument/2006/relationships/hyperlink" Target="https://github.com/h2oai/wave" TargetMode="External"/><Relationship Id="rId635" Type="http://schemas.openxmlformats.org/officeDocument/2006/relationships/hyperlink" Target="https://github.com/MegviiDetection/video_analyst" TargetMode="External"/><Relationship Id="rId842" Type="http://schemas.openxmlformats.org/officeDocument/2006/relationships/hyperlink" Target="https://github.com/programa-stic/barf-project" TargetMode="External"/><Relationship Id="rId1058" Type="http://schemas.openxmlformats.org/officeDocument/2006/relationships/hyperlink" Target="https://github.com/tianzhi0549/FCOS" TargetMode="External"/><Relationship Id="rId702" Type="http://schemas.openxmlformats.org/officeDocument/2006/relationships/hyperlink" Target="https://github.com/mukulhase/WebWhatsapp-Wrapper" TargetMode="External"/><Relationship Id="rId1125" Type="http://schemas.openxmlformats.org/officeDocument/2006/relationships/hyperlink" Target="https://github.com/welliamcao/OpsManage" TargetMode="External"/><Relationship Id="rId69" Type="http://schemas.openxmlformats.org/officeDocument/2006/relationships/hyperlink" Target="https://github.com/arxiv-vanity/arxiv-vanit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B1167"/>
  <sheetViews>
    <sheetView tabSelected="1" topLeftCell="AH1" zoomScale="90" zoomScaleNormal="90" zoomScaleSheetLayoutView="100" workbookViewId="0">
      <selection activeCell="AM12" sqref="AM12"/>
    </sheetView>
  </sheetViews>
  <sheetFormatPr defaultColWidth="14.42578125" defaultRowHeight="15.75" customHeight="1" x14ac:dyDescent="0.2"/>
  <cols>
    <col min="5" max="6" width="19.42578125" customWidth="1"/>
    <col min="7" max="7" width="9.5703125" bestFit="1" customWidth="1"/>
    <col min="10" max="21" width="18.140625" customWidth="1"/>
    <col min="22" max="22" width="18.140625" style="33" customWidth="1"/>
    <col min="23" max="23" width="18.140625" style="23" customWidth="1"/>
    <col min="24" max="24" width="18.140625" customWidth="1"/>
    <col min="25" max="26" width="18.140625" style="23" customWidth="1"/>
    <col min="27" max="27" width="18.140625" customWidth="1"/>
    <col min="28" max="29" width="18.140625" style="23" customWidth="1"/>
    <col min="30" max="30" width="18.140625" customWidth="1"/>
    <col min="31" max="32" width="18.140625" style="23" customWidth="1"/>
    <col min="33" max="33" width="18.140625" customWidth="1"/>
    <col min="34" max="35" width="18.140625" style="23" customWidth="1"/>
    <col min="36" max="36" width="18.140625" customWidth="1"/>
    <col min="37" max="38" width="18.140625" style="23" customWidth="1"/>
    <col min="39" max="39" width="18.140625" customWidth="1"/>
    <col min="40" max="41" width="18.140625" style="23" customWidth="1"/>
  </cols>
  <sheetData>
    <row r="1" spans="1:54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2396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31" t="s">
        <v>20</v>
      </c>
      <c r="W1" s="25" t="s">
        <v>21</v>
      </c>
      <c r="X1" s="2" t="s">
        <v>22</v>
      </c>
      <c r="Y1" s="25" t="s">
        <v>23</v>
      </c>
      <c r="Z1" s="26" t="s">
        <v>2403</v>
      </c>
      <c r="AA1" s="2" t="s">
        <v>24</v>
      </c>
      <c r="AB1" s="25" t="s">
        <v>25</v>
      </c>
      <c r="AC1" s="26" t="s">
        <v>2404</v>
      </c>
      <c r="AD1" s="2" t="s">
        <v>26</v>
      </c>
      <c r="AE1" s="25" t="s">
        <v>27</v>
      </c>
      <c r="AF1" s="26" t="s">
        <v>2405</v>
      </c>
      <c r="AG1" s="2" t="s">
        <v>28</v>
      </c>
      <c r="AH1" s="25" t="s">
        <v>29</v>
      </c>
      <c r="AI1" s="26" t="s">
        <v>2406</v>
      </c>
      <c r="AJ1" s="2" t="s">
        <v>30</v>
      </c>
      <c r="AK1" s="25" t="s">
        <v>31</v>
      </c>
      <c r="AL1" s="26" t="s">
        <v>2407</v>
      </c>
      <c r="AM1" s="39" t="s">
        <v>2424</v>
      </c>
      <c r="AN1" s="26" t="s">
        <v>2422</v>
      </c>
      <c r="AO1" s="26" t="s">
        <v>2423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</row>
    <row r="2" spans="1:54" ht="15.75" customHeight="1" x14ac:dyDescent="0.25">
      <c r="A2" s="3" t="s">
        <v>47</v>
      </c>
      <c r="B2" s="3" t="str">
        <f ca="1">IFERROR(__xludf.DUMMYFUNCTION("SPLIT(A2,""/"")"),"0Kee-Team")</f>
        <v>0Kee-Team</v>
      </c>
      <c r="C2" s="3" t="str">
        <f ca="1">IFERROR(__xludf.DUMMYFUNCTION("""COMPUTED_VALUE"""),"WatchAD")</f>
        <v>WatchAD</v>
      </c>
      <c r="D2" s="4" t="s">
        <v>48</v>
      </c>
      <c r="E2" s="5">
        <v>43762.407326388886</v>
      </c>
      <c r="F2" s="5">
        <v>44292.38795138889</v>
      </c>
      <c r="G2" s="13">
        <f>F2-E2</f>
        <v>529.98062500000378</v>
      </c>
      <c r="H2" s="6" t="b">
        <v>0</v>
      </c>
      <c r="I2" s="7" t="b">
        <v>1</v>
      </c>
      <c r="J2" s="8">
        <v>810</v>
      </c>
      <c r="K2" s="8">
        <v>37</v>
      </c>
      <c r="L2" s="8">
        <v>205</v>
      </c>
      <c r="M2" s="8">
        <v>0</v>
      </c>
      <c r="N2" s="8">
        <v>1</v>
      </c>
      <c r="O2" s="9">
        <v>0</v>
      </c>
      <c r="P2" s="8">
        <v>3</v>
      </c>
      <c r="Q2" s="8">
        <v>0</v>
      </c>
      <c r="R2" s="8">
        <v>35</v>
      </c>
      <c r="S2" s="8">
        <v>17</v>
      </c>
      <c r="T2" s="3" t="s">
        <v>49</v>
      </c>
      <c r="U2" s="10">
        <v>7517</v>
      </c>
      <c r="V2" s="32">
        <v>57</v>
      </c>
      <c r="W2" s="27">
        <f t="array" ref="W2:W1167">V2:V1167/U2:U1167</f>
        <v>7.5828122921378213E-3</v>
      </c>
      <c r="X2" s="34">
        <v>1</v>
      </c>
      <c r="Y2" s="27">
        <f t="array" ref="Y2:Y1167">IF($V$2:$V1167 &gt; 0, X$2:X1167/$V$2:$V1167, 0)</f>
        <v>1.7543859649122806E-2</v>
      </c>
      <c r="Z2" s="28" cm="1">
        <f t="array" ref="Z2:Z1167">X2:X1167/U2:U1167</f>
        <v>1.3303179459890914E-4</v>
      </c>
      <c r="AA2" s="35">
        <v>37</v>
      </c>
      <c r="AB2" s="27">
        <f t="array" ref="AB2:AB1167">IF($V$2:$V1167 &gt; 0, AA$2:AA1167/$V$2:$V1167, 0)</f>
        <v>0.64912280701754388</v>
      </c>
      <c r="AC2" s="27">
        <f>AA2/U2</f>
        <v>4.9221764001596384E-3</v>
      </c>
      <c r="AD2" s="36">
        <v>1</v>
      </c>
      <c r="AE2" s="27">
        <f t="array" ref="AE2:AE1167">IF($V$2:$V1167 &gt; 0, AD$2:AD1167/$V$2:$V1167, 0)</f>
        <v>1.7543859649122806E-2</v>
      </c>
      <c r="AF2" s="27">
        <f>AD2/U2</f>
        <v>1.3303179459890914E-4</v>
      </c>
      <c r="AG2" s="37">
        <v>18</v>
      </c>
      <c r="AH2" s="27">
        <f t="array" ref="AH2:AH1167">IF($V$2:$V1167 &gt; 0, AG$2:AG1167/$V$2:$V1167, 0)</f>
        <v>0.31578947368421051</v>
      </c>
      <c r="AI2" s="27">
        <f>AG2/U2</f>
        <v>2.3945723027803643E-3</v>
      </c>
      <c r="AJ2" s="38">
        <v>0</v>
      </c>
      <c r="AK2" s="27">
        <f t="array" ref="AK2:AK1167">IF($V$2:$V1167 &gt; 0, AJ$2:AJ1167/$V$2:$V1167, 0)</f>
        <v>0</v>
      </c>
      <c r="AL2" s="27">
        <f>AJ2/U2</f>
        <v>0</v>
      </c>
      <c r="AM2" s="40">
        <v>0</v>
      </c>
      <c r="AN2" s="27">
        <f t="array" ref="AN2:AN1167">IF($V$2:$V1167 &gt; 0, AM$2:AM1167/$V$2:$V1167, 0)</f>
        <v>0</v>
      </c>
      <c r="AO2" s="27">
        <f>AM2/U2</f>
        <v>0</v>
      </c>
      <c r="AP2" s="6" t="b">
        <v>0</v>
      </c>
      <c r="AQ2" s="7" t="b">
        <v>1</v>
      </c>
      <c r="AR2" s="6" t="b">
        <v>0</v>
      </c>
      <c r="AS2" s="6" t="b">
        <v>0</v>
      </c>
      <c r="AT2" s="7" t="b">
        <v>1</v>
      </c>
      <c r="AU2" s="6" t="b">
        <v>0</v>
      </c>
      <c r="AV2" s="6" t="b">
        <v>0</v>
      </c>
      <c r="AW2" s="6" t="b">
        <v>0</v>
      </c>
      <c r="AX2" s="6" t="b">
        <v>0</v>
      </c>
      <c r="AY2" s="6" t="b">
        <v>0</v>
      </c>
      <c r="AZ2" s="6" t="b">
        <v>0</v>
      </c>
      <c r="BA2" s="6" t="b">
        <v>0</v>
      </c>
      <c r="BB2" s="6" t="b">
        <v>0</v>
      </c>
    </row>
    <row r="3" spans="1:54" ht="15.75" customHeight="1" x14ac:dyDescent="0.25">
      <c r="A3" s="3" t="s">
        <v>50</v>
      </c>
      <c r="B3" s="3" t="str">
        <f ca="1">IFERROR(__xludf.DUMMYFUNCTION("SPLIT(A3,""/"")"),"0vercl0k")</f>
        <v>0vercl0k</v>
      </c>
      <c r="C3" s="3" t="str">
        <f ca="1">IFERROR(__xludf.DUMMYFUNCTION("""COMPUTED_VALUE"""),"stuffz")</f>
        <v>stuffz</v>
      </c>
      <c r="D3" s="4" t="s">
        <v>51</v>
      </c>
      <c r="E3" s="5">
        <v>41006.556608796294</v>
      </c>
      <c r="F3" s="5">
        <v>44281.686631944445</v>
      </c>
      <c r="G3" s="13">
        <f t="shared" ref="G3:G66" si="0">F3-E3</f>
        <v>3275.1300231481509</v>
      </c>
      <c r="H3" s="6" t="b">
        <v>0</v>
      </c>
      <c r="I3" s="6" t="b">
        <v>0</v>
      </c>
      <c r="J3" s="8">
        <v>538</v>
      </c>
      <c r="K3" s="8">
        <v>60</v>
      </c>
      <c r="L3" s="8">
        <v>114</v>
      </c>
      <c r="M3" s="8">
        <v>0</v>
      </c>
      <c r="N3" s="8">
        <v>1</v>
      </c>
      <c r="O3" s="8">
        <v>2</v>
      </c>
      <c r="P3" s="8">
        <v>2</v>
      </c>
      <c r="Q3" s="8">
        <v>0</v>
      </c>
      <c r="R3" s="8">
        <v>7</v>
      </c>
      <c r="S3" s="8">
        <v>0</v>
      </c>
      <c r="T3" s="11" t="s">
        <v>52</v>
      </c>
      <c r="U3" s="10">
        <v>9073</v>
      </c>
      <c r="V3" s="32">
        <v>61</v>
      </c>
      <c r="W3" s="27">
        <v>6.7232447922407146E-3</v>
      </c>
      <c r="X3" s="34">
        <v>3</v>
      </c>
      <c r="Y3" s="27">
        <v>4.9180327868852458E-2</v>
      </c>
      <c r="Z3" s="27">
        <v>3.3065138322495318E-4</v>
      </c>
      <c r="AA3" s="35">
        <v>39</v>
      </c>
      <c r="AB3" s="27">
        <v>0.63934426229508201</v>
      </c>
      <c r="AC3" s="27">
        <f t="shared" ref="AC3:AC66" si="1">AA3/U3</f>
        <v>4.298467981924391E-3</v>
      </c>
      <c r="AD3" s="36">
        <v>16</v>
      </c>
      <c r="AE3" s="27">
        <v>0.26229508196721313</v>
      </c>
      <c r="AF3" s="27">
        <f t="shared" ref="AF3:AF66" si="2">AD3/U3</f>
        <v>1.7634740438664169E-3</v>
      </c>
      <c r="AG3" s="37">
        <v>3</v>
      </c>
      <c r="AH3" s="27">
        <v>4.9180327868852458E-2</v>
      </c>
      <c r="AI3" s="27">
        <f t="shared" ref="AI3:AI66" si="3">AG3/U3</f>
        <v>3.3065138322495318E-4</v>
      </c>
      <c r="AJ3" s="38">
        <v>0</v>
      </c>
      <c r="AK3" s="27">
        <v>0</v>
      </c>
      <c r="AL3" s="27">
        <f t="shared" ref="AL3:AL66" si="4">AJ3/U3</f>
        <v>0</v>
      </c>
      <c r="AM3" s="40">
        <v>0</v>
      </c>
      <c r="AN3" s="27">
        <v>0</v>
      </c>
      <c r="AO3" s="27">
        <f t="shared" ref="AO3:AO66" si="5">AM3/U3</f>
        <v>0</v>
      </c>
      <c r="AP3" s="7" t="b">
        <v>1</v>
      </c>
      <c r="AQ3" s="6" t="b">
        <v>0</v>
      </c>
      <c r="AR3" s="6" t="b">
        <v>0</v>
      </c>
      <c r="AS3" s="6" t="b">
        <v>0</v>
      </c>
      <c r="AT3" s="7" t="b">
        <v>1</v>
      </c>
      <c r="AU3" s="6" t="b">
        <v>0</v>
      </c>
      <c r="AV3" s="6" t="b">
        <v>0</v>
      </c>
      <c r="AW3" s="6" t="b">
        <v>0</v>
      </c>
      <c r="AX3" s="6" t="b">
        <v>0</v>
      </c>
      <c r="AY3" s="6" t="b">
        <v>0</v>
      </c>
      <c r="AZ3" s="6" t="b">
        <v>0</v>
      </c>
      <c r="BA3" s="6" t="b">
        <v>0</v>
      </c>
      <c r="BB3" s="6" t="b">
        <v>0</v>
      </c>
    </row>
    <row r="4" spans="1:54" ht="15.75" customHeight="1" x14ac:dyDescent="0.25">
      <c r="A4" s="3" t="s">
        <v>53</v>
      </c>
      <c r="B4" s="3" t="str">
        <f ca="1">IFERROR(__xludf.DUMMYFUNCTION("SPLIT(A4,""/"")"),"0xInfection")</f>
        <v>0xInfection</v>
      </c>
      <c r="C4" s="3" t="str">
        <f ca="1">IFERROR(__xludf.DUMMYFUNCTION("""COMPUTED_VALUE"""),"TIDoS-Framework")</f>
        <v>TIDoS-Framework</v>
      </c>
      <c r="D4" s="4" t="s">
        <v>54</v>
      </c>
      <c r="E4" s="5">
        <v>43259.295590277776</v>
      </c>
      <c r="F4" s="5">
        <v>44294.62809027778</v>
      </c>
      <c r="G4" s="13">
        <f t="shared" si="0"/>
        <v>1035.3325000000041</v>
      </c>
      <c r="H4" s="6" t="b">
        <v>0</v>
      </c>
      <c r="I4" s="6" t="b">
        <v>0</v>
      </c>
      <c r="J4" s="8">
        <v>1310</v>
      </c>
      <c r="K4" s="8">
        <v>117</v>
      </c>
      <c r="L4" s="8">
        <v>319</v>
      </c>
      <c r="M4" s="8">
        <v>20</v>
      </c>
      <c r="N4" s="8">
        <v>3</v>
      </c>
      <c r="O4" s="8">
        <v>8</v>
      </c>
      <c r="P4" s="8">
        <v>28</v>
      </c>
      <c r="Q4" s="8">
        <v>2</v>
      </c>
      <c r="R4" s="8">
        <v>107</v>
      </c>
      <c r="S4" s="8">
        <v>11</v>
      </c>
      <c r="T4" s="3" t="s">
        <v>49</v>
      </c>
      <c r="U4" s="10">
        <v>24868</v>
      </c>
      <c r="V4" s="32">
        <v>8</v>
      </c>
      <c r="W4" s="27">
        <v>3.2169856844137045E-4</v>
      </c>
      <c r="X4" s="34">
        <v>0</v>
      </c>
      <c r="Y4" s="27">
        <v>0</v>
      </c>
      <c r="Z4" s="27">
        <v>0</v>
      </c>
      <c r="AA4" s="35">
        <v>4</v>
      </c>
      <c r="AB4" s="27">
        <v>0.5</v>
      </c>
      <c r="AC4" s="27">
        <f t="shared" si="1"/>
        <v>1.6084928422068523E-4</v>
      </c>
      <c r="AD4" s="36">
        <v>3</v>
      </c>
      <c r="AE4" s="27">
        <v>0.375</v>
      </c>
      <c r="AF4" s="27">
        <f t="shared" si="2"/>
        <v>1.2063696316551391E-4</v>
      </c>
      <c r="AG4" s="37">
        <v>2</v>
      </c>
      <c r="AH4" s="27">
        <v>0.25</v>
      </c>
      <c r="AI4" s="27">
        <f t="shared" si="3"/>
        <v>8.0424642110342613E-5</v>
      </c>
      <c r="AJ4" s="38">
        <v>0</v>
      </c>
      <c r="AK4" s="27">
        <v>0</v>
      </c>
      <c r="AL4" s="27">
        <f t="shared" si="4"/>
        <v>0</v>
      </c>
      <c r="AM4" s="40">
        <v>0</v>
      </c>
      <c r="AN4" s="27">
        <v>0</v>
      </c>
      <c r="AO4" s="27">
        <f t="shared" si="5"/>
        <v>0</v>
      </c>
      <c r="AP4" s="7" t="b">
        <v>1</v>
      </c>
      <c r="AQ4" s="6" t="b">
        <v>0</v>
      </c>
      <c r="AR4" s="6" t="b">
        <v>0</v>
      </c>
      <c r="AS4" s="6" t="b">
        <v>0</v>
      </c>
      <c r="AT4" s="7" t="b">
        <v>1</v>
      </c>
      <c r="AU4" s="6" t="b">
        <v>0</v>
      </c>
      <c r="AV4" s="6" t="b">
        <v>0</v>
      </c>
      <c r="AW4" s="6" t="b">
        <v>0</v>
      </c>
      <c r="AX4" s="6" t="b">
        <v>0</v>
      </c>
      <c r="AY4" s="6" t="b">
        <v>0</v>
      </c>
      <c r="AZ4" s="6" t="b">
        <v>0</v>
      </c>
      <c r="BA4" s="6" t="b">
        <v>0</v>
      </c>
      <c r="BB4" s="6" t="b">
        <v>0</v>
      </c>
    </row>
    <row r="5" spans="1:54" ht="15.75" customHeight="1" x14ac:dyDescent="0.25">
      <c r="A5" s="3" t="s">
        <v>55</v>
      </c>
      <c r="B5" s="3" t="str">
        <f ca="1">IFERROR(__xludf.DUMMYFUNCTION("SPLIT(A5,""/"")"),"1adrianb")</f>
        <v>1adrianb</v>
      </c>
      <c r="C5" s="3" t="str">
        <f ca="1">IFERROR(__xludf.DUMMYFUNCTION("""COMPUTED_VALUE"""),"face-alignment")</f>
        <v>face-alignment</v>
      </c>
      <c r="D5" s="4" t="s">
        <v>56</v>
      </c>
      <c r="E5" s="5">
        <v>42993.856064814812</v>
      </c>
      <c r="F5" s="5">
        <v>44295.138657407406</v>
      </c>
      <c r="G5" s="13">
        <f t="shared" si="0"/>
        <v>1301.2825925925936</v>
      </c>
      <c r="H5" s="6" t="b">
        <v>0</v>
      </c>
      <c r="I5" s="6" t="b">
        <v>0</v>
      </c>
      <c r="J5" s="8">
        <v>4822</v>
      </c>
      <c r="K5" s="8">
        <v>164</v>
      </c>
      <c r="L5" s="8">
        <v>1010</v>
      </c>
      <c r="M5" s="8">
        <v>9</v>
      </c>
      <c r="N5" s="8">
        <v>0</v>
      </c>
      <c r="O5" s="8">
        <v>20</v>
      </c>
      <c r="P5" s="8">
        <v>34</v>
      </c>
      <c r="Q5" s="8">
        <v>5</v>
      </c>
      <c r="R5" s="8">
        <v>229</v>
      </c>
      <c r="S5" s="8">
        <v>31</v>
      </c>
      <c r="T5" s="3" t="s">
        <v>57</v>
      </c>
      <c r="U5" s="10">
        <v>1228</v>
      </c>
      <c r="V5" s="32">
        <v>9</v>
      </c>
      <c r="W5" s="27">
        <v>7.3289902280130291E-3</v>
      </c>
      <c r="X5" s="34">
        <v>0</v>
      </c>
      <c r="Y5" s="27">
        <v>0</v>
      </c>
      <c r="Z5" s="27">
        <v>0</v>
      </c>
      <c r="AA5" s="35">
        <v>5</v>
      </c>
      <c r="AB5" s="27">
        <v>0.55555555555555558</v>
      </c>
      <c r="AC5" s="27">
        <f t="shared" si="1"/>
        <v>4.0716612377850164E-3</v>
      </c>
      <c r="AD5" s="36">
        <v>2</v>
      </c>
      <c r="AE5" s="27">
        <v>0.22222222222222221</v>
      </c>
      <c r="AF5" s="27">
        <f t="shared" si="2"/>
        <v>1.6286644951140066E-3</v>
      </c>
      <c r="AG5" s="37">
        <v>2</v>
      </c>
      <c r="AH5" s="27">
        <v>0.22222222222222221</v>
      </c>
      <c r="AI5" s="27">
        <f t="shared" si="3"/>
        <v>1.6286644951140066E-3</v>
      </c>
      <c r="AJ5" s="38">
        <v>0</v>
      </c>
      <c r="AK5" s="27">
        <v>0</v>
      </c>
      <c r="AL5" s="27">
        <f t="shared" si="4"/>
        <v>0</v>
      </c>
      <c r="AM5" s="40">
        <v>0</v>
      </c>
      <c r="AN5" s="27">
        <v>0</v>
      </c>
      <c r="AO5" s="27">
        <f t="shared" si="5"/>
        <v>0</v>
      </c>
      <c r="AP5" s="7" t="b">
        <v>1</v>
      </c>
      <c r="AQ5" s="6" t="b">
        <v>0</v>
      </c>
      <c r="AR5" s="6" t="b">
        <v>0</v>
      </c>
      <c r="AS5" s="6" t="b">
        <v>0</v>
      </c>
      <c r="AT5" s="7" t="b">
        <v>1</v>
      </c>
      <c r="AU5" s="6" t="b">
        <v>0</v>
      </c>
      <c r="AV5" s="6" t="b">
        <v>0</v>
      </c>
      <c r="AW5" s="6" t="b">
        <v>0</v>
      </c>
      <c r="AX5" s="6" t="b">
        <v>0</v>
      </c>
      <c r="AY5" s="6" t="b">
        <v>0</v>
      </c>
      <c r="AZ5" s="6" t="b">
        <v>0</v>
      </c>
      <c r="BA5" s="6" t="b">
        <v>0</v>
      </c>
      <c r="BB5" s="6" t="b">
        <v>0</v>
      </c>
    </row>
    <row r="6" spans="1:54" ht="15.75" customHeight="1" x14ac:dyDescent="0.25">
      <c r="A6" s="3" t="s">
        <v>58</v>
      </c>
      <c r="B6" s="3" t="str">
        <f ca="1">IFERROR(__xludf.DUMMYFUNCTION("SPLIT(A6,""/"")"),"1tayH")</f>
        <v>1tayH</v>
      </c>
      <c r="C6" s="3" t="str">
        <f ca="1">IFERROR(__xludf.DUMMYFUNCTION("""COMPUTED_VALUE"""),"noisy")</f>
        <v>noisy</v>
      </c>
      <c r="D6" s="4" t="s">
        <v>59</v>
      </c>
      <c r="E6" s="5">
        <v>43280.673587962963</v>
      </c>
      <c r="F6" s="5">
        <v>44288.514409722222</v>
      </c>
      <c r="G6" s="13">
        <f t="shared" si="0"/>
        <v>1007.8408217592587</v>
      </c>
      <c r="H6" s="6" t="b">
        <v>0</v>
      </c>
      <c r="I6" s="6" t="b">
        <v>0</v>
      </c>
      <c r="J6" s="8">
        <v>1214</v>
      </c>
      <c r="K6" s="8">
        <v>64</v>
      </c>
      <c r="L6" s="8">
        <v>162</v>
      </c>
      <c r="M6" s="8">
        <v>0</v>
      </c>
      <c r="N6" s="8">
        <v>0</v>
      </c>
      <c r="O6" s="8">
        <v>6</v>
      </c>
      <c r="P6" s="8">
        <v>25</v>
      </c>
      <c r="Q6" s="8">
        <v>9</v>
      </c>
      <c r="R6" s="8">
        <v>14</v>
      </c>
      <c r="S6" s="8">
        <v>9</v>
      </c>
      <c r="T6" s="3" t="s">
        <v>49</v>
      </c>
      <c r="U6" s="10">
        <v>143</v>
      </c>
      <c r="V6" s="32">
        <v>8</v>
      </c>
      <c r="W6" s="27">
        <v>5.5944055944055944E-2</v>
      </c>
      <c r="X6" s="34">
        <v>3</v>
      </c>
      <c r="Y6" s="27">
        <v>0.375</v>
      </c>
      <c r="Z6" s="27">
        <v>2.097902097902098E-2</v>
      </c>
      <c r="AA6" s="35">
        <v>2</v>
      </c>
      <c r="AB6" s="27">
        <v>0.25</v>
      </c>
      <c r="AC6" s="27">
        <f t="shared" si="1"/>
        <v>1.3986013986013986E-2</v>
      </c>
      <c r="AD6" s="36">
        <v>3</v>
      </c>
      <c r="AE6" s="27">
        <v>0.375</v>
      </c>
      <c r="AF6" s="27">
        <f t="shared" si="2"/>
        <v>2.097902097902098E-2</v>
      </c>
      <c r="AG6" s="37">
        <v>0</v>
      </c>
      <c r="AH6" s="27">
        <v>0</v>
      </c>
      <c r="AI6" s="27">
        <f t="shared" si="3"/>
        <v>0</v>
      </c>
      <c r="AJ6" s="38">
        <v>0</v>
      </c>
      <c r="AK6" s="27">
        <v>0</v>
      </c>
      <c r="AL6" s="27">
        <f t="shared" si="4"/>
        <v>0</v>
      </c>
      <c r="AM6" s="40">
        <v>0</v>
      </c>
      <c r="AN6" s="27">
        <v>0</v>
      </c>
      <c r="AO6" s="27">
        <f t="shared" si="5"/>
        <v>0</v>
      </c>
      <c r="AP6" s="7" t="b">
        <v>1</v>
      </c>
      <c r="AQ6" s="7" t="b">
        <v>1</v>
      </c>
      <c r="AR6" s="6" t="b">
        <v>0</v>
      </c>
      <c r="AS6" s="6" t="b">
        <v>0</v>
      </c>
      <c r="AT6" s="7" t="b">
        <v>1</v>
      </c>
      <c r="AU6" s="6" t="b">
        <v>0</v>
      </c>
      <c r="AV6" s="6" t="b">
        <v>0</v>
      </c>
      <c r="AW6" s="6" t="b">
        <v>0</v>
      </c>
      <c r="AX6" s="6" t="b">
        <v>0</v>
      </c>
      <c r="AY6" s="6" t="b">
        <v>0</v>
      </c>
      <c r="AZ6" s="6" t="b">
        <v>0</v>
      </c>
      <c r="BA6" s="6" t="b">
        <v>0</v>
      </c>
      <c r="BB6" s="6" t="b">
        <v>0</v>
      </c>
    </row>
    <row r="7" spans="1:54" ht="15.75" customHeight="1" x14ac:dyDescent="0.25">
      <c r="A7" s="3" t="s">
        <v>60</v>
      </c>
      <c r="B7" s="3" t="str">
        <f ca="1">IFERROR(__xludf.DUMMYFUNCTION("SPLIT(A7,""/"")"),"5hirish")</f>
        <v>5hirish</v>
      </c>
      <c r="C7" s="3" t="str">
        <f ca="1">IFERROR(__xludf.DUMMYFUNCTION("""COMPUTED_VALUE"""),"adam_qas")</f>
        <v>adam_qas</v>
      </c>
      <c r="D7" s="4" t="s">
        <v>61</v>
      </c>
      <c r="E7" s="5">
        <v>42409.638032407405</v>
      </c>
      <c r="F7" s="5">
        <v>44278.763483796298</v>
      </c>
      <c r="G7" s="13">
        <f t="shared" si="0"/>
        <v>1869.1254513888925</v>
      </c>
      <c r="H7" s="6" t="b">
        <v>0</v>
      </c>
      <c r="I7" s="6" t="b">
        <v>0</v>
      </c>
      <c r="J7" s="8">
        <v>331</v>
      </c>
      <c r="K7" s="8">
        <v>30</v>
      </c>
      <c r="L7" s="8">
        <v>94</v>
      </c>
      <c r="M7" s="8">
        <v>0</v>
      </c>
      <c r="N7" s="8">
        <v>0</v>
      </c>
      <c r="O7" s="8">
        <v>10</v>
      </c>
      <c r="P7" s="8">
        <v>27</v>
      </c>
      <c r="Q7" s="8">
        <v>0</v>
      </c>
      <c r="R7" s="8">
        <v>26</v>
      </c>
      <c r="S7" s="8">
        <v>9</v>
      </c>
      <c r="T7" s="3" t="s">
        <v>49</v>
      </c>
      <c r="U7" s="10">
        <v>1892</v>
      </c>
      <c r="V7" s="32">
        <v>78</v>
      </c>
      <c r="W7" s="27">
        <v>4.1226215644820298E-2</v>
      </c>
      <c r="X7" s="34">
        <v>36</v>
      </c>
      <c r="Y7" s="27">
        <v>0.46153846153846156</v>
      </c>
      <c r="Z7" s="27">
        <v>1.9027484143763214E-2</v>
      </c>
      <c r="AA7" s="35">
        <v>26</v>
      </c>
      <c r="AB7" s="27">
        <v>0.33333333333333331</v>
      </c>
      <c r="AC7" s="27">
        <f t="shared" si="1"/>
        <v>1.3742071881606765E-2</v>
      </c>
      <c r="AD7" s="36">
        <v>3</v>
      </c>
      <c r="AE7" s="27">
        <v>3.8461538461538464E-2</v>
      </c>
      <c r="AF7" s="27">
        <f t="shared" si="2"/>
        <v>1.5856236786469344E-3</v>
      </c>
      <c r="AG7" s="37">
        <v>13</v>
      </c>
      <c r="AH7" s="27">
        <v>0.16666666666666666</v>
      </c>
      <c r="AI7" s="27">
        <f t="shared" si="3"/>
        <v>6.8710359408033824E-3</v>
      </c>
      <c r="AJ7" s="38">
        <v>0</v>
      </c>
      <c r="AK7" s="27">
        <v>0</v>
      </c>
      <c r="AL7" s="27">
        <f t="shared" si="4"/>
        <v>0</v>
      </c>
      <c r="AM7" s="40">
        <v>0</v>
      </c>
      <c r="AN7" s="27">
        <v>0</v>
      </c>
      <c r="AO7" s="27">
        <f t="shared" si="5"/>
        <v>0</v>
      </c>
      <c r="AP7" s="7" t="b">
        <v>1</v>
      </c>
      <c r="AQ7" s="7" t="b">
        <v>1</v>
      </c>
      <c r="AR7" s="6" t="b">
        <v>0</v>
      </c>
      <c r="AS7" s="6" t="b">
        <v>0</v>
      </c>
      <c r="AT7" s="7" t="b">
        <v>1</v>
      </c>
      <c r="AU7" s="6" t="b">
        <v>0</v>
      </c>
      <c r="AV7" s="6" t="b">
        <v>0</v>
      </c>
      <c r="AW7" s="6" t="b">
        <v>0</v>
      </c>
      <c r="AX7" s="6" t="b">
        <v>0</v>
      </c>
      <c r="AY7" s="6" t="b">
        <v>0</v>
      </c>
      <c r="AZ7" s="6" t="b">
        <v>0</v>
      </c>
      <c r="BA7" s="6" t="b">
        <v>0</v>
      </c>
      <c r="BB7" s="6" t="b">
        <v>0</v>
      </c>
    </row>
    <row r="8" spans="1:54" ht="15.75" customHeight="1" x14ac:dyDescent="0.25">
      <c r="A8" s="3" t="s">
        <v>62</v>
      </c>
      <c r="B8" s="3" t="str">
        <f ca="1">IFERROR(__xludf.DUMMYFUNCTION("SPLIT(A8,""/"")"),"aancw")</f>
        <v>aancw</v>
      </c>
      <c r="C8" s="3" t="str">
        <f ca="1">IFERROR(__xludf.DUMMYFUNCTION("""COMPUTED_VALUE"""),"Belati")</f>
        <v>Belati</v>
      </c>
      <c r="D8" s="4" t="s">
        <v>63</v>
      </c>
      <c r="E8" s="5">
        <v>42726.45453703704</v>
      </c>
      <c r="F8" s="5">
        <v>44293.941493055558</v>
      </c>
      <c r="G8" s="13">
        <f t="shared" si="0"/>
        <v>1567.486956018518</v>
      </c>
      <c r="H8" s="6" t="b">
        <v>0</v>
      </c>
      <c r="I8" s="6" t="b">
        <v>0</v>
      </c>
      <c r="J8" s="8">
        <v>397</v>
      </c>
      <c r="K8" s="8">
        <v>34</v>
      </c>
      <c r="L8" s="8">
        <v>98</v>
      </c>
      <c r="M8" s="8">
        <v>4</v>
      </c>
      <c r="N8" s="8">
        <v>0</v>
      </c>
      <c r="O8" s="8">
        <v>6</v>
      </c>
      <c r="P8" s="8">
        <v>14</v>
      </c>
      <c r="Q8" s="8">
        <v>2</v>
      </c>
      <c r="R8" s="8">
        <v>28</v>
      </c>
      <c r="S8" s="8">
        <v>7</v>
      </c>
      <c r="T8" s="3" t="s">
        <v>64</v>
      </c>
      <c r="U8" s="10">
        <v>2307</v>
      </c>
      <c r="V8" s="32">
        <v>2</v>
      </c>
      <c r="W8" s="27">
        <v>8.6692674469007367E-4</v>
      </c>
      <c r="X8" s="34">
        <v>0</v>
      </c>
      <c r="Y8" s="27">
        <v>0</v>
      </c>
      <c r="Z8" s="27">
        <v>0</v>
      </c>
      <c r="AA8" s="35">
        <v>0</v>
      </c>
      <c r="AB8" s="27">
        <v>0</v>
      </c>
      <c r="AC8" s="27">
        <f t="shared" si="1"/>
        <v>0</v>
      </c>
      <c r="AD8" s="36">
        <v>2</v>
      </c>
      <c r="AE8" s="27">
        <v>1</v>
      </c>
      <c r="AF8" s="27">
        <f t="shared" si="2"/>
        <v>8.6692674469007367E-4</v>
      </c>
      <c r="AG8" s="37">
        <v>0</v>
      </c>
      <c r="AH8" s="27">
        <v>0</v>
      </c>
      <c r="AI8" s="27">
        <f t="shared" si="3"/>
        <v>0</v>
      </c>
      <c r="AJ8" s="38">
        <v>0</v>
      </c>
      <c r="AK8" s="27">
        <v>0</v>
      </c>
      <c r="AL8" s="27">
        <f t="shared" si="4"/>
        <v>0</v>
      </c>
      <c r="AM8" s="40">
        <v>0</v>
      </c>
      <c r="AN8" s="27">
        <v>0</v>
      </c>
      <c r="AO8" s="27">
        <f t="shared" si="5"/>
        <v>0</v>
      </c>
      <c r="AP8" s="7" t="b">
        <v>1</v>
      </c>
      <c r="AQ8" s="6" t="b">
        <v>0</v>
      </c>
      <c r="AR8" s="6" t="b">
        <v>0</v>
      </c>
      <c r="AS8" s="6" t="b">
        <v>0</v>
      </c>
      <c r="AT8" s="7" t="b">
        <v>1</v>
      </c>
      <c r="AU8" s="6" t="b">
        <v>0</v>
      </c>
      <c r="AV8" s="6" t="b">
        <v>0</v>
      </c>
      <c r="AW8" s="6" t="b">
        <v>0</v>
      </c>
      <c r="AX8" s="6" t="b">
        <v>0</v>
      </c>
      <c r="AY8" s="6" t="b">
        <v>0</v>
      </c>
      <c r="AZ8" s="6" t="b">
        <v>0</v>
      </c>
      <c r="BA8" s="6" t="b">
        <v>0</v>
      </c>
      <c r="BB8" s="6" t="b">
        <v>0</v>
      </c>
    </row>
    <row r="9" spans="1:54" ht="15.75" customHeight="1" x14ac:dyDescent="0.25">
      <c r="A9" s="3" t="s">
        <v>65</v>
      </c>
      <c r="B9" s="3" t="str">
        <f ca="1">IFERROR(__xludf.DUMMYFUNCTION("SPLIT(A9,""/"")"),"abhinavsingh")</f>
        <v>abhinavsingh</v>
      </c>
      <c r="C9" s="4" t="str">
        <f ca="1">IFERROR(__xludf.DUMMYFUNCTION("""COMPUTED_VALUE"""),"proxy.py")</f>
        <v>proxy.py</v>
      </c>
      <c r="D9" s="4" t="s">
        <v>66</v>
      </c>
      <c r="E9" s="5">
        <v>41505.898506944446</v>
      </c>
      <c r="F9" s="5">
        <v>44294.438831018517</v>
      </c>
      <c r="G9" s="13">
        <f t="shared" si="0"/>
        <v>2788.5403240740707</v>
      </c>
      <c r="H9" s="6" t="b">
        <v>0</v>
      </c>
      <c r="I9" s="6" t="b">
        <v>0</v>
      </c>
      <c r="J9" s="8">
        <v>1313</v>
      </c>
      <c r="K9" s="8">
        <v>51</v>
      </c>
      <c r="L9" s="8">
        <v>325</v>
      </c>
      <c r="M9" s="8">
        <v>0</v>
      </c>
      <c r="N9" s="8">
        <v>5</v>
      </c>
      <c r="O9" s="8">
        <v>11</v>
      </c>
      <c r="P9" s="8">
        <v>360</v>
      </c>
      <c r="Q9" s="8">
        <v>2</v>
      </c>
      <c r="R9" s="8">
        <v>167</v>
      </c>
      <c r="S9" s="8">
        <v>42</v>
      </c>
      <c r="T9" s="3" t="s">
        <v>57</v>
      </c>
      <c r="U9" s="10">
        <v>5514</v>
      </c>
      <c r="V9" s="32">
        <v>79</v>
      </c>
      <c r="W9" s="27">
        <v>1.4327167210736307E-2</v>
      </c>
      <c r="X9" s="34">
        <v>32</v>
      </c>
      <c r="Y9" s="27">
        <v>0.4050632911392405</v>
      </c>
      <c r="Z9" s="27">
        <v>5.8034095030830611E-3</v>
      </c>
      <c r="AA9" s="35">
        <v>20</v>
      </c>
      <c r="AB9" s="27">
        <v>0.25316455696202533</v>
      </c>
      <c r="AC9" s="27">
        <f t="shared" si="1"/>
        <v>3.6271309394269131E-3</v>
      </c>
      <c r="AD9" s="36">
        <v>9</v>
      </c>
      <c r="AE9" s="27">
        <v>0.11392405063291139</v>
      </c>
      <c r="AF9" s="27">
        <f t="shared" si="2"/>
        <v>1.632208922742111E-3</v>
      </c>
      <c r="AG9" s="37">
        <v>18</v>
      </c>
      <c r="AH9" s="27">
        <v>0.22784810126582278</v>
      </c>
      <c r="AI9" s="27">
        <f t="shared" si="3"/>
        <v>3.2644178454842221E-3</v>
      </c>
      <c r="AJ9" s="38">
        <v>0</v>
      </c>
      <c r="AK9" s="27">
        <v>0</v>
      </c>
      <c r="AL9" s="27">
        <f t="shared" si="4"/>
        <v>0</v>
      </c>
      <c r="AM9" s="40">
        <v>0</v>
      </c>
      <c r="AN9" s="27">
        <v>0</v>
      </c>
      <c r="AO9" s="27">
        <f t="shared" si="5"/>
        <v>0</v>
      </c>
      <c r="AP9" s="7" t="b">
        <v>1</v>
      </c>
      <c r="AQ9" s="6" t="b">
        <v>0</v>
      </c>
      <c r="AR9" s="6" t="b">
        <v>0</v>
      </c>
      <c r="AS9" s="6" t="b">
        <v>0</v>
      </c>
      <c r="AT9" s="7" t="b">
        <v>1</v>
      </c>
      <c r="AU9" s="6" t="b">
        <v>0</v>
      </c>
      <c r="AV9" s="6" t="b">
        <v>0</v>
      </c>
      <c r="AW9" s="6" t="b">
        <v>0</v>
      </c>
      <c r="AX9" s="6" t="b">
        <v>0</v>
      </c>
      <c r="AY9" s="6" t="b">
        <v>0</v>
      </c>
      <c r="AZ9" s="6" t="b">
        <v>0</v>
      </c>
      <c r="BA9" s="6" t="b">
        <v>0</v>
      </c>
      <c r="BB9" s="6" t="b">
        <v>0</v>
      </c>
    </row>
    <row r="10" spans="1:54" ht="15.75" customHeight="1" x14ac:dyDescent="0.25">
      <c r="A10" s="3" t="s">
        <v>67</v>
      </c>
      <c r="B10" s="3" t="str">
        <f ca="1">IFERROR(__xludf.DUMMYFUNCTION("SPLIT(A10,""/"")"),"AcademySoftwareFoundation")</f>
        <v>AcademySoftwareFoundation</v>
      </c>
      <c r="C10" s="3" t="str">
        <f ca="1">IFERROR(__xludf.DUMMYFUNCTION("""COMPUTED_VALUE"""),"OpenCue")</f>
        <v>OpenCue</v>
      </c>
      <c r="D10" s="4" t="s">
        <v>68</v>
      </c>
      <c r="E10" s="5">
        <v>43236.998749999999</v>
      </c>
      <c r="F10" s="5">
        <v>44294.642835648148</v>
      </c>
      <c r="G10" s="13">
        <f t="shared" si="0"/>
        <v>1057.6440856481495</v>
      </c>
      <c r="H10" s="6" t="b">
        <v>0</v>
      </c>
      <c r="I10" s="7" t="b">
        <v>1</v>
      </c>
      <c r="J10" s="8">
        <v>585</v>
      </c>
      <c r="K10" s="8">
        <v>62</v>
      </c>
      <c r="L10" s="8">
        <v>134</v>
      </c>
      <c r="M10" s="8">
        <v>20</v>
      </c>
      <c r="N10" s="8">
        <v>2</v>
      </c>
      <c r="O10" s="8">
        <v>30</v>
      </c>
      <c r="P10" s="8">
        <v>603</v>
      </c>
      <c r="Q10" s="8">
        <v>28</v>
      </c>
      <c r="R10" s="8">
        <v>353</v>
      </c>
      <c r="S10" s="8">
        <v>117</v>
      </c>
      <c r="T10" s="3" t="s">
        <v>69</v>
      </c>
      <c r="U10" s="10">
        <v>31052</v>
      </c>
      <c r="V10" s="32">
        <v>301</v>
      </c>
      <c r="W10" s="27">
        <v>9.6934174932371501E-3</v>
      </c>
      <c r="X10" s="34">
        <v>72</v>
      </c>
      <c r="Y10" s="27">
        <v>0.23920265780730898</v>
      </c>
      <c r="Z10" s="27">
        <v>2.3186912276181889E-3</v>
      </c>
      <c r="AA10" s="35">
        <v>93</v>
      </c>
      <c r="AB10" s="27">
        <v>0.30897009966777411</v>
      </c>
      <c r="AC10" s="27">
        <f t="shared" si="1"/>
        <v>2.9949761690068271E-3</v>
      </c>
      <c r="AD10" s="36">
        <v>104</v>
      </c>
      <c r="AE10" s="27">
        <v>0.34551495016611294</v>
      </c>
      <c r="AF10" s="27">
        <f t="shared" si="2"/>
        <v>3.3492206621151617E-3</v>
      </c>
      <c r="AG10" s="37">
        <v>4</v>
      </c>
      <c r="AH10" s="27">
        <v>1.3289036544850499E-2</v>
      </c>
      <c r="AI10" s="27">
        <f t="shared" si="3"/>
        <v>1.288161793121216E-4</v>
      </c>
      <c r="AJ10" s="38">
        <v>23</v>
      </c>
      <c r="AK10" s="27">
        <v>7.6411960132890366E-2</v>
      </c>
      <c r="AL10" s="27">
        <f t="shared" si="4"/>
        <v>7.4069303104469921E-4</v>
      </c>
      <c r="AM10" s="40">
        <v>0</v>
      </c>
      <c r="AN10" s="27">
        <v>0</v>
      </c>
      <c r="AO10" s="27">
        <f t="shared" si="5"/>
        <v>0</v>
      </c>
      <c r="AP10" s="7" t="b">
        <v>1</v>
      </c>
      <c r="AQ10" s="7" t="b">
        <v>1</v>
      </c>
      <c r="AR10" s="6" t="b">
        <v>0</v>
      </c>
      <c r="AS10" s="6" t="b">
        <v>0</v>
      </c>
      <c r="AT10" s="7" t="b">
        <v>1</v>
      </c>
      <c r="AU10" s="6" t="b">
        <v>0</v>
      </c>
      <c r="AV10" s="6" t="b">
        <v>0</v>
      </c>
      <c r="AW10" s="6" t="b">
        <v>0</v>
      </c>
      <c r="AX10" s="6" t="b">
        <v>0</v>
      </c>
      <c r="AY10" s="6" t="b">
        <v>0</v>
      </c>
      <c r="AZ10" s="6" t="b">
        <v>0</v>
      </c>
      <c r="BA10" s="6" t="b">
        <v>0</v>
      </c>
      <c r="BB10" s="6" t="b">
        <v>0</v>
      </c>
    </row>
    <row r="11" spans="1:54" ht="15.75" customHeight="1" x14ac:dyDescent="0.25">
      <c r="A11" s="3" t="s">
        <v>70</v>
      </c>
      <c r="B11" s="3" t="str">
        <f ca="1">IFERROR(__xludf.DUMMYFUNCTION("SPLIT(A11,""/"")"),"achillesrasquinha")</f>
        <v>achillesrasquinha</v>
      </c>
      <c r="C11" s="3" t="str">
        <f ca="1">IFERROR(__xludf.DUMMYFUNCTION("""COMPUTED_VALUE"""),"pipupgrade")</f>
        <v>pipupgrade</v>
      </c>
      <c r="D11" s="4" t="s">
        <v>71</v>
      </c>
      <c r="E11" s="5">
        <v>43341.884166666663</v>
      </c>
      <c r="F11" s="5">
        <v>44293.372662037036</v>
      </c>
      <c r="G11" s="13">
        <f t="shared" si="0"/>
        <v>951.48849537037313</v>
      </c>
      <c r="H11" s="6" t="b">
        <v>0</v>
      </c>
      <c r="I11" s="6" t="b">
        <v>0</v>
      </c>
      <c r="J11" s="8">
        <v>399</v>
      </c>
      <c r="K11" s="8">
        <v>4</v>
      </c>
      <c r="L11" s="8">
        <v>19</v>
      </c>
      <c r="M11" s="8">
        <v>15</v>
      </c>
      <c r="N11" s="8">
        <v>0</v>
      </c>
      <c r="O11" s="8">
        <v>8</v>
      </c>
      <c r="P11" s="8">
        <v>17</v>
      </c>
      <c r="Q11" s="8">
        <v>2</v>
      </c>
      <c r="R11" s="8">
        <v>81</v>
      </c>
      <c r="S11" s="8">
        <v>26</v>
      </c>
      <c r="T11" s="3" t="s">
        <v>72</v>
      </c>
      <c r="U11" s="10">
        <v>2755</v>
      </c>
      <c r="V11" s="32">
        <v>57</v>
      </c>
      <c r="W11" s="27">
        <v>2.0689655172413793E-2</v>
      </c>
      <c r="X11" s="34">
        <v>0</v>
      </c>
      <c r="Y11" s="27">
        <v>0</v>
      </c>
      <c r="Z11" s="27">
        <v>0</v>
      </c>
      <c r="AA11" s="35">
        <v>50</v>
      </c>
      <c r="AB11" s="27">
        <v>0.8771929824561403</v>
      </c>
      <c r="AC11" s="27">
        <f t="shared" si="1"/>
        <v>1.8148820326678767E-2</v>
      </c>
      <c r="AD11" s="36">
        <v>6</v>
      </c>
      <c r="AE11" s="27">
        <v>0.10526315789473684</v>
      </c>
      <c r="AF11" s="27">
        <f t="shared" si="2"/>
        <v>2.1778584392014521E-3</v>
      </c>
      <c r="AG11" s="37">
        <v>1</v>
      </c>
      <c r="AH11" s="27">
        <v>1.7543859649122806E-2</v>
      </c>
      <c r="AI11" s="27">
        <f t="shared" si="3"/>
        <v>3.6297640653357529E-4</v>
      </c>
      <c r="AJ11" s="38">
        <v>0</v>
      </c>
      <c r="AK11" s="27">
        <v>0</v>
      </c>
      <c r="AL11" s="27">
        <f t="shared" si="4"/>
        <v>0</v>
      </c>
      <c r="AM11" s="40">
        <v>0</v>
      </c>
      <c r="AN11" s="27">
        <v>0</v>
      </c>
      <c r="AO11" s="27">
        <f t="shared" si="5"/>
        <v>0</v>
      </c>
      <c r="AP11" s="7" t="b">
        <v>1</v>
      </c>
      <c r="AQ11" s="6" t="b">
        <v>0</v>
      </c>
      <c r="AR11" s="6" t="b">
        <v>0</v>
      </c>
      <c r="AS11" s="6" t="b">
        <v>0</v>
      </c>
      <c r="AT11" s="7" t="b">
        <v>1</v>
      </c>
      <c r="AU11" s="6" t="b">
        <v>0</v>
      </c>
      <c r="AV11" s="6" t="b">
        <v>0</v>
      </c>
      <c r="AW11" s="6" t="b">
        <v>0</v>
      </c>
      <c r="AX11" s="6" t="b">
        <v>0</v>
      </c>
      <c r="AY11" s="6" t="b">
        <v>0</v>
      </c>
      <c r="AZ11" s="6" t="b">
        <v>0</v>
      </c>
      <c r="BA11" s="6" t="b">
        <v>0</v>
      </c>
      <c r="BB11" s="6" t="b">
        <v>0</v>
      </c>
    </row>
    <row r="12" spans="1:54" ht="15.75" customHeight="1" x14ac:dyDescent="0.25">
      <c r="A12" s="3" t="s">
        <v>73</v>
      </c>
      <c r="B12" s="3" t="str">
        <f ca="1">IFERROR(__xludf.DUMMYFUNCTION("SPLIT(A12,""/"")"),"activeloopai")</f>
        <v>activeloopai</v>
      </c>
      <c r="C12" s="3" t="str">
        <f ca="1">IFERROR(__xludf.DUMMYFUNCTION("""COMPUTED_VALUE"""),"Hub")</f>
        <v>Hub</v>
      </c>
      <c r="D12" s="4" t="s">
        <v>74</v>
      </c>
      <c r="E12" s="5">
        <v>43686.262488425928</v>
      </c>
      <c r="F12" s="5">
        <v>44295.16510416667</v>
      </c>
      <c r="G12" s="13">
        <f t="shared" si="0"/>
        <v>608.90261574074248</v>
      </c>
      <c r="H12" s="6" t="b">
        <v>0</v>
      </c>
      <c r="I12" s="7" t="b">
        <v>1</v>
      </c>
      <c r="J12" s="8">
        <v>2949</v>
      </c>
      <c r="K12" s="8">
        <v>54</v>
      </c>
      <c r="L12" s="8">
        <v>224</v>
      </c>
      <c r="M12" s="8">
        <v>12</v>
      </c>
      <c r="N12" s="8">
        <v>2</v>
      </c>
      <c r="O12" s="8">
        <v>59</v>
      </c>
      <c r="P12" s="8">
        <v>495</v>
      </c>
      <c r="Q12" s="8">
        <v>14</v>
      </c>
      <c r="R12" s="8">
        <v>240</v>
      </c>
      <c r="S12" s="8">
        <v>13</v>
      </c>
      <c r="T12" s="3" t="s">
        <v>75</v>
      </c>
      <c r="U12" s="10">
        <v>10790</v>
      </c>
      <c r="V12" s="32">
        <v>43</v>
      </c>
      <c r="W12" s="27">
        <v>3.9851714550509735E-3</v>
      </c>
      <c r="X12" s="34">
        <v>15</v>
      </c>
      <c r="Y12" s="27">
        <v>0.34883720930232559</v>
      </c>
      <c r="Z12" s="27">
        <v>1.3901760889712697E-3</v>
      </c>
      <c r="AA12" s="35">
        <v>9</v>
      </c>
      <c r="AB12" s="27">
        <v>0.20930232558139536</v>
      </c>
      <c r="AC12" s="27">
        <f t="shared" si="1"/>
        <v>8.3410565338276176E-4</v>
      </c>
      <c r="AD12" s="36">
        <v>3</v>
      </c>
      <c r="AE12" s="27">
        <v>6.9767441860465115E-2</v>
      </c>
      <c r="AF12" s="27">
        <f t="shared" si="2"/>
        <v>2.7803521779425392E-4</v>
      </c>
      <c r="AG12" s="37">
        <v>14</v>
      </c>
      <c r="AH12" s="27">
        <v>0.32558139534883723</v>
      </c>
      <c r="AI12" s="27">
        <f t="shared" si="3"/>
        <v>1.2974976830398518E-3</v>
      </c>
      <c r="AJ12" s="38">
        <v>0</v>
      </c>
      <c r="AK12" s="27">
        <v>0</v>
      </c>
      <c r="AL12" s="27">
        <f t="shared" si="4"/>
        <v>0</v>
      </c>
      <c r="AM12" s="40">
        <v>5</v>
      </c>
      <c r="AN12" s="27">
        <v>0.11627906976744186</v>
      </c>
      <c r="AO12" s="27">
        <f t="shared" si="5"/>
        <v>4.6339202965708991E-4</v>
      </c>
      <c r="AP12" s="7" t="b">
        <v>1</v>
      </c>
      <c r="AQ12" s="7" t="b">
        <v>1</v>
      </c>
      <c r="AR12" s="6" t="b">
        <v>0</v>
      </c>
      <c r="AS12" s="6" t="b">
        <v>0</v>
      </c>
      <c r="AT12" s="7" t="b">
        <v>1</v>
      </c>
      <c r="AU12" s="6" t="b">
        <v>0</v>
      </c>
      <c r="AV12" s="6" t="b">
        <v>0</v>
      </c>
      <c r="AW12" s="6" t="b">
        <v>0</v>
      </c>
      <c r="AX12" s="6" t="b">
        <v>0</v>
      </c>
      <c r="AY12" s="6" t="b">
        <v>0</v>
      </c>
      <c r="AZ12" s="6" t="b">
        <v>0</v>
      </c>
      <c r="BA12" s="6" t="b">
        <v>0</v>
      </c>
      <c r="BB12" s="6" t="b">
        <v>0</v>
      </c>
    </row>
    <row r="13" spans="1:54" ht="15.75" customHeight="1" x14ac:dyDescent="0.25">
      <c r="A13" s="3" t="s">
        <v>76</v>
      </c>
      <c r="B13" s="3" t="str">
        <f ca="1">IFERROR(__xludf.DUMMYFUNCTION("SPLIT(A13,""/"")"),"adamrehn")</f>
        <v>adamrehn</v>
      </c>
      <c r="C13" s="3" t="str">
        <f ca="1">IFERROR(__xludf.DUMMYFUNCTION("""COMPUTED_VALUE"""),"ue4-docker")</f>
        <v>ue4-docker</v>
      </c>
      <c r="D13" s="4" t="s">
        <v>77</v>
      </c>
      <c r="E13" s="5">
        <v>43218.094201388885</v>
      </c>
      <c r="F13" s="5">
        <v>44294.381828703707</v>
      </c>
      <c r="G13" s="13">
        <f t="shared" si="0"/>
        <v>1076.2876273148213</v>
      </c>
      <c r="H13" s="6" t="b">
        <v>0</v>
      </c>
      <c r="I13" s="6" t="b">
        <v>0</v>
      </c>
      <c r="J13" s="8">
        <v>395</v>
      </c>
      <c r="K13" s="8">
        <v>25</v>
      </c>
      <c r="L13" s="8">
        <v>78</v>
      </c>
      <c r="M13" s="8">
        <v>0</v>
      </c>
      <c r="N13" s="8">
        <v>11</v>
      </c>
      <c r="O13" s="8">
        <v>5</v>
      </c>
      <c r="P13" s="8">
        <v>23</v>
      </c>
      <c r="Q13" s="8">
        <v>7</v>
      </c>
      <c r="R13" s="8">
        <v>129</v>
      </c>
      <c r="S13" s="8">
        <v>18</v>
      </c>
      <c r="T13" s="3" t="s">
        <v>72</v>
      </c>
      <c r="U13" s="10">
        <v>1942</v>
      </c>
      <c r="V13" s="32">
        <v>88</v>
      </c>
      <c r="W13" s="27">
        <v>4.5314109165808442E-2</v>
      </c>
      <c r="X13" s="34">
        <v>1</v>
      </c>
      <c r="Y13" s="27">
        <v>1.1363636363636364E-2</v>
      </c>
      <c r="Z13" s="27">
        <v>5.1493305870236867E-4</v>
      </c>
      <c r="AA13" s="35">
        <v>40</v>
      </c>
      <c r="AB13" s="27">
        <v>0.45454545454545453</v>
      </c>
      <c r="AC13" s="27">
        <f t="shared" si="1"/>
        <v>2.0597322348094749E-2</v>
      </c>
      <c r="AD13" s="36">
        <v>0</v>
      </c>
      <c r="AE13" s="27">
        <v>0</v>
      </c>
      <c r="AF13" s="27">
        <f t="shared" si="2"/>
        <v>0</v>
      </c>
      <c r="AG13" s="37">
        <v>47</v>
      </c>
      <c r="AH13" s="27">
        <v>0.53409090909090906</v>
      </c>
      <c r="AI13" s="27">
        <f t="shared" si="3"/>
        <v>2.4201853759011328E-2</v>
      </c>
      <c r="AJ13" s="38">
        <v>0</v>
      </c>
      <c r="AK13" s="27">
        <v>0</v>
      </c>
      <c r="AL13" s="27">
        <f t="shared" si="4"/>
        <v>0</v>
      </c>
      <c r="AM13" s="40">
        <v>0</v>
      </c>
      <c r="AN13" s="27">
        <v>0</v>
      </c>
      <c r="AO13" s="27">
        <f t="shared" si="5"/>
        <v>0</v>
      </c>
      <c r="AP13" s="7" t="b">
        <v>1</v>
      </c>
      <c r="AQ13" s="6" t="b">
        <v>0</v>
      </c>
      <c r="AR13" s="6" t="b">
        <v>0</v>
      </c>
      <c r="AS13" s="6" t="b">
        <v>0</v>
      </c>
      <c r="AT13" s="7" t="b">
        <v>1</v>
      </c>
      <c r="AU13" s="6" t="b">
        <v>0</v>
      </c>
      <c r="AV13" s="6" t="b">
        <v>0</v>
      </c>
      <c r="AW13" s="6" t="b">
        <v>0</v>
      </c>
      <c r="AX13" s="6" t="b">
        <v>0</v>
      </c>
      <c r="AY13" s="6" t="b">
        <v>0</v>
      </c>
      <c r="AZ13" s="6" t="b">
        <v>0</v>
      </c>
      <c r="BA13" s="6" t="b">
        <v>0</v>
      </c>
      <c r="BB13" s="6" t="b">
        <v>0</v>
      </c>
    </row>
    <row r="14" spans="1:54" ht="15.75" customHeight="1" x14ac:dyDescent="0.25">
      <c r="A14" s="3" t="s">
        <v>78</v>
      </c>
      <c r="B14" s="3" t="str">
        <f ca="1">IFERROR(__xludf.DUMMYFUNCTION("SPLIT(A14,""/"")"),"Adapter-Hub")</f>
        <v>Adapter-Hub</v>
      </c>
      <c r="C14" s="3" t="str">
        <f ca="1">IFERROR(__xludf.DUMMYFUNCTION("""COMPUTED_VALUE"""),"adapter-transformers")</f>
        <v>adapter-transformers</v>
      </c>
      <c r="D14" s="4" t="s">
        <v>79</v>
      </c>
      <c r="E14" s="5">
        <v>43942.681747685187</v>
      </c>
      <c r="F14" s="5">
        <v>44294.966238425928</v>
      </c>
      <c r="G14" s="13">
        <f t="shared" si="0"/>
        <v>352.2844907407416</v>
      </c>
      <c r="H14" s="6" t="b">
        <v>0</v>
      </c>
      <c r="I14" s="7" t="b">
        <v>1</v>
      </c>
      <c r="J14" s="8">
        <v>364</v>
      </c>
      <c r="K14" s="8">
        <v>12</v>
      </c>
      <c r="L14" s="8">
        <v>48</v>
      </c>
      <c r="M14" s="8">
        <v>4</v>
      </c>
      <c r="N14" s="8">
        <v>0</v>
      </c>
      <c r="O14" s="8">
        <v>342</v>
      </c>
      <c r="P14" s="8">
        <v>78</v>
      </c>
      <c r="Q14" s="8">
        <v>7</v>
      </c>
      <c r="R14" s="8">
        <v>67</v>
      </c>
      <c r="S14" s="8">
        <v>24</v>
      </c>
      <c r="T14" s="3" t="s">
        <v>69</v>
      </c>
      <c r="U14" s="10">
        <v>97853</v>
      </c>
      <c r="V14" s="32">
        <v>1192</v>
      </c>
      <c r="W14" s="27">
        <v>1.2181537612541262E-2</v>
      </c>
      <c r="X14" s="34">
        <v>10</v>
      </c>
      <c r="Y14" s="27">
        <v>8.389261744966443E-3</v>
      </c>
      <c r="Z14" s="27">
        <v>1.0219410748776225E-4</v>
      </c>
      <c r="AA14" s="35">
        <v>810</v>
      </c>
      <c r="AB14" s="27">
        <v>0.67953020134228193</v>
      </c>
      <c r="AC14" s="27">
        <f t="shared" si="1"/>
        <v>8.2777227065087434E-3</v>
      </c>
      <c r="AD14" s="36">
        <v>280</v>
      </c>
      <c r="AE14" s="27">
        <v>0.2348993288590604</v>
      </c>
      <c r="AF14" s="27">
        <f t="shared" si="2"/>
        <v>2.8614350096573433E-3</v>
      </c>
      <c r="AG14" s="37">
        <v>81</v>
      </c>
      <c r="AH14" s="27">
        <v>6.7953020134228187E-2</v>
      </c>
      <c r="AI14" s="27">
        <f t="shared" si="3"/>
        <v>8.2777227065087427E-4</v>
      </c>
      <c r="AJ14" s="38">
        <v>0</v>
      </c>
      <c r="AK14" s="27">
        <v>0</v>
      </c>
      <c r="AL14" s="27">
        <f t="shared" si="4"/>
        <v>0</v>
      </c>
      <c r="AM14" s="40">
        <v>10</v>
      </c>
      <c r="AN14" s="27">
        <v>8.389261744966443E-3</v>
      </c>
      <c r="AO14" s="27">
        <f t="shared" si="5"/>
        <v>1.0219410748776225E-4</v>
      </c>
      <c r="AP14" s="7" t="b">
        <v>1</v>
      </c>
      <c r="AQ14" s="6" t="b">
        <v>0</v>
      </c>
      <c r="AR14" s="6" t="b">
        <v>0</v>
      </c>
      <c r="AS14" s="6" t="b">
        <v>0</v>
      </c>
      <c r="AT14" s="7" t="b">
        <v>1</v>
      </c>
      <c r="AU14" s="6" t="b">
        <v>0</v>
      </c>
      <c r="AV14" s="6" t="b">
        <v>0</v>
      </c>
      <c r="AW14" s="6" t="b">
        <v>0</v>
      </c>
      <c r="AX14" s="6" t="b">
        <v>0</v>
      </c>
      <c r="AY14" s="6" t="b">
        <v>0</v>
      </c>
      <c r="AZ14" s="6" t="b">
        <v>0</v>
      </c>
      <c r="BA14" s="6" t="b">
        <v>0</v>
      </c>
      <c r="BB14" s="6" t="b">
        <v>0</v>
      </c>
    </row>
    <row r="15" spans="1:54" ht="15.75" customHeight="1" x14ac:dyDescent="0.25">
      <c r="A15" s="3" t="s">
        <v>80</v>
      </c>
      <c r="B15" s="3" t="str">
        <f ca="1">IFERROR(__xludf.DUMMYFUNCTION("SPLIT(A15,""/"")"),"adferrand")</f>
        <v>adferrand</v>
      </c>
      <c r="C15" s="3" t="str">
        <f ca="1">IFERROR(__xludf.DUMMYFUNCTION("""COMPUTED_VALUE"""),"dnsrobocert")</f>
        <v>dnsrobocert</v>
      </c>
      <c r="D15" s="4" t="s">
        <v>81</v>
      </c>
      <c r="E15" s="5">
        <v>42901.846585648149</v>
      </c>
      <c r="F15" s="5">
        <v>44293.752060185187</v>
      </c>
      <c r="G15" s="13">
        <f t="shared" si="0"/>
        <v>1391.9054745370377</v>
      </c>
      <c r="H15" s="6" t="b">
        <v>0</v>
      </c>
      <c r="I15" s="6" t="b">
        <v>0</v>
      </c>
      <c r="J15" s="8">
        <v>425</v>
      </c>
      <c r="K15" s="8">
        <v>13</v>
      </c>
      <c r="L15" s="8">
        <v>71</v>
      </c>
      <c r="M15" s="8">
        <v>70</v>
      </c>
      <c r="N15" s="8">
        <v>3</v>
      </c>
      <c r="O15" s="8">
        <v>17</v>
      </c>
      <c r="P15" s="8">
        <v>252</v>
      </c>
      <c r="Q15" s="8">
        <v>8</v>
      </c>
      <c r="R15" s="8">
        <v>100</v>
      </c>
      <c r="S15" s="8">
        <v>13</v>
      </c>
      <c r="T15" s="3" t="s">
        <v>72</v>
      </c>
      <c r="U15" s="10">
        <v>1303</v>
      </c>
      <c r="V15" s="32">
        <v>29</v>
      </c>
      <c r="W15" s="27">
        <v>2.2256331542594012E-2</v>
      </c>
      <c r="X15" s="34">
        <v>0</v>
      </c>
      <c r="Y15" s="27">
        <v>0</v>
      </c>
      <c r="Z15" s="27">
        <v>0</v>
      </c>
      <c r="AA15" s="35">
        <v>11</v>
      </c>
      <c r="AB15" s="27">
        <v>0.37931034482758619</v>
      </c>
      <c r="AC15" s="27">
        <f t="shared" si="1"/>
        <v>8.4420567920184195E-3</v>
      </c>
      <c r="AD15" s="36">
        <v>6</v>
      </c>
      <c r="AE15" s="27">
        <v>0.20689655172413793</v>
      </c>
      <c r="AF15" s="27">
        <f t="shared" si="2"/>
        <v>4.6047582501918651E-3</v>
      </c>
      <c r="AG15" s="37">
        <v>12</v>
      </c>
      <c r="AH15" s="27">
        <v>0.41379310344827586</v>
      </c>
      <c r="AI15" s="27">
        <f t="shared" si="3"/>
        <v>9.2095165003837302E-3</v>
      </c>
      <c r="AJ15" s="38">
        <v>0</v>
      </c>
      <c r="AK15" s="27">
        <v>0</v>
      </c>
      <c r="AL15" s="27">
        <f t="shared" si="4"/>
        <v>0</v>
      </c>
      <c r="AM15" s="40">
        <v>0</v>
      </c>
      <c r="AN15" s="27">
        <v>0</v>
      </c>
      <c r="AO15" s="27">
        <f t="shared" si="5"/>
        <v>0</v>
      </c>
      <c r="AP15" s="7" t="b">
        <v>1</v>
      </c>
      <c r="AQ15" s="7" t="b">
        <v>1</v>
      </c>
      <c r="AR15" s="6" t="b">
        <v>0</v>
      </c>
      <c r="AS15" s="6" t="b">
        <v>0</v>
      </c>
      <c r="AT15" s="7" t="b">
        <v>1</v>
      </c>
      <c r="AU15" s="6" t="b">
        <v>0</v>
      </c>
      <c r="AV15" s="6" t="b">
        <v>0</v>
      </c>
      <c r="AW15" s="6" t="b">
        <v>0</v>
      </c>
      <c r="AX15" s="6" t="b">
        <v>0</v>
      </c>
      <c r="AY15" s="6" t="b">
        <v>0</v>
      </c>
      <c r="AZ15" s="6" t="b">
        <v>0</v>
      </c>
      <c r="BA15" s="6" t="b">
        <v>0</v>
      </c>
      <c r="BB15" s="6" t="b">
        <v>0</v>
      </c>
    </row>
    <row r="16" spans="1:54" ht="15.75" customHeight="1" x14ac:dyDescent="0.25">
      <c r="A16" s="3" t="s">
        <v>82</v>
      </c>
      <c r="B16" s="3" t="str">
        <f ca="1">IFERROR(__xludf.DUMMYFUNCTION("SPLIT(A16,""/"")"),"agconti")</f>
        <v>agconti</v>
      </c>
      <c r="C16" s="3" t="str">
        <f ca="1">IFERROR(__xludf.DUMMYFUNCTION("""COMPUTED_VALUE"""),"cookiecutter-django-rest")</f>
        <v>cookiecutter-django-rest</v>
      </c>
      <c r="D16" s="4" t="s">
        <v>83</v>
      </c>
      <c r="E16" s="5">
        <v>42159.699178240742</v>
      </c>
      <c r="F16" s="5">
        <v>44294.519143518519</v>
      </c>
      <c r="G16" s="13">
        <f t="shared" si="0"/>
        <v>2134.8199652777766</v>
      </c>
      <c r="H16" s="6" t="b">
        <v>0</v>
      </c>
      <c r="I16" s="6" t="b">
        <v>0</v>
      </c>
      <c r="J16" s="8">
        <v>1124</v>
      </c>
      <c r="K16" s="8">
        <v>22</v>
      </c>
      <c r="L16" s="8">
        <v>172</v>
      </c>
      <c r="M16" s="8">
        <v>8</v>
      </c>
      <c r="N16" s="8">
        <v>0</v>
      </c>
      <c r="O16" s="8">
        <v>19</v>
      </c>
      <c r="P16" s="8">
        <v>960</v>
      </c>
      <c r="Q16" s="8">
        <v>4</v>
      </c>
      <c r="R16" s="8">
        <v>233</v>
      </c>
      <c r="S16" s="8">
        <v>1</v>
      </c>
      <c r="T16" s="3" t="s">
        <v>72</v>
      </c>
      <c r="U16" s="10">
        <v>285</v>
      </c>
      <c r="V16" s="32">
        <v>3</v>
      </c>
      <c r="W16" s="27">
        <v>1.0526315789473684E-2</v>
      </c>
      <c r="X16" s="34">
        <v>0</v>
      </c>
      <c r="Y16" s="27">
        <v>0</v>
      </c>
      <c r="Z16" s="27">
        <v>0</v>
      </c>
      <c r="AA16" s="35">
        <v>2</v>
      </c>
      <c r="AB16" s="27">
        <v>0.66666666666666663</v>
      </c>
      <c r="AC16" s="27">
        <f t="shared" si="1"/>
        <v>7.0175438596491229E-3</v>
      </c>
      <c r="AD16" s="36">
        <v>0</v>
      </c>
      <c r="AE16" s="27">
        <v>0</v>
      </c>
      <c r="AF16" s="27">
        <f t="shared" si="2"/>
        <v>0</v>
      </c>
      <c r="AG16" s="37">
        <v>1</v>
      </c>
      <c r="AH16" s="27">
        <v>0.33333333333333331</v>
      </c>
      <c r="AI16" s="27">
        <f t="shared" si="3"/>
        <v>3.5087719298245615E-3</v>
      </c>
      <c r="AJ16" s="38">
        <v>0</v>
      </c>
      <c r="AK16" s="27">
        <v>0</v>
      </c>
      <c r="AL16" s="27">
        <f t="shared" si="4"/>
        <v>0</v>
      </c>
      <c r="AM16" s="40">
        <v>0</v>
      </c>
      <c r="AN16" s="27">
        <v>0</v>
      </c>
      <c r="AO16" s="27">
        <f t="shared" si="5"/>
        <v>0</v>
      </c>
      <c r="AP16" s="7" t="b">
        <v>1</v>
      </c>
      <c r="AQ16" s="7" t="b">
        <v>1</v>
      </c>
      <c r="AR16" s="6" t="b">
        <v>0</v>
      </c>
      <c r="AS16" s="6" t="b">
        <v>0</v>
      </c>
      <c r="AT16" s="7" t="b">
        <v>1</v>
      </c>
      <c r="AU16" s="6" t="b">
        <v>0</v>
      </c>
      <c r="AV16" s="6" t="b">
        <v>0</v>
      </c>
      <c r="AW16" s="6" t="b">
        <v>0</v>
      </c>
      <c r="AX16" s="6" t="b">
        <v>0</v>
      </c>
      <c r="AY16" s="6" t="b">
        <v>0</v>
      </c>
      <c r="AZ16" s="6" t="b">
        <v>0</v>
      </c>
      <c r="BA16" s="6" t="b">
        <v>0</v>
      </c>
      <c r="BB16" s="6" t="b">
        <v>0</v>
      </c>
    </row>
    <row r="17" spans="1:54" ht="15.75" customHeight="1" x14ac:dyDescent="0.25">
      <c r="A17" s="3" t="s">
        <v>84</v>
      </c>
      <c r="B17" s="3" t="str">
        <f ca="1">IFERROR(__xludf.DUMMYFUNCTION("SPLIT(A17,""/"")"),"agronholm")</f>
        <v>agronholm</v>
      </c>
      <c r="C17" s="3" t="str">
        <f ca="1">IFERROR(__xludf.DUMMYFUNCTION("""COMPUTED_VALUE"""),"apscheduler")</f>
        <v>apscheduler</v>
      </c>
      <c r="D17" s="4" t="s">
        <v>85</v>
      </c>
      <c r="E17" s="5">
        <v>42456.535995370374</v>
      </c>
      <c r="F17" s="5">
        <v>44294.895428240743</v>
      </c>
      <c r="G17" s="13">
        <f t="shared" si="0"/>
        <v>1838.3594328703693</v>
      </c>
      <c r="H17" s="6" t="b">
        <v>0</v>
      </c>
      <c r="I17" s="6" t="b">
        <v>0</v>
      </c>
      <c r="J17" s="8">
        <v>3329</v>
      </c>
      <c r="K17" s="8">
        <v>109</v>
      </c>
      <c r="L17" s="8">
        <v>472</v>
      </c>
      <c r="M17" s="8">
        <v>0</v>
      </c>
      <c r="N17" s="8">
        <v>12</v>
      </c>
      <c r="O17" s="8">
        <v>30</v>
      </c>
      <c r="P17" s="8">
        <v>86</v>
      </c>
      <c r="Q17" s="8">
        <v>7</v>
      </c>
      <c r="R17" s="8">
        <v>419</v>
      </c>
      <c r="S17" s="8">
        <v>40</v>
      </c>
      <c r="T17" s="3" t="s">
        <v>72</v>
      </c>
      <c r="U17" s="10">
        <v>3044</v>
      </c>
      <c r="V17" s="32">
        <v>12</v>
      </c>
      <c r="W17" s="27">
        <v>3.9421813403416554E-3</v>
      </c>
      <c r="X17" s="34">
        <v>1</v>
      </c>
      <c r="Y17" s="27">
        <v>8.3333333333333329E-2</v>
      </c>
      <c r="Z17" s="27">
        <v>3.2851511169513798E-4</v>
      </c>
      <c r="AA17" s="35">
        <v>4</v>
      </c>
      <c r="AB17" s="27">
        <v>0.33333333333333331</v>
      </c>
      <c r="AC17" s="27">
        <f t="shared" si="1"/>
        <v>1.3140604467805519E-3</v>
      </c>
      <c r="AD17" s="36">
        <v>2</v>
      </c>
      <c r="AE17" s="27">
        <v>0.16666666666666666</v>
      </c>
      <c r="AF17" s="27">
        <f t="shared" si="2"/>
        <v>6.5703022339027597E-4</v>
      </c>
      <c r="AG17" s="37">
        <v>5</v>
      </c>
      <c r="AH17" s="27">
        <v>0.41666666666666669</v>
      </c>
      <c r="AI17" s="27">
        <f t="shared" si="3"/>
        <v>1.6425755584756898E-3</v>
      </c>
      <c r="AJ17" s="38">
        <v>0</v>
      </c>
      <c r="AK17" s="27">
        <v>0</v>
      </c>
      <c r="AL17" s="27">
        <f t="shared" si="4"/>
        <v>0</v>
      </c>
      <c r="AM17" s="40">
        <v>0</v>
      </c>
      <c r="AN17" s="27">
        <v>0</v>
      </c>
      <c r="AO17" s="27">
        <f t="shared" si="5"/>
        <v>0</v>
      </c>
      <c r="AP17" s="6" t="b">
        <v>0</v>
      </c>
      <c r="AQ17" s="7" t="b">
        <v>1</v>
      </c>
      <c r="AR17" s="6" t="b">
        <v>0</v>
      </c>
      <c r="AS17" s="6" t="b">
        <v>0</v>
      </c>
      <c r="AT17" s="7" t="b">
        <v>1</v>
      </c>
      <c r="AU17" s="6" t="b">
        <v>0</v>
      </c>
      <c r="AV17" s="6" t="b">
        <v>0</v>
      </c>
      <c r="AW17" s="6" t="b">
        <v>0</v>
      </c>
      <c r="AX17" s="6" t="b">
        <v>0</v>
      </c>
      <c r="AY17" s="6" t="b">
        <v>0</v>
      </c>
      <c r="AZ17" s="6" t="b">
        <v>0</v>
      </c>
      <c r="BA17" s="6" t="b">
        <v>0</v>
      </c>
      <c r="BB17" s="6" t="b">
        <v>0</v>
      </c>
    </row>
    <row r="18" spans="1:54" ht="15.75" customHeight="1" x14ac:dyDescent="0.25">
      <c r="A18" s="3" t="s">
        <v>86</v>
      </c>
      <c r="B18" s="3" t="str">
        <f ca="1">IFERROR(__xludf.DUMMYFUNCTION("SPLIT(A18,""/"")"),"ahmetozlu")</f>
        <v>ahmetozlu</v>
      </c>
      <c r="C18" s="3" t="str">
        <f ca="1">IFERROR(__xludf.DUMMYFUNCTION("""COMPUTED_VALUE"""),"vehicle_counting_tensorflow")</f>
        <v>vehicle_counting_tensorflow</v>
      </c>
      <c r="D18" s="4" t="s">
        <v>87</v>
      </c>
      <c r="E18" s="5">
        <v>43125.292974537035</v>
      </c>
      <c r="F18" s="5">
        <v>44294.094664351855</v>
      </c>
      <c r="G18" s="13">
        <f t="shared" si="0"/>
        <v>1168.8016898148198</v>
      </c>
      <c r="H18" s="6" t="b">
        <v>0</v>
      </c>
      <c r="I18" s="6" t="b">
        <v>0</v>
      </c>
      <c r="J18" s="8">
        <v>592</v>
      </c>
      <c r="K18" s="8">
        <v>43</v>
      </c>
      <c r="L18" s="8">
        <v>281</v>
      </c>
      <c r="M18" s="8">
        <v>0</v>
      </c>
      <c r="N18" s="8">
        <v>0</v>
      </c>
      <c r="O18" s="8">
        <v>3</v>
      </c>
      <c r="P18" s="8">
        <v>5</v>
      </c>
      <c r="Q18" s="8">
        <v>1</v>
      </c>
      <c r="R18" s="8">
        <v>71</v>
      </c>
      <c r="S18" s="8">
        <v>25</v>
      </c>
      <c r="T18" s="3" t="s">
        <v>72</v>
      </c>
      <c r="U18" s="10">
        <v>605</v>
      </c>
      <c r="V18" s="32">
        <v>1</v>
      </c>
      <c r="W18" s="27">
        <v>1.652892561983471E-3</v>
      </c>
      <c r="X18" s="34">
        <v>0</v>
      </c>
      <c r="Y18" s="27">
        <v>0</v>
      </c>
      <c r="Z18" s="27">
        <v>0</v>
      </c>
      <c r="AA18" s="35">
        <v>1</v>
      </c>
      <c r="AB18" s="27">
        <v>1</v>
      </c>
      <c r="AC18" s="27">
        <f t="shared" si="1"/>
        <v>1.652892561983471E-3</v>
      </c>
      <c r="AD18" s="36">
        <v>0</v>
      </c>
      <c r="AE18" s="27">
        <v>0</v>
      </c>
      <c r="AF18" s="27">
        <f t="shared" si="2"/>
        <v>0</v>
      </c>
      <c r="AG18" s="37">
        <v>0</v>
      </c>
      <c r="AH18" s="27">
        <v>0</v>
      </c>
      <c r="AI18" s="27">
        <f t="shared" si="3"/>
        <v>0</v>
      </c>
      <c r="AJ18" s="38">
        <v>0</v>
      </c>
      <c r="AK18" s="27">
        <v>0</v>
      </c>
      <c r="AL18" s="27">
        <f t="shared" si="4"/>
        <v>0</v>
      </c>
      <c r="AM18" s="40">
        <v>0</v>
      </c>
      <c r="AN18" s="27">
        <v>0</v>
      </c>
      <c r="AO18" s="27">
        <f t="shared" si="5"/>
        <v>0</v>
      </c>
      <c r="AP18" s="7" t="b">
        <v>1</v>
      </c>
      <c r="AQ18" s="7" t="b">
        <v>1</v>
      </c>
      <c r="AR18" s="6" t="b">
        <v>0</v>
      </c>
      <c r="AS18" s="6" t="b">
        <v>0</v>
      </c>
      <c r="AT18" s="7" t="b">
        <v>1</v>
      </c>
      <c r="AU18" s="6" t="b">
        <v>0</v>
      </c>
      <c r="AV18" s="6" t="b">
        <v>0</v>
      </c>
      <c r="AW18" s="6" t="b">
        <v>0</v>
      </c>
      <c r="AX18" s="6" t="b">
        <v>0</v>
      </c>
      <c r="AY18" s="6" t="b">
        <v>0</v>
      </c>
      <c r="AZ18" s="6" t="b">
        <v>0</v>
      </c>
      <c r="BA18" s="6" t="b">
        <v>0</v>
      </c>
      <c r="BB18" s="6" t="b">
        <v>0</v>
      </c>
    </row>
    <row r="19" spans="1:54" ht="15.75" customHeight="1" x14ac:dyDescent="0.25">
      <c r="A19" s="3" t="s">
        <v>88</v>
      </c>
      <c r="B19" s="3" t="str">
        <f ca="1">IFERROR(__xludf.DUMMYFUNCTION("SPLIT(A19,""/"")"),"AIChallenger")</f>
        <v>AIChallenger</v>
      </c>
      <c r="C19" s="3" t="str">
        <f ca="1">IFERROR(__xludf.DUMMYFUNCTION("""COMPUTED_VALUE"""),"AI_Challenger_2018")</f>
        <v>AI_Challenger_2018</v>
      </c>
      <c r="D19" s="4" t="s">
        <v>89</v>
      </c>
      <c r="E19" s="5">
        <v>43180.140636574077</v>
      </c>
      <c r="F19" s="5">
        <v>44292.31795138889</v>
      </c>
      <c r="G19" s="13">
        <f t="shared" si="0"/>
        <v>1112.1773148148131</v>
      </c>
      <c r="H19" s="6" t="b">
        <v>0</v>
      </c>
      <c r="I19" s="6" t="b">
        <v>0</v>
      </c>
      <c r="J19" s="8">
        <v>648</v>
      </c>
      <c r="K19" s="8">
        <v>40</v>
      </c>
      <c r="L19" s="8">
        <v>290</v>
      </c>
      <c r="M19" s="8">
        <v>0</v>
      </c>
      <c r="N19" s="8">
        <v>0</v>
      </c>
      <c r="O19" s="8">
        <v>2</v>
      </c>
      <c r="P19" s="8">
        <v>3</v>
      </c>
      <c r="Q19" s="8">
        <v>1</v>
      </c>
      <c r="R19" s="8">
        <v>30</v>
      </c>
      <c r="S19" s="8">
        <v>17</v>
      </c>
      <c r="T19" s="11" t="s">
        <v>52</v>
      </c>
      <c r="U19" s="10">
        <v>13352</v>
      </c>
      <c r="V19" s="32">
        <v>72</v>
      </c>
      <c r="W19" s="27">
        <v>5.3924505692031152E-3</v>
      </c>
      <c r="X19" s="34">
        <v>5</v>
      </c>
      <c r="Y19" s="27">
        <v>6.9444444444444448E-2</v>
      </c>
      <c r="Z19" s="27">
        <v>3.7447573397243858E-4</v>
      </c>
      <c r="AA19" s="35">
        <v>52</v>
      </c>
      <c r="AB19" s="27">
        <v>0.72222222222222221</v>
      </c>
      <c r="AC19" s="27">
        <f t="shared" si="1"/>
        <v>3.8945476333133613E-3</v>
      </c>
      <c r="AD19" s="36">
        <v>12</v>
      </c>
      <c r="AE19" s="27">
        <v>0.16666666666666666</v>
      </c>
      <c r="AF19" s="27">
        <f t="shared" si="2"/>
        <v>8.9874176153385257E-4</v>
      </c>
      <c r="AG19" s="37">
        <v>3</v>
      </c>
      <c r="AH19" s="27">
        <v>4.1666666666666664E-2</v>
      </c>
      <c r="AI19" s="27">
        <f t="shared" si="3"/>
        <v>2.2468544038346314E-4</v>
      </c>
      <c r="AJ19" s="38">
        <v>0</v>
      </c>
      <c r="AK19" s="27">
        <v>0</v>
      </c>
      <c r="AL19" s="27">
        <f t="shared" si="4"/>
        <v>0</v>
      </c>
      <c r="AM19" s="40">
        <v>0</v>
      </c>
      <c r="AN19" s="27">
        <v>0</v>
      </c>
      <c r="AO19" s="27">
        <f t="shared" si="5"/>
        <v>0</v>
      </c>
      <c r="AP19" s="7" t="b">
        <v>1</v>
      </c>
      <c r="AQ19" s="6" t="b">
        <v>0</v>
      </c>
      <c r="AR19" s="6" t="b">
        <v>0</v>
      </c>
      <c r="AS19" s="6" t="b">
        <v>0</v>
      </c>
      <c r="AT19" s="7" t="b">
        <v>1</v>
      </c>
      <c r="AU19" s="6" t="b">
        <v>0</v>
      </c>
      <c r="AV19" s="6" t="b">
        <v>0</v>
      </c>
      <c r="AW19" s="6" t="b">
        <v>0</v>
      </c>
      <c r="AX19" s="6" t="b">
        <v>0</v>
      </c>
      <c r="AY19" s="6" t="b">
        <v>0</v>
      </c>
      <c r="AZ19" s="6" t="b">
        <v>0</v>
      </c>
      <c r="BA19" s="6" t="b">
        <v>0</v>
      </c>
      <c r="BB19" s="6" t="b">
        <v>0</v>
      </c>
    </row>
    <row r="20" spans="1:54" ht="15.75" customHeight="1" x14ac:dyDescent="0.25">
      <c r="A20" s="3" t="s">
        <v>90</v>
      </c>
      <c r="B20" s="3" t="str">
        <f ca="1">IFERROR(__xludf.DUMMYFUNCTION("SPLIT(A20,""/"")"),"aim-uofa")</f>
        <v>aim-uofa</v>
      </c>
      <c r="C20" s="3" t="str">
        <f ca="1">IFERROR(__xludf.DUMMYFUNCTION("""COMPUTED_VALUE"""),"AdelaiDet")</f>
        <v>AdelaiDet</v>
      </c>
      <c r="D20" s="4" t="s">
        <v>91</v>
      </c>
      <c r="E20" s="5">
        <v>43853.15896990741</v>
      </c>
      <c r="F20" s="5">
        <v>44294.438171296293</v>
      </c>
      <c r="G20" s="13">
        <f t="shared" si="0"/>
        <v>441.27920138888294</v>
      </c>
      <c r="H20" s="6" t="b">
        <v>0</v>
      </c>
      <c r="I20" s="7" t="b">
        <v>1</v>
      </c>
      <c r="J20" s="8">
        <v>1978</v>
      </c>
      <c r="K20" s="8">
        <v>83</v>
      </c>
      <c r="L20" s="8">
        <v>371</v>
      </c>
      <c r="M20" s="8">
        <v>0</v>
      </c>
      <c r="N20" s="8">
        <v>3</v>
      </c>
      <c r="O20" s="8">
        <v>19</v>
      </c>
      <c r="P20" s="8">
        <v>53</v>
      </c>
      <c r="Q20" s="8">
        <v>4</v>
      </c>
      <c r="R20" s="8">
        <v>291</v>
      </c>
      <c r="S20" s="8">
        <v>138</v>
      </c>
      <c r="T20" s="3" t="s">
        <v>92</v>
      </c>
      <c r="U20" s="10">
        <v>8023</v>
      </c>
      <c r="V20" s="32">
        <v>24</v>
      </c>
      <c r="W20" s="27">
        <v>2.9913997257883583E-3</v>
      </c>
      <c r="X20" s="34">
        <v>0</v>
      </c>
      <c r="Y20" s="27">
        <v>0</v>
      </c>
      <c r="Z20" s="27">
        <v>0</v>
      </c>
      <c r="AA20" s="35">
        <v>21</v>
      </c>
      <c r="AB20" s="27">
        <v>0.875</v>
      </c>
      <c r="AC20" s="27">
        <f t="shared" si="1"/>
        <v>2.6174747600648134E-3</v>
      </c>
      <c r="AD20" s="36">
        <v>3</v>
      </c>
      <c r="AE20" s="27">
        <v>0.125</v>
      </c>
      <c r="AF20" s="27">
        <f t="shared" si="2"/>
        <v>3.7392496572354479E-4</v>
      </c>
      <c r="AG20" s="37">
        <v>0</v>
      </c>
      <c r="AH20" s="27">
        <v>0</v>
      </c>
      <c r="AI20" s="27">
        <f t="shared" si="3"/>
        <v>0</v>
      </c>
      <c r="AJ20" s="38">
        <v>0</v>
      </c>
      <c r="AK20" s="27">
        <v>0</v>
      </c>
      <c r="AL20" s="27">
        <f t="shared" si="4"/>
        <v>0</v>
      </c>
      <c r="AM20" s="40">
        <v>0</v>
      </c>
      <c r="AN20" s="27">
        <v>0</v>
      </c>
      <c r="AO20" s="27">
        <f t="shared" si="5"/>
        <v>0</v>
      </c>
      <c r="AP20" s="7" t="b">
        <v>1</v>
      </c>
      <c r="AQ20" s="6" t="b">
        <v>0</v>
      </c>
      <c r="AR20" s="6" t="b">
        <v>0</v>
      </c>
      <c r="AS20" s="6" t="b">
        <v>0</v>
      </c>
      <c r="AT20" s="7" t="b">
        <v>1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</row>
    <row r="21" spans="1:54" ht="15.75" customHeight="1" x14ac:dyDescent="0.25">
      <c r="A21" s="3" t="s">
        <v>93</v>
      </c>
      <c r="B21" s="3" t="str">
        <f ca="1">IFERROR(__xludf.DUMMYFUNCTION("SPLIT(A21,""/"")"),"aio-libs")</f>
        <v>aio-libs</v>
      </c>
      <c r="C21" s="3" t="str">
        <f ca="1">IFERROR(__xludf.DUMMYFUNCTION("""COMPUTED_VALUE"""),"aiocache")</f>
        <v>aiocache</v>
      </c>
      <c r="D21" s="4" t="s">
        <v>94</v>
      </c>
      <c r="E21" s="5">
        <v>42643.392951388887</v>
      </c>
      <c r="F21" s="5">
        <v>44294.9925</v>
      </c>
      <c r="G21" s="13">
        <f t="shared" si="0"/>
        <v>1651.5995486111133</v>
      </c>
      <c r="H21" s="6" t="b">
        <v>0</v>
      </c>
      <c r="I21" s="7" t="b">
        <v>1</v>
      </c>
      <c r="J21" s="8">
        <v>510</v>
      </c>
      <c r="K21" s="8">
        <v>17</v>
      </c>
      <c r="L21" s="8">
        <v>74</v>
      </c>
      <c r="M21" s="8">
        <v>18</v>
      </c>
      <c r="N21" s="8">
        <v>6</v>
      </c>
      <c r="O21" s="8">
        <v>28</v>
      </c>
      <c r="P21" s="8">
        <v>311</v>
      </c>
      <c r="Q21" s="8">
        <v>13</v>
      </c>
      <c r="R21" s="8">
        <v>226</v>
      </c>
      <c r="S21" s="8">
        <v>25</v>
      </c>
      <c r="T21" s="3" t="s">
        <v>57</v>
      </c>
      <c r="U21" s="10">
        <v>4660</v>
      </c>
      <c r="V21" s="32">
        <v>32</v>
      </c>
      <c r="W21" s="27">
        <v>6.8669527896995704E-3</v>
      </c>
      <c r="X21" s="34">
        <v>15</v>
      </c>
      <c r="Y21" s="27">
        <v>0.46875</v>
      </c>
      <c r="Z21" s="27">
        <v>3.2188841201716738E-3</v>
      </c>
      <c r="AA21" s="35">
        <v>8</v>
      </c>
      <c r="AB21" s="27">
        <v>0.25</v>
      </c>
      <c r="AC21" s="27">
        <f t="shared" si="1"/>
        <v>1.7167381974248926E-3</v>
      </c>
      <c r="AD21" s="36">
        <v>4</v>
      </c>
      <c r="AE21" s="27">
        <v>0.125</v>
      </c>
      <c r="AF21" s="27">
        <f t="shared" si="2"/>
        <v>8.5836909871244631E-4</v>
      </c>
      <c r="AG21" s="37">
        <v>5</v>
      </c>
      <c r="AH21" s="27">
        <v>0.15625</v>
      </c>
      <c r="AI21" s="27">
        <f t="shared" si="3"/>
        <v>1.0729613733905579E-3</v>
      </c>
      <c r="AJ21" s="38">
        <v>0</v>
      </c>
      <c r="AK21" s="27">
        <v>0</v>
      </c>
      <c r="AL21" s="27">
        <f t="shared" si="4"/>
        <v>0</v>
      </c>
      <c r="AM21" s="40">
        <v>0</v>
      </c>
      <c r="AN21" s="27">
        <v>0</v>
      </c>
      <c r="AO21" s="27">
        <f t="shared" si="5"/>
        <v>0</v>
      </c>
      <c r="AP21" s="6" t="b">
        <v>0</v>
      </c>
      <c r="AQ21" s="7" t="b">
        <v>1</v>
      </c>
      <c r="AR21" s="6" t="b">
        <v>0</v>
      </c>
      <c r="AS21" s="6" t="b">
        <v>0</v>
      </c>
      <c r="AT21" s="7" t="b">
        <v>1</v>
      </c>
      <c r="AU21" s="6" t="b">
        <v>0</v>
      </c>
      <c r="AV21" s="6" t="b">
        <v>0</v>
      </c>
      <c r="AW21" s="6" t="b">
        <v>0</v>
      </c>
      <c r="AX21" s="6" t="b">
        <v>0</v>
      </c>
      <c r="AY21" s="6" t="b">
        <v>0</v>
      </c>
      <c r="AZ21" s="6" t="b">
        <v>0</v>
      </c>
      <c r="BA21" s="6" t="b">
        <v>0</v>
      </c>
      <c r="BB21" s="6" t="b">
        <v>0</v>
      </c>
    </row>
    <row r="22" spans="1:54" ht="15.75" customHeight="1" x14ac:dyDescent="0.25">
      <c r="A22" s="3" t="s">
        <v>95</v>
      </c>
      <c r="B22" s="3" t="str">
        <f ca="1">IFERROR(__xludf.DUMMYFUNCTION("SPLIT(A22,""/"")"),"aio-libs")</f>
        <v>aio-libs</v>
      </c>
      <c r="C22" s="3" t="str">
        <f ca="1">IFERROR(__xludf.DUMMYFUNCTION("""COMPUTED_VALUE"""),"aiokafka")</f>
        <v>aiokafka</v>
      </c>
      <c r="D22" s="4" t="s">
        <v>96</v>
      </c>
      <c r="E22" s="5">
        <v>41944.404282407406</v>
      </c>
      <c r="F22" s="5">
        <v>44291.863587962966</v>
      </c>
      <c r="G22" s="13">
        <f t="shared" si="0"/>
        <v>2347.4593055555597</v>
      </c>
      <c r="H22" s="6" t="b">
        <v>0</v>
      </c>
      <c r="I22" s="7" t="b">
        <v>1</v>
      </c>
      <c r="J22" s="8">
        <v>553</v>
      </c>
      <c r="K22" s="8">
        <v>26</v>
      </c>
      <c r="L22" s="8">
        <v>129</v>
      </c>
      <c r="M22" s="8">
        <v>21</v>
      </c>
      <c r="N22" s="8">
        <v>9</v>
      </c>
      <c r="O22" s="8">
        <v>44</v>
      </c>
      <c r="P22" s="8">
        <v>528</v>
      </c>
      <c r="Q22" s="8">
        <v>14</v>
      </c>
      <c r="R22" s="8">
        <v>207</v>
      </c>
      <c r="S22" s="8">
        <v>61</v>
      </c>
      <c r="T22" s="3" t="s">
        <v>69</v>
      </c>
      <c r="U22" s="10">
        <v>12596</v>
      </c>
      <c r="V22" s="32">
        <v>168</v>
      </c>
      <c r="W22" s="27">
        <v>1.3337567481740234E-2</v>
      </c>
      <c r="X22" s="34">
        <v>74</v>
      </c>
      <c r="Y22" s="27">
        <v>0.44047619047619047</v>
      </c>
      <c r="Z22" s="27">
        <v>5.8748809145760562E-3</v>
      </c>
      <c r="AA22" s="35">
        <v>27</v>
      </c>
      <c r="AB22" s="27">
        <v>0.16071428571428573</v>
      </c>
      <c r="AC22" s="27">
        <f t="shared" si="1"/>
        <v>2.1435376309939663E-3</v>
      </c>
      <c r="AD22" s="36">
        <v>27</v>
      </c>
      <c r="AE22" s="27">
        <v>0.16071428571428573</v>
      </c>
      <c r="AF22" s="27">
        <f t="shared" si="2"/>
        <v>2.1435376309939663E-3</v>
      </c>
      <c r="AG22" s="37">
        <v>41</v>
      </c>
      <c r="AH22" s="27">
        <v>0.24404761904761904</v>
      </c>
      <c r="AI22" s="27">
        <f t="shared" si="3"/>
        <v>3.2550015878056527E-3</v>
      </c>
      <c r="AJ22" s="38">
        <v>0</v>
      </c>
      <c r="AK22" s="27">
        <v>0</v>
      </c>
      <c r="AL22" s="27">
        <f t="shared" si="4"/>
        <v>0</v>
      </c>
      <c r="AM22" s="40">
        <v>0</v>
      </c>
      <c r="AN22" s="27">
        <v>0</v>
      </c>
      <c r="AO22" s="27">
        <f t="shared" si="5"/>
        <v>0</v>
      </c>
      <c r="AP22" s="7" t="b">
        <v>1</v>
      </c>
      <c r="AQ22" s="6" t="b">
        <v>0</v>
      </c>
      <c r="AR22" s="6" t="b">
        <v>0</v>
      </c>
      <c r="AS22" s="6" t="b">
        <v>0</v>
      </c>
      <c r="AT22" s="7" t="b">
        <v>1</v>
      </c>
      <c r="AU22" s="6" t="b">
        <v>0</v>
      </c>
      <c r="AV22" s="6" t="b">
        <v>0</v>
      </c>
      <c r="AW22" s="6" t="b">
        <v>0</v>
      </c>
      <c r="AX22" s="6" t="b">
        <v>0</v>
      </c>
      <c r="AY22" s="6" t="b">
        <v>0</v>
      </c>
      <c r="AZ22" s="6" t="b">
        <v>0</v>
      </c>
      <c r="BA22" s="6" t="b">
        <v>0</v>
      </c>
      <c r="BB22" s="6" t="b">
        <v>0</v>
      </c>
    </row>
    <row r="23" spans="1:54" ht="15.75" customHeight="1" x14ac:dyDescent="0.25">
      <c r="A23" s="3" t="s">
        <v>97</v>
      </c>
      <c r="B23" s="3" t="str">
        <f ca="1">IFERROR(__xludf.DUMMYFUNCTION("SPLIT(A23,""/"")"),"aio-libs")</f>
        <v>aio-libs</v>
      </c>
      <c r="C23" s="3" t="str">
        <f ca="1">IFERROR(__xludf.DUMMYFUNCTION("""COMPUTED_VALUE"""),"aiomysql")</f>
        <v>aiomysql</v>
      </c>
      <c r="D23" s="4" t="s">
        <v>98</v>
      </c>
      <c r="E23" s="5">
        <v>42011.843611111108</v>
      </c>
      <c r="F23" s="5">
        <v>44294.57775462963</v>
      </c>
      <c r="G23" s="13">
        <f t="shared" si="0"/>
        <v>2282.7341435185226</v>
      </c>
      <c r="H23" s="6" t="b">
        <v>0</v>
      </c>
      <c r="I23" s="7" t="b">
        <v>1</v>
      </c>
      <c r="J23" s="8">
        <v>1259</v>
      </c>
      <c r="K23" s="8">
        <v>46</v>
      </c>
      <c r="L23" s="8">
        <v>194</v>
      </c>
      <c r="M23" s="8">
        <v>19</v>
      </c>
      <c r="N23" s="8">
        <v>11</v>
      </c>
      <c r="O23" s="8">
        <v>77</v>
      </c>
      <c r="P23" s="8">
        <v>389</v>
      </c>
      <c r="Q23" s="8">
        <v>24</v>
      </c>
      <c r="R23" s="8">
        <v>185</v>
      </c>
      <c r="S23" s="8">
        <v>71</v>
      </c>
      <c r="T23" s="3" t="s">
        <v>72</v>
      </c>
      <c r="U23" s="10">
        <v>6014</v>
      </c>
      <c r="V23" s="32">
        <v>20</v>
      </c>
      <c r="W23" s="27">
        <v>3.3255736614566014E-3</v>
      </c>
      <c r="X23" s="34">
        <v>8</v>
      </c>
      <c r="Y23" s="27">
        <v>0.4</v>
      </c>
      <c r="Z23" s="27">
        <v>1.3302294645826404E-3</v>
      </c>
      <c r="AA23" s="35">
        <v>6</v>
      </c>
      <c r="AB23" s="27">
        <v>0.3</v>
      </c>
      <c r="AC23" s="27">
        <f t="shared" si="1"/>
        <v>9.9767209843698037E-4</v>
      </c>
      <c r="AD23" s="36">
        <v>6</v>
      </c>
      <c r="AE23" s="27">
        <v>0.3</v>
      </c>
      <c r="AF23" s="27">
        <f t="shared" si="2"/>
        <v>9.9767209843698037E-4</v>
      </c>
      <c r="AG23" s="37">
        <v>0</v>
      </c>
      <c r="AH23" s="27">
        <v>0</v>
      </c>
      <c r="AI23" s="27">
        <f t="shared" si="3"/>
        <v>0</v>
      </c>
      <c r="AJ23" s="38">
        <v>0</v>
      </c>
      <c r="AK23" s="27">
        <v>0</v>
      </c>
      <c r="AL23" s="27">
        <f t="shared" si="4"/>
        <v>0</v>
      </c>
      <c r="AM23" s="40">
        <v>0</v>
      </c>
      <c r="AN23" s="27">
        <v>0</v>
      </c>
      <c r="AO23" s="27">
        <f t="shared" si="5"/>
        <v>0</v>
      </c>
      <c r="AP23" s="6" t="b">
        <v>0</v>
      </c>
      <c r="AQ23" s="7" t="b">
        <v>1</v>
      </c>
      <c r="AR23" s="6" t="b">
        <v>0</v>
      </c>
      <c r="AS23" s="6" t="b">
        <v>0</v>
      </c>
      <c r="AT23" s="7" t="b">
        <v>1</v>
      </c>
      <c r="AU23" s="6" t="b">
        <v>0</v>
      </c>
      <c r="AV23" s="6" t="b">
        <v>0</v>
      </c>
      <c r="AW23" s="6" t="b">
        <v>0</v>
      </c>
      <c r="AX23" s="6" t="b">
        <v>0</v>
      </c>
      <c r="AY23" s="6" t="b">
        <v>0</v>
      </c>
      <c r="AZ23" s="6" t="b">
        <v>0</v>
      </c>
      <c r="BA23" s="6" t="b">
        <v>0</v>
      </c>
      <c r="BB23" s="6" t="b">
        <v>0</v>
      </c>
    </row>
    <row r="24" spans="1:54" ht="15.75" customHeight="1" x14ac:dyDescent="0.25">
      <c r="A24" s="3" t="s">
        <v>99</v>
      </c>
      <c r="B24" s="3" t="str">
        <f ca="1">IFERROR(__xludf.DUMMYFUNCTION("SPLIT(A24,""/"")"),"airnotifier")</f>
        <v>airnotifier</v>
      </c>
      <c r="C24" s="3" t="str">
        <f ca="1">IFERROR(__xludf.DUMMYFUNCTION("""COMPUTED_VALUE"""),"airnotifier")</f>
        <v>airnotifier</v>
      </c>
      <c r="D24" s="4" t="s">
        <v>100</v>
      </c>
      <c r="E24" s="5">
        <v>40970.548692129632</v>
      </c>
      <c r="F24" s="5">
        <v>44289.60297453704</v>
      </c>
      <c r="G24" s="13">
        <f t="shared" si="0"/>
        <v>3319.0542824074073</v>
      </c>
      <c r="H24" s="6" t="b">
        <v>0</v>
      </c>
      <c r="I24" s="7" t="b">
        <v>1</v>
      </c>
      <c r="J24" s="8">
        <v>522</v>
      </c>
      <c r="K24" s="8">
        <v>36</v>
      </c>
      <c r="L24" s="8">
        <v>137</v>
      </c>
      <c r="M24" s="8">
        <v>0</v>
      </c>
      <c r="N24" s="8">
        <v>9</v>
      </c>
      <c r="O24" s="8">
        <v>19</v>
      </c>
      <c r="P24" s="8">
        <v>42</v>
      </c>
      <c r="Q24" s="8">
        <v>3</v>
      </c>
      <c r="R24" s="8">
        <v>191</v>
      </c>
      <c r="S24" s="8">
        <v>10</v>
      </c>
      <c r="T24" s="3" t="s">
        <v>92</v>
      </c>
      <c r="U24" s="10">
        <v>2657</v>
      </c>
      <c r="V24" s="32">
        <v>43</v>
      </c>
      <c r="W24" s="27">
        <v>1.6183665788483251E-2</v>
      </c>
      <c r="X24" s="34">
        <v>0</v>
      </c>
      <c r="Y24" s="27">
        <v>0</v>
      </c>
      <c r="Z24" s="27">
        <v>0</v>
      </c>
      <c r="AA24" s="35">
        <v>22</v>
      </c>
      <c r="AB24" s="27">
        <v>0.51162790697674421</v>
      </c>
      <c r="AC24" s="27">
        <f t="shared" si="1"/>
        <v>8.2800150545728271E-3</v>
      </c>
      <c r="AD24" s="36">
        <v>1</v>
      </c>
      <c r="AE24" s="27">
        <v>2.3255813953488372E-2</v>
      </c>
      <c r="AF24" s="27">
        <f t="shared" si="2"/>
        <v>3.7636432066240122E-4</v>
      </c>
      <c r="AG24" s="37">
        <v>20</v>
      </c>
      <c r="AH24" s="27">
        <v>0.46511627906976744</v>
      </c>
      <c r="AI24" s="27">
        <f t="shared" si="3"/>
        <v>7.5272864132480237E-3</v>
      </c>
      <c r="AJ24" s="38">
        <v>0</v>
      </c>
      <c r="AK24" s="27">
        <v>0</v>
      </c>
      <c r="AL24" s="27">
        <f t="shared" si="4"/>
        <v>0</v>
      </c>
      <c r="AM24" s="40">
        <v>0</v>
      </c>
      <c r="AN24" s="27">
        <v>0</v>
      </c>
      <c r="AO24" s="27">
        <f t="shared" si="5"/>
        <v>0</v>
      </c>
      <c r="AP24" s="7" t="b">
        <v>1</v>
      </c>
      <c r="AQ24" s="7" t="b">
        <v>1</v>
      </c>
      <c r="AR24" s="6" t="b">
        <v>0</v>
      </c>
      <c r="AS24" s="6" t="b">
        <v>0</v>
      </c>
      <c r="AT24" s="7" t="b">
        <v>1</v>
      </c>
      <c r="AU24" s="6" t="b">
        <v>0</v>
      </c>
      <c r="AV24" s="6" t="b">
        <v>0</v>
      </c>
      <c r="AW24" s="6" t="b">
        <v>0</v>
      </c>
      <c r="AX24" s="6" t="b">
        <v>0</v>
      </c>
      <c r="AY24" s="6" t="b">
        <v>0</v>
      </c>
      <c r="AZ24" s="6" t="b">
        <v>0</v>
      </c>
      <c r="BA24" s="6" t="b">
        <v>0</v>
      </c>
      <c r="BB24" s="6" t="b">
        <v>0</v>
      </c>
    </row>
    <row r="25" spans="1:54" ht="15.75" customHeight="1" x14ac:dyDescent="0.25">
      <c r="A25" s="3" t="s">
        <v>101</v>
      </c>
      <c r="B25" s="3" t="str">
        <f ca="1">IFERROR(__xludf.DUMMYFUNCTION("SPLIT(A25,""/"")"),"akirasosa")</f>
        <v>akirasosa</v>
      </c>
      <c r="C25" s="3" t="str">
        <f ca="1">IFERROR(__xludf.DUMMYFUNCTION("""COMPUTED_VALUE"""),"mobile-semantic-segmentation")</f>
        <v>mobile-semantic-segmentation</v>
      </c>
      <c r="D25" s="4" t="s">
        <v>102</v>
      </c>
      <c r="E25" s="5">
        <v>43040.29142361111</v>
      </c>
      <c r="F25" s="5">
        <v>44293.608194444445</v>
      </c>
      <c r="G25" s="13">
        <f t="shared" si="0"/>
        <v>1253.3167708333349</v>
      </c>
      <c r="H25" s="6" t="b">
        <v>0</v>
      </c>
      <c r="I25" s="6" t="b">
        <v>0</v>
      </c>
      <c r="J25" s="8">
        <v>635</v>
      </c>
      <c r="K25" s="8">
        <v>40</v>
      </c>
      <c r="L25" s="8">
        <v>129</v>
      </c>
      <c r="M25" s="8">
        <v>0</v>
      </c>
      <c r="N25" s="8">
        <v>0</v>
      </c>
      <c r="O25" s="8">
        <v>2</v>
      </c>
      <c r="P25" s="8">
        <v>9</v>
      </c>
      <c r="Q25" s="8">
        <v>3</v>
      </c>
      <c r="R25" s="8">
        <v>44</v>
      </c>
      <c r="S25" s="8">
        <v>4</v>
      </c>
      <c r="T25" s="3" t="s">
        <v>72</v>
      </c>
      <c r="U25" s="10">
        <v>1655</v>
      </c>
      <c r="V25" s="32">
        <v>1</v>
      </c>
      <c r="W25" s="27">
        <v>6.0422960725075529E-4</v>
      </c>
      <c r="X25" s="34">
        <v>0</v>
      </c>
      <c r="Y25" s="27">
        <v>0</v>
      </c>
      <c r="Z25" s="27">
        <v>0</v>
      </c>
      <c r="AA25" s="35">
        <v>1</v>
      </c>
      <c r="AB25" s="27">
        <v>1</v>
      </c>
      <c r="AC25" s="27">
        <f t="shared" si="1"/>
        <v>6.0422960725075529E-4</v>
      </c>
      <c r="AD25" s="36">
        <v>0</v>
      </c>
      <c r="AE25" s="27">
        <v>0</v>
      </c>
      <c r="AF25" s="27">
        <f t="shared" si="2"/>
        <v>0</v>
      </c>
      <c r="AG25" s="37">
        <v>0</v>
      </c>
      <c r="AH25" s="27">
        <v>0</v>
      </c>
      <c r="AI25" s="27">
        <f t="shared" si="3"/>
        <v>0</v>
      </c>
      <c r="AJ25" s="38">
        <v>0</v>
      </c>
      <c r="AK25" s="27">
        <v>0</v>
      </c>
      <c r="AL25" s="27">
        <f t="shared" si="4"/>
        <v>0</v>
      </c>
      <c r="AM25" s="40">
        <v>0</v>
      </c>
      <c r="AN25" s="27">
        <v>0</v>
      </c>
      <c r="AO25" s="27">
        <f t="shared" si="5"/>
        <v>0</v>
      </c>
      <c r="AP25" s="7" t="b">
        <v>1</v>
      </c>
      <c r="AQ25" s="6" t="b">
        <v>0</v>
      </c>
      <c r="AR25" s="6" t="b">
        <v>0</v>
      </c>
      <c r="AS25" s="6" t="b">
        <v>0</v>
      </c>
      <c r="AT25" s="7" t="b">
        <v>1</v>
      </c>
      <c r="AU25" s="6" t="b">
        <v>0</v>
      </c>
      <c r="AV25" s="6" t="b">
        <v>0</v>
      </c>
      <c r="AW25" s="6" t="b">
        <v>0</v>
      </c>
      <c r="AX25" s="6" t="b">
        <v>0</v>
      </c>
      <c r="AY25" s="6" t="b">
        <v>0</v>
      </c>
      <c r="AZ25" s="6" t="b">
        <v>0</v>
      </c>
      <c r="BA25" s="6" t="b">
        <v>0</v>
      </c>
      <c r="BB25" s="6" t="b">
        <v>0</v>
      </c>
    </row>
    <row r="26" spans="1:54" ht="15.75" customHeight="1" x14ac:dyDescent="0.25">
      <c r="A26" s="3" t="s">
        <v>103</v>
      </c>
      <c r="B26" s="3" t="str">
        <f ca="1">IFERROR(__xludf.DUMMYFUNCTION("SPLIT(A26,""/"")"),"AKSHAYUBHAT")</f>
        <v>AKSHAYUBHAT</v>
      </c>
      <c r="C26" s="3" t="str">
        <f ca="1">IFERROR(__xludf.DUMMYFUNCTION("""COMPUTED_VALUE"""),"DeepVideoAnalytics")</f>
        <v>DeepVideoAnalytics</v>
      </c>
      <c r="D26" s="4" t="s">
        <v>104</v>
      </c>
      <c r="E26" s="5">
        <v>42752.278993055559</v>
      </c>
      <c r="F26" s="5">
        <v>44294.268993055557</v>
      </c>
      <c r="G26" s="13">
        <f t="shared" si="0"/>
        <v>1541.989999999998</v>
      </c>
      <c r="H26" s="6" t="b">
        <v>0</v>
      </c>
      <c r="I26" s="6" t="b">
        <v>0</v>
      </c>
      <c r="J26" s="8">
        <v>2977</v>
      </c>
      <c r="K26" s="8">
        <v>226</v>
      </c>
      <c r="L26" s="8">
        <v>731</v>
      </c>
      <c r="M26" s="8">
        <v>1</v>
      </c>
      <c r="N26" s="8">
        <v>4</v>
      </c>
      <c r="O26" s="8">
        <v>2</v>
      </c>
      <c r="P26" s="8">
        <v>44</v>
      </c>
      <c r="Q26" s="8">
        <v>0</v>
      </c>
      <c r="R26" s="8">
        <v>208</v>
      </c>
      <c r="S26" s="8">
        <v>1</v>
      </c>
      <c r="T26" s="11" t="s">
        <v>52</v>
      </c>
      <c r="U26" s="10">
        <v>16441</v>
      </c>
      <c r="V26" s="32">
        <v>157</v>
      </c>
      <c r="W26" s="27">
        <v>9.5492974879873484E-3</v>
      </c>
      <c r="X26" s="34">
        <v>0</v>
      </c>
      <c r="Y26" s="27">
        <v>0</v>
      </c>
      <c r="Z26" s="27">
        <v>0</v>
      </c>
      <c r="AA26" s="35">
        <v>111</v>
      </c>
      <c r="AB26" s="27">
        <v>0.70700636942675155</v>
      </c>
      <c r="AC26" s="27">
        <f t="shared" si="1"/>
        <v>6.7514141475579345E-3</v>
      </c>
      <c r="AD26" s="36">
        <v>31</v>
      </c>
      <c r="AE26" s="27">
        <v>0.19745222929936307</v>
      </c>
      <c r="AF26" s="27">
        <f t="shared" si="2"/>
        <v>1.8855300772459096E-3</v>
      </c>
      <c r="AG26" s="37">
        <v>15</v>
      </c>
      <c r="AH26" s="27">
        <v>9.5541401273885357E-2</v>
      </c>
      <c r="AI26" s="27">
        <f t="shared" si="3"/>
        <v>9.1235326318350469E-4</v>
      </c>
      <c r="AJ26" s="38">
        <v>0</v>
      </c>
      <c r="AK26" s="27">
        <v>0</v>
      </c>
      <c r="AL26" s="27">
        <f t="shared" si="4"/>
        <v>0</v>
      </c>
      <c r="AM26" s="40">
        <v>0</v>
      </c>
      <c r="AN26" s="27">
        <v>0</v>
      </c>
      <c r="AO26" s="27">
        <f t="shared" si="5"/>
        <v>0</v>
      </c>
      <c r="AP26" s="7" t="b">
        <v>1</v>
      </c>
      <c r="AQ26" s="7" t="b">
        <v>1</v>
      </c>
      <c r="AR26" s="6" t="b">
        <v>0</v>
      </c>
      <c r="AS26" s="6" t="b">
        <v>0</v>
      </c>
      <c r="AT26" s="7" t="b">
        <v>1</v>
      </c>
      <c r="AU26" s="6" t="b">
        <v>0</v>
      </c>
      <c r="AV26" s="6" t="b">
        <v>0</v>
      </c>
      <c r="AW26" s="6" t="b">
        <v>0</v>
      </c>
      <c r="AX26" s="6" t="b">
        <v>0</v>
      </c>
      <c r="AY26" s="6" t="b">
        <v>0</v>
      </c>
      <c r="AZ26" s="6" t="b">
        <v>0</v>
      </c>
      <c r="BA26" s="6" t="b">
        <v>0</v>
      </c>
      <c r="BB26" s="6" t="b">
        <v>0</v>
      </c>
    </row>
    <row r="27" spans="1:54" ht="15.75" customHeight="1" x14ac:dyDescent="0.25">
      <c r="A27" s="3" t="s">
        <v>105</v>
      </c>
      <c r="B27" s="3" t="str">
        <f ca="1">IFERROR(__xludf.DUMMYFUNCTION("SPLIT(A27,""/"")"),"alan-turing-institute")</f>
        <v>alan-turing-institute</v>
      </c>
      <c r="C27" s="3" t="str">
        <f ca="1">IFERROR(__xludf.DUMMYFUNCTION("""COMPUTED_VALUE"""),"sktime")</f>
        <v>sktime</v>
      </c>
      <c r="D27" s="4" t="s">
        <v>106</v>
      </c>
      <c r="E27" s="5">
        <v>43410.630833333336</v>
      </c>
      <c r="F27" s="5">
        <v>44294.881550925929</v>
      </c>
      <c r="G27" s="13">
        <f t="shared" si="0"/>
        <v>884.25071759259299</v>
      </c>
      <c r="H27" s="6" t="b">
        <v>0</v>
      </c>
      <c r="I27" s="7" t="b">
        <v>1</v>
      </c>
      <c r="J27" s="8">
        <v>3814</v>
      </c>
      <c r="K27" s="8">
        <v>115</v>
      </c>
      <c r="L27" s="8">
        <v>494</v>
      </c>
      <c r="M27" s="8">
        <v>11</v>
      </c>
      <c r="N27" s="8">
        <v>3</v>
      </c>
      <c r="O27" s="8">
        <v>79</v>
      </c>
      <c r="P27" s="8">
        <v>381</v>
      </c>
      <c r="Q27" s="8">
        <v>34</v>
      </c>
      <c r="R27" s="8">
        <v>374</v>
      </c>
      <c r="S27" s="8">
        <v>91</v>
      </c>
      <c r="T27" s="3" t="s">
        <v>57</v>
      </c>
      <c r="U27" s="10">
        <v>18634</v>
      </c>
      <c r="V27" s="32">
        <v>9</v>
      </c>
      <c r="W27" s="27">
        <v>4.8298808629387141E-4</v>
      </c>
      <c r="X27" s="34">
        <v>0</v>
      </c>
      <c r="Y27" s="27">
        <v>0</v>
      </c>
      <c r="Z27" s="27">
        <v>0</v>
      </c>
      <c r="AA27" s="35">
        <v>0</v>
      </c>
      <c r="AB27" s="27">
        <v>0</v>
      </c>
      <c r="AC27" s="27">
        <f t="shared" si="1"/>
        <v>0</v>
      </c>
      <c r="AD27" s="36">
        <v>9</v>
      </c>
      <c r="AE27" s="27">
        <v>1</v>
      </c>
      <c r="AF27" s="27">
        <f t="shared" si="2"/>
        <v>4.8298808629387141E-4</v>
      </c>
      <c r="AG27" s="37">
        <v>0</v>
      </c>
      <c r="AH27" s="27">
        <v>0</v>
      </c>
      <c r="AI27" s="27">
        <f t="shared" si="3"/>
        <v>0</v>
      </c>
      <c r="AJ27" s="38">
        <v>0</v>
      </c>
      <c r="AK27" s="27">
        <v>0</v>
      </c>
      <c r="AL27" s="27">
        <f t="shared" si="4"/>
        <v>0</v>
      </c>
      <c r="AM27" s="40">
        <v>0</v>
      </c>
      <c r="AN27" s="27">
        <v>0</v>
      </c>
      <c r="AO27" s="27">
        <f t="shared" si="5"/>
        <v>0</v>
      </c>
      <c r="AP27" s="7" t="b">
        <v>1</v>
      </c>
      <c r="AQ27" s="6" t="b">
        <v>0</v>
      </c>
      <c r="AR27" s="6" t="b">
        <v>0</v>
      </c>
      <c r="AS27" s="6" t="b">
        <v>0</v>
      </c>
      <c r="AT27" s="7" t="b">
        <v>1</v>
      </c>
      <c r="AU27" s="6" t="b">
        <v>0</v>
      </c>
      <c r="AV27" s="6" t="b">
        <v>0</v>
      </c>
      <c r="AW27" s="6" t="b">
        <v>0</v>
      </c>
      <c r="AX27" s="6" t="b">
        <v>0</v>
      </c>
      <c r="AY27" s="6" t="b">
        <v>0</v>
      </c>
      <c r="AZ27" s="6" t="b">
        <v>0</v>
      </c>
      <c r="BA27" s="6" t="b">
        <v>0</v>
      </c>
      <c r="BB27" s="6" t="b">
        <v>0</v>
      </c>
    </row>
    <row r="28" spans="1:54" ht="15.75" customHeight="1" x14ac:dyDescent="0.25">
      <c r="A28" s="3" t="s">
        <v>107</v>
      </c>
      <c r="B28" s="3" t="str">
        <f ca="1">IFERROR(__xludf.DUMMYFUNCTION("SPLIT(A28,""/"")"),"alectrocute")</f>
        <v>alectrocute</v>
      </c>
      <c r="C28" s="3" t="str">
        <f ca="1">IFERROR(__xludf.DUMMYFUNCTION("""COMPUTED_VALUE"""),"flaskSaaS")</f>
        <v>flaskSaaS</v>
      </c>
      <c r="D28" s="4" t="s">
        <v>108</v>
      </c>
      <c r="E28" s="5">
        <v>43509.960810185185</v>
      </c>
      <c r="F28" s="5">
        <v>44291.763495370367</v>
      </c>
      <c r="G28" s="13">
        <f t="shared" si="0"/>
        <v>781.80268518518278</v>
      </c>
      <c r="H28" s="6" t="b">
        <v>0</v>
      </c>
      <c r="I28" s="6" t="b">
        <v>0</v>
      </c>
      <c r="J28" s="8">
        <v>418</v>
      </c>
      <c r="K28" s="8">
        <v>19</v>
      </c>
      <c r="L28" s="8">
        <v>192</v>
      </c>
      <c r="M28" s="8">
        <v>0</v>
      </c>
      <c r="N28" s="8">
        <v>0</v>
      </c>
      <c r="O28" s="8">
        <v>7</v>
      </c>
      <c r="P28" s="8">
        <v>10</v>
      </c>
      <c r="Q28" s="8">
        <v>4</v>
      </c>
      <c r="R28" s="8">
        <v>7</v>
      </c>
      <c r="S28" s="8">
        <v>6</v>
      </c>
      <c r="T28" s="3" t="s">
        <v>72</v>
      </c>
      <c r="U28" s="10">
        <v>393</v>
      </c>
      <c r="V28" s="32">
        <v>0</v>
      </c>
      <c r="W28" s="27">
        <v>0</v>
      </c>
      <c r="X28" s="34">
        <v>0</v>
      </c>
      <c r="Y28" s="27">
        <v>0</v>
      </c>
      <c r="Z28" s="27">
        <v>0</v>
      </c>
      <c r="AA28" s="35">
        <v>0</v>
      </c>
      <c r="AB28" s="27">
        <v>0</v>
      </c>
      <c r="AC28" s="27">
        <f t="shared" si="1"/>
        <v>0</v>
      </c>
      <c r="AD28" s="36">
        <v>0</v>
      </c>
      <c r="AE28" s="27">
        <v>0</v>
      </c>
      <c r="AF28" s="27">
        <f t="shared" si="2"/>
        <v>0</v>
      </c>
      <c r="AG28" s="37">
        <v>0</v>
      </c>
      <c r="AH28" s="27">
        <v>0</v>
      </c>
      <c r="AI28" s="27">
        <f t="shared" si="3"/>
        <v>0</v>
      </c>
      <c r="AJ28" s="38">
        <v>0</v>
      </c>
      <c r="AK28" s="27">
        <v>0</v>
      </c>
      <c r="AL28" s="27">
        <f t="shared" si="4"/>
        <v>0</v>
      </c>
      <c r="AM28" s="40">
        <v>0</v>
      </c>
      <c r="AN28" s="27">
        <v>0</v>
      </c>
      <c r="AO28" s="27">
        <f t="shared" si="5"/>
        <v>0</v>
      </c>
      <c r="AP28" s="7" t="b">
        <v>1</v>
      </c>
      <c r="AQ28" s="7" t="b">
        <v>1</v>
      </c>
      <c r="AR28" s="6" t="b">
        <v>0</v>
      </c>
      <c r="AS28" s="6" t="b">
        <v>0</v>
      </c>
      <c r="AT28" s="7" t="b">
        <v>1</v>
      </c>
      <c r="AU28" s="6" t="b">
        <v>0</v>
      </c>
      <c r="AV28" s="6" t="b">
        <v>0</v>
      </c>
      <c r="AW28" s="6" t="b">
        <v>0</v>
      </c>
      <c r="AX28" s="6" t="b">
        <v>0</v>
      </c>
      <c r="AY28" s="6" t="b">
        <v>0</v>
      </c>
      <c r="AZ28" s="6" t="b">
        <v>0</v>
      </c>
      <c r="BA28" s="7" t="b">
        <v>1</v>
      </c>
      <c r="BB28" s="6" t="b">
        <v>0</v>
      </c>
    </row>
    <row r="29" spans="1:54" ht="15.75" customHeight="1" x14ac:dyDescent="0.25">
      <c r="A29" s="3" t="s">
        <v>109</v>
      </c>
      <c r="B29" s="3" t="str">
        <f ca="1">IFERROR(__xludf.DUMMYFUNCTION("SPLIT(A29,""/"")"),"alerta")</f>
        <v>alerta</v>
      </c>
      <c r="C29" s="3" t="str">
        <f ca="1">IFERROR(__xludf.DUMMYFUNCTION("""COMPUTED_VALUE"""),"alerta")</f>
        <v>alerta</v>
      </c>
      <c r="D29" s="4" t="s">
        <v>110</v>
      </c>
      <c r="E29" s="5">
        <v>40998.596921296295</v>
      </c>
      <c r="F29" s="5">
        <v>44294.755277777775</v>
      </c>
      <c r="G29" s="13">
        <f t="shared" si="0"/>
        <v>3296.1583564814791</v>
      </c>
      <c r="H29" s="6" t="b">
        <v>0</v>
      </c>
      <c r="I29" s="7" t="b">
        <v>1</v>
      </c>
      <c r="J29" s="8">
        <v>1899</v>
      </c>
      <c r="K29" s="8">
        <v>84</v>
      </c>
      <c r="L29" s="8">
        <v>284</v>
      </c>
      <c r="M29" s="8">
        <v>80</v>
      </c>
      <c r="N29" s="8">
        <v>7</v>
      </c>
      <c r="O29" s="8">
        <v>61</v>
      </c>
      <c r="P29" s="8">
        <v>928</v>
      </c>
      <c r="Q29" s="8">
        <v>9</v>
      </c>
      <c r="R29" s="8">
        <v>535</v>
      </c>
      <c r="S29" s="8">
        <v>27</v>
      </c>
      <c r="T29" s="3" t="s">
        <v>69</v>
      </c>
      <c r="U29" s="10">
        <v>14836</v>
      </c>
      <c r="V29" s="32">
        <v>58</v>
      </c>
      <c r="W29" s="27">
        <v>3.9094095443515777E-3</v>
      </c>
      <c r="X29" s="34">
        <v>14</v>
      </c>
      <c r="Y29" s="27">
        <v>0.2413793103448276</v>
      </c>
      <c r="Z29" s="27">
        <v>9.4365057967107035E-4</v>
      </c>
      <c r="AA29" s="35">
        <v>15</v>
      </c>
      <c r="AB29" s="27">
        <v>0.25862068965517243</v>
      </c>
      <c r="AC29" s="27">
        <f t="shared" si="1"/>
        <v>1.0110541925047183E-3</v>
      </c>
      <c r="AD29" s="36">
        <v>15</v>
      </c>
      <c r="AE29" s="27">
        <v>0.25862068965517243</v>
      </c>
      <c r="AF29" s="27">
        <f t="shared" si="2"/>
        <v>1.0110541925047183E-3</v>
      </c>
      <c r="AG29" s="37">
        <v>13</v>
      </c>
      <c r="AH29" s="27">
        <v>0.22413793103448276</v>
      </c>
      <c r="AI29" s="27">
        <f t="shared" si="3"/>
        <v>8.7624696683742253E-4</v>
      </c>
      <c r="AJ29" s="38">
        <v>0</v>
      </c>
      <c r="AK29" s="27">
        <v>0</v>
      </c>
      <c r="AL29" s="27">
        <f t="shared" si="4"/>
        <v>0</v>
      </c>
      <c r="AM29" s="40">
        <v>0</v>
      </c>
      <c r="AN29" s="27">
        <v>0</v>
      </c>
      <c r="AO29" s="27">
        <f t="shared" si="5"/>
        <v>0</v>
      </c>
      <c r="AP29" s="7" t="b">
        <v>1</v>
      </c>
      <c r="AQ29" s="7" t="b">
        <v>1</v>
      </c>
      <c r="AR29" s="6" t="b">
        <v>0</v>
      </c>
      <c r="AS29" s="6" t="b">
        <v>0</v>
      </c>
      <c r="AT29" s="7" t="b">
        <v>1</v>
      </c>
      <c r="AU29" s="6" t="b">
        <v>0</v>
      </c>
      <c r="AV29" s="6" t="b">
        <v>0</v>
      </c>
      <c r="AW29" s="6" t="b">
        <v>0</v>
      </c>
      <c r="AX29" s="6" t="b">
        <v>0</v>
      </c>
      <c r="AY29" s="6" t="b">
        <v>0</v>
      </c>
      <c r="AZ29" s="6" t="b">
        <v>0</v>
      </c>
      <c r="BA29" s="6" t="b">
        <v>0</v>
      </c>
      <c r="BB29" s="6" t="b">
        <v>0</v>
      </c>
    </row>
    <row r="30" spans="1:54" ht="15.75" customHeight="1" x14ac:dyDescent="0.25">
      <c r="A30" s="3" t="s">
        <v>111</v>
      </c>
      <c r="B30" s="3" t="str">
        <f ca="1">IFERROR(__xludf.DUMMYFUNCTION("SPLIT(A30,""/"")"),"alexander-akhmetov")</f>
        <v>alexander-akhmetov</v>
      </c>
      <c r="C30" s="3" t="str">
        <f ca="1">IFERROR(__xludf.DUMMYFUNCTION("""COMPUTED_VALUE"""),"python-shortcuts")</f>
        <v>python-shortcuts</v>
      </c>
      <c r="D30" s="4" t="s">
        <v>112</v>
      </c>
      <c r="E30" s="5">
        <v>43366.858217592591</v>
      </c>
      <c r="F30" s="5">
        <v>44291.571388888886</v>
      </c>
      <c r="G30" s="13">
        <f t="shared" si="0"/>
        <v>924.7131712962946</v>
      </c>
      <c r="H30" s="6" t="b">
        <v>0</v>
      </c>
      <c r="I30" s="6" t="b">
        <v>0</v>
      </c>
      <c r="J30" s="8">
        <v>530</v>
      </c>
      <c r="K30" s="8">
        <v>20</v>
      </c>
      <c r="L30" s="8">
        <v>29</v>
      </c>
      <c r="M30" s="8">
        <v>6</v>
      </c>
      <c r="N30" s="8">
        <v>0</v>
      </c>
      <c r="O30" s="8">
        <v>3</v>
      </c>
      <c r="P30" s="8">
        <v>87</v>
      </c>
      <c r="Q30" s="8">
        <v>0</v>
      </c>
      <c r="R30" s="8">
        <v>8</v>
      </c>
      <c r="S30" s="8">
        <v>0</v>
      </c>
      <c r="T30" s="3" t="s">
        <v>72</v>
      </c>
      <c r="U30" s="10">
        <v>2263</v>
      </c>
      <c r="V30" s="32">
        <v>4</v>
      </c>
      <c r="W30" s="27">
        <v>1.7675651789659744E-3</v>
      </c>
      <c r="X30" s="34">
        <v>3</v>
      </c>
      <c r="Y30" s="27">
        <v>0.75</v>
      </c>
      <c r="Z30" s="27">
        <v>1.3256738842244808E-3</v>
      </c>
      <c r="AA30" s="35">
        <v>0</v>
      </c>
      <c r="AB30" s="27">
        <v>0</v>
      </c>
      <c r="AC30" s="27">
        <f t="shared" si="1"/>
        <v>0</v>
      </c>
      <c r="AD30" s="36">
        <v>0</v>
      </c>
      <c r="AE30" s="27">
        <v>0</v>
      </c>
      <c r="AF30" s="27">
        <f t="shared" si="2"/>
        <v>0</v>
      </c>
      <c r="AG30" s="37">
        <v>1</v>
      </c>
      <c r="AH30" s="27">
        <v>0.25</v>
      </c>
      <c r="AI30" s="27">
        <f t="shared" si="3"/>
        <v>4.4189129474149361E-4</v>
      </c>
      <c r="AJ30" s="38">
        <v>0</v>
      </c>
      <c r="AK30" s="27">
        <v>0</v>
      </c>
      <c r="AL30" s="27">
        <f t="shared" si="4"/>
        <v>0</v>
      </c>
      <c r="AM30" s="40">
        <v>0</v>
      </c>
      <c r="AN30" s="27">
        <v>0</v>
      </c>
      <c r="AO30" s="27">
        <f t="shared" si="5"/>
        <v>0</v>
      </c>
      <c r="AP30" s="7" t="b">
        <v>1</v>
      </c>
      <c r="AQ30" s="6" t="b">
        <v>0</v>
      </c>
      <c r="AR30" s="6" t="b">
        <v>0</v>
      </c>
      <c r="AS30" s="6" t="b">
        <v>0</v>
      </c>
      <c r="AT30" s="7" t="b">
        <v>1</v>
      </c>
      <c r="AU30" s="6" t="b">
        <v>0</v>
      </c>
      <c r="AV30" s="6" t="b">
        <v>0</v>
      </c>
      <c r="AW30" s="6" t="b">
        <v>0</v>
      </c>
      <c r="AX30" s="6" t="b">
        <v>0</v>
      </c>
      <c r="AY30" s="6" t="b">
        <v>0</v>
      </c>
      <c r="AZ30" s="6" t="b">
        <v>0</v>
      </c>
      <c r="BA30" s="6" t="b">
        <v>0</v>
      </c>
      <c r="BB30" s="6" t="b">
        <v>0</v>
      </c>
    </row>
    <row r="31" spans="1:54" ht="15.75" customHeight="1" x14ac:dyDescent="0.25">
      <c r="A31" s="3" t="s">
        <v>113</v>
      </c>
      <c r="B31" s="3" t="str">
        <f ca="1">IFERROR(__xludf.DUMMYFUNCTION("SPLIT(A31,""/"")"),"alexmojaki")</f>
        <v>alexmojaki</v>
      </c>
      <c r="C31" s="3" t="str">
        <f ca="1">IFERROR(__xludf.DUMMYFUNCTION("""COMPUTED_VALUE"""),"futurecoder")</f>
        <v>futurecoder</v>
      </c>
      <c r="D31" s="4" t="s">
        <v>114</v>
      </c>
      <c r="E31" s="5">
        <v>43833.832939814813</v>
      </c>
      <c r="F31" s="5">
        <v>44294.899398148147</v>
      </c>
      <c r="G31" s="13">
        <f t="shared" si="0"/>
        <v>461.06645833333459</v>
      </c>
      <c r="H31" s="6" t="b">
        <v>0</v>
      </c>
      <c r="I31" s="6" t="b">
        <v>0</v>
      </c>
      <c r="J31" s="8">
        <v>366</v>
      </c>
      <c r="K31" s="8">
        <v>14</v>
      </c>
      <c r="L31" s="8">
        <v>24</v>
      </c>
      <c r="M31" s="8">
        <v>0</v>
      </c>
      <c r="N31" s="8">
        <v>0</v>
      </c>
      <c r="O31" s="8">
        <v>9</v>
      </c>
      <c r="P31" s="8">
        <v>75</v>
      </c>
      <c r="Q31" s="8">
        <v>0</v>
      </c>
      <c r="R31" s="8">
        <v>80</v>
      </c>
      <c r="S31" s="8">
        <v>36</v>
      </c>
      <c r="T31" s="3" t="s">
        <v>72</v>
      </c>
      <c r="U31" s="10">
        <v>4296</v>
      </c>
      <c r="V31" s="32">
        <v>8</v>
      </c>
      <c r="W31" s="27">
        <v>1.8621973929236499E-3</v>
      </c>
      <c r="X31" s="34">
        <v>0</v>
      </c>
      <c r="Y31" s="27">
        <v>0</v>
      </c>
      <c r="Z31" s="27">
        <v>0</v>
      </c>
      <c r="AA31" s="35">
        <v>3</v>
      </c>
      <c r="AB31" s="27">
        <v>0.375</v>
      </c>
      <c r="AC31" s="27">
        <f t="shared" si="1"/>
        <v>6.9832402234636874E-4</v>
      </c>
      <c r="AD31" s="36">
        <v>1</v>
      </c>
      <c r="AE31" s="27">
        <v>0.125</v>
      </c>
      <c r="AF31" s="27">
        <f t="shared" si="2"/>
        <v>2.3277467411545624E-4</v>
      </c>
      <c r="AG31" s="37">
        <v>4</v>
      </c>
      <c r="AH31" s="27">
        <v>0.5</v>
      </c>
      <c r="AI31" s="27">
        <f t="shared" si="3"/>
        <v>9.3109869646182495E-4</v>
      </c>
      <c r="AJ31" s="38">
        <v>0</v>
      </c>
      <c r="AK31" s="27">
        <v>0</v>
      </c>
      <c r="AL31" s="27">
        <f t="shared" si="4"/>
        <v>0</v>
      </c>
      <c r="AM31" s="40">
        <v>0</v>
      </c>
      <c r="AN31" s="27">
        <v>0</v>
      </c>
      <c r="AO31" s="27">
        <f t="shared" si="5"/>
        <v>0</v>
      </c>
      <c r="AP31" s="7" t="b">
        <v>1</v>
      </c>
      <c r="AQ31" s="7" t="b">
        <v>1</v>
      </c>
      <c r="AR31" s="6" t="b">
        <v>0</v>
      </c>
      <c r="AS31" s="6" t="b">
        <v>0</v>
      </c>
      <c r="AT31" s="7" t="b">
        <v>1</v>
      </c>
      <c r="AU31" s="6" t="b">
        <v>0</v>
      </c>
      <c r="AV31" s="6" t="b">
        <v>0</v>
      </c>
      <c r="AW31" s="6" t="b">
        <v>0</v>
      </c>
      <c r="AX31" s="6" t="b">
        <v>0</v>
      </c>
      <c r="AY31" s="6" t="b">
        <v>0</v>
      </c>
      <c r="AZ31" s="6" t="b">
        <v>0</v>
      </c>
      <c r="BA31" s="6" t="b">
        <v>0</v>
      </c>
      <c r="BB31" s="6" t="b">
        <v>0</v>
      </c>
    </row>
    <row r="32" spans="1:54" ht="15.75" customHeight="1" x14ac:dyDescent="0.25">
      <c r="A32" s="3" t="s">
        <v>115</v>
      </c>
      <c r="B32" s="3" t="str">
        <f ca="1">IFERROR(__xludf.DUMMYFUNCTION("SPLIT(A32,""/"")"),"alfredfrancis")</f>
        <v>alfredfrancis</v>
      </c>
      <c r="C32" s="3" t="str">
        <f ca="1">IFERROR(__xludf.DUMMYFUNCTION("""COMPUTED_VALUE"""),"ai-chatbot-framework")</f>
        <v>ai-chatbot-framework</v>
      </c>
      <c r="D32" s="4" t="s">
        <v>116</v>
      </c>
      <c r="E32" s="5">
        <v>42720.799259259256</v>
      </c>
      <c r="F32" s="5">
        <v>44293.6015625</v>
      </c>
      <c r="G32" s="13">
        <f t="shared" si="0"/>
        <v>1572.8023032407436</v>
      </c>
      <c r="H32" s="6" t="b">
        <v>0</v>
      </c>
      <c r="I32" s="6" t="b">
        <v>0</v>
      </c>
      <c r="J32" s="8">
        <v>1469</v>
      </c>
      <c r="K32" s="8">
        <v>130</v>
      </c>
      <c r="L32" s="8">
        <v>602</v>
      </c>
      <c r="M32" s="8">
        <v>6</v>
      </c>
      <c r="N32" s="8">
        <v>8</v>
      </c>
      <c r="O32" s="8">
        <v>21</v>
      </c>
      <c r="P32" s="8">
        <v>43</v>
      </c>
      <c r="Q32" s="8">
        <v>1</v>
      </c>
      <c r="R32" s="8">
        <v>106</v>
      </c>
      <c r="S32" s="8">
        <v>17</v>
      </c>
      <c r="T32" s="3" t="s">
        <v>72</v>
      </c>
      <c r="U32" s="10">
        <v>1318</v>
      </c>
      <c r="V32" s="32">
        <v>20</v>
      </c>
      <c r="W32" s="27">
        <v>1.5174506828528073E-2</v>
      </c>
      <c r="X32" s="34">
        <v>1</v>
      </c>
      <c r="Y32" s="27">
        <v>0.05</v>
      </c>
      <c r="Z32" s="27">
        <v>7.5872534142640367E-4</v>
      </c>
      <c r="AA32" s="35">
        <v>11</v>
      </c>
      <c r="AB32" s="27">
        <v>0.55000000000000004</v>
      </c>
      <c r="AC32" s="27">
        <f t="shared" si="1"/>
        <v>8.3459787556904395E-3</v>
      </c>
      <c r="AD32" s="36">
        <v>4</v>
      </c>
      <c r="AE32" s="27">
        <v>0.2</v>
      </c>
      <c r="AF32" s="27">
        <f t="shared" si="2"/>
        <v>3.0349013657056147E-3</v>
      </c>
      <c r="AG32" s="37">
        <v>4</v>
      </c>
      <c r="AH32" s="27">
        <v>0.2</v>
      </c>
      <c r="AI32" s="27">
        <f t="shared" si="3"/>
        <v>3.0349013657056147E-3</v>
      </c>
      <c r="AJ32" s="38">
        <v>0</v>
      </c>
      <c r="AK32" s="27">
        <v>0</v>
      </c>
      <c r="AL32" s="27">
        <f t="shared" si="4"/>
        <v>0</v>
      </c>
      <c r="AM32" s="40">
        <v>0</v>
      </c>
      <c r="AN32" s="27">
        <v>0</v>
      </c>
      <c r="AO32" s="27">
        <f t="shared" si="5"/>
        <v>0</v>
      </c>
      <c r="AP32" s="7" t="b">
        <v>1</v>
      </c>
      <c r="AQ32" s="7" t="b">
        <v>1</v>
      </c>
      <c r="AR32" s="6" t="b">
        <v>0</v>
      </c>
      <c r="AS32" s="6" t="b">
        <v>0</v>
      </c>
      <c r="AT32" s="7" t="b">
        <v>1</v>
      </c>
      <c r="AU32" s="6" t="b">
        <v>0</v>
      </c>
      <c r="AV32" s="6" t="b">
        <v>0</v>
      </c>
      <c r="AW32" s="6" t="b">
        <v>0</v>
      </c>
      <c r="AX32" s="6" t="b">
        <v>0</v>
      </c>
      <c r="AY32" s="6" t="b">
        <v>0</v>
      </c>
      <c r="AZ32" s="6" t="b">
        <v>0</v>
      </c>
      <c r="BA32" s="6" t="b">
        <v>0</v>
      </c>
      <c r="BB32" s="6" t="b">
        <v>0</v>
      </c>
    </row>
    <row r="33" spans="1:54" ht="15.75" customHeight="1" x14ac:dyDescent="0.25">
      <c r="A33" s="3" t="s">
        <v>117</v>
      </c>
      <c r="B33" s="3" t="str">
        <f ca="1">IFERROR(__xludf.DUMMYFUNCTION("SPLIT(A33,""/"")"),"alibaba")</f>
        <v>alibaba</v>
      </c>
      <c r="C33" s="3" t="str">
        <f ca="1">IFERROR(__xludf.DUMMYFUNCTION("""COMPUTED_VALUE"""),"flink-ai-extended")</f>
        <v>flink-ai-extended</v>
      </c>
      <c r="D33" s="4" t="s">
        <v>118</v>
      </c>
      <c r="E33" s="5">
        <v>43633.322384259256</v>
      </c>
      <c r="F33" s="5">
        <v>44295.163819444446</v>
      </c>
      <c r="G33" s="13">
        <f t="shared" si="0"/>
        <v>661.84143518518977</v>
      </c>
      <c r="H33" s="6" t="b">
        <v>0</v>
      </c>
      <c r="I33" s="7" t="b">
        <v>1</v>
      </c>
      <c r="J33" s="8">
        <v>391</v>
      </c>
      <c r="K33" s="8">
        <v>33</v>
      </c>
      <c r="L33" s="8">
        <v>131</v>
      </c>
      <c r="M33" s="8">
        <v>5</v>
      </c>
      <c r="N33" s="8">
        <v>0</v>
      </c>
      <c r="O33" s="8">
        <v>11</v>
      </c>
      <c r="P33" s="8">
        <v>129</v>
      </c>
      <c r="Q33" s="8">
        <v>9</v>
      </c>
      <c r="R33" s="8">
        <v>55</v>
      </c>
      <c r="S33" s="8">
        <v>19</v>
      </c>
      <c r="T33" s="3" t="s">
        <v>69</v>
      </c>
      <c r="U33" s="10">
        <v>172482</v>
      </c>
      <c r="V33" s="32">
        <v>2940</v>
      </c>
      <c r="W33" s="27">
        <v>1.7045256896371794E-2</v>
      </c>
      <c r="X33" s="34">
        <v>330</v>
      </c>
      <c r="Y33" s="27">
        <v>0.11224489795918367</v>
      </c>
      <c r="Z33" s="27">
        <v>1.9132431210213241E-3</v>
      </c>
      <c r="AA33" s="35">
        <v>1514</v>
      </c>
      <c r="AB33" s="27">
        <v>0.51496598639455782</v>
      </c>
      <c r="AC33" s="27">
        <f t="shared" si="1"/>
        <v>8.7777275309887416E-3</v>
      </c>
      <c r="AD33" s="36">
        <v>781</v>
      </c>
      <c r="AE33" s="27">
        <v>0.26564625850340134</v>
      </c>
      <c r="AF33" s="27">
        <f t="shared" si="2"/>
        <v>4.5280087197504667E-3</v>
      </c>
      <c r="AG33" s="37">
        <v>281</v>
      </c>
      <c r="AH33" s="27">
        <v>9.557823129251701E-2</v>
      </c>
      <c r="AI33" s="27">
        <f t="shared" si="3"/>
        <v>1.6291555060817941E-3</v>
      </c>
      <c r="AJ33" s="38">
        <v>2</v>
      </c>
      <c r="AK33" s="27">
        <v>6.8027210884353737E-4</v>
      </c>
      <c r="AL33" s="27">
        <f t="shared" si="4"/>
        <v>1.1595412854674691E-5</v>
      </c>
      <c r="AM33" s="40">
        <v>3</v>
      </c>
      <c r="AN33" s="27">
        <v>1.0204081632653062E-3</v>
      </c>
      <c r="AO33" s="27">
        <f t="shared" si="5"/>
        <v>1.7393119282012037E-5</v>
      </c>
      <c r="AP33" s="7" t="b">
        <v>1</v>
      </c>
      <c r="AQ33" s="6" t="b">
        <v>0</v>
      </c>
      <c r="AR33" s="6" t="b">
        <v>0</v>
      </c>
      <c r="AS33" s="6" t="b">
        <v>0</v>
      </c>
      <c r="AT33" s="7" t="b">
        <v>1</v>
      </c>
      <c r="AU33" s="6" t="b">
        <v>0</v>
      </c>
      <c r="AV33" s="6" t="b">
        <v>0</v>
      </c>
      <c r="AW33" s="6" t="b">
        <v>0</v>
      </c>
      <c r="AX33" s="6" t="b">
        <v>0</v>
      </c>
      <c r="AY33" s="6" t="b">
        <v>0</v>
      </c>
      <c r="AZ33" s="6" t="b">
        <v>0</v>
      </c>
      <c r="BA33" s="6" t="b">
        <v>0</v>
      </c>
      <c r="BB33" s="6" t="b">
        <v>0</v>
      </c>
    </row>
    <row r="34" spans="1:54" ht="15.75" customHeight="1" x14ac:dyDescent="0.25">
      <c r="A34" s="3" t="s">
        <v>119</v>
      </c>
      <c r="B34" s="3" t="str">
        <f ca="1">IFERROR(__xludf.DUMMYFUNCTION("SPLIT(A34,""/"")"),"aliparlakci")</f>
        <v>aliparlakci</v>
      </c>
      <c r="C34" s="3" t="str">
        <f ca="1">IFERROR(__xludf.DUMMYFUNCTION("""COMPUTED_VALUE"""),"bulk-downloader-for-reddit")</f>
        <v>bulk-downloader-for-reddit</v>
      </c>
      <c r="D34" s="4" t="s">
        <v>120</v>
      </c>
      <c r="E34" s="5">
        <v>43265.833761574075</v>
      </c>
      <c r="F34" s="5">
        <v>44294.280543981484</v>
      </c>
      <c r="G34" s="13">
        <f t="shared" si="0"/>
        <v>1028.446782407409</v>
      </c>
      <c r="H34" s="6" t="b">
        <v>0</v>
      </c>
      <c r="I34" s="6" t="b">
        <v>0</v>
      </c>
      <c r="J34" s="8">
        <v>778</v>
      </c>
      <c r="K34" s="8">
        <v>20</v>
      </c>
      <c r="L34" s="8">
        <v>106</v>
      </c>
      <c r="M34" s="8">
        <v>30</v>
      </c>
      <c r="N34" s="8">
        <v>2</v>
      </c>
      <c r="O34" s="8">
        <v>14</v>
      </c>
      <c r="P34" s="8">
        <v>109</v>
      </c>
      <c r="Q34" s="8">
        <v>2</v>
      </c>
      <c r="R34" s="8">
        <v>149</v>
      </c>
      <c r="S34" s="8">
        <v>45</v>
      </c>
      <c r="T34" s="3" t="s">
        <v>49</v>
      </c>
      <c r="U34" s="10">
        <v>1733</v>
      </c>
      <c r="V34" s="32">
        <v>3</v>
      </c>
      <c r="W34" s="27">
        <v>1.7311021350259665E-3</v>
      </c>
      <c r="X34" s="34">
        <v>0</v>
      </c>
      <c r="Y34" s="27">
        <v>0</v>
      </c>
      <c r="Z34" s="27">
        <v>0</v>
      </c>
      <c r="AA34" s="35">
        <v>0</v>
      </c>
      <c r="AB34" s="27">
        <v>0</v>
      </c>
      <c r="AC34" s="27">
        <f t="shared" si="1"/>
        <v>0</v>
      </c>
      <c r="AD34" s="36">
        <v>0</v>
      </c>
      <c r="AE34" s="27">
        <v>0</v>
      </c>
      <c r="AF34" s="27">
        <f t="shared" si="2"/>
        <v>0</v>
      </c>
      <c r="AG34" s="37">
        <v>3</v>
      </c>
      <c r="AH34" s="27">
        <v>1</v>
      </c>
      <c r="AI34" s="27">
        <f t="shared" si="3"/>
        <v>1.7311021350259665E-3</v>
      </c>
      <c r="AJ34" s="38">
        <v>0</v>
      </c>
      <c r="AK34" s="27">
        <v>0</v>
      </c>
      <c r="AL34" s="27">
        <f t="shared" si="4"/>
        <v>0</v>
      </c>
      <c r="AM34" s="40">
        <v>0</v>
      </c>
      <c r="AN34" s="27">
        <v>0</v>
      </c>
      <c r="AO34" s="27">
        <f t="shared" si="5"/>
        <v>0</v>
      </c>
      <c r="AP34" s="7" t="b">
        <v>1</v>
      </c>
      <c r="AQ34" s="7" t="b">
        <v>1</v>
      </c>
      <c r="AR34" s="6" t="b">
        <v>0</v>
      </c>
      <c r="AS34" s="6" t="b">
        <v>0</v>
      </c>
      <c r="AT34" s="7" t="b">
        <v>1</v>
      </c>
      <c r="AU34" s="6" t="b">
        <v>0</v>
      </c>
      <c r="AV34" s="6" t="b">
        <v>0</v>
      </c>
      <c r="AW34" s="6" t="b">
        <v>0</v>
      </c>
      <c r="AX34" s="6" t="b">
        <v>0</v>
      </c>
      <c r="AY34" s="6" t="b">
        <v>0</v>
      </c>
      <c r="AZ34" s="6" t="b">
        <v>0</v>
      </c>
      <c r="BA34" s="6" t="b">
        <v>0</v>
      </c>
      <c r="BB34" s="6" t="b">
        <v>0</v>
      </c>
    </row>
    <row r="35" spans="1:54" ht="15.75" customHeight="1" x14ac:dyDescent="0.25">
      <c r="A35" s="3" t="s">
        <v>121</v>
      </c>
      <c r="B35" s="3" t="str">
        <f ca="1">IFERROR(__xludf.DUMMYFUNCTION("SPLIT(A35,""/"")"),"alisaifee")</f>
        <v>alisaifee</v>
      </c>
      <c r="C35" s="3" t="str">
        <f ca="1">IFERROR(__xludf.DUMMYFUNCTION("""COMPUTED_VALUE"""),"flask-limiter")</f>
        <v>flask-limiter</v>
      </c>
      <c r="D35" s="4" t="s">
        <v>122</v>
      </c>
      <c r="E35" s="5">
        <v>41682.15116898148</v>
      </c>
      <c r="F35" s="5">
        <v>44293.33871527778</v>
      </c>
      <c r="G35" s="13">
        <f t="shared" si="0"/>
        <v>2611.1875462962998</v>
      </c>
      <c r="H35" s="6" t="b">
        <v>0</v>
      </c>
      <c r="I35" s="6" t="b">
        <v>0</v>
      </c>
      <c r="J35" s="8">
        <v>737</v>
      </c>
      <c r="K35" s="8">
        <v>13</v>
      </c>
      <c r="L35" s="8">
        <v>91</v>
      </c>
      <c r="M35" s="8">
        <v>0</v>
      </c>
      <c r="N35" s="8">
        <v>2</v>
      </c>
      <c r="O35" s="8">
        <v>28</v>
      </c>
      <c r="P35" s="8">
        <v>169</v>
      </c>
      <c r="Q35" s="8">
        <v>0</v>
      </c>
      <c r="R35" s="8">
        <v>110</v>
      </c>
      <c r="S35" s="8">
        <v>14</v>
      </c>
      <c r="T35" s="3" t="s">
        <v>72</v>
      </c>
      <c r="U35" s="10">
        <v>2997</v>
      </c>
      <c r="V35" s="32">
        <v>14</v>
      </c>
      <c r="W35" s="27">
        <v>4.6713380046713377E-3</v>
      </c>
      <c r="X35" s="34">
        <v>0</v>
      </c>
      <c r="Y35" s="27">
        <v>0</v>
      </c>
      <c r="Z35" s="27">
        <v>0</v>
      </c>
      <c r="AA35" s="35">
        <v>2</v>
      </c>
      <c r="AB35" s="27">
        <v>0.14285714285714285</v>
      </c>
      <c r="AC35" s="27">
        <f t="shared" si="1"/>
        <v>6.6733400066733403E-4</v>
      </c>
      <c r="AD35" s="36">
        <v>6</v>
      </c>
      <c r="AE35" s="27">
        <v>0.42857142857142855</v>
      </c>
      <c r="AF35" s="27">
        <f t="shared" si="2"/>
        <v>2.002002002002002E-3</v>
      </c>
      <c r="AG35" s="37">
        <v>6</v>
      </c>
      <c r="AH35" s="27">
        <v>0.42857142857142855</v>
      </c>
      <c r="AI35" s="27">
        <f t="shared" si="3"/>
        <v>2.002002002002002E-3</v>
      </c>
      <c r="AJ35" s="38">
        <v>0</v>
      </c>
      <c r="AK35" s="27">
        <v>0</v>
      </c>
      <c r="AL35" s="27">
        <f t="shared" si="4"/>
        <v>0</v>
      </c>
      <c r="AM35" s="40">
        <v>0</v>
      </c>
      <c r="AN35" s="27">
        <v>0</v>
      </c>
      <c r="AO35" s="27">
        <f t="shared" si="5"/>
        <v>0</v>
      </c>
      <c r="AP35" s="6" t="b">
        <v>0</v>
      </c>
      <c r="AQ35" s="7" t="b">
        <v>1</v>
      </c>
      <c r="AR35" s="6" t="b">
        <v>0</v>
      </c>
      <c r="AS35" s="6" t="b">
        <v>0</v>
      </c>
      <c r="AT35" s="7" t="b">
        <v>1</v>
      </c>
      <c r="AU35" s="6" t="b">
        <v>0</v>
      </c>
      <c r="AV35" s="6" t="b">
        <v>0</v>
      </c>
      <c r="AW35" s="6" t="b">
        <v>0</v>
      </c>
      <c r="AX35" s="6" t="b">
        <v>0</v>
      </c>
      <c r="AY35" s="6" t="b">
        <v>0</v>
      </c>
      <c r="AZ35" s="6" t="b">
        <v>0</v>
      </c>
      <c r="BA35" s="6" t="b">
        <v>0</v>
      </c>
      <c r="BB35" s="6" t="b">
        <v>0</v>
      </c>
    </row>
    <row r="36" spans="1:54" ht="15.75" customHeight="1" x14ac:dyDescent="0.25">
      <c r="A36" s="3" t="s">
        <v>123</v>
      </c>
      <c r="B36" s="3" t="str">
        <f ca="1">IFERROR(__xludf.DUMMYFUNCTION("SPLIT(A36,""/"")"),"alisen39")</f>
        <v>alisen39</v>
      </c>
      <c r="C36" s="3" t="str">
        <f ca="1">IFERROR(__xludf.DUMMYFUNCTION("""COMPUTED_VALUE"""),"TrWebOCR")</f>
        <v>TrWebOCR</v>
      </c>
      <c r="D36" s="4" t="s">
        <v>124</v>
      </c>
      <c r="E36" s="5">
        <v>43952.570289351854</v>
      </c>
      <c r="F36" s="5">
        <v>44295.158877314818</v>
      </c>
      <c r="G36" s="13">
        <f t="shared" si="0"/>
        <v>342.58858796296408</v>
      </c>
      <c r="H36" s="6" t="b">
        <v>0</v>
      </c>
      <c r="I36" s="6" t="b">
        <v>0</v>
      </c>
      <c r="J36" s="8">
        <v>646</v>
      </c>
      <c r="K36" s="8">
        <v>32</v>
      </c>
      <c r="L36" s="8">
        <v>179</v>
      </c>
      <c r="M36" s="8">
        <v>0</v>
      </c>
      <c r="N36" s="8">
        <v>0</v>
      </c>
      <c r="O36" s="8">
        <v>3</v>
      </c>
      <c r="P36" s="8">
        <v>11</v>
      </c>
      <c r="Q36" s="8">
        <v>6</v>
      </c>
      <c r="R36" s="8">
        <v>45</v>
      </c>
      <c r="S36" s="8">
        <v>34</v>
      </c>
      <c r="T36" s="3" t="s">
        <v>69</v>
      </c>
      <c r="U36" s="10">
        <v>434</v>
      </c>
      <c r="V36" s="32">
        <v>4</v>
      </c>
      <c r="W36" s="27">
        <v>9.2165898617511521E-3</v>
      </c>
      <c r="X36" s="34">
        <v>0</v>
      </c>
      <c r="Y36" s="27">
        <v>0</v>
      </c>
      <c r="Z36" s="27">
        <v>0</v>
      </c>
      <c r="AA36" s="35">
        <v>1</v>
      </c>
      <c r="AB36" s="27">
        <v>0.25</v>
      </c>
      <c r="AC36" s="27">
        <f t="shared" si="1"/>
        <v>2.304147465437788E-3</v>
      </c>
      <c r="AD36" s="36">
        <v>0</v>
      </c>
      <c r="AE36" s="27">
        <v>0</v>
      </c>
      <c r="AF36" s="27">
        <f t="shared" si="2"/>
        <v>0</v>
      </c>
      <c r="AG36" s="37">
        <v>3</v>
      </c>
      <c r="AH36" s="27">
        <v>0.75</v>
      </c>
      <c r="AI36" s="27">
        <f t="shared" si="3"/>
        <v>6.9124423963133645E-3</v>
      </c>
      <c r="AJ36" s="38">
        <v>0</v>
      </c>
      <c r="AK36" s="27">
        <v>0</v>
      </c>
      <c r="AL36" s="27">
        <f t="shared" si="4"/>
        <v>0</v>
      </c>
      <c r="AM36" s="40">
        <v>0</v>
      </c>
      <c r="AN36" s="27">
        <v>0</v>
      </c>
      <c r="AO36" s="27">
        <f t="shared" si="5"/>
        <v>0</v>
      </c>
      <c r="AP36" s="7" t="b">
        <v>1</v>
      </c>
      <c r="AQ36" s="6" t="b">
        <v>0</v>
      </c>
      <c r="AR36" s="6" t="b">
        <v>0</v>
      </c>
      <c r="AS36" s="6" t="b">
        <v>0</v>
      </c>
      <c r="AT36" s="7" t="b">
        <v>1</v>
      </c>
      <c r="AU36" s="6" t="b">
        <v>0</v>
      </c>
      <c r="AV36" s="6" t="b">
        <v>0</v>
      </c>
      <c r="AW36" s="6" t="b">
        <v>0</v>
      </c>
      <c r="AX36" s="6" t="b">
        <v>0</v>
      </c>
      <c r="AY36" s="6" t="b">
        <v>0</v>
      </c>
      <c r="AZ36" s="6" t="b">
        <v>0</v>
      </c>
      <c r="BA36" s="6" t="b">
        <v>0</v>
      </c>
      <c r="BB36" s="6" t="b">
        <v>0</v>
      </c>
    </row>
    <row r="37" spans="1:54" ht="15" x14ac:dyDescent="0.25">
      <c r="A37" s="3" t="s">
        <v>125</v>
      </c>
      <c r="B37" s="3" t="str">
        <f ca="1">IFERROR(__xludf.DUMMYFUNCTION("SPLIT(A37,""/"")"),"allegro")</f>
        <v>allegro</v>
      </c>
      <c r="C37" s="3" t="str">
        <f ca="1">IFERROR(__xludf.DUMMYFUNCTION("""COMPUTED_VALUE"""),"ralph")</f>
        <v>ralph</v>
      </c>
      <c r="D37" s="4" t="s">
        <v>126</v>
      </c>
      <c r="E37" s="5">
        <v>41046.586770833332</v>
      </c>
      <c r="F37" s="5">
        <v>44290.964212962965</v>
      </c>
      <c r="G37" s="13">
        <f t="shared" si="0"/>
        <v>3244.377442129633</v>
      </c>
      <c r="H37" s="6" t="b">
        <v>0</v>
      </c>
      <c r="I37" s="7" t="b">
        <v>1</v>
      </c>
      <c r="J37" s="8">
        <v>1542</v>
      </c>
      <c r="K37" s="8">
        <v>124</v>
      </c>
      <c r="L37" s="8">
        <v>406</v>
      </c>
      <c r="M37" s="8">
        <v>3</v>
      </c>
      <c r="N37" s="8">
        <v>21</v>
      </c>
      <c r="O37" s="8">
        <v>50</v>
      </c>
      <c r="P37" s="8">
        <v>3076</v>
      </c>
      <c r="Q37" s="8">
        <v>13</v>
      </c>
      <c r="R37" s="8">
        <v>540</v>
      </c>
      <c r="S37" s="8">
        <v>62</v>
      </c>
      <c r="T37" s="3" t="s">
        <v>69</v>
      </c>
      <c r="U37" s="10">
        <v>32049</v>
      </c>
      <c r="V37" s="32">
        <v>230</v>
      </c>
      <c r="W37" s="27">
        <v>7.1765109675808918E-3</v>
      </c>
      <c r="X37" s="34">
        <v>29</v>
      </c>
      <c r="Y37" s="27">
        <v>0.12608695652173912</v>
      </c>
      <c r="Z37" s="27">
        <v>9.0486442634715595E-4</v>
      </c>
      <c r="AA37" s="35">
        <v>94</v>
      </c>
      <c r="AB37" s="27">
        <v>0.40869565217391307</v>
      </c>
      <c r="AC37" s="27">
        <f t="shared" si="1"/>
        <v>2.9330088302287121E-3</v>
      </c>
      <c r="AD37" s="36">
        <v>54</v>
      </c>
      <c r="AE37" s="27">
        <v>0.23478260869565218</v>
      </c>
      <c r="AF37" s="27">
        <f t="shared" si="2"/>
        <v>1.6849199663016006E-3</v>
      </c>
      <c r="AG37" s="37">
        <v>45</v>
      </c>
      <c r="AH37" s="27">
        <v>0.19565217391304349</v>
      </c>
      <c r="AI37" s="27">
        <f t="shared" si="3"/>
        <v>1.4040999719180005E-3</v>
      </c>
      <c r="AJ37" s="38">
        <v>2</v>
      </c>
      <c r="AK37" s="27">
        <v>8.6956521739130436E-3</v>
      </c>
      <c r="AL37" s="27">
        <f t="shared" si="4"/>
        <v>6.2404443196355586E-5</v>
      </c>
      <c r="AM37" s="40">
        <v>0</v>
      </c>
      <c r="AN37" s="27">
        <v>0</v>
      </c>
      <c r="AO37" s="27">
        <f t="shared" si="5"/>
        <v>0</v>
      </c>
      <c r="AP37" s="6" t="b">
        <v>0</v>
      </c>
      <c r="AQ37" s="7" t="b">
        <v>1</v>
      </c>
      <c r="AR37" s="6" t="b">
        <v>0</v>
      </c>
      <c r="AS37" s="6" t="b">
        <v>0</v>
      </c>
      <c r="AT37" s="7" t="b">
        <v>1</v>
      </c>
      <c r="AU37" s="6" t="b">
        <v>0</v>
      </c>
      <c r="AV37" s="6" t="b">
        <v>0</v>
      </c>
      <c r="AW37" s="6" t="b">
        <v>0</v>
      </c>
      <c r="AX37" s="6" t="b">
        <v>0</v>
      </c>
      <c r="AY37" s="6" t="b">
        <v>0</v>
      </c>
      <c r="AZ37" s="6" t="b">
        <v>0</v>
      </c>
      <c r="BA37" s="6" t="b">
        <v>0</v>
      </c>
      <c r="BB37" s="6" t="b">
        <v>0</v>
      </c>
    </row>
    <row r="38" spans="1:54" ht="15" x14ac:dyDescent="0.25">
      <c r="A38" s="3" t="s">
        <v>127</v>
      </c>
      <c r="B38" s="3" t="str">
        <f ca="1">IFERROR(__xludf.DUMMYFUNCTION("SPLIT(A38,""/"")"),"allenai")</f>
        <v>allenai</v>
      </c>
      <c r="C38" s="3" t="str">
        <f ca="1">IFERROR(__xludf.DUMMYFUNCTION("""COMPUTED_VALUE"""),"allennlp")</f>
        <v>allennlp</v>
      </c>
      <c r="D38" s="4" t="s">
        <v>128</v>
      </c>
      <c r="E38" s="5">
        <v>42870.661585648151</v>
      </c>
      <c r="F38" s="5">
        <v>44295.162141203706</v>
      </c>
      <c r="G38" s="13">
        <f t="shared" si="0"/>
        <v>1424.5005555555545</v>
      </c>
      <c r="H38" s="6" t="b">
        <v>0</v>
      </c>
      <c r="I38" s="7" t="b">
        <v>1</v>
      </c>
      <c r="J38" s="8">
        <v>9904</v>
      </c>
      <c r="K38" s="8">
        <v>290</v>
      </c>
      <c r="L38" s="8">
        <v>1980</v>
      </c>
      <c r="M38" s="8">
        <v>46</v>
      </c>
      <c r="N38" s="8">
        <v>72</v>
      </c>
      <c r="O38" s="8">
        <v>230</v>
      </c>
      <c r="P38" s="8">
        <v>2786</v>
      </c>
      <c r="Q38" s="8">
        <v>17</v>
      </c>
      <c r="R38" s="8">
        <v>2305</v>
      </c>
      <c r="S38" s="8">
        <v>89</v>
      </c>
      <c r="T38" s="3" t="s">
        <v>69</v>
      </c>
      <c r="U38" s="10">
        <v>34817</v>
      </c>
      <c r="V38" s="32">
        <v>202</v>
      </c>
      <c r="W38" s="27">
        <v>5.8017635063331132E-3</v>
      </c>
      <c r="X38" s="34">
        <v>9</v>
      </c>
      <c r="Y38" s="27">
        <v>4.4554455445544552E-2</v>
      </c>
      <c r="Z38" s="27">
        <v>2.5849441364850505E-4</v>
      </c>
      <c r="AA38" s="35">
        <v>121</v>
      </c>
      <c r="AB38" s="27">
        <v>0.59900990099009899</v>
      </c>
      <c r="AC38" s="27">
        <f t="shared" si="1"/>
        <v>3.4753137834965678E-3</v>
      </c>
      <c r="AD38" s="36">
        <v>53</v>
      </c>
      <c r="AE38" s="27">
        <v>0.26237623762376239</v>
      </c>
      <c r="AF38" s="27">
        <f t="shared" si="2"/>
        <v>1.5222448803745296E-3</v>
      </c>
      <c r="AG38" s="37">
        <v>14</v>
      </c>
      <c r="AH38" s="27">
        <v>6.9306930693069313E-2</v>
      </c>
      <c r="AI38" s="27">
        <f t="shared" si="3"/>
        <v>4.0210242123100786E-4</v>
      </c>
      <c r="AJ38" s="38">
        <v>2</v>
      </c>
      <c r="AK38" s="27">
        <v>9.9009900990099011E-3</v>
      </c>
      <c r="AL38" s="27">
        <f t="shared" si="4"/>
        <v>5.7443203033001123E-5</v>
      </c>
      <c r="AM38" s="40">
        <v>3</v>
      </c>
      <c r="AN38" s="27">
        <v>1.4851485148514851E-2</v>
      </c>
      <c r="AO38" s="27">
        <f t="shared" si="5"/>
        <v>8.6164804549501684E-5</v>
      </c>
      <c r="AP38" s="7" t="b">
        <v>1</v>
      </c>
      <c r="AQ38" s="6" t="b">
        <v>0</v>
      </c>
      <c r="AR38" s="6" t="b">
        <v>0</v>
      </c>
      <c r="AS38" s="6" t="b">
        <v>0</v>
      </c>
      <c r="AT38" s="7" t="b">
        <v>1</v>
      </c>
      <c r="AU38" s="6" t="b">
        <v>0</v>
      </c>
      <c r="AV38" s="6" t="b">
        <v>0</v>
      </c>
      <c r="AW38" s="6" t="b">
        <v>0</v>
      </c>
      <c r="AX38" s="6" t="b">
        <v>0</v>
      </c>
      <c r="AY38" s="6" t="b">
        <v>0</v>
      </c>
      <c r="AZ38" s="6" t="b">
        <v>0</v>
      </c>
      <c r="BA38" s="6" t="b">
        <v>0</v>
      </c>
      <c r="BB38" s="6" t="b">
        <v>0</v>
      </c>
    </row>
    <row r="39" spans="1:54" ht="15" x14ac:dyDescent="0.25">
      <c r="A39" s="3" t="s">
        <v>129</v>
      </c>
      <c r="B39" s="3" t="str">
        <f ca="1">IFERROR(__xludf.DUMMYFUNCTION("SPLIT(A39,""/"")"),"allenai")</f>
        <v>allenai</v>
      </c>
      <c r="C39" s="3" t="str">
        <f ca="1">IFERROR(__xludf.DUMMYFUNCTION("""COMPUTED_VALUE"""),"scibert")</f>
        <v>scibert</v>
      </c>
      <c r="D39" s="4" t="s">
        <v>130</v>
      </c>
      <c r="E39" s="5">
        <v>43495.791666666664</v>
      </c>
      <c r="F39" s="5">
        <v>44292.250787037039</v>
      </c>
      <c r="G39" s="13">
        <f t="shared" si="0"/>
        <v>796.45912037037488</v>
      </c>
      <c r="H39" s="6" t="b">
        <v>0</v>
      </c>
      <c r="I39" s="7" t="b">
        <v>1</v>
      </c>
      <c r="J39" s="8">
        <v>901</v>
      </c>
      <c r="K39" s="8">
        <v>41</v>
      </c>
      <c r="L39" s="8">
        <v>146</v>
      </c>
      <c r="M39" s="8">
        <v>0</v>
      </c>
      <c r="N39" s="8">
        <v>0</v>
      </c>
      <c r="O39" s="8">
        <v>6</v>
      </c>
      <c r="P39" s="8">
        <v>37</v>
      </c>
      <c r="Q39" s="8">
        <v>5</v>
      </c>
      <c r="R39" s="8">
        <v>75</v>
      </c>
      <c r="S39" s="8">
        <v>45</v>
      </c>
      <c r="T39" s="3" t="s">
        <v>69</v>
      </c>
      <c r="U39" s="10">
        <v>1052</v>
      </c>
      <c r="V39" s="32">
        <v>1</v>
      </c>
      <c r="W39" s="27">
        <v>9.5057034220532319E-4</v>
      </c>
      <c r="X39" s="34">
        <v>0</v>
      </c>
      <c r="Y39" s="27">
        <v>0</v>
      </c>
      <c r="Z39" s="27">
        <v>0</v>
      </c>
      <c r="AA39" s="35">
        <v>1</v>
      </c>
      <c r="AB39" s="27">
        <v>1</v>
      </c>
      <c r="AC39" s="27">
        <f t="shared" si="1"/>
        <v>9.5057034220532319E-4</v>
      </c>
      <c r="AD39" s="36">
        <v>0</v>
      </c>
      <c r="AE39" s="27">
        <v>0</v>
      </c>
      <c r="AF39" s="27">
        <f t="shared" si="2"/>
        <v>0</v>
      </c>
      <c r="AG39" s="37">
        <v>0</v>
      </c>
      <c r="AH39" s="27">
        <v>0</v>
      </c>
      <c r="AI39" s="27">
        <f t="shared" si="3"/>
        <v>0</v>
      </c>
      <c r="AJ39" s="38">
        <v>0</v>
      </c>
      <c r="AK39" s="27">
        <v>0</v>
      </c>
      <c r="AL39" s="27">
        <f t="shared" si="4"/>
        <v>0</v>
      </c>
      <c r="AM39" s="40">
        <v>0</v>
      </c>
      <c r="AN39" s="27">
        <v>0</v>
      </c>
      <c r="AO39" s="27">
        <f t="shared" si="5"/>
        <v>0</v>
      </c>
      <c r="AP39" s="7" t="b">
        <v>1</v>
      </c>
      <c r="AQ39" s="6" t="b">
        <v>0</v>
      </c>
      <c r="AR39" s="6" t="b">
        <v>0</v>
      </c>
      <c r="AS39" s="6" t="b">
        <v>0</v>
      </c>
      <c r="AT39" s="7" t="b">
        <v>1</v>
      </c>
      <c r="AU39" s="6" t="b">
        <v>0</v>
      </c>
      <c r="AV39" s="6" t="b">
        <v>0</v>
      </c>
      <c r="AW39" s="6" t="b">
        <v>0</v>
      </c>
      <c r="AX39" s="6" t="b">
        <v>0</v>
      </c>
      <c r="AY39" s="6" t="b">
        <v>0</v>
      </c>
      <c r="AZ39" s="6" t="b">
        <v>0</v>
      </c>
      <c r="BA39" s="6" t="b">
        <v>0</v>
      </c>
      <c r="BB39" s="6" t="b">
        <v>0</v>
      </c>
    </row>
    <row r="40" spans="1:54" ht="15" x14ac:dyDescent="0.25">
      <c r="A40" s="3" t="s">
        <v>131</v>
      </c>
      <c r="B40" s="3" t="str">
        <f ca="1">IFERROR(__xludf.DUMMYFUNCTION("SPLIT(A40,""/"")"),"allenai")</f>
        <v>allenai</v>
      </c>
      <c r="C40" s="3" t="str">
        <f ca="1">IFERROR(__xludf.DUMMYFUNCTION("""COMPUTED_VALUE"""),"writing-code-for-nlp-research-emnlp2018")</f>
        <v>writing-code-for-nlp-research-emnlp2018</v>
      </c>
      <c r="D40" s="4" t="s">
        <v>132</v>
      </c>
      <c r="E40" s="5">
        <v>43385.677245370367</v>
      </c>
      <c r="F40" s="5">
        <v>44286.376018518517</v>
      </c>
      <c r="G40" s="13">
        <f t="shared" si="0"/>
        <v>900.69877314814948</v>
      </c>
      <c r="H40" s="6" t="b">
        <v>0</v>
      </c>
      <c r="I40" s="7" t="b">
        <v>1</v>
      </c>
      <c r="J40" s="8">
        <v>535</v>
      </c>
      <c r="K40" s="8">
        <v>27</v>
      </c>
      <c r="L40" s="8">
        <v>57</v>
      </c>
      <c r="M40" s="8">
        <v>0</v>
      </c>
      <c r="N40" s="8">
        <v>0</v>
      </c>
      <c r="O40" s="9">
        <v>0</v>
      </c>
      <c r="P40" s="8">
        <v>0</v>
      </c>
      <c r="Q40" s="8">
        <v>0</v>
      </c>
      <c r="R40" s="8">
        <v>1</v>
      </c>
      <c r="S40" s="8">
        <v>1</v>
      </c>
      <c r="T40" s="3" t="s">
        <v>69</v>
      </c>
      <c r="U40" s="10">
        <v>90</v>
      </c>
      <c r="V40" s="32">
        <v>4</v>
      </c>
      <c r="W40" s="27">
        <v>4.4444444444444446E-2</v>
      </c>
      <c r="X40" s="34">
        <v>0</v>
      </c>
      <c r="Y40" s="27">
        <v>0</v>
      </c>
      <c r="Z40" s="27">
        <v>0</v>
      </c>
      <c r="AA40" s="35">
        <v>4</v>
      </c>
      <c r="AB40" s="27">
        <v>1</v>
      </c>
      <c r="AC40" s="27">
        <f t="shared" si="1"/>
        <v>4.4444444444444446E-2</v>
      </c>
      <c r="AD40" s="36">
        <v>0</v>
      </c>
      <c r="AE40" s="27">
        <v>0</v>
      </c>
      <c r="AF40" s="27">
        <f t="shared" si="2"/>
        <v>0</v>
      </c>
      <c r="AG40" s="37">
        <v>0</v>
      </c>
      <c r="AH40" s="27">
        <v>0</v>
      </c>
      <c r="AI40" s="27">
        <f t="shared" si="3"/>
        <v>0</v>
      </c>
      <c r="AJ40" s="38">
        <v>0</v>
      </c>
      <c r="AK40" s="27">
        <v>0</v>
      </c>
      <c r="AL40" s="27">
        <f t="shared" si="4"/>
        <v>0</v>
      </c>
      <c r="AM40" s="40">
        <v>0</v>
      </c>
      <c r="AN40" s="27">
        <v>0</v>
      </c>
      <c r="AO40" s="27">
        <f t="shared" si="5"/>
        <v>0</v>
      </c>
      <c r="AP40" s="7" t="b">
        <v>1</v>
      </c>
      <c r="AQ40" s="6" t="b">
        <v>0</v>
      </c>
      <c r="AR40" s="6" t="b">
        <v>0</v>
      </c>
      <c r="AS40" s="6" t="b">
        <v>0</v>
      </c>
      <c r="AT40" s="7" t="b">
        <v>1</v>
      </c>
      <c r="AU40" s="6" t="b">
        <v>0</v>
      </c>
      <c r="AV40" s="6" t="b">
        <v>0</v>
      </c>
      <c r="AW40" s="6" t="b">
        <v>0</v>
      </c>
      <c r="AX40" s="6" t="b">
        <v>0</v>
      </c>
      <c r="AY40" s="6" t="b">
        <v>0</v>
      </c>
      <c r="AZ40" s="6" t="b">
        <v>0</v>
      </c>
      <c r="BA40" s="6" t="b">
        <v>0</v>
      </c>
      <c r="BB40" s="6" t="b">
        <v>0</v>
      </c>
    </row>
    <row r="41" spans="1:54" ht="15" x14ac:dyDescent="0.25">
      <c r="A41" s="3" t="s">
        <v>133</v>
      </c>
      <c r="B41" s="3" t="str">
        <f ca="1">IFERROR(__xludf.DUMMYFUNCTION("SPLIT(A41,""/"")"),"almandin")</f>
        <v>almandin</v>
      </c>
      <c r="C41" s="3" t="str">
        <f ca="1">IFERROR(__xludf.DUMMYFUNCTION("""COMPUTED_VALUE"""),"fuxploider")</f>
        <v>fuxploider</v>
      </c>
      <c r="D41" s="4" t="s">
        <v>134</v>
      </c>
      <c r="E41" s="5">
        <v>42930.395902777775</v>
      </c>
      <c r="F41" s="5">
        <v>44294.558958333335</v>
      </c>
      <c r="G41" s="13">
        <f t="shared" si="0"/>
        <v>1364.1630555555603</v>
      </c>
      <c r="H41" s="6" t="b">
        <v>0</v>
      </c>
      <c r="I41" s="6" t="b">
        <v>0</v>
      </c>
      <c r="J41" s="8">
        <v>1750</v>
      </c>
      <c r="K41" s="8">
        <v>54</v>
      </c>
      <c r="L41" s="8">
        <v>293</v>
      </c>
      <c r="M41" s="8">
        <v>3</v>
      </c>
      <c r="N41" s="8">
        <v>0</v>
      </c>
      <c r="O41" s="8">
        <v>15</v>
      </c>
      <c r="P41" s="8">
        <v>16</v>
      </c>
      <c r="Q41" s="8">
        <v>0</v>
      </c>
      <c r="R41" s="8">
        <v>26</v>
      </c>
      <c r="S41" s="8">
        <v>8</v>
      </c>
      <c r="T41" s="3" t="s">
        <v>49</v>
      </c>
      <c r="U41" s="10">
        <v>640</v>
      </c>
      <c r="V41" s="32">
        <v>31</v>
      </c>
      <c r="W41" s="27">
        <v>4.8437500000000001E-2</v>
      </c>
      <c r="X41" s="34">
        <v>4</v>
      </c>
      <c r="Y41" s="27">
        <v>0.12903225806451613</v>
      </c>
      <c r="Z41" s="27">
        <v>6.2500000000000003E-3</v>
      </c>
      <c r="AA41" s="35">
        <v>10</v>
      </c>
      <c r="AB41" s="27">
        <v>0.32258064516129031</v>
      </c>
      <c r="AC41" s="27">
        <f t="shared" si="1"/>
        <v>1.5625E-2</v>
      </c>
      <c r="AD41" s="36">
        <v>7</v>
      </c>
      <c r="AE41" s="27">
        <v>0.22580645161290322</v>
      </c>
      <c r="AF41" s="27">
        <f t="shared" si="2"/>
        <v>1.0937499999999999E-2</v>
      </c>
      <c r="AG41" s="37">
        <v>5</v>
      </c>
      <c r="AH41" s="27">
        <v>0.16129032258064516</v>
      </c>
      <c r="AI41" s="27">
        <f t="shared" si="3"/>
        <v>7.8125E-3</v>
      </c>
      <c r="AJ41" s="38">
        <v>5</v>
      </c>
      <c r="AK41" s="27">
        <v>0.16129032258064516</v>
      </c>
      <c r="AL41" s="27">
        <f t="shared" si="4"/>
        <v>7.8125E-3</v>
      </c>
      <c r="AM41" s="40">
        <v>0</v>
      </c>
      <c r="AN41" s="27">
        <v>0</v>
      </c>
      <c r="AO41" s="27">
        <f t="shared" si="5"/>
        <v>0</v>
      </c>
      <c r="AP41" s="7" t="b">
        <v>1</v>
      </c>
      <c r="AQ41" s="6" t="b">
        <v>0</v>
      </c>
      <c r="AR41" s="6" t="b">
        <v>0</v>
      </c>
      <c r="AS41" s="6" t="b">
        <v>0</v>
      </c>
      <c r="AT41" s="7" t="b">
        <v>1</v>
      </c>
      <c r="AU41" s="6" t="b">
        <v>0</v>
      </c>
      <c r="AV41" s="6" t="b">
        <v>0</v>
      </c>
      <c r="AW41" s="6" t="b">
        <v>0</v>
      </c>
      <c r="AX41" s="6" t="b">
        <v>0</v>
      </c>
      <c r="AY41" s="6" t="b">
        <v>0</v>
      </c>
      <c r="AZ41" s="6" t="b">
        <v>0</v>
      </c>
      <c r="BA41" s="6" t="b">
        <v>0</v>
      </c>
      <c r="BB41" s="6" t="b">
        <v>0</v>
      </c>
    </row>
    <row r="42" spans="1:54" ht="15" x14ac:dyDescent="0.25">
      <c r="A42" s="3" t="s">
        <v>135</v>
      </c>
      <c r="B42" s="3" t="str">
        <f ca="1">IFERROR(__xludf.DUMMYFUNCTION("SPLIT(A42,""/"")"),"alpacahq")</f>
        <v>alpacahq</v>
      </c>
      <c r="C42" s="3" t="str">
        <f ca="1">IFERROR(__xludf.DUMMYFUNCTION("""COMPUTED_VALUE"""),"pylivetrader")</f>
        <v>pylivetrader</v>
      </c>
      <c r="D42" s="4" t="s">
        <v>136</v>
      </c>
      <c r="E42" s="5">
        <v>43314.684918981482</v>
      </c>
      <c r="F42" s="5">
        <v>44295.093923611108</v>
      </c>
      <c r="G42" s="13">
        <f t="shared" si="0"/>
        <v>980.409004629626</v>
      </c>
      <c r="H42" s="6" t="b">
        <v>0</v>
      </c>
      <c r="I42" s="7" t="b">
        <v>1</v>
      </c>
      <c r="J42" s="8">
        <v>474</v>
      </c>
      <c r="K42" s="8">
        <v>45</v>
      </c>
      <c r="L42" s="8">
        <v>167</v>
      </c>
      <c r="M42" s="8">
        <v>33</v>
      </c>
      <c r="N42" s="8">
        <v>0</v>
      </c>
      <c r="O42" s="8">
        <v>14</v>
      </c>
      <c r="P42" s="8">
        <v>122</v>
      </c>
      <c r="Q42" s="8">
        <v>3</v>
      </c>
      <c r="R42" s="8">
        <v>113</v>
      </c>
      <c r="S42" s="8">
        <v>21</v>
      </c>
      <c r="T42" s="3" t="s">
        <v>69</v>
      </c>
      <c r="U42" s="10">
        <v>4534</v>
      </c>
      <c r="V42" s="32">
        <v>23</v>
      </c>
      <c r="W42" s="27">
        <v>5.0727834142037936E-3</v>
      </c>
      <c r="X42" s="34">
        <v>2</v>
      </c>
      <c r="Y42" s="27">
        <v>8.6956521739130432E-2</v>
      </c>
      <c r="Z42" s="27">
        <v>4.4111160123511248E-4</v>
      </c>
      <c r="AA42" s="35">
        <v>6</v>
      </c>
      <c r="AB42" s="27">
        <v>0.2608695652173913</v>
      </c>
      <c r="AC42" s="27">
        <f t="shared" si="1"/>
        <v>1.3233348037053375E-3</v>
      </c>
      <c r="AD42" s="36">
        <v>12</v>
      </c>
      <c r="AE42" s="27">
        <v>0.52173913043478259</v>
      </c>
      <c r="AF42" s="27">
        <f t="shared" si="2"/>
        <v>2.6466696074106751E-3</v>
      </c>
      <c r="AG42" s="37">
        <v>2</v>
      </c>
      <c r="AH42" s="27">
        <v>8.6956521739130432E-2</v>
      </c>
      <c r="AI42" s="27">
        <f t="shared" si="3"/>
        <v>4.4111160123511248E-4</v>
      </c>
      <c r="AJ42" s="38">
        <v>0</v>
      </c>
      <c r="AK42" s="27">
        <v>0</v>
      </c>
      <c r="AL42" s="27">
        <f t="shared" si="4"/>
        <v>0</v>
      </c>
      <c r="AM42" s="40">
        <v>0</v>
      </c>
      <c r="AN42" s="27">
        <v>0</v>
      </c>
      <c r="AO42" s="27">
        <f t="shared" si="5"/>
        <v>0</v>
      </c>
      <c r="AP42" s="7" t="b">
        <v>1</v>
      </c>
      <c r="AQ42" s="6" t="b">
        <v>0</v>
      </c>
      <c r="AR42" s="6" t="b">
        <v>0</v>
      </c>
      <c r="AS42" s="6" t="b">
        <v>0</v>
      </c>
      <c r="AT42" s="6" t="b">
        <v>0</v>
      </c>
      <c r="AU42" s="6" t="b">
        <v>0</v>
      </c>
      <c r="AV42" s="6" t="b">
        <v>0</v>
      </c>
      <c r="AW42" s="7" t="b">
        <v>1</v>
      </c>
      <c r="AX42" s="6" t="b">
        <v>0</v>
      </c>
      <c r="AY42" s="6" t="b">
        <v>0</v>
      </c>
      <c r="AZ42" s="6" t="b">
        <v>0</v>
      </c>
      <c r="BA42" s="6" t="b">
        <v>0</v>
      </c>
      <c r="BB42" s="6" t="b">
        <v>0</v>
      </c>
    </row>
    <row r="43" spans="1:54" ht="15" x14ac:dyDescent="0.25">
      <c r="A43" s="3" t="s">
        <v>137</v>
      </c>
      <c r="B43" s="3" t="str">
        <f ca="1">IFERROR(__xludf.DUMMYFUNCTION("SPLIT(A43,""/"")"),"altdesktop")</f>
        <v>altdesktop</v>
      </c>
      <c r="C43" s="3" t="str">
        <f ca="1">IFERROR(__xludf.DUMMYFUNCTION("""COMPUTED_VALUE"""),"i3ipc-python")</f>
        <v>i3ipc-python</v>
      </c>
      <c r="D43" s="4" t="s">
        <v>138</v>
      </c>
      <c r="E43" s="5">
        <v>41706.824467592596</v>
      </c>
      <c r="F43" s="5">
        <v>44276.988680555558</v>
      </c>
      <c r="G43" s="13">
        <f t="shared" si="0"/>
        <v>2570.1642129629618</v>
      </c>
      <c r="H43" s="6" t="b">
        <v>0</v>
      </c>
      <c r="I43" s="7" t="b">
        <v>1</v>
      </c>
      <c r="J43" s="8">
        <v>635</v>
      </c>
      <c r="K43" s="8">
        <v>19</v>
      </c>
      <c r="L43" s="8">
        <v>89</v>
      </c>
      <c r="M43" s="8">
        <v>15</v>
      </c>
      <c r="N43" s="8">
        <v>1</v>
      </c>
      <c r="O43" s="8">
        <v>43</v>
      </c>
      <c r="P43" s="8">
        <v>84</v>
      </c>
      <c r="Q43" s="8">
        <v>6</v>
      </c>
      <c r="R43" s="8">
        <v>96</v>
      </c>
      <c r="S43" s="8">
        <v>11</v>
      </c>
      <c r="T43" s="3" t="s">
        <v>57</v>
      </c>
      <c r="U43" s="10">
        <v>2935</v>
      </c>
      <c r="V43" s="32">
        <v>53</v>
      </c>
      <c r="W43" s="27">
        <v>1.8057921635434411E-2</v>
      </c>
      <c r="X43" s="34">
        <v>0</v>
      </c>
      <c r="Y43" s="27">
        <v>0</v>
      </c>
      <c r="Z43" s="27">
        <v>0</v>
      </c>
      <c r="AA43" s="35">
        <v>53</v>
      </c>
      <c r="AB43" s="27">
        <v>1</v>
      </c>
      <c r="AC43" s="27">
        <f t="shared" si="1"/>
        <v>1.8057921635434411E-2</v>
      </c>
      <c r="AD43" s="36">
        <v>0</v>
      </c>
      <c r="AE43" s="27">
        <v>0</v>
      </c>
      <c r="AF43" s="27">
        <f t="shared" si="2"/>
        <v>0</v>
      </c>
      <c r="AG43" s="37">
        <v>0</v>
      </c>
      <c r="AH43" s="27">
        <v>0</v>
      </c>
      <c r="AI43" s="27">
        <f t="shared" si="3"/>
        <v>0</v>
      </c>
      <c r="AJ43" s="38">
        <v>0</v>
      </c>
      <c r="AK43" s="27">
        <v>0</v>
      </c>
      <c r="AL43" s="27">
        <f t="shared" si="4"/>
        <v>0</v>
      </c>
      <c r="AM43" s="40">
        <v>0</v>
      </c>
      <c r="AN43" s="27">
        <v>0</v>
      </c>
      <c r="AO43" s="27">
        <f t="shared" si="5"/>
        <v>0</v>
      </c>
      <c r="AP43" s="7" t="b">
        <v>1</v>
      </c>
      <c r="AQ43" s="6" t="b">
        <v>0</v>
      </c>
      <c r="AR43" s="6" t="b">
        <v>0</v>
      </c>
      <c r="AS43" s="6" t="b">
        <v>0</v>
      </c>
      <c r="AT43" s="7" t="b">
        <v>1</v>
      </c>
      <c r="AU43" s="6" t="b">
        <v>0</v>
      </c>
      <c r="AV43" s="6" t="b">
        <v>0</v>
      </c>
      <c r="AW43" s="6" t="b">
        <v>0</v>
      </c>
      <c r="AX43" s="6" t="b">
        <v>0</v>
      </c>
      <c r="AY43" s="6" t="b">
        <v>0</v>
      </c>
      <c r="AZ43" s="6" t="b">
        <v>0</v>
      </c>
      <c r="BA43" s="6" t="b">
        <v>0</v>
      </c>
      <c r="BB43" s="6" t="b">
        <v>0</v>
      </c>
    </row>
    <row r="44" spans="1:54" ht="15" x14ac:dyDescent="0.25">
      <c r="A44" s="3" t="s">
        <v>139</v>
      </c>
      <c r="B44" s="3" t="str">
        <f ca="1">IFERROR(__xludf.DUMMYFUNCTION("SPLIT(A44,""/"")"),"amirassov")</f>
        <v>amirassov</v>
      </c>
      <c r="C44" s="3" t="str">
        <f ca="1">IFERROR(__xludf.DUMMYFUNCTION("""COMPUTED_VALUE"""),"kaggle-imaterialist")</f>
        <v>kaggle-imaterialist</v>
      </c>
      <c r="D44" s="4" t="s">
        <v>140</v>
      </c>
      <c r="E44" s="5">
        <v>43627.652650462966</v>
      </c>
      <c r="F44" s="5">
        <v>44286.024444444447</v>
      </c>
      <c r="G44" s="13">
        <f t="shared" si="0"/>
        <v>658.37179398148146</v>
      </c>
      <c r="H44" s="6" t="b">
        <v>0</v>
      </c>
      <c r="I44" s="6" t="b">
        <v>0</v>
      </c>
      <c r="J44" s="8">
        <v>451</v>
      </c>
      <c r="K44" s="8">
        <v>15</v>
      </c>
      <c r="L44" s="8">
        <v>124</v>
      </c>
      <c r="M44" s="8">
        <v>0</v>
      </c>
      <c r="N44" s="8">
        <v>0</v>
      </c>
      <c r="O44" s="9">
        <v>0</v>
      </c>
      <c r="P44" s="8">
        <v>2</v>
      </c>
      <c r="Q44" s="8">
        <v>0</v>
      </c>
      <c r="R44" s="8">
        <v>10</v>
      </c>
      <c r="S44" s="8">
        <v>1</v>
      </c>
      <c r="T44" s="3" t="s">
        <v>72</v>
      </c>
      <c r="U44" s="10">
        <v>8867</v>
      </c>
      <c r="V44" s="32">
        <v>5</v>
      </c>
      <c r="W44" s="27">
        <v>5.6388857561745801E-4</v>
      </c>
      <c r="X44" s="34">
        <v>0</v>
      </c>
      <c r="Y44" s="27">
        <v>0</v>
      </c>
      <c r="Z44" s="27">
        <v>0</v>
      </c>
      <c r="AA44" s="35">
        <v>3</v>
      </c>
      <c r="AB44" s="27">
        <v>0.6</v>
      </c>
      <c r="AC44" s="27">
        <f t="shared" si="1"/>
        <v>3.3833314537047479E-4</v>
      </c>
      <c r="AD44" s="36">
        <v>2</v>
      </c>
      <c r="AE44" s="27">
        <v>0.4</v>
      </c>
      <c r="AF44" s="27">
        <f t="shared" si="2"/>
        <v>2.255554302469832E-4</v>
      </c>
      <c r="AG44" s="37">
        <v>0</v>
      </c>
      <c r="AH44" s="27">
        <v>0</v>
      </c>
      <c r="AI44" s="27">
        <f t="shared" si="3"/>
        <v>0</v>
      </c>
      <c r="AJ44" s="38">
        <v>0</v>
      </c>
      <c r="AK44" s="27">
        <v>0</v>
      </c>
      <c r="AL44" s="27">
        <f t="shared" si="4"/>
        <v>0</v>
      </c>
      <c r="AM44" s="40">
        <v>0</v>
      </c>
      <c r="AN44" s="27">
        <v>0</v>
      </c>
      <c r="AO44" s="27">
        <f t="shared" si="5"/>
        <v>0</v>
      </c>
      <c r="AP44" s="7" t="b">
        <v>1</v>
      </c>
      <c r="AQ44" s="6" t="b">
        <v>0</v>
      </c>
      <c r="AR44" s="6" t="b">
        <v>0</v>
      </c>
      <c r="AS44" s="6" t="b">
        <v>0</v>
      </c>
      <c r="AT44" s="7" t="b">
        <v>1</v>
      </c>
      <c r="AU44" s="6" t="b">
        <v>0</v>
      </c>
      <c r="AV44" s="6" t="b">
        <v>0</v>
      </c>
      <c r="AW44" s="6" t="b">
        <v>0</v>
      </c>
      <c r="AX44" s="6" t="b">
        <v>0</v>
      </c>
      <c r="AY44" s="6" t="b">
        <v>0</v>
      </c>
      <c r="AZ44" s="6" t="b">
        <v>0</v>
      </c>
      <c r="BA44" s="6" t="b">
        <v>0</v>
      </c>
      <c r="BB44" s="6" t="b">
        <v>0</v>
      </c>
    </row>
    <row r="45" spans="1:54" ht="15" x14ac:dyDescent="0.25">
      <c r="A45" s="3" t="s">
        <v>141</v>
      </c>
      <c r="B45" s="3" t="str">
        <f ca="1">IFERROR(__xludf.DUMMYFUNCTION("SPLIT(A45,""/"")"),"amitt001")</f>
        <v>amitt001</v>
      </c>
      <c r="C45" s="3" t="str">
        <f ca="1">IFERROR(__xludf.DUMMYFUNCTION("""COMPUTED_VALUE"""),"pygmy")</f>
        <v>pygmy</v>
      </c>
      <c r="D45" s="4" t="s">
        <v>142</v>
      </c>
      <c r="E45" s="5">
        <v>43055.754328703704</v>
      </c>
      <c r="F45" s="5">
        <v>44291.72278935185</v>
      </c>
      <c r="G45" s="13">
        <f t="shared" si="0"/>
        <v>1235.968460648146</v>
      </c>
      <c r="H45" s="6" t="b">
        <v>0</v>
      </c>
      <c r="I45" s="6" t="b">
        <v>0</v>
      </c>
      <c r="J45" s="8">
        <v>572</v>
      </c>
      <c r="K45" s="8">
        <v>15</v>
      </c>
      <c r="L45" s="8">
        <v>77</v>
      </c>
      <c r="M45" s="8">
        <v>3</v>
      </c>
      <c r="N45" s="8">
        <v>0</v>
      </c>
      <c r="O45" s="8">
        <v>7</v>
      </c>
      <c r="P45" s="8">
        <v>27</v>
      </c>
      <c r="Q45" s="8">
        <v>5</v>
      </c>
      <c r="R45" s="8">
        <v>21</v>
      </c>
      <c r="S45" s="8">
        <v>8</v>
      </c>
      <c r="T45" s="3" t="s">
        <v>72</v>
      </c>
      <c r="U45" s="10">
        <v>2358</v>
      </c>
      <c r="V45" s="32">
        <v>10</v>
      </c>
      <c r="W45" s="27">
        <v>4.2408821034775231E-3</v>
      </c>
      <c r="X45" s="34">
        <v>1</v>
      </c>
      <c r="Y45" s="27">
        <v>0.1</v>
      </c>
      <c r="Z45" s="27">
        <v>4.2408821034775233E-4</v>
      </c>
      <c r="AA45" s="35">
        <v>8</v>
      </c>
      <c r="AB45" s="27">
        <v>0.8</v>
      </c>
      <c r="AC45" s="27">
        <f t="shared" si="1"/>
        <v>3.3927056827820186E-3</v>
      </c>
      <c r="AD45" s="36">
        <v>0</v>
      </c>
      <c r="AE45" s="27">
        <v>0</v>
      </c>
      <c r="AF45" s="27">
        <f t="shared" si="2"/>
        <v>0</v>
      </c>
      <c r="AG45" s="37">
        <v>1</v>
      </c>
      <c r="AH45" s="27">
        <v>0.1</v>
      </c>
      <c r="AI45" s="27">
        <f t="shared" si="3"/>
        <v>4.2408821034775233E-4</v>
      </c>
      <c r="AJ45" s="38">
        <v>0</v>
      </c>
      <c r="AK45" s="27">
        <v>0</v>
      </c>
      <c r="AL45" s="27">
        <f t="shared" si="4"/>
        <v>0</v>
      </c>
      <c r="AM45" s="40">
        <v>0</v>
      </c>
      <c r="AN45" s="27">
        <v>0</v>
      </c>
      <c r="AO45" s="27">
        <f t="shared" si="5"/>
        <v>0</v>
      </c>
      <c r="AP45" s="7" t="b">
        <v>1</v>
      </c>
      <c r="AQ45" s="7" t="b">
        <v>1</v>
      </c>
      <c r="AR45" s="6" t="b">
        <v>0</v>
      </c>
      <c r="AS45" s="6" t="b">
        <v>0</v>
      </c>
      <c r="AT45" s="7" t="b">
        <v>1</v>
      </c>
      <c r="AU45" s="6" t="b">
        <v>0</v>
      </c>
      <c r="AV45" s="6" t="b">
        <v>0</v>
      </c>
      <c r="AW45" s="6" t="b">
        <v>0</v>
      </c>
      <c r="AX45" s="6" t="b">
        <v>0</v>
      </c>
      <c r="AY45" s="6" t="b">
        <v>0</v>
      </c>
      <c r="AZ45" s="6" t="b">
        <v>0</v>
      </c>
      <c r="BA45" s="6" t="b">
        <v>0</v>
      </c>
      <c r="BB45" s="6" t="b">
        <v>0</v>
      </c>
    </row>
    <row r="46" spans="1:54" ht="15" x14ac:dyDescent="0.25">
      <c r="A46" s="3" t="s">
        <v>143</v>
      </c>
      <c r="B46" s="3" t="str">
        <f ca="1">IFERROR(__xludf.DUMMYFUNCTION("SPLIT(A46,""/"")"),"amoffat")</f>
        <v>amoffat</v>
      </c>
      <c r="C46" s="3" t="str">
        <f ca="1">IFERROR(__xludf.DUMMYFUNCTION("""COMPUTED_VALUE"""),"sh")</f>
        <v>sh</v>
      </c>
      <c r="D46" s="4" t="s">
        <v>144</v>
      </c>
      <c r="E46" s="5">
        <v>40923.244513888887</v>
      </c>
      <c r="F46" s="5">
        <v>44294.327743055554</v>
      </c>
      <c r="G46" s="13">
        <f t="shared" si="0"/>
        <v>3371.0832291666666</v>
      </c>
      <c r="H46" s="6" t="b">
        <v>0</v>
      </c>
      <c r="I46" s="6" t="b">
        <v>0</v>
      </c>
      <c r="J46" s="8">
        <v>5665</v>
      </c>
      <c r="K46" s="8">
        <v>143</v>
      </c>
      <c r="L46" s="8">
        <v>426</v>
      </c>
      <c r="M46" s="8">
        <v>0</v>
      </c>
      <c r="N46" s="8">
        <v>19</v>
      </c>
      <c r="O46" s="8">
        <v>76</v>
      </c>
      <c r="P46" s="8">
        <v>176</v>
      </c>
      <c r="Q46" s="8">
        <v>0</v>
      </c>
      <c r="R46" s="8">
        <v>387</v>
      </c>
      <c r="S46" s="8">
        <v>19</v>
      </c>
      <c r="T46" s="3" t="s">
        <v>72</v>
      </c>
      <c r="U46" s="10">
        <v>3925</v>
      </c>
      <c r="V46" s="32">
        <v>42</v>
      </c>
      <c r="W46" s="27">
        <v>1.070063694267516E-2</v>
      </c>
      <c r="X46" s="34">
        <v>37</v>
      </c>
      <c r="Y46" s="27">
        <v>0.88095238095238093</v>
      </c>
      <c r="Z46" s="27">
        <v>9.4267515923566886E-3</v>
      </c>
      <c r="AA46" s="35">
        <v>2</v>
      </c>
      <c r="AB46" s="27">
        <v>4.7619047619047616E-2</v>
      </c>
      <c r="AC46" s="27">
        <f t="shared" si="1"/>
        <v>5.0955414012738849E-4</v>
      </c>
      <c r="AD46" s="36">
        <v>1</v>
      </c>
      <c r="AE46" s="27">
        <v>2.3809523809523808E-2</v>
      </c>
      <c r="AF46" s="27">
        <f t="shared" si="2"/>
        <v>2.5477707006369424E-4</v>
      </c>
      <c r="AG46" s="37">
        <v>2</v>
      </c>
      <c r="AH46" s="27">
        <v>4.7619047619047616E-2</v>
      </c>
      <c r="AI46" s="27">
        <f t="shared" si="3"/>
        <v>5.0955414012738849E-4</v>
      </c>
      <c r="AJ46" s="38">
        <v>0</v>
      </c>
      <c r="AK46" s="27">
        <v>0</v>
      </c>
      <c r="AL46" s="27">
        <f t="shared" si="4"/>
        <v>0</v>
      </c>
      <c r="AM46" s="40">
        <v>0</v>
      </c>
      <c r="AN46" s="27">
        <v>0</v>
      </c>
      <c r="AO46" s="27">
        <f t="shared" si="5"/>
        <v>0</v>
      </c>
      <c r="AP46" s="7" t="b">
        <v>1</v>
      </c>
      <c r="AQ46" s="6" t="b">
        <v>0</v>
      </c>
      <c r="AR46" s="6" t="b">
        <v>0</v>
      </c>
      <c r="AS46" s="6" t="b">
        <v>0</v>
      </c>
      <c r="AT46" s="7" t="b">
        <v>1</v>
      </c>
      <c r="AU46" s="6" t="b">
        <v>0</v>
      </c>
      <c r="AV46" s="6" t="b">
        <v>0</v>
      </c>
      <c r="AW46" s="6" t="b">
        <v>0</v>
      </c>
      <c r="AX46" s="6" t="b">
        <v>0</v>
      </c>
      <c r="AY46" s="6" t="b">
        <v>0</v>
      </c>
      <c r="AZ46" s="6" t="b">
        <v>0</v>
      </c>
      <c r="BA46" s="6" t="b">
        <v>0</v>
      </c>
      <c r="BB46" s="6" t="b">
        <v>0</v>
      </c>
    </row>
    <row r="47" spans="1:54" ht="15" x14ac:dyDescent="0.25">
      <c r="A47" s="3" t="s">
        <v>145</v>
      </c>
      <c r="B47" s="3" t="str">
        <f ca="1">IFERROR(__xludf.DUMMYFUNCTION("SPLIT(A47,""/"")"),"AnalogJ")</f>
        <v>AnalogJ</v>
      </c>
      <c r="C47" s="3" t="str">
        <f ca="1">IFERROR(__xludf.DUMMYFUNCTION("""COMPUTED_VALUE"""),"lexicon")</f>
        <v>lexicon</v>
      </c>
      <c r="D47" s="4" t="s">
        <v>146</v>
      </c>
      <c r="E47" s="5">
        <v>42402.328518518516</v>
      </c>
      <c r="F47" s="5">
        <v>44292.729791666665</v>
      </c>
      <c r="G47" s="13">
        <f t="shared" si="0"/>
        <v>1890.4012731481489</v>
      </c>
      <c r="H47" s="6" t="b">
        <v>0</v>
      </c>
      <c r="I47" s="6" t="b">
        <v>0</v>
      </c>
      <c r="J47" s="8">
        <v>1039</v>
      </c>
      <c r="K47" s="8">
        <v>30</v>
      </c>
      <c r="L47" s="8">
        <v>230</v>
      </c>
      <c r="M47" s="8">
        <v>179</v>
      </c>
      <c r="N47" s="8">
        <v>2</v>
      </c>
      <c r="O47" s="8">
        <v>121</v>
      </c>
      <c r="P47" s="8">
        <v>575</v>
      </c>
      <c r="Q47" s="8">
        <v>8</v>
      </c>
      <c r="R47" s="8">
        <v>207</v>
      </c>
      <c r="S47" s="8">
        <v>48</v>
      </c>
      <c r="T47" s="3" t="s">
        <v>72</v>
      </c>
      <c r="U47" s="10">
        <v>11643</v>
      </c>
      <c r="V47" s="32">
        <v>429</v>
      </c>
      <c r="W47" s="27">
        <v>3.684617366658078E-2</v>
      </c>
      <c r="X47" s="34">
        <v>372</v>
      </c>
      <c r="Y47" s="27">
        <v>0.86713286713286708</v>
      </c>
      <c r="Z47" s="27">
        <v>3.1950528214377737E-2</v>
      </c>
      <c r="AA47" s="35">
        <v>15</v>
      </c>
      <c r="AB47" s="27">
        <v>3.4965034965034968E-2</v>
      </c>
      <c r="AC47" s="27">
        <f t="shared" si="1"/>
        <v>1.2883277505797476E-3</v>
      </c>
      <c r="AD47" s="36">
        <v>29</v>
      </c>
      <c r="AE47" s="27">
        <v>6.75990675990676E-2</v>
      </c>
      <c r="AF47" s="27">
        <f t="shared" si="2"/>
        <v>2.4907669844541785E-3</v>
      </c>
      <c r="AG47" s="37">
        <v>13</v>
      </c>
      <c r="AH47" s="27">
        <v>3.0303030303030304E-2</v>
      </c>
      <c r="AI47" s="27">
        <f t="shared" si="3"/>
        <v>1.1165507171691145E-3</v>
      </c>
      <c r="AJ47" s="38">
        <v>0</v>
      </c>
      <c r="AK47" s="27">
        <v>0</v>
      </c>
      <c r="AL47" s="27">
        <f t="shared" si="4"/>
        <v>0</v>
      </c>
      <c r="AM47" s="40">
        <v>0</v>
      </c>
      <c r="AN47" s="27">
        <v>0</v>
      </c>
      <c r="AO47" s="27">
        <f t="shared" si="5"/>
        <v>0</v>
      </c>
      <c r="AP47" s="7" t="b">
        <v>1</v>
      </c>
      <c r="AQ47" s="6" t="b">
        <v>0</v>
      </c>
      <c r="AR47" s="6" t="b">
        <v>0</v>
      </c>
      <c r="AS47" s="6" t="b">
        <v>0</v>
      </c>
      <c r="AT47" s="7" t="b">
        <v>1</v>
      </c>
      <c r="AU47" s="6" t="b">
        <v>0</v>
      </c>
      <c r="AV47" s="6" t="b">
        <v>0</v>
      </c>
      <c r="AW47" s="6" t="b">
        <v>0</v>
      </c>
      <c r="AX47" s="6" t="b">
        <v>0</v>
      </c>
      <c r="AY47" s="6" t="b">
        <v>0</v>
      </c>
      <c r="AZ47" s="6" t="b">
        <v>0</v>
      </c>
      <c r="BA47" s="6" t="b">
        <v>0</v>
      </c>
      <c r="BB47" s="6" t="b">
        <v>0</v>
      </c>
    </row>
    <row r="48" spans="1:54" ht="15" x14ac:dyDescent="0.25">
      <c r="A48" s="3" t="s">
        <v>147</v>
      </c>
      <c r="B48" s="3" t="str">
        <f ca="1">IFERROR(__xludf.DUMMYFUNCTION("SPLIT(A48,""/"")"),"anchore")</f>
        <v>anchore</v>
      </c>
      <c r="C48" s="3" t="str">
        <f ca="1">IFERROR(__xludf.DUMMYFUNCTION("""COMPUTED_VALUE"""),"anchore-engine")</f>
        <v>anchore-engine</v>
      </c>
      <c r="D48" s="4" t="s">
        <v>148</v>
      </c>
      <c r="E48" s="5">
        <v>42984.782870370371</v>
      </c>
      <c r="F48" s="5">
        <v>44295.114502314813</v>
      </c>
      <c r="G48" s="13">
        <f t="shared" si="0"/>
        <v>1310.3316319444421</v>
      </c>
      <c r="H48" s="6" t="b">
        <v>0</v>
      </c>
      <c r="I48" s="7" t="b">
        <v>1</v>
      </c>
      <c r="J48" s="8">
        <v>1214</v>
      </c>
      <c r="K48" s="8">
        <v>54</v>
      </c>
      <c r="L48" s="8">
        <v>198</v>
      </c>
      <c r="M48" s="8">
        <v>0</v>
      </c>
      <c r="N48" s="8">
        <v>1</v>
      </c>
      <c r="O48" s="8">
        <v>39</v>
      </c>
      <c r="P48" s="8">
        <v>373</v>
      </c>
      <c r="Q48" s="8">
        <v>12</v>
      </c>
      <c r="R48" s="8">
        <v>587</v>
      </c>
      <c r="S48" s="8">
        <v>181</v>
      </c>
      <c r="T48" s="3" t="s">
        <v>69</v>
      </c>
      <c r="U48" s="10">
        <v>44743</v>
      </c>
      <c r="V48" s="32">
        <v>1647</v>
      </c>
      <c r="W48" s="27">
        <v>3.6810227298124845E-2</v>
      </c>
      <c r="X48" s="34">
        <v>450</v>
      </c>
      <c r="Y48" s="27">
        <v>0.27322404371584702</v>
      </c>
      <c r="Z48" s="27">
        <v>1.0057439152493127E-2</v>
      </c>
      <c r="AA48" s="35">
        <v>654</v>
      </c>
      <c r="AB48" s="27">
        <v>0.39708561020036431</v>
      </c>
      <c r="AC48" s="27">
        <f t="shared" si="1"/>
        <v>1.4616811568290013E-2</v>
      </c>
      <c r="AD48" s="36">
        <v>213</v>
      </c>
      <c r="AE48" s="27">
        <v>0.12932604735883424</v>
      </c>
      <c r="AF48" s="27">
        <f t="shared" si="2"/>
        <v>4.7605211988467466E-3</v>
      </c>
      <c r="AG48" s="37">
        <v>326</v>
      </c>
      <c r="AH48" s="27">
        <v>0.19793564055859139</v>
      </c>
      <c r="AI48" s="27">
        <f t="shared" si="3"/>
        <v>7.286055919361688E-3</v>
      </c>
      <c r="AJ48" s="38">
        <v>2</v>
      </c>
      <c r="AK48" s="27">
        <v>1.2143290831815423E-3</v>
      </c>
      <c r="AL48" s="27">
        <f t="shared" si="4"/>
        <v>4.4699729566636122E-5</v>
      </c>
      <c r="AM48" s="40">
        <v>1</v>
      </c>
      <c r="AN48" s="27">
        <v>6.0716454159077113E-4</v>
      </c>
      <c r="AO48" s="27">
        <f t="shared" si="5"/>
        <v>2.2349864783318061E-5</v>
      </c>
      <c r="AP48" s="7" t="b">
        <v>1</v>
      </c>
      <c r="AQ48" s="7" t="b">
        <v>1</v>
      </c>
      <c r="AR48" s="6" t="b">
        <v>0</v>
      </c>
      <c r="AS48" s="6" t="b">
        <v>0</v>
      </c>
      <c r="AT48" s="7" t="b">
        <v>1</v>
      </c>
      <c r="AU48" s="6" t="b">
        <v>0</v>
      </c>
      <c r="AV48" s="6" t="b">
        <v>0</v>
      </c>
      <c r="AW48" s="6" t="b">
        <v>0</v>
      </c>
      <c r="AX48" s="6" t="b">
        <v>0</v>
      </c>
      <c r="AY48" s="6" t="b">
        <v>0</v>
      </c>
      <c r="AZ48" s="6" t="b">
        <v>0</v>
      </c>
      <c r="BA48" s="6" t="b">
        <v>0</v>
      </c>
      <c r="BB48" s="6" t="b">
        <v>0</v>
      </c>
    </row>
    <row r="49" spans="1:54" ht="15" x14ac:dyDescent="0.25">
      <c r="A49" s="3" t="s">
        <v>149</v>
      </c>
      <c r="B49" s="3" t="str">
        <f ca="1">IFERROR(__xludf.DUMMYFUNCTION("SPLIT(A49,""/"")"),"andresriancho")</f>
        <v>andresriancho</v>
      </c>
      <c r="C49" s="3" t="str">
        <f ca="1">IFERROR(__xludf.DUMMYFUNCTION("""COMPUTED_VALUE"""),"w3af")</f>
        <v>w3af</v>
      </c>
      <c r="D49" s="4" t="s">
        <v>150</v>
      </c>
      <c r="E49" s="5">
        <v>40786.972615740742</v>
      </c>
      <c r="F49" s="5">
        <v>44295.043923611112</v>
      </c>
      <c r="G49" s="13">
        <f t="shared" si="0"/>
        <v>3508.0713078703702</v>
      </c>
      <c r="H49" s="6" t="b">
        <v>0</v>
      </c>
      <c r="I49" s="6" t="b">
        <v>0</v>
      </c>
      <c r="J49" s="8">
        <v>3549</v>
      </c>
      <c r="K49" s="8">
        <v>192</v>
      </c>
      <c r="L49" s="8">
        <v>1037</v>
      </c>
      <c r="M49" s="8">
        <v>4</v>
      </c>
      <c r="N49" s="8">
        <v>13</v>
      </c>
      <c r="O49" s="8">
        <v>64</v>
      </c>
      <c r="P49" s="8">
        <v>242</v>
      </c>
      <c r="Q49" s="8">
        <v>30</v>
      </c>
      <c r="R49" s="8">
        <v>18520</v>
      </c>
      <c r="S49" s="8">
        <v>1856</v>
      </c>
      <c r="T49" s="11" t="s">
        <v>52</v>
      </c>
      <c r="U49" s="10">
        <v>140758</v>
      </c>
      <c r="V49" s="32">
        <v>1671</v>
      </c>
      <c r="W49" s="27">
        <v>1.1871438923542534E-2</v>
      </c>
      <c r="X49" s="34">
        <v>765</v>
      </c>
      <c r="Y49" s="27">
        <v>0.45780969479353678</v>
      </c>
      <c r="Z49" s="27">
        <v>5.4348598303471203E-3</v>
      </c>
      <c r="AA49" s="35">
        <v>320</v>
      </c>
      <c r="AB49" s="27">
        <v>0.19150209455415917</v>
      </c>
      <c r="AC49" s="27">
        <f t="shared" si="1"/>
        <v>2.273405419230168E-3</v>
      </c>
      <c r="AD49" s="36">
        <v>310</v>
      </c>
      <c r="AE49" s="27">
        <v>0.18551765409934171</v>
      </c>
      <c r="AF49" s="27">
        <f t="shared" si="2"/>
        <v>2.2023614998792252E-3</v>
      </c>
      <c r="AG49" s="37">
        <v>213</v>
      </c>
      <c r="AH49" s="27">
        <v>0.12746858168761221</v>
      </c>
      <c r="AI49" s="27">
        <f t="shared" si="3"/>
        <v>1.5132354821750806E-3</v>
      </c>
      <c r="AJ49" s="38">
        <v>47</v>
      </c>
      <c r="AK49" s="27">
        <v>2.8126870137642132E-2</v>
      </c>
      <c r="AL49" s="27">
        <f t="shared" si="4"/>
        <v>3.3390642094943094E-4</v>
      </c>
      <c r="AM49" s="40">
        <v>13</v>
      </c>
      <c r="AN49" s="27">
        <v>7.7797725912627166E-3</v>
      </c>
      <c r="AO49" s="27">
        <f t="shared" si="5"/>
        <v>9.2357095156225574E-5</v>
      </c>
      <c r="AP49" s="7" t="b">
        <v>1</v>
      </c>
      <c r="AQ49" s="7" t="b">
        <v>1</v>
      </c>
      <c r="AR49" s="6" t="b">
        <v>0</v>
      </c>
      <c r="AS49" s="6" t="b">
        <v>0</v>
      </c>
      <c r="AT49" s="7" t="b">
        <v>1</v>
      </c>
      <c r="AU49" s="6" t="b">
        <v>0</v>
      </c>
      <c r="AV49" s="6" t="b">
        <v>0</v>
      </c>
      <c r="AW49" s="6" t="b">
        <v>0</v>
      </c>
      <c r="AX49" s="6" t="b">
        <v>0</v>
      </c>
      <c r="AY49" s="6" t="b">
        <v>0</v>
      </c>
      <c r="AZ49" s="6" t="b">
        <v>0</v>
      </c>
      <c r="BA49" s="6" t="b">
        <v>0</v>
      </c>
      <c r="BB49" s="6" t="b">
        <v>0</v>
      </c>
    </row>
    <row r="50" spans="1:54" ht="15" x14ac:dyDescent="0.25">
      <c r="A50" s="3" t="s">
        <v>151</v>
      </c>
      <c r="B50" s="3" t="str">
        <f ca="1">IFERROR(__xludf.DUMMYFUNCTION("SPLIT(A50,""/"")"),"angr")</f>
        <v>angr</v>
      </c>
      <c r="C50" s="3" t="str">
        <f ca="1">IFERROR(__xludf.DUMMYFUNCTION("""COMPUTED_VALUE"""),"angr")</f>
        <v>angr</v>
      </c>
      <c r="D50" s="4" t="s">
        <v>152</v>
      </c>
      <c r="E50" s="5">
        <v>42222.907581018517</v>
      </c>
      <c r="F50" s="5">
        <v>44294.930902777778</v>
      </c>
      <c r="G50" s="13">
        <f t="shared" si="0"/>
        <v>2072.0233217592613</v>
      </c>
      <c r="H50" s="6" t="b">
        <v>0</v>
      </c>
      <c r="I50" s="7" t="b">
        <v>1</v>
      </c>
      <c r="J50" s="8">
        <v>4969</v>
      </c>
      <c r="K50" s="8">
        <v>198</v>
      </c>
      <c r="L50" s="8">
        <v>774</v>
      </c>
      <c r="M50" s="8">
        <v>0</v>
      </c>
      <c r="N50" s="8">
        <v>37</v>
      </c>
      <c r="O50" s="8">
        <v>157</v>
      </c>
      <c r="P50" s="8">
        <v>1296</v>
      </c>
      <c r="Q50" s="8">
        <v>70</v>
      </c>
      <c r="R50" s="8">
        <v>1291</v>
      </c>
      <c r="S50" s="8">
        <v>512</v>
      </c>
      <c r="T50" s="3" t="s">
        <v>153</v>
      </c>
      <c r="U50" s="10">
        <v>81676</v>
      </c>
      <c r="V50" s="32">
        <v>1518</v>
      </c>
      <c r="W50" s="27">
        <v>1.8585631029923111E-2</v>
      </c>
      <c r="X50" s="34">
        <v>755</v>
      </c>
      <c r="Y50" s="27">
        <v>0.497364953886693</v>
      </c>
      <c r="Z50" s="27">
        <v>9.2438415201527985E-3</v>
      </c>
      <c r="AA50" s="35">
        <v>207</v>
      </c>
      <c r="AB50" s="27">
        <v>0.13636363636363635</v>
      </c>
      <c r="AC50" s="27">
        <f t="shared" si="1"/>
        <v>2.5344042313531516E-3</v>
      </c>
      <c r="AD50" s="36">
        <v>367</v>
      </c>
      <c r="AE50" s="27">
        <v>0.24176548089591568</v>
      </c>
      <c r="AF50" s="27">
        <f t="shared" si="2"/>
        <v>4.4933640237034131E-3</v>
      </c>
      <c r="AG50" s="37">
        <v>138</v>
      </c>
      <c r="AH50" s="27">
        <v>9.0909090909090912E-2</v>
      </c>
      <c r="AI50" s="27">
        <f t="shared" si="3"/>
        <v>1.689602820902101E-3</v>
      </c>
      <c r="AJ50" s="38">
        <v>24</v>
      </c>
      <c r="AK50" s="27">
        <v>1.5810276679841896E-2</v>
      </c>
      <c r="AL50" s="27">
        <f t="shared" si="4"/>
        <v>2.9384396885253928E-4</v>
      </c>
      <c r="AM50" s="40">
        <v>1</v>
      </c>
      <c r="AN50" s="27">
        <v>6.5876152832674575E-4</v>
      </c>
      <c r="AO50" s="27">
        <f t="shared" si="5"/>
        <v>1.2243498702189138E-5</v>
      </c>
      <c r="AP50" s="7" t="b">
        <v>1</v>
      </c>
      <c r="AQ50" s="6" t="b">
        <v>0</v>
      </c>
      <c r="AR50" s="6" t="b">
        <v>0</v>
      </c>
      <c r="AS50" s="6" t="b">
        <v>0</v>
      </c>
      <c r="AT50" s="7" t="b">
        <v>1</v>
      </c>
      <c r="AU50" s="6" t="b">
        <v>0</v>
      </c>
      <c r="AV50" s="6" t="b">
        <v>0</v>
      </c>
      <c r="AW50" s="6" t="b">
        <v>0</v>
      </c>
      <c r="AX50" s="6" t="b">
        <v>0</v>
      </c>
      <c r="AY50" s="6" t="b">
        <v>0</v>
      </c>
      <c r="AZ50" s="6" t="b">
        <v>0</v>
      </c>
      <c r="BA50" s="6" t="b">
        <v>0</v>
      </c>
      <c r="BB50" s="6" t="b">
        <v>0</v>
      </c>
    </row>
    <row r="51" spans="1:54" ht="15" x14ac:dyDescent="0.25">
      <c r="A51" s="3" t="s">
        <v>154</v>
      </c>
      <c r="B51" s="3" t="str">
        <f ca="1">IFERROR(__xludf.DUMMYFUNCTION("SPLIT(A51,""/"")"),"angr")</f>
        <v>angr</v>
      </c>
      <c r="C51" s="3" t="str">
        <f ca="1">IFERROR(__xludf.DUMMYFUNCTION("""COMPUTED_VALUE"""),"rex")</f>
        <v>rex</v>
      </c>
      <c r="D51" s="4" t="s">
        <v>155</v>
      </c>
      <c r="E51" s="5">
        <v>42602.802372685182</v>
      </c>
      <c r="F51" s="5">
        <v>44294.215185185189</v>
      </c>
      <c r="G51" s="13">
        <f t="shared" si="0"/>
        <v>1691.4128125000061</v>
      </c>
      <c r="H51" s="6" t="b">
        <v>0</v>
      </c>
      <c r="I51" s="7" t="b">
        <v>1</v>
      </c>
      <c r="J51" s="8">
        <v>514</v>
      </c>
      <c r="K51" s="8">
        <v>55</v>
      </c>
      <c r="L51" s="8">
        <v>93</v>
      </c>
      <c r="M51" s="8">
        <v>0</v>
      </c>
      <c r="N51" s="8">
        <v>1</v>
      </c>
      <c r="O51" s="8">
        <v>20</v>
      </c>
      <c r="P51" s="8">
        <v>35</v>
      </c>
      <c r="Q51" s="8">
        <v>2</v>
      </c>
      <c r="R51" s="8">
        <v>39</v>
      </c>
      <c r="S51" s="8">
        <v>19</v>
      </c>
      <c r="T51" s="3" t="s">
        <v>153</v>
      </c>
      <c r="U51" s="10">
        <v>5326</v>
      </c>
      <c r="V51" s="32">
        <v>154</v>
      </c>
      <c r="W51" s="27">
        <v>2.8914757791963952E-2</v>
      </c>
      <c r="X51" s="34">
        <v>80</v>
      </c>
      <c r="Y51" s="27">
        <v>0.51948051948051943</v>
      </c>
      <c r="Z51" s="27">
        <v>1.5020653398422831E-2</v>
      </c>
      <c r="AA51" s="35">
        <v>37</v>
      </c>
      <c r="AB51" s="27">
        <v>0.24025974025974026</v>
      </c>
      <c r="AC51" s="27">
        <f t="shared" si="1"/>
        <v>6.9470521967705595E-3</v>
      </c>
      <c r="AD51" s="36">
        <v>35</v>
      </c>
      <c r="AE51" s="27">
        <v>0.22727272727272727</v>
      </c>
      <c r="AF51" s="27">
        <f t="shared" si="2"/>
        <v>6.5715358618099887E-3</v>
      </c>
      <c r="AG51" s="37">
        <v>2</v>
      </c>
      <c r="AH51" s="27">
        <v>1.2987012987012988E-2</v>
      </c>
      <c r="AI51" s="27">
        <f t="shared" si="3"/>
        <v>3.7551633496057078E-4</v>
      </c>
      <c r="AJ51" s="38">
        <v>0</v>
      </c>
      <c r="AK51" s="27">
        <v>0</v>
      </c>
      <c r="AL51" s="27">
        <f t="shared" si="4"/>
        <v>0</v>
      </c>
      <c r="AM51" s="40">
        <v>0</v>
      </c>
      <c r="AN51" s="27">
        <v>0</v>
      </c>
      <c r="AO51" s="27">
        <f t="shared" si="5"/>
        <v>0</v>
      </c>
      <c r="AP51" s="7" t="b">
        <v>1</v>
      </c>
      <c r="AQ51" s="6" t="b">
        <v>0</v>
      </c>
      <c r="AR51" s="6" t="b">
        <v>0</v>
      </c>
      <c r="AS51" s="6" t="b">
        <v>0</v>
      </c>
      <c r="AT51" s="7" t="b">
        <v>1</v>
      </c>
      <c r="AU51" s="6" t="b">
        <v>0</v>
      </c>
      <c r="AV51" s="6" t="b">
        <v>0</v>
      </c>
      <c r="AW51" s="6" t="b">
        <v>0</v>
      </c>
      <c r="AX51" s="6" t="b">
        <v>0</v>
      </c>
      <c r="AY51" s="6" t="b">
        <v>0</v>
      </c>
      <c r="AZ51" s="6" t="b">
        <v>0</v>
      </c>
      <c r="BA51" s="6" t="b">
        <v>0</v>
      </c>
      <c r="BB51" s="6" t="b">
        <v>0</v>
      </c>
    </row>
    <row r="52" spans="1:54" ht="15" x14ac:dyDescent="0.25">
      <c r="A52" s="3" t="s">
        <v>156</v>
      </c>
      <c r="B52" s="3" t="str">
        <f ca="1">IFERROR(__xludf.DUMMYFUNCTION("SPLIT(A52,""/"")"),"ansible")</f>
        <v>ansible</v>
      </c>
      <c r="C52" s="3" t="str">
        <f ca="1">IFERROR(__xludf.DUMMYFUNCTION("""COMPUTED_VALUE"""),"ansible")</f>
        <v>ansible</v>
      </c>
      <c r="D52" s="4" t="s">
        <v>157</v>
      </c>
      <c r="E52" s="5">
        <v>40974.62363425926</v>
      </c>
      <c r="F52" s="5">
        <v>44295.129155092596</v>
      </c>
      <c r="G52" s="13">
        <f t="shared" si="0"/>
        <v>3320.505520833336</v>
      </c>
      <c r="H52" s="6" t="b">
        <v>0</v>
      </c>
      <c r="I52" s="7" t="b">
        <v>1</v>
      </c>
      <c r="J52" s="8">
        <v>47684</v>
      </c>
      <c r="K52" s="8">
        <v>2020</v>
      </c>
      <c r="L52" s="8">
        <v>19657</v>
      </c>
      <c r="M52" s="8">
        <v>3</v>
      </c>
      <c r="N52" s="8">
        <v>833</v>
      </c>
      <c r="O52" s="9">
        <v>0</v>
      </c>
      <c r="P52" s="8">
        <v>44930</v>
      </c>
      <c r="Q52" s="8">
        <v>563</v>
      </c>
      <c r="R52" s="8">
        <v>29066</v>
      </c>
      <c r="S52" s="8">
        <v>1303</v>
      </c>
      <c r="T52" s="3" t="s">
        <v>49</v>
      </c>
      <c r="U52" s="10">
        <v>118874</v>
      </c>
      <c r="V52" s="32">
        <v>955</v>
      </c>
      <c r="W52" s="27">
        <v>8.0337163719568627E-3</v>
      </c>
      <c r="X52" s="34">
        <v>251</v>
      </c>
      <c r="Y52" s="27">
        <v>0.26282722513089007</v>
      </c>
      <c r="Z52" s="27">
        <v>2.1114793815300236E-3</v>
      </c>
      <c r="AA52" s="35">
        <v>155</v>
      </c>
      <c r="AB52" s="27">
        <v>0.16230366492146597</v>
      </c>
      <c r="AC52" s="27">
        <f t="shared" si="1"/>
        <v>1.3039016101081817E-3</v>
      </c>
      <c r="AD52" s="36">
        <v>357</v>
      </c>
      <c r="AE52" s="27">
        <v>0.37382198952879581</v>
      </c>
      <c r="AF52" s="27">
        <f t="shared" si="2"/>
        <v>3.0031798374749734E-3</v>
      </c>
      <c r="AG52" s="37">
        <v>152</v>
      </c>
      <c r="AH52" s="27">
        <v>0.15916230366492146</v>
      </c>
      <c r="AI52" s="27">
        <f t="shared" si="3"/>
        <v>1.2786648047512492E-3</v>
      </c>
      <c r="AJ52" s="38">
        <v>0</v>
      </c>
      <c r="AK52" s="27">
        <v>0</v>
      </c>
      <c r="AL52" s="27">
        <f t="shared" si="4"/>
        <v>0</v>
      </c>
      <c r="AM52" s="40">
        <v>36</v>
      </c>
      <c r="AN52" s="27">
        <v>3.7696335078534031E-2</v>
      </c>
      <c r="AO52" s="27">
        <f t="shared" si="5"/>
        <v>3.0284166428319061E-4</v>
      </c>
      <c r="AP52" s="7" t="b">
        <v>1</v>
      </c>
      <c r="AQ52" s="6" t="b">
        <v>0</v>
      </c>
      <c r="AR52" s="6" t="b">
        <v>0</v>
      </c>
      <c r="AS52" s="6" t="b">
        <v>0</v>
      </c>
      <c r="AT52" s="7" t="b">
        <v>1</v>
      </c>
      <c r="AU52" s="6" t="b">
        <v>0</v>
      </c>
      <c r="AV52" s="6" t="b">
        <v>0</v>
      </c>
      <c r="AW52" s="6" t="b">
        <v>0</v>
      </c>
      <c r="AX52" s="6" t="b">
        <v>0</v>
      </c>
      <c r="AY52" s="6" t="b">
        <v>0</v>
      </c>
      <c r="AZ52" s="6" t="b">
        <v>0</v>
      </c>
      <c r="BA52" s="6" t="b">
        <v>0</v>
      </c>
      <c r="BB52" s="6" t="b">
        <v>0</v>
      </c>
    </row>
    <row r="53" spans="1:54" ht="15" x14ac:dyDescent="0.25">
      <c r="A53" s="3" t="s">
        <v>158</v>
      </c>
      <c r="B53" s="3" t="str">
        <f ca="1">IFERROR(__xludf.DUMMYFUNCTION("SPLIT(A53,""/"")"),"ansible")</f>
        <v>ansible</v>
      </c>
      <c r="C53" s="3" t="str">
        <f ca="1">IFERROR(__xludf.DUMMYFUNCTION("""COMPUTED_VALUE"""),"ansible-container")</f>
        <v>ansible-container</v>
      </c>
      <c r="D53" s="4" t="s">
        <v>159</v>
      </c>
      <c r="E53" s="5">
        <v>42495.778113425928</v>
      </c>
      <c r="F53" s="5">
        <v>44280.413356481484</v>
      </c>
      <c r="G53" s="13">
        <f t="shared" si="0"/>
        <v>1784.6352430555562</v>
      </c>
      <c r="H53" s="6" t="b">
        <v>0</v>
      </c>
      <c r="I53" s="7" t="b">
        <v>1</v>
      </c>
      <c r="J53" s="8">
        <v>2255</v>
      </c>
      <c r="K53" s="8">
        <v>141</v>
      </c>
      <c r="L53" s="8">
        <v>399</v>
      </c>
      <c r="M53" s="8">
        <v>0</v>
      </c>
      <c r="N53" s="8">
        <v>14</v>
      </c>
      <c r="O53" s="8">
        <v>68</v>
      </c>
      <c r="P53" s="8">
        <v>466</v>
      </c>
      <c r="Q53" s="8">
        <v>9</v>
      </c>
      <c r="R53" s="8">
        <v>510</v>
      </c>
      <c r="S53" s="8">
        <v>191</v>
      </c>
      <c r="T53" s="3" t="s">
        <v>160</v>
      </c>
      <c r="U53" s="10">
        <v>5065</v>
      </c>
      <c r="V53" s="32">
        <v>185</v>
      </c>
      <c r="W53" s="27">
        <v>3.6525172754195458E-2</v>
      </c>
      <c r="X53" s="34">
        <v>84</v>
      </c>
      <c r="Y53" s="27">
        <v>0.45405405405405408</v>
      </c>
      <c r="Z53" s="27">
        <v>1.6584402764067127E-2</v>
      </c>
      <c r="AA53" s="35">
        <v>66</v>
      </c>
      <c r="AB53" s="27">
        <v>0.35675675675675678</v>
      </c>
      <c r="AC53" s="27">
        <f t="shared" si="1"/>
        <v>1.3030602171767028E-2</v>
      </c>
      <c r="AD53" s="36">
        <v>5</v>
      </c>
      <c r="AE53" s="27">
        <v>2.7027027027027029E-2</v>
      </c>
      <c r="AF53" s="27">
        <f t="shared" si="2"/>
        <v>9.871668311944718E-4</v>
      </c>
      <c r="AG53" s="37">
        <v>30</v>
      </c>
      <c r="AH53" s="27">
        <v>0.16216216216216217</v>
      </c>
      <c r="AI53" s="27">
        <f t="shared" si="3"/>
        <v>5.9230009871668312E-3</v>
      </c>
      <c r="AJ53" s="38">
        <v>0</v>
      </c>
      <c r="AK53" s="27">
        <v>0</v>
      </c>
      <c r="AL53" s="27">
        <f t="shared" si="4"/>
        <v>0</v>
      </c>
      <c r="AM53" s="40">
        <v>0</v>
      </c>
      <c r="AN53" s="27">
        <v>0</v>
      </c>
      <c r="AO53" s="27">
        <f t="shared" si="5"/>
        <v>0</v>
      </c>
      <c r="AP53" s="7" t="b">
        <v>1</v>
      </c>
      <c r="AQ53" s="6" t="b">
        <v>0</v>
      </c>
      <c r="AR53" s="6" t="b">
        <v>0</v>
      </c>
      <c r="AS53" s="6" t="b">
        <v>0</v>
      </c>
      <c r="AT53" s="7" t="b">
        <v>1</v>
      </c>
      <c r="AU53" s="6" t="b">
        <v>0</v>
      </c>
      <c r="AV53" s="6" t="b">
        <v>0</v>
      </c>
      <c r="AW53" s="6" t="b">
        <v>0</v>
      </c>
      <c r="AX53" s="6" t="b">
        <v>0</v>
      </c>
      <c r="AY53" s="6" t="b">
        <v>0</v>
      </c>
      <c r="AZ53" s="6" t="b">
        <v>0</v>
      </c>
      <c r="BA53" s="7" t="b">
        <v>1</v>
      </c>
      <c r="BB53" s="6" t="b">
        <v>0</v>
      </c>
    </row>
    <row r="54" spans="1:54" ht="15" x14ac:dyDescent="0.25">
      <c r="A54" s="3" t="s">
        <v>161</v>
      </c>
      <c r="B54" s="3" t="str">
        <f ca="1">IFERROR(__xludf.DUMMYFUNCTION("SPLIT(A54,""/"")"),"ansible")</f>
        <v>ansible</v>
      </c>
      <c r="C54" s="3" t="str">
        <f ca="1">IFERROR(__xludf.DUMMYFUNCTION("""COMPUTED_VALUE"""),"ansible-jupyter-kernel")</f>
        <v>ansible-jupyter-kernel</v>
      </c>
      <c r="D54" s="4" t="s">
        <v>162</v>
      </c>
      <c r="E54" s="5">
        <v>43277.602800925924</v>
      </c>
      <c r="F54" s="5">
        <v>44285.218692129631</v>
      </c>
      <c r="G54" s="13">
        <f t="shared" si="0"/>
        <v>1007.6158912037063</v>
      </c>
      <c r="H54" s="6" t="b">
        <v>0</v>
      </c>
      <c r="I54" s="7" t="b">
        <v>1</v>
      </c>
      <c r="J54" s="8">
        <v>457</v>
      </c>
      <c r="K54" s="8">
        <v>19</v>
      </c>
      <c r="L54" s="8">
        <v>45</v>
      </c>
      <c r="M54" s="8">
        <v>0</v>
      </c>
      <c r="N54" s="8">
        <v>0</v>
      </c>
      <c r="O54" s="8">
        <v>9</v>
      </c>
      <c r="P54" s="8">
        <v>50</v>
      </c>
      <c r="Q54" s="8">
        <v>1</v>
      </c>
      <c r="R54" s="8">
        <v>41</v>
      </c>
      <c r="S54" s="8">
        <v>12</v>
      </c>
      <c r="T54" s="3" t="s">
        <v>69</v>
      </c>
      <c r="U54" s="10">
        <v>1544</v>
      </c>
      <c r="V54" s="32">
        <v>127</v>
      </c>
      <c r="W54" s="27">
        <v>8.2253886010362695E-2</v>
      </c>
      <c r="X54" s="34">
        <v>77</v>
      </c>
      <c r="Y54" s="27">
        <v>0.60629921259842523</v>
      </c>
      <c r="Z54" s="27">
        <v>4.987046632124352E-2</v>
      </c>
      <c r="AA54" s="35">
        <v>45</v>
      </c>
      <c r="AB54" s="27">
        <v>0.3543307086614173</v>
      </c>
      <c r="AC54" s="27">
        <f t="shared" si="1"/>
        <v>2.9145077720207253E-2</v>
      </c>
      <c r="AD54" s="36">
        <v>1</v>
      </c>
      <c r="AE54" s="27">
        <v>7.874015748031496E-3</v>
      </c>
      <c r="AF54" s="27">
        <f t="shared" si="2"/>
        <v>6.4766839378238344E-4</v>
      </c>
      <c r="AG54" s="37">
        <v>4</v>
      </c>
      <c r="AH54" s="27">
        <v>3.1496062992125984E-2</v>
      </c>
      <c r="AI54" s="27">
        <f t="shared" si="3"/>
        <v>2.5906735751295338E-3</v>
      </c>
      <c r="AJ54" s="38">
        <v>0</v>
      </c>
      <c r="AK54" s="27">
        <v>0</v>
      </c>
      <c r="AL54" s="27">
        <f t="shared" si="4"/>
        <v>0</v>
      </c>
      <c r="AM54" s="40">
        <v>0</v>
      </c>
      <c r="AN54" s="27">
        <v>0</v>
      </c>
      <c r="AO54" s="27">
        <f t="shared" si="5"/>
        <v>0</v>
      </c>
      <c r="AP54" s="7" t="b">
        <v>1</v>
      </c>
      <c r="AQ54" s="6" t="b">
        <v>0</v>
      </c>
      <c r="AR54" s="6" t="b">
        <v>0</v>
      </c>
      <c r="AS54" s="6" t="b">
        <v>0</v>
      </c>
      <c r="AT54" s="7" t="b">
        <v>1</v>
      </c>
      <c r="AU54" s="6" t="b">
        <v>0</v>
      </c>
      <c r="AV54" s="6" t="b">
        <v>0</v>
      </c>
      <c r="AW54" s="6" t="b">
        <v>0</v>
      </c>
      <c r="AX54" s="6" t="b">
        <v>0</v>
      </c>
      <c r="AY54" s="6" t="b">
        <v>0</v>
      </c>
      <c r="AZ54" s="6" t="b">
        <v>0</v>
      </c>
      <c r="BA54" s="6" t="b">
        <v>0</v>
      </c>
      <c r="BB54" s="6" t="b">
        <v>0</v>
      </c>
    </row>
    <row r="55" spans="1:54" ht="15" x14ac:dyDescent="0.25">
      <c r="A55" s="3" t="s">
        <v>163</v>
      </c>
      <c r="B55" s="3" t="str">
        <f ca="1">IFERROR(__xludf.DUMMYFUNCTION("SPLIT(A55,""/"")"),"ansible")</f>
        <v>ansible</v>
      </c>
      <c r="C55" s="3" t="str">
        <f ca="1">IFERROR(__xludf.DUMMYFUNCTION("""COMPUTED_VALUE"""),"ansible-runner")</f>
        <v>ansible-runner</v>
      </c>
      <c r="D55" s="4" t="s">
        <v>164</v>
      </c>
      <c r="E55" s="5">
        <v>43133.63726851852</v>
      </c>
      <c r="F55" s="5">
        <v>44294.040185185186</v>
      </c>
      <c r="G55" s="13">
        <f t="shared" si="0"/>
        <v>1160.402916666666</v>
      </c>
      <c r="H55" s="6" t="b">
        <v>0</v>
      </c>
      <c r="I55" s="7" t="b">
        <v>1</v>
      </c>
      <c r="J55" s="8">
        <v>501</v>
      </c>
      <c r="K55" s="8">
        <v>45</v>
      </c>
      <c r="L55" s="8">
        <v>162</v>
      </c>
      <c r="M55" s="8">
        <v>1</v>
      </c>
      <c r="N55" s="8">
        <v>2</v>
      </c>
      <c r="O55" s="8">
        <v>60</v>
      </c>
      <c r="P55" s="8">
        <v>441</v>
      </c>
      <c r="Q55" s="8">
        <v>10</v>
      </c>
      <c r="R55" s="8">
        <v>223</v>
      </c>
      <c r="S55" s="8">
        <v>54</v>
      </c>
      <c r="T55" s="3" t="s">
        <v>92</v>
      </c>
      <c r="U55" s="10">
        <v>4690</v>
      </c>
      <c r="V55" s="32">
        <v>25</v>
      </c>
      <c r="W55" s="27">
        <v>5.3304904051172707E-3</v>
      </c>
      <c r="X55" s="34">
        <v>16</v>
      </c>
      <c r="Y55" s="27">
        <v>0.64</v>
      </c>
      <c r="Z55" s="27">
        <v>3.4115138592750532E-3</v>
      </c>
      <c r="AA55" s="35">
        <v>3</v>
      </c>
      <c r="AB55" s="27">
        <v>0.12</v>
      </c>
      <c r="AC55" s="27">
        <f t="shared" si="1"/>
        <v>6.3965884861407255E-4</v>
      </c>
      <c r="AD55" s="36">
        <v>1</v>
      </c>
      <c r="AE55" s="27">
        <v>0.04</v>
      </c>
      <c r="AF55" s="27">
        <f t="shared" si="2"/>
        <v>2.1321961620469082E-4</v>
      </c>
      <c r="AG55" s="37">
        <v>3</v>
      </c>
      <c r="AH55" s="27">
        <v>0.12</v>
      </c>
      <c r="AI55" s="27">
        <f t="shared" si="3"/>
        <v>6.3965884861407255E-4</v>
      </c>
      <c r="AJ55" s="38">
        <v>0</v>
      </c>
      <c r="AK55" s="27">
        <v>0</v>
      </c>
      <c r="AL55" s="27">
        <f t="shared" si="4"/>
        <v>0</v>
      </c>
      <c r="AM55" s="40">
        <v>2</v>
      </c>
      <c r="AN55" s="27">
        <v>0.08</v>
      </c>
      <c r="AO55" s="27">
        <f t="shared" si="5"/>
        <v>4.2643923240938164E-4</v>
      </c>
      <c r="AP55" s="7" t="b">
        <v>1</v>
      </c>
      <c r="AQ55" s="7" t="b">
        <v>1</v>
      </c>
      <c r="AR55" s="6" t="b">
        <v>0</v>
      </c>
      <c r="AS55" s="6" t="b">
        <v>0</v>
      </c>
      <c r="AT55" s="7" t="b">
        <v>1</v>
      </c>
      <c r="AU55" s="6" t="b">
        <v>0</v>
      </c>
      <c r="AV55" s="6" t="b">
        <v>0</v>
      </c>
      <c r="AW55" s="6" t="b">
        <v>0</v>
      </c>
      <c r="AX55" s="6" t="b">
        <v>0</v>
      </c>
      <c r="AY55" s="6" t="b">
        <v>0</v>
      </c>
      <c r="AZ55" s="6" t="b">
        <v>0</v>
      </c>
      <c r="BA55" s="6" t="b">
        <v>0</v>
      </c>
      <c r="BB55" s="6" t="b">
        <v>0</v>
      </c>
    </row>
    <row r="56" spans="1:54" ht="15" x14ac:dyDescent="0.25">
      <c r="A56" s="3" t="s">
        <v>165</v>
      </c>
      <c r="B56" s="3" t="str">
        <f ca="1">IFERROR(__xludf.DUMMYFUNCTION("SPLIT(A56,""/"")"),"ansible")</f>
        <v>ansible</v>
      </c>
      <c r="C56" s="3" t="str">
        <f ca="1">IFERROR(__xludf.DUMMYFUNCTION("""COMPUTED_VALUE"""),"awx")</f>
        <v>awx</v>
      </c>
      <c r="D56" s="4" t="s">
        <v>166</v>
      </c>
      <c r="E56" s="5">
        <v>42872.659884259258</v>
      </c>
      <c r="F56" s="5">
        <v>44295.058368055557</v>
      </c>
      <c r="G56" s="13">
        <f t="shared" si="0"/>
        <v>1422.3984837962998</v>
      </c>
      <c r="H56" s="6" t="b">
        <v>0</v>
      </c>
      <c r="I56" s="7" t="b">
        <v>1</v>
      </c>
      <c r="J56" s="8">
        <v>9496</v>
      </c>
      <c r="K56" s="8">
        <v>370</v>
      </c>
      <c r="L56" s="8">
        <v>2352</v>
      </c>
      <c r="M56" s="8">
        <v>6</v>
      </c>
      <c r="N56" s="8">
        <v>88</v>
      </c>
      <c r="O56" s="8">
        <v>324</v>
      </c>
      <c r="P56" s="8">
        <v>4173</v>
      </c>
      <c r="Q56" s="8">
        <v>58</v>
      </c>
      <c r="R56" s="8">
        <v>5679</v>
      </c>
      <c r="S56" s="8">
        <v>1334</v>
      </c>
      <c r="T56" s="3" t="s">
        <v>92</v>
      </c>
      <c r="U56" s="10">
        <v>67761</v>
      </c>
      <c r="V56" s="32">
        <v>603</v>
      </c>
      <c r="W56" s="27">
        <v>8.8989241599149952E-3</v>
      </c>
      <c r="X56" s="34">
        <v>228</v>
      </c>
      <c r="Y56" s="27">
        <v>0.37810945273631841</v>
      </c>
      <c r="Z56" s="27">
        <v>3.3647673440474609E-3</v>
      </c>
      <c r="AA56" s="35">
        <v>82</v>
      </c>
      <c r="AB56" s="27">
        <v>0.13598673300165837</v>
      </c>
      <c r="AC56" s="27">
        <f t="shared" si="1"/>
        <v>1.2101356237363674E-3</v>
      </c>
      <c r="AD56" s="36">
        <v>121</v>
      </c>
      <c r="AE56" s="27">
        <v>0.20066334991708126</v>
      </c>
      <c r="AF56" s="27">
        <f t="shared" si="2"/>
        <v>1.7856879325865911E-3</v>
      </c>
      <c r="AG56" s="37">
        <v>166</v>
      </c>
      <c r="AH56" s="27">
        <v>0.27529021558872308</v>
      </c>
      <c r="AI56" s="27">
        <f t="shared" si="3"/>
        <v>2.4497867504906954E-3</v>
      </c>
      <c r="AJ56" s="38">
        <v>1</v>
      </c>
      <c r="AK56" s="27">
        <v>1.658374792703151E-3</v>
      </c>
      <c r="AL56" s="27">
        <f t="shared" si="4"/>
        <v>1.4757751508980091E-5</v>
      </c>
      <c r="AM56" s="40">
        <v>3</v>
      </c>
      <c r="AN56" s="27">
        <v>4.9751243781094526E-3</v>
      </c>
      <c r="AO56" s="27">
        <f t="shared" si="5"/>
        <v>4.4273254526940277E-5</v>
      </c>
      <c r="AP56" s="7" t="b">
        <v>1</v>
      </c>
      <c r="AQ56" s="7" t="b">
        <v>1</v>
      </c>
      <c r="AR56" s="6" t="b">
        <v>0</v>
      </c>
      <c r="AS56" s="6" t="b">
        <v>0</v>
      </c>
      <c r="AT56" s="7" t="b">
        <v>1</v>
      </c>
      <c r="AU56" s="6" t="b">
        <v>0</v>
      </c>
      <c r="AV56" s="6" t="b">
        <v>0</v>
      </c>
      <c r="AW56" s="6" t="b">
        <v>0</v>
      </c>
      <c r="AX56" s="6" t="b">
        <v>0</v>
      </c>
      <c r="AY56" s="6" t="b">
        <v>0</v>
      </c>
      <c r="AZ56" s="6" t="b">
        <v>0</v>
      </c>
      <c r="BA56" s="6" t="b">
        <v>0</v>
      </c>
      <c r="BB56" s="6" t="b">
        <v>0</v>
      </c>
    </row>
    <row r="57" spans="1:54" ht="15" x14ac:dyDescent="0.25">
      <c r="A57" s="3" t="s">
        <v>167</v>
      </c>
      <c r="B57" s="3" t="str">
        <f ca="1">IFERROR(__xludf.DUMMYFUNCTION("SPLIT(A57,""/"")"),"ansible")</f>
        <v>ansible</v>
      </c>
      <c r="C57" s="3" t="str">
        <f ca="1">IFERROR(__xludf.DUMMYFUNCTION("""COMPUTED_VALUE"""),"galaxy")</f>
        <v>galaxy</v>
      </c>
      <c r="D57" s="4" t="s">
        <v>168</v>
      </c>
      <c r="E57" s="5">
        <v>41904.628437500003</v>
      </c>
      <c r="F57" s="5">
        <v>44285.492939814816</v>
      </c>
      <c r="G57" s="13">
        <f t="shared" si="0"/>
        <v>2380.8645023148129</v>
      </c>
      <c r="H57" s="6" t="b">
        <v>0</v>
      </c>
      <c r="I57" s="7" t="b">
        <v>1</v>
      </c>
      <c r="J57" s="8">
        <v>744</v>
      </c>
      <c r="K57" s="8">
        <v>92</v>
      </c>
      <c r="L57" s="8">
        <v>248</v>
      </c>
      <c r="M57" s="8">
        <v>3</v>
      </c>
      <c r="N57" s="8">
        <v>0</v>
      </c>
      <c r="O57" s="8">
        <v>50</v>
      </c>
      <c r="P57" s="8">
        <v>1224</v>
      </c>
      <c r="Q57" s="8">
        <v>8</v>
      </c>
      <c r="R57" s="8">
        <v>1439</v>
      </c>
      <c r="S57" s="8">
        <v>223</v>
      </c>
      <c r="T57" s="3" t="s">
        <v>69</v>
      </c>
      <c r="U57" s="10">
        <v>12429</v>
      </c>
      <c r="V57" s="32">
        <v>119</v>
      </c>
      <c r="W57" s="27">
        <v>9.5743824925577283E-3</v>
      </c>
      <c r="X57" s="34">
        <v>8</v>
      </c>
      <c r="Y57" s="27">
        <v>6.7226890756302518E-2</v>
      </c>
      <c r="Z57" s="27">
        <v>6.4365596588623376E-4</v>
      </c>
      <c r="AA57" s="35">
        <v>53</v>
      </c>
      <c r="AB57" s="27">
        <v>0.44537815126050423</v>
      </c>
      <c r="AC57" s="27">
        <f t="shared" si="1"/>
        <v>4.2642207739962993E-3</v>
      </c>
      <c r="AD57" s="36">
        <v>22</v>
      </c>
      <c r="AE57" s="27">
        <v>0.18487394957983194</v>
      </c>
      <c r="AF57" s="27">
        <f t="shared" si="2"/>
        <v>1.7700539061871431E-3</v>
      </c>
      <c r="AG57" s="37">
        <v>32</v>
      </c>
      <c r="AH57" s="27">
        <v>0.26890756302521007</v>
      </c>
      <c r="AI57" s="27">
        <f t="shared" si="3"/>
        <v>2.5746238635449351E-3</v>
      </c>
      <c r="AJ57" s="38">
        <v>0</v>
      </c>
      <c r="AK57" s="27">
        <v>0</v>
      </c>
      <c r="AL57" s="27">
        <f t="shared" si="4"/>
        <v>0</v>
      </c>
      <c r="AM57" s="40">
        <v>0</v>
      </c>
      <c r="AN57" s="27">
        <v>0</v>
      </c>
      <c r="AO57" s="27">
        <f t="shared" si="5"/>
        <v>0</v>
      </c>
      <c r="AP57" s="7" t="b">
        <v>1</v>
      </c>
      <c r="AQ57" s="6" t="b">
        <v>0</v>
      </c>
      <c r="AR57" s="6" t="b">
        <v>0</v>
      </c>
      <c r="AS57" s="6" t="b">
        <v>0</v>
      </c>
      <c r="AT57" s="7" t="b">
        <v>1</v>
      </c>
      <c r="AU57" s="6" t="b">
        <v>0</v>
      </c>
      <c r="AV57" s="6" t="b">
        <v>0</v>
      </c>
      <c r="AW57" s="6" t="b">
        <v>0</v>
      </c>
      <c r="AX57" s="6" t="b">
        <v>0</v>
      </c>
      <c r="AY57" s="6" t="b">
        <v>0</v>
      </c>
      <c r="AZ57" s="6" t="b">
        <v>0</v>
      </c>
      <c r="BA57" s="6" t="b">
        <v>0</v>
      </c>
      <c r="BB57" s="6" t="b">
        <v>0</v>
      </c>
    </row>
    <row r="58" spans="1:54" ht="15" x14ac:dyDescent="0.25">
      <c r="A58" s="3" t="s">
        <v>169</v>
      </c>
      <c r="B58" s="3" t="str">
        <f ca="1">IFERROR(__xludf.DUMMYFUNCTION("SPLIT(A58,""/"")"),"anyant")</f>
        <v>anyant</v>
      </c>
      <c r="C58" s="3" t="str">
        <f ca="1">IFERROR(__xludf.DUMMYFUNCTION("""COMPUTED_VALUE"""),"rssant")</f>
        <v>rssant</v>
      </c>
      <c r="D58" s="4" t="s">
        <v>170</v>
      </c>
      <c r="E58" s="5">
        <v>43822.586886574078</v>
      </c>
      <c r="F58" s="5">
        <v>44294.619305555556</v>
      </c>
      <c r="G58" s="13">
        <f t="shared" si="0"/>
        <v>472.03241898147826</v>
      </c>
      <c r="H58" s="6" t="b">
        <v>0</v>
      </c>
      <c r="I58" s="7" t="b">
        <v>1</v>
      </c>
      <c r="J58" s="8">
        <v>834</v>
      </c>
      <c r="K58" s="8">
        <v>21</v>
      </c>
      <c r="L58" s="8">
        <v>79</v>
      </c>
      <c r="M58" s="8">
        <v>0</v>
      </c>
      <c r="N58" s="8">
        <v>0</v>
      </c>
      <c r="O58" s="8">
        <v>3</v>
      </c>
      <c r="P58" s="8">
        <v>81</v>
      </c>
      <c r="Q58" s="8">
        <v>2</v>
      </c>
      <c r="R58" s="8">
        <v>15</v>
      </c>
      <c r="S58" s="8">
        <v>6</v>
      </c>
      <c r="T58" s="3" t="s">
        <v>57</v>
      </c>
      <c r="U58" s="10">
        <v>15423</v>
      </c>
      <c r="V58" s="32">
        <v>229</v>
      </c>
      <c r="W58" s="27">
        <v>1.4847954353887052E-2</v>
      </c>
      <c r="X58" s="34">
        <v>20</v>
      </c>
      <c r="Y58" s="27">
        <v>8.7336244541484712E-2</v>
      </c>
      <c r="Z58" s="27">
        <v>1.2967645723918823E-3</v>
      </c>
      <c r="AA58" s="35">
        <v>112</v>
      </c>
      <c r="AB58" s="27">
        <v>0.48908296943231439</v>
      </c>
      <c r="AC58" s="27">
        <f t="shared" si="1"/>
        <v>7.2618816053945405E-3</v>
      </c>
      <c r="AD58" s="36">
        <v>61</v>
      </c>
      <c r="AE58" s="27">
        <v>0.26637554585152839</v>
      </c>
      <c r="AF58" s="27">
        <f t="shared" si="2"/>
        <v>3.9551319457952405E-3</v>
      </c>
      <c r="AG58" s="37">
        <v>30</v>
      </c>
      <c r="AH58" s="27">
        <v>0.13100436681222707</v>
      </c>
      <c r="AI58" s="27">
        <f t="shared" si="3"/>
        <v>1.9451468585878235E-3</v>
      </c>
      <c r="AJ58" s="38">
        <v>0</v>
      </c>
      <c r="AK58" s="27">
        <v>0</v>
      </c>
      <c r="AL58" s="27">
        <f t="shared" si="4"/>
        <v>0</v>
      </c>
      <c r="AM58" s="40">
        <v>1</v>
      </c>
      <c r="AN58" s="27">
        <v>4.3668122270742356E-3</v>
      </c>
      <c r="AO58" s="27">
        <f t="shared" si="5"/>
        <v>6.4838228619594113E-5</v>
      </c>
      <c r="AP58" s="7" t="b">
        <v>1</v>
      </c>
      <c r="AQ58" s="6" t="b">
        <v>0</v>
      </c>
      <c r="AR58" s="6" t="b">
        <v>0</v>
      </c>
      <c r="AS58" s="6" t="b">
        <v>0</v>
      </c>
      <c r="AT58" s="7" t="b">
        <v>1</v>
      </c>
      <c r="AU58" s="6" t="b">
        <v>0</v>
      </c>
      <c r="AV58" s="6" t="b">
        <v>0</v>
      </c>
      <c r="AW58" s="6" t="b">
        <v>0</v>
      </c>
      <c r="AX58" s="7" t="b">
        <v>1</v>
      </c>
      <c r="AY58" s="6" t="b">
        <v>0</v>
      </c>
      <c r="AZ58" s="6" t="b">
        <v>0</v>
      </c>
      <c r="BA58" s="6" t="b">
        <v>0</v>
      </c>
      <c r="BB58" s="6" t="b">
        <v>0</v>
      </c>
    </row>
    <row r="59" spans="1:54" ht="15" x14ac:dyDescent="0.25">
      <c r="A59" s="3" t="s">
        <v>171</v>
      </c>
      <c r="B59" s="3" t="str">
        <f ca="1">IFERROR(__xludf.DUMMYFUNCTION("SPLIT(A59,""/"")"),"aosp-mirror")</f>
        <v>aosp-mirror</v>
      </c>
      <c r="C59" s="3" t="str">
        <f ca="1">IFERROR(__xludf.DUMMYFUNCTION("""COMPUTED_VALUE"""),"platform_development")</f>
        <v>platform_development</v>
      </c>
      <c r="D59" s="4" t="s">
        <v>172</v>
      </c>
      <c r="E59" s="5">
        <v>39742.763854166667</v>
      </c>
      <c r="F59" s="5">
        <v>44293.262025462966</v>
      </c>
      <c r="G59" s="13">
        <f t="shared" si="0"/>
        <v>4550.4981712962981</v>
      </c>
      <c r="H59" s="6" t="b">
        <v>0</v>
      </c>
      <c r="I59" s="7" t="b">
        <v>1</v>
      </c>
      <c r="J59" s="8">
        <v>2575</v>
      </c>
      <c r="K59" s="8">
        <v>304</v>
      </c>
      <c r="L59" s="8">
        <v>2584</v>
      </c>
      <c r="M59" s="8">
        <v>0</v>
      </c>
      <c r="N59" s="8">
        <v>11</v>
      </c>
      <c r="O59" s="8">
        <v>145</v>
      </c>
      <c r="P59" s="8">
        <v>24</v>
      </c>
      <c r="Q59" s="8">
        <v>0</v>
      </c>
      <c r="R59" s="8">
        <v>0</v>
      </c>
      <c r="S59" s="8">
        <v>0</v>
      </c>
      <c r="T59" s="11" t="s">
        <v>52</v>
      </c>
      <c r="U59" s="10">
        <v>22311</v>
      </c>
      <c r="V59" s="32">
        <v>281</v>
      </c>
      <c r="W59" s="27">
        <v>1.259468423647528E-2</v>
      </c>
      <c r="X59" s="34">
        <v>84</v>
      </c>
      <c r="Y59" s="27">
        <v>0.29893238434163699</v>
      </c>
      <c r="Z59" s="27">
        <v>3.7649589888395858E-3</v>
      </c>
      <c r="AA59" s="35">
        <v>83</v>
      </c>
      <c r="AB59" s="27">
        <v>0.29537366548042704</v>
      </c>
      <c r="AC59" s="27">
        <f t="shared" si="1"/>
        <v>3.7201380484962574E-3</v>
      </c>
      <c r="AD59" s="36">
        <v>11</v>
      </c>
      <c r="AE59" s="27">
        <v>3.9145907473309607E-2</v>
      </c>
      <c r="AF59" s="27">
        <f t="shared" si="2"/>
        <v>4.9303034377661242E-4</v>
      </c>
      <c r="AG59" s="37">
        <v>34</v>
      </c>
      <c r="AH59" s="27">
        <v>0.12099644128113879</v>
      </c>
      <c r="AI59" s="27">
        <f t="shared" si="3"/>
        <v>1.5239119716731657E-3</v>
      </c>
      <c r="AJ59" s="38">
        <v>0</v>
      </c>
      <c r="AK59" s="27">
        <v>0</v>
      </c>
      <c r="AL59" s="27">
        <f t="shared" si="4"/>
        <v>0</v>
      </c>
      <c r="AM59" s="40">
        <v>65</v>
      </c>
      <c r="AN59" s="27">
        <v>0.23131672597864769</v>
      </c>
      <c r="AO59" s="27">
        <f t="shared" si="5"/>
        <v>2.913361122316346E-3</v>
      </c>
      <c r="AP59" s="7" t="b">
        <v>1</v>
      </c>
      <c r="AQ59" s="6" t="b">
        <v>0</v>
      </c>
      <c r="AR59" s="6" t="b">
        <v>0</v>
      </c>
      <c r="AS59" s="6" t="b">
        <v>0</v>
      </c>
      <c r="AT59" s="7" t="b">
        <v>1</v>
      </c>
      <c r="AU59" s="6" t="b">
        <v>0</v>
      </c>
      <c r="AV59" s="6" t="b">
        <v>0</v>
      </c>
      <c r="AW59" s="6" t="b">
        <v>0</v>
      </c>
      <c r="AX59" s="6" t="b">
        <v>0</v>
      </c>
      <c r="AY59" s="6" t="b">
        <v>0</v>
      </c>
      <c r="AZ59" s="6" t="b">
        <v>0</v>
      </c>
      <c r="BA59" s="6" t="b">
        <v>0</v>
      </c>
      <c r="BB59" s="6" t="b">
        <v>0</v>
      </c>
    </row>
    <row r="60" spans="1:54" ht="15" x14ac:dyDescent="0.25">
      <c r="A60" s="3" t="s">
        <v>173</v>
      </c>
      <c r="B60" s="3" t="str">
        <f ca="1">IFERROR(__xludf.DUMMYFUNCTION("SPLIT(A60,""/"")"),"apache")</f>
        <v>apache</v>
      </c>
      <c r="C60" s="3" t="str">
        <f ca="1">IFERROR(__xludf.DUMMYFUNCTION("""COMPUTED_VALUE"""),"airflow")</f>
        <v>airflow</v>
      </c>
      <c r="D60" s="4" t="s">
        <v>174</v>
      </c>
      <c r="E60" s="5">
        <v>42107.753449074073</v>
      </c>
      <c r="F60" s="5">
        <v>44295.165648148148</v>
      </c>
      <c r="G60" s="13">
        <f t="shared" si="0"/>
        <v>2187.412199074075</v>
      </c>
      <c r="H60" s="6" t="b">
        <v>0</v>
      </c>
      <c r="I60" s="7" t="b">
        <v>1</v>
      </c>
      <c r="J60" s="8">
        <v>21086</v>
      </c>
      <c r="K60" s="8">
        <v>744</v>
      </c>
      <c r="L60" s="8">
        <v>7999</v>
      </c>
      <c r="M60" s="8">
        <v>26</v>
      </c>
      <c r="N60" s="8">
        <v>413</v>
      </c>
      <c r="O60" s="8">
        <v>1547</v>
      </c>
      <c r="P60" s="8">
        <v>11893</v>
      </c>
      <c r="Q60" s="8">
        <v>153</v>
      </c>
      <c r="R60" s="8">
        <v>3110</v>
      </c>
      <c r="S60" s="8">
        <v>802</v>
      </c>
      <c r="T60" s="3" t="s">
        <v>69</v>
      </c>
      <c r="U60" s="10">
        <v>150860</v>
      </c>
      <c r="V60" s="32">
        <v>2896</v>
      </c>
      <c r="W60" s="27">
        <v>1.9196606124883997E-2</v>
      </c>
      <c r="X60" s="34">
        <v>310</v>
      </c>
      <c r="Y60" s="27">
        <v>0.10704419889502763</v>
      </c>
      <c r="Z60" s="27">
        <v>2.0548853241415884E-3</v>
      </c>
      <c r="AA60" s="35">
        <v>1501</v>
      </c>
      <c r="AB60" s="27">
        <v>0.51830110497237569</v>
      </c>
      <c r="AC60" s="27">
        <f t="shared" si="1"/>
        <v>9.9496221662468513E-3</v>
      </c>
      <c r="AD60" s="36">
        <v>802</v>
      </c>
      <c r="AE60" s="27">
        <v>0.27693370165745856</v>
      </c>
      <c r="AF60" s="27">
        <f t="shared" si="2"/>
        <v>5.3161871934243668E-3</v>
      </c>
      <c r="AG60" s="37">
        <v>252</v>
      </c>
      <c r="AH60" s="27">
        <v>8.7016574585635359E-2</v>
      </c>
      <c r="AI60" s="27">
        <f t="shared" si="3"/>
        <v>1.670422908657033E-3</v>
      </c>
      <c r="AJ60" s="38">
        <v>2</v>
      </c>
      <c r="AK60" s="27">
        <v>6.9060773480662981E-4</v>
      </c>
      <c r="AL60" s="27">
        <f t="shared" si="4"/>
        <v>1.3257324671881214E-5</v>
      </c>
      <c r="AM60" s="40">
        <v>3</v>
      </c>
      <c r="AN60" s="27">
        <v>1.0359116022099447E-3</v>
      </c>
      <c r="AO60" s="27">
        <f t="shared" si="5"/>
        <v>1.9885987007821821E-5</v>
      </c>
      <c r="AP60" s="7" t="b">
        <v>1</v>
      </c>
      <c r="AQ60" s="7" t="b">
        <v>1</v>
      </c>
      <c r="AR60" s="6" t="b">
        <v>0</v>
      </c>
      <c r="AS60" s="6" t="b">
        <v>0</v>
      </c>
      <c r="AT60" s="7" t="b">
        <v>1</v>
      </c>
      <c r="AU60" s="6" t="b">
        <v>0</v>
      </c>
      <c r="AV60" s="6" t="b">
        <v>0</v>
      </c>
      <c r="AW60" s="6" t="b">
        <v>0</v>
      </c>
      <c r="AX60" s="6" t="b">
        <v>0</v>
      </c>
      <c r="AY60" s="6" t="b">
        <v>0</v>
      </c>
      <c r="AZ60" s="6" t="b">
        <v>0</v>
      </c>
      <c r="BA60" s="6" t="b">
        <v>0</v>
      </c>
      <c r="BB60" s="6" t="b">
        <v>0</v>
      </c>
    </row>
    <row r="61" spans="1:54" ht="15" x14ac:dyDescent="0.25">
      <c r="A61" s="3" t="s">
        <v>175</v>
      </c>
      <c r="B61" s="3" t="str">
        <f ca="1">IFERROR(__xludf.DUMMYFUNCTION("SPLIT(A61,""/"")"),"apache")</f>
        <v>apache</v>
      </c>
      <c r="C61" s="3" t="str">
        <f ca="1">IFERROR(__xludf.DUMMYFUNCTION("""COMPUTED_VALUE"""),"libcloud")</f>
        <v>libcloud</v>
      </c>
      <c r="D61" s="4" t="s">
        <v>176</v>
      </c>
      <c r="E61" s="5">
        <v>40158.375162037039</v>
      </c>
      <c r="F61" s="5">
        <v>44293.40351851852</v>
      </c>
      <c r="G61" s="13">
        <f t="shared" si="0"/>
        <v>4135.0283564814818</v>
      </c>
      <c r="H61" s="6" t="b">
        <v>0</v>
      </c>
      <c r="I61" s="7" t="b">
        <v>1</v>
      </c>
      <c r="J61" s="8">
        <v>1749</v>
      </c>
      <c r="K61" s="8">
        <v>90</v>
      </c>
      <c r="L61" s="8">
        <v>807</v>
      </c>
      <c r="M61" s="8">
        <v>0</v>
      </c>
      <c r="N61" s="8">
        <v>110</v>
      </c>
      <c r="O61" s="8">
        <v>327</v>
      </c>
      <c r="P61" s="8">
        <v>1465</v>
      </c>
      <c r="Q61" s="8">
        <v>17</v>
      </c>
      <c r="R61" s="8">
        <v>106</v>
      </c>
      <c r="S61" s="8">
        <v>34</v>
      </c>
      <c r="T61" s="3" t="s">
        <v>69</v>
      </c>
      <c r="U61" s="10">
        <v>104599</v>
      </c>
      <c r="V61" s="32">
        <v>43</v>
      </c>
      <c r="W61" s="27">
        <v>4.1109379630780411E-4</v>
      </c>
      <c r="X61" s="34">
        <v>8</v>
      </c>
      <c r="Y61" s="27">
        <v>0.18604651162790697</v>
      </c>
      <c r="Z61" s="27">
        <v>7.6482566754940292E-5</v>
      </c>
      <c r="AA61" s="35">
        <v>2</v>
      </c>
      <c r="AB61" s="27">
        <v>4.6511627906976744E-2</v>
      </c>
      <c r="AC61" s="27">
        <f t="shared" si="1"/>
        <v>1.9120641688735073E-5</v>
      </c>
      <c r="AD61" s="36">
        <v>28</v>
      </c>
      <c r="AE61" s="27">
        <v>0.65116279069767447</v>
      </c>
      <c r="AF61" s="27">
        <f t="shared" si="2"/>
        <v>2.6768898364229102E-4</v>
      </c>
      <c r="AG61" s="37">
        <v>5</v>
      </c>
      <c r="AH61" s="27">
        <v>0.11627906976744186</v>
      </c>
      <c r="AI61" s="27">
        <f t="shared" si="3"/>
        <v>4.7801604221837682E-5</v>
      </c>
      <c r="AJ61" s="38">
        <v>0</v>
      </c>
      <c r="AK61" s="27">
        <v>0</v>
      </c>
      <c r="AL61" s="27">
        <f t="shared" si="4"/>
        <v>0</v>
      </c>
      <c r="AM61" s="40">
        <v>0</v>
      </c>
      <c r="AN61" s="27">
        <v>0</v>
      </c>
      <c r="AO61" s="27">
        <f t="shared" si="5"/>
        <v>0</v>
      </c>
      <c r="AP61" s="7" t="b">
        <v>1</v>
      </c>
      <c r="AQ61" s="6" t="b">
        <v>0</v>
      </c>
      <c r="AR61" s="6" t="b">
        <v>0</v>
      </c>
      <c r="AS61" s="6" t="b">
        <v>0</v>
      </c>
      <c r="AT61" s="7" t="b">
        <v>1</v>
      </c>
      <c r="AU61" s="6" t="b">
        <v>0</v>
      </c>
      <c r="AV61" s="6" t="b">
        <v>0</v>
      </c>
      <c r="AW61" s="6" t="b">
        <v>0</v>
      </c>
      <c r="AX61" s="6" t="b">
        <v>0</v>
      </c>
      <c r="AY61" s="6" t="b">
        <v>0</v>
      </c>
      <c r="AZ61" s="6" t="b">
        <v>0</v>
      </c>
      <c r="BA61" s="6" t="b">
        <v>0</v>
      </c>
      <c r="BB61" s="6" t="b">
        <v>0</v>
      </c>
    </row>
    <row r="62" spans="1:54" ht="15" x14ac:dyDescent="0.25">
      <c r="A62" s="3" t="s">
        <v>177</v>
      </c>
      <c r="B62" s="3" t="str">
        <f ca="1">IFERROR(__xludf.DUMMYFUNCTION("SPLIT(A62,""/"")"),"apache")</f>
        <v>apache</v>
      </c>
      <c r="C62" s="3" t="str">
        <f ca="1">IFERROR(__xludf.DUMMYFUNCTION("""COMPUTED_VALUE"""),"superset")</f>
        <v>superset</v>
      </c>
      <c r="D62" s="4" t="s">
        <v>178</v>
      </c>
      <c r="E62" s="5">
        <v>42206.788587962961</v>
      </c>
      <c r="F62" s="5">
        <v>44295.169768518521</v>
      </c>
      <c r="G62" s="13">
        <f t="shared" si="0"/>
        <v>2088.3811805555597</v>
      </c>
      <c r="H62" s="6" t="b">
        <v>0</v>
      </c>
      <c r="I62" s="7" t="b">
        <v>1</v>
      </c>
      <c r="J62" s="8">
        <v>36539</v>
      </c>
      <c r="K62" s="8">
        <v>1418</v>
      </c>
      <c r="L62" s="8">
        <v>6856</v>
      </c>
      <c r="M62" s="8">
        <v>22</v>
      </c>
      <c r="N62" s="8">
        <v>126</v>
      </c>
      <c r="O62" s="8">
        <v>570</v>
      </c>
      <c r="P62" s="8">
        <v>7743</v>
      </c>
      <c r="Q62" s="8">
        <v>129</v>
      </c>
      <c r="R62" s="8">
        <v>6059</v>
      </c>
      <c r="S62" s="8">
        <v>758</v>
      </c>
      <c r="T62" s="3" t="s">
        <v>69</v>
      </c>
      <c r="U62" s="10">
        <v>53517</v>
      </c>
      <c r="V62" s="32">
        <v>447</v>
      </c>
      <c r="W62" s="27">
        <v>8.3524861259039185E-3</v>
      </c>
      <c r="X62" s="34">
        <v>35</v>
      </c>
      <c r="Y62" s="27">
        <v>7.829977628635347E-2</v>
      </c>
      <c r="Z62" s="27">
        <v>6.5399779509314802E-4</v>
      </c>
      <c r="AA62" s="35">
        <v>167</v>
      </c>
      <c r="AB62" s="27">
        <v>0.37360178970917224</v>
      </c>
      <c r="AC62" s="27">
        <f t="shared" si="1"/>
        <v>3.1205037651587347E-3</v>
      </c>
      <c r="AD62" s="36">
        <v>72</v>
      </c>
      <c r="AE62" s="27">
        <v>0.16107382550335569</v>
      </c>
      <c r="AF62" s="27">
        <f t="shared" si="2"/>
        <v>1.3453668927630473E-3</v>
      </c>
      <c r="AG62" s="37">
        <v>171</v>
      </c>
      <c r="AH62" s="27">
        <v>0.3825503355704698</v>
      </c>
      <c r="AI62" s="27">
        <f t="shared" si="3"/>
        <v>3.1952463703122371E-3</v>
      </c>
      <c r="AJ62" s="38">
        <v>0</v>
      </c>
      <c r="AK62" s="27">
        <v>0</v>
      </c>
      <c r="AL62" s="27">
        <f t="shared" si="4"/>
        <v>0</v>
      </c>
      <c r="AM62" s="40">
        <v>1</v>
      </c>
      <c r="AN62" s="27">
        <v>2.2371364653243847E-3</v>
      </c>
      <c r="AO62" s="27">
        <f t="shared" si="5"/>
        <v>1.8685651288375656E-5</v>
      </c>
      <c r="AP62" s="7" t="b">
        <v>1</v>
      </c>
      <c r="AQ62" s="7" t="b">
        <v>1</v>
      </c>
      <c r="AR62" s="6" t="b">
        <v>0</v>
      </c>
      <c r="AS62" s="6" t="b">
        <v>0</v>
      </c>
      <c r="AT62" s="7" t="b">
        <v>1</v>
      </c>
      <c r="AU62" s="6" t="b">
        <v>0</v>
      </c>
      <c r="AV62" s="6" t="b">
        <v>0</v>
      </c>
      <c r="AW62" s="6" t="b">
        <v>0</v>
      </c>
      <c r="AX62" s="6" t="b">
        <v>0</v>
      </c>
      <c r="AY62" s="6" t="b">
        <v>0</v>
      </c>
      <c r="AZ62" s="6" t="b">
        <v>0</v>
      </c>
      <c r="BA62" s="6" t="b">
        <v>0</v>
      </c>
      <c r="BB62" s="6" t="b">
        <v>0</v>
      </c>
    </row>
    <row r="63" spans="1:54" ht="15" x14ac:dyDescent="0.25">
      <c r="A63" s="3" t="s">
        <v>179</v>
      </c>
      <c r="B63" s="3" t="str">
        <f ca="1">IFERROR(__xludf.DUMMYFUNCTION("SPLIT(A63,""/"")"),"AppDaemon")</f>
        <v>AppDaemon</v>
      </c>
      <c r="C63" s="3" t="str">
        <f ca="1">IFERROR(__xludf.DUMMYFUNCTION("""COMPUTED_VALUE"""),"appdaemon")</f>
        <v>appdaemon</v>
      </c>
      <c r="D63" s="4" t="s">
        <v>180</v>
      </c>
      <c r="E63" s="5">
        <v>42564.738726851851</v>
      </c>
      <c r="F63" s="5">
        <v>44293.870868055557</v>
      </c>
      <c r="G63" s="13">
        <f t="shared" si="0"/>
        <v>1729.1321412037069</v>
      </c>
      <c r="H63" s="6" t="b">
        <v>0</v>
      </c>
      <c r="I63" s="7" t="b">
        <v>1</v>
      </c>
      <c r="J63" s="8">
        <v>525</v>
      </c>
      <c r="K63" s="8">
        <v>35</v>
      </c>
      <c r="L63" s="8">
        <v>343</v>
      </c>
      <c r="M63" s="8">
        <v>1</v>
      </c>
      <c r="N63" s="8">
        <v>5</v>
      </c>
      <c r="O63" s="8">
        <v>115</v>
      </c>
      <c r="P63" s="8">
        <v>670</v>
      </c>
      <c r="Q63" s="8">
        <v>17</v>
      </c>
      <c r="R63" s="8">
        <v>573</v>
      </c>
      <c r="S63" s="8">
        <v>104</v>
      </c>
      <c r="T63" s="3" t="s">
        <v>92</v>
      </c>
      <c r="U63" s="10">
        <v>10085</v>
      </c>
      <c r="V63" s="32">
        <v>938</v>
      </c>
      <c r="W63" s="27">
        <v>9.300941993058999E-2</v>
      </c>
      <c r="X63" s="34">
        <v>224</v>
      </c>
      <c r="Y63" s="27">
        <v>0.23880597014925373</v>
      </c>
      <c r="Z63" s="27">
        <v>2.2211204759543877E-2</v>
      </c>
      <c r="AA63" s="35">
        <v>153</v>
      </c>
      <c r="AB63" s="27">
        <v>0.16311300639658849</v>
      </c>
      <c r="AC63" s="27">
        <f t="shared" si="1"/>
        <v>1.5171046108081308E-2</v>
      </c>
      <c r="AD63" s="36">
        <v>442</v>
      </c>
      <c r="AE63" s="27">
        <v>0.47121535181236673</v>
      </c>
      <c r="AF63" s="27">
        <f t="shared" si="2"/>
        <v>4.3827466534457113E-2</v>
      </c>
      <c r="AG63" s="37">
        <v>40</v>
      </c>
      <c r="AH63" s="27">
        <v>4.2643923240938165E-2</v>
      </c>
      <c r="AI63" s="27">
        <f t="shared" si="3"/>
        <v>3.9662865642042635E-3</v>
      </c>
      <c r="AJ63" s="38">
        <v>14</v>
      </c>
      <c r="AK63" s="27">
        <v>1.4925373134328358E-2</v>
      </c>
      <c r="AL63" s="27">
        <f t="shared" si="4"/>
        <v>1.3882002974714923E-3</v>
      </c>
      <c r="AM63" s="40">
        <v>65</v>
      </c>
      <c r="AN63" s="27">
        <v>6.9296375266524518E-2</v>
      </c>
      <c r="AO63" s="27">
        <f t="shared" si="5"/>
        <v>6.4452156668319289E-3</v>
      </c>
      <c r="AP63" s="7" t="b">
        <v>1</v>
      </c>
      <c r="AQ63" s="6" t="b">
        <v>0</v>
      </c>
      <c r="AR63" s="6" t="b">
        <v>0</v>
      </c>
      <c r="AS63" s="6" t="b">
        <v>0</v>
      </c>
      <c r="AT63" s="7" t="b">
        <v>1</v>
      </c>
      <c r="AU63" s="6" t="b">
        <v>0</v>
      </c>
      <c r="AV63" s="6" t="b">
        <v>0</v>
      </c>
      <c r="AW63" s="6" t="b">
        <v>0</v>
      </c>
      <c r="AX63" s="6" t="b">
        <v>0</v>
      </c>
      <c r="AY63" s="6" t="b">
        <v>0</v>
      </c>
      <c r="AZ63" s="6" t="b">
        <v>0</v>
      </c>
      <c r="BA63" s="6" t="b">
        <v>0</v>
      </c>
      <c r="BB63" s="6" t="b">
        <v>0</v>
      </c>
    </row>
    <row r="64" spans="1:54" ht="15" x14ac:dyDescent="0.25">
      <c r="A64" s="3" t="s">
        <v>181</v>
      </c>
      <c r="B64" s="3" t="str">
        <f ca="1">IFERROR(__xludf.DUMMYFUNCTION("SPLIT(A64,""/"")"),"apple")</f>
        <v>apple</v>
      </c>
      <c r="C64" s="3" t="str">
        <f ca="1">IFERROR(__xludf.DUMMYFUNCTION("""COMPUTED_VALUE"""),"coremltools")</f>
        <v>coremltools</v>
      </c>
      <c r="D64" s="4" t="s">
        <v>182</v>
      </c>
      <c r="E64" s="5">
        <v>42916.318773148145</v>
      </c>
      <c r="F64" s="5">
        <v>44294.335092592592</v>
      </c>
      <c r="G64" s="13">
        <f t="shared" si="0"/>
        <v>1378.0163194444467</v>
      </c>
      <c r="H64" s="6" t="b">
        <v>0</v>
      </c>
      <c r="I64" s="7" t="b">
        <v>1</v>
      </c>
      <c r="J64" s="8">
        <v>2166</v>
      </c>
      <c r="K64" s="8">
        <v>108</v>
      </c>
      <c r="L64" s="8">
        <v>338</v>
      </c>
      <c r="M64" s="8">
        <v>18</v>
      </c>
      <c r="N64" s="8">
        <v>2</v>
      </c>
      <c r="O64" s="8">
        <v>91</v>
      </c>
      <c r="P64" s="8">
        <v>471</v>
      </c>
      <c r="Q64" s="8">
        <v>9</v>
      </c>
      <c r="R64" s="8">
        <v>684</v>
      </c>
      <c r="S64" s="8">
        <v>336</v>
      </c>
      <c r="T64" s="3" t="s">
        <v>57</v>
      </c>
      <c r="U64" s="10">
        <v>82989</v>
      </c>
      <c r="V64" s="32">
        <v>127</v>
      </c>
      <c r="W64" s="27">
        <v>1.5303232958584873E-3</v>
      </c>
      <c r="X64" s="34">
        <v>23</v>
      </c>
      <c r="Y64" s="27">
        <v>0.18110236220472442</v>
      </c>
      <c r="Z64" s="27">
        <v>2.7714516381689138E-4</v>
      </c>
      <c r="AA64" s="35">
        <v>40</v>
      </c>
      <c r="AB64" s="27">
        <v>0.31496062992125984</v>
      </c>
      <c r="AC64" s="27">
        <f t="shared" si="1"/>
        <v>4.8199158924676762E-4</v>
      </c>
      <c r="AD64" s="36">
        <v>51</v>
      </c>
      <c r="AE64" s="27">
        <v>0.40157480314960631</v>
      </c>
      <c r="AF64" s="27">
        <f t="shared" si="2"/>
        <v>6.1453927628962875E-4</v>
      </c>
      <c r="AG64" s="37">
        <v>13</v>
      </c>
      <c r="AH64" s="27">
        <v>0.10236220472440945</v>
      </c>
      <c r="AI64" s="27">
        <f t="shared" si="3"/>
        <v>1.5664726650519949E-4</v>
      </c>
      <c r="AJ64" s="38">
        <v>0</v>
      </c>
      <c r="AK64" s="27">
        <v>0</v>
      </c>
      <c r="AL64" s="27">
        <f t="shared" si="4"/>
        <v>0</v>
      </c>
      <c r="AM64" s="40">
        <v>0</v>
      </c>
      <c r="AN64" s="27">
        <v>0</v>
      </c>
      <c r="AO64" s="27">
        <f t="shared" si="5"/>
        <v>0</v>
      </c>
      <c r="AP64" s="7" t="b">
        <v>1</v>
      </c>
      <c r="AQ64" s="6" t="b">
        <v>0</v>
      </c>
      <c r="AR64" s="6" t="b">
        <v>0</v>
      </c>
      <c r="AS64" s="6" t="b">
        <v>0</v>
      </c>
      <c r="AT64" s="7" t="b">
        <v>1</v>
      </c>
      <c r="AU64" s="6" t="b">
        <v>0</v>
      </c>
      <c r="AV64" s="6" t="b">
        <v>0</v>
      </c>
      <c r="AW64" s="6" t="b">
        <v>0</v>
      </c>
      <c r="AX64" s="6" t="b">
        <v>0</v>
      </c>
      <c r="AY64" s="6" t="b">
        <v>0</v>
      </c>
      <c r="AZ64" s="6" t="b">
        <v>0</v>
      </c>
      <c r="BA64" s="6" t="b">
        <v>0</v>
      </c>
      <c r="BB64" s="6" t="b">
        <v>0</v>
      </c>
    </row>
    <row r="65" spans="1:54" ht="15" x14ac:dyDescent="0.25">
      <c r="A65" s="3" t="s">
        <v>183</v>
      </c>
      <c r="B65" s="3" t="str">
        <f ca="1">IFERROR(__xludf.DUMMYFUNCTION("SPLIT(A65,""/"")"),"appu1232")</f>
        <v>appu1232</v>
      </c>
      <c r="C65" s="3" t="str">
        <f ca="1">IFERROR(__xludf.DUMMYFUNCTION("""COMPUTED_VALUE"""),"Discord-Selfbot")</f>
        <v>Discord-Selfbot</v>
      </c>
      <c r="D65" s="4" t="s">
        <v>184</v>
      </c>
      <c r="E65" s="5">
        <v>42744.273715277777</v>
      </c>
      <c r="F65" s="5">
        <v>44294.486030092594</v>
      </c>
      <c r="G65" s="13">
        <f t="shared" si="0"/>
        <v>1550.2123148148166</v>
      </c>
      <c r="H65" s="6" t="b">
        <v>0</v>
      </c>
      <c r="I65" s="6" t="b">
        <v>0</v>
      </c>
      <c r="J65" s="8">
        <v>388</v>
      </c>
      <c r="K65" s="8">
        <v>63</v>
      </c>
      <c r="L65" s="8">
        <v>490</v>
      </c>
      <c r="M65" s="8">
        <v>9</v>
      </c>
      <c r="N65" s="8">
        <v>7</v>
      </c>
      <c r="O65" s="8">
        <v>26</v>
      </c>
      <c r="P65" s="8">
        <v>210</v>
      </c>
      <c r="Q65" s="8">
        <v>0</v>
      </c>
      <c r="R65" s="8">
        <v>243</v>
      </c>
      <c r="S65" s="8">
        <v>23</v>
      </c>
      <c r="T65" s="3" t="s">
        <v>49</v>
      </c>
      <c r="U65" s="10">
        <v>7498</v>
      </c>
      <c r="V65" s="32">
        <v>1</v>
      </c>
      <c r="W65" s="27">
        <v>1.3336889837289943E-4</v>
      </c>
      <c r="X65" s="34">
        <v>0</v>
      </c>
      <c r="Y65" s="27">
        <v>0</v>
      </c>
      <c r="Z65" s="27">
        <v>0</v>
      </c>
      <c r="AA65" s="35">
        <v>0</v>
      </c>
      <c r="AB65" s="27">
        <v>0</v>
      </c>
      <c r="AC65" s="27">
        <f t="shared" si="1"/>
        <v>0</v>
      </c>
      <c r="AD65" s="36">
        <v>1</v>
      </c>
      <c r="AE65" s="27">
        <v>1</v>
      </c>
      <c r="AF65" s="27">
        <f t="shared" si="2"/>
        <v>1.3336889837289943E-4</v>
      </c>
      <c r="AG65" s="37">
        <v>0</v>
      </c>
      <c r="AH65" s="27">
        <v>0</v>
      </c>
      <c r="AI65" s="27">
        <f t="shared" si="3"/>
        <v>0</v>
      </c>
      <c r="AJ65" s="38">
        <v>0</v>
      </c>
      <c r="AK65" s="27">
        <v>0</v>
      </c>
      <c r="AL65" s="27">
        <f t="shared" si="4"/>
        <v>0</v>
      </c>
      <c r="AM65" s="40">
        <v>0</v>
      </c>
      <c r="AN65" s="27">
        <v>0</v>
      </c>
      <c r="AO65" s="27">
        <f t="shared" si="5"/>
        <v>0</v>
      </c>
      <c r="AP65" s="7" t="b">
        <v>1</v>
      </c>
      <c r="AQ65" s="6" t="b">
        <v>0</v>
      </c>
      <c r="AR65" s="6" t="b">
        <v>0</v>
      </c>
      <c r="AS65" s="6" t="b">
        <v>0</v>
      </c>
      <c r="AT65" s="7" t="b">
        <v>1</v>
      </c>
      <c r="AU65" s="6" t="b">
        <v>0</v>
      </c>
      <c r="AV65" s="6" t="b">
        <v>0</v>
      </c>
      <c r="AW65" s="6" t="b">
        <v>0</v>
      </c>
      <c r="AX65" s="6" t="b">
        <v>0</v>
      </c>
      <c r="AY65" s="6" t="b">
        <v>0</v>
      </c>
      <c r="AZ65" s="6" t="b">
        <v>0</v>
      </c>
      <c r="BA65" s="6" t="b">
        <v>0</v>
      </c>
      <c r="BB65" s="6" t="b">
        <v>0</v>
      </c>
    </row>
    <row r="66" spans="1:54" ht="15" x14ac:dyDescent="0.25">
      <c r="A66" s="3" t="s">
        <v>185</v>
      </c>
      <c r="B66" s="3" t="str">
        <f ca="1">IFERROR(__xludf.DUMMYFUNCTION("SPLIT(A66,""/"")"),"aquasecurity")</f>
        <v>aquasecurity</v>
      </c>
      <c r="C66" s="3" t="str">
        <f ca="1">IFERROR(__xludf.DUMMYFUNCTION("""COMPUTED_VALUE"""),"kube-hunter")</f>
        <v>kube-hunter</v>
      </c>
      <c r="D66" s="4" t="s">
        <v>186</v>
      </c>
      <c r="E66" s="5">
        <v>43299.610486111109</v>
      </c>
      <c r="F66" s="5">
        <v>44295.117488425924</v>
      </c>
      <c r="G66" s="13">
        <f t="shared" si="0"/>
        <v>995.5070023148146</v>
      </c>
      <c r="H66" s="6" t="b">
        <v>0</v>
      </c>
      <c r="I66" s="7" t="b">
        <v>1</v>
      </c>
      <c r="J66" s="8">
        <v>2787</v>
      </c>
      <c r="K66" s="8">
        <v>74</v>
      </c>
      <c r="L66" s="8">
        <v>381</v>
      </c>
      <c r="M66" s="8">
        <v>7</v>
      </c>
      <c r="N66" s="8">
        <v>4</v>
      </c>
      <c r="O66" s="8">
        <v>66</v>
      </c>
      <c r="P66" s="8">
        <v>284</v>
      </c>
      <c r="Q66" s="8">
        <v>5</v>
      </c>
      <c r="R66" s="8">
        <v>155</v>
      </c>
      <c r="S66" s="8">
        <v>33</v>
      </c>
      <c r="T66" s="3" t="s">
        <v>69</v>
      </c>
      <c r="U66" s="10">
        <v>3701</v>
      </c>
      <c r="V66" s="32">
        <v>100</v>
      </c>
      <c r="W66" s="27">
        <v>2.7019724398811132E-2</v>
      </c>
      <c r="X66" s="34">
        <v>78</v>
      </c>
      <c r="Y66" s="27">
        <v>0.78</v>
      </c>
      <c r="Z66" s="27">
        <v>2.1075385031072685E-2</v>
      </c>
      <c r="AA66" s="35">
        <v>6</v>
      </c>
      <c r="AB66" s="27">
        <v>0.06</v>
      </c>
      <c r="AC66" s="27">
        <f t="shared" si="1"/>
        <v>1.6211834639286678E-3</v>
      </c>
      <c r="AD66" s="36">
        <v>9</v>
      </c>
      <c r="AE66" s="27">
        <v>0.09</v>
      </c>
      <c r="AF66" s="27">
        <f t="shared" si="2"/>
        <v>2.4317751958930021E-3</v>
      </c>
      <c r="AG66" s="37">
        <v>7</v>
      </c>
      <c r="AH66" s="27">
        <v>7.0000000000000007E-2</v>
      </c>
      <c r="AI66" s="27">
        <f t="shared" si="3"/>
        <v>1.8913807079167792E-3</v>
      </c>
      <c r="AJ66" s="38">
        <v>0</v>
      </c>
      <c r="AK66" s="27">
        <v>0</v>
      </c>
      <c r="AL66" s="27">
        <f t="shared" si="4"/>
        <v>0</v>
      </c>
      <c r="AM66" s="40">
        <v>0</v>
      </c>
      <c r="AN66" s="27">
        <v>0</v>
      </c>
      <c r="AO66" s="27">
        <f t="shared" si="5"/>
        <v>0</v>
      </c>
      <c r="AP66" s="7" t="b">
        <v>1</v>
      </c>
      <c r="AQ66" s="6" t="b">
        <v>0</v>
      </c>
      <c r="AR66" s="6" t="b">
        <v>0</v>
      </c>
      <c r="AS66" s="6" t="b">
        <v>0</v>
      </c>
      <c r="AT66" s="7" t="b">
        <v>1</v>
      </c>
      <c r="AU66" s="6" t="b">
        <v>0</v>
      </c>
      <c r="AV66" s="6" t="b">
        <v>0</v>
      </c>
      <c r="AW66" s="6" t="b">
        <v>0</v>
      </c>
      <c r="AX66" s="6" t="b">
        <v>0</v>
      </c>
      <c r="AY66" s="6" t="b">
        <v>0</v>
      </c>
      <c r="AZ66" s="6" t="b">
        <v>0</v>
      </c>
      <c r="BA66" s="6" t="b">
        <v>0</v>
      </c>
      <c r="BB66" s="6" t="b">
        <v>0</v>
      </c>
    </row>
    <row r="67" spans="1:54" ht="15" x14ac:dyDescent="0.25">
      <c r="A67" s="3" t="s">
        <v>187</v>
      </c>
      <c r="B67" s="3" t="str">
        <f ca="1">IFERROR(__xludf.DUMMYFUNCTION("SPLIT(A67,""/"")"),"AragonSnow")</f>
        <v>AragonSnow</v>
      </c>
      <c r="C67" s="3" t="str">
        <f ca="1">IFERROR(__xludf.DUMMYFUNCTION("""COMPUTED_VALUE"""),"qiandao")</f>
        <v>qiandao</v>
      </c>
      <c r="D67" s="4" t="s">
        <v>188</v>
      </c>
      <c r="E67" s="5">
        <v>43962.327222222222</v>
      </c>
      <c r="F67" s="5">
        <v>44295.167928240742</v>
      </c>
      <c r="G67" s="13">
        <f t="shared" ref="G67:G130" si="6">F67-E67</f>
        <v>332.84070601852</v>
      </c>
      <c r="H67" s="6" t="b">
        <v>0</v>
      </c>
      <c r="I67" s="6" t="b">
        <v>0</v>
      </c>
      <c r="J67" s="8">
        <v>457</v>
      </c>
      <c r="K67" s="8">
        <v>8</v>
      </c>
      <c r="L67" s="8">
        <v>122</v>
      </c>
      <c r="M67" s="8">
        <v>18</v>
      </c>
      <c r="N67" s="8">
        <v>0</v>
      </c>
      <c r="O67" s="8">
        <v>4</v>
      </c>
      <c r="P67" s="8">
        <v>14</v>
      </c>
      <c r="Q67" s="8">
        <v>0</v>
      </c>
      <c r="R67" s="8">
        <v>60</v>
      </c>
      <c r="S67" s="8">
        <v>5</v>
      </c>
      <c r="T67" s="3" t="s">
        <v>72</v>
      </c>
      <c r="U67" s="10">
        <v>4096</v>
      </c>
      <c r="V67" s="32">
        <v>32</v>
      </c>
      <c r="W67" s="27">
        <v>7.8125E-3</v>
      </c>
      <c r="X67" s="34">
        <v>8</v>
      </c>
      <c r="Y67" s="27">
        <v>0.25</v>
      </c>
      <c r="Z67" s="27">
        <v>1.953125E-3</v>
      </c>
      <c r="AA67" s="35">
        <v>9</v>
      </c>
      <c r="AB67" s="27">
        <v>0.28125</v>
      </c>
      <c r="AC67" s="27">
        <f t="shared" ref="AC67:AC130" si="7">AA67/U67</f>
        <v>2.197265625E-3</v>
      </c>
      <c r="AD67" s="36">
        <v>0</v>
      </c>
      <c r="AE67" s="27">
        <v>0</v>
      </c>
      <c r="AF67" s="27">
        <f t="shared" ref="AF67:AF130" si="8">AD67/U67</f>
        <v>0</v>
      </c>
      <c r="AG67" s="37">
        <v>5</v>
      </c>
      <c r="AH67" s="27">
        <v>0.15625</v>
      </c>
      <c r="AI67" s="27">
        <f t="shared" ref="AI67:AI130" si="9">AG67/U67</f>
        <v>1.220703125E-3</v>
      </c>
      <c r="AJ67" s="38">
        <v>0</v>
      </c>
      <c r="AK67" s="27">
        <v>0</v>
      </c>
      <c r="AL67" s="27">
        <f t="shared" ref="AL67:AL130" si="10">AJ67/U67</f>
        <v>0</v>
      </c>
      <c r="AM67" s="40">
        <v>0</v>
      </c>
      <c r="AN67" s="27">
        <v>0</v>
      </c>
      <c r="AO67" s="27">
        <f t="shared" ref="AO67:AO130" si="11">AM67/U67</f>
        <v>0</v>
      </c>
      <c r="AP67" s="7" t="b">
        <v>1</v>
      </c>
      <c r="AQ67" s="6" t="b">
        <v>0</v>
      </c>
      <c r="AR67" s="6" t="b">
        <v>0</v>
      </c>
      <c r="AS67" s="6" t="b">
        <v>0</v>
      </c>
      <c r="AT67" s="7" t="b">
        <v>1</v>
      </c>
      <c r="AU67" s="6" t="b">
        <v>0</v>
      </c>
      <c r="AV67" s="6" t="b">
        <v>0</v>
      </c>
      <c r="AW67" s="6" t="b">
        <v>0</v>
      </c>
      <c r="AX67" s="6" t="b">
        <v>0</v>
      </c>
      <c r="AY67" s="6" t="b">
        <v>0</v>
      </c>
      <c r="AZ67" s="6" t="b">
        <v>0</v>
      </c>
      <c r="BA67" s="6" t="b">
        <v>0</v>
      </c>
      <c r="BB67" s="6" t="b">
        <v>0</v>
      </c>
    </row>
    <row r="68" spans="1:54" ht="15" x14ac:dyDescent="0.25">
      <c r="A68" s="3" t="s">
        <v>189</v>
      </c>
      <c r="B68" s="3" t="str">
        <f ca="1">IFERROR(__xludf.DUMMYFUNCTION("SPLIT(A68,""/"")"),"arviz-devs")</f>
        <v>arviz-devs</v>
      </c>
      <c r="C68" s="3" t="str">
        <f ca="1">IFERROR(__xludf.DUMMYFUNCTION("""COMPUTED_VALUE"""),"arviz")</f>
        <v>arviz</v>
      </c>
      <c r="D68" s="4" t="s">
        <v>190</v>
      </c>
      <c r="E68" s="5">
        <v>42214.49386574074</v>
      </c>
      <c r="F68" s="5">
        <v>44294.886064814818</v>
      </c>
      <c r="G68" s="13">
        <f t="shared" si="6"/>
        <v>2080.3921990740782</v>
      </c>
      <c r="H68" s="6" t="b">
        <v>0</v>
      </c>
      <c r="I68" s="7" t="b">
        <v>1</v>
      </c>
      <c r="J68" s="8">
        <v>976</v>
      </c>
      <c r="K68" s="8">
        <v>47</v>
      </c>
      <c r="L68" s="8">
        <v>196</v>
      </c>
      <c r="M68" s="8">
        <v>22</v>
      </c>
      <c r="N68" s="8">
        <v>5</v>
      </c>
      <c r="O68" s="8">
        <v>76</v>
      </c>
      <c r="P68" s="8">
        <v>1081</v>
      </c>
      <c r="Q68" s="8">
        <v>11</v>
      </c>
      <c r="R68" s="8">
        <v>572</v>
      </c>
      <c r="S68" s="8">
        <v>111</v>
      </c>
      <c r="T68" s="3" t="s">
        <v>69</v>
      </c>
      <c r="U68" s="10">
        <v>20016</v>
      </c>
      <c r="V68" s="32">
        <v>86</v>
      </c>
      <c r="W68" s="27">
        <v>4.2965627498001598E-3</v>
      </c>
      <c r="X68" s="34">
        <v>0</v>
      </c>
      <c r="Y68" s="27">
        <v>0</v>
      </c>
      <c r="Z68" s="27">
        <v>0</v>
      </c>
      <c r="AA68" s="35">
        <v>9</v>
      </c>
      <c r="AB68" s="27">
        <v>0.10465116279069768</v>
      </c>
      <c r="AC68" s="27">
        <f t="shared" si="7"/>
        <v>4.496402877697842E-4</v>
      </c>
      <c r="AD68" s="36">
        <v>77</v>
      </c>
      <c r="AE68" s="27">
        <v>0.89534883720930236</v>
      </c>
      <c r="AF68" s="27">
        <f t="shared" si="8"/>
        <v>3.8469224620303758E-3</v>
      </c>
      <c r="AG68" s="37">
        <v>0</v>
      </c>
      <c r="AH68" s="27">
        <v>0</v>
      </c>
      <c r="AI68" s="27">
        <f t="shared" si="9"/>
        <v>0</v>
      </c>
      <c r="AJ68" s="38">
        <v>0</v>
      </c>
      <c r="AK68" s="27">
        <v>0</v>
      </c>
      <c r="AL68" s="27">
        <f t="shared" si="10"/>
        <v>0</v>
      </c>
      <c r="AM68" s="40">
        <v>0</v>
      </c>
      <c r="AN68" s="27">
        <v>0</v>
      </c>
      <c r="AO68" s="27">
        <f t="shared" si="11"/>
        <v>0</v>
      </c>
      <c r="AP68" s="7" t="b">
        <v>1</v>
      </c>
      <c r="AQ68" s="6" t="b">
        <v>0</v>
      </c>
      <c r="AR68" s="6" t="b">
        <v>0</v>
      </c>
      <c r="AS68" s="6" t="b">
        <v>0</v>
      </c>
      <c r="AT68" s="7" t="b">
        <v>1</v>
      </c>
      <c r="AU68" s="6" t="b">
        <v>0</v>
      </c>
      <c r="AV68" s="6" t="b">
        <v>0</v>
      </c>
      <c r="AW68" s="6" t="b">
        <v>0</v>
      </c>
      <c r="AX68" s="6" t="b">
        <v>0</v>
      </c>
      <c r="AY68" s="6" t="b">
        <v>0</v>
      </c>
      <c r="AZ68" s="6" t="b">
        <v>0</v>
      </c>
      <c r="BA68" s="6" t="b">
        <v>0</v>
      </c>
      <c r="BB68" s="6" t="b">
        <v>0</v>
      </c>
    </row>
    <row r="69" spans="1:54" ht="15" x14ac:dyDescent="0.25">
      <c r="A69" s="3" t="s">
        <v>191</v>
      </c>
      <c r="B69" s="3" t="str">
        <f ca="1">IFERROR(__xludf.DUMMYFUNCTION("SPLIT(A69,""/"")"),"arxiv-vanity")</f>
        <v>arxiv-vanity</v>
      </c>
      <c r="C69" s="3" t="str">
        <f ca="1">IFERROR(__xludf.DUMMYFUNCTION("""COMPUTED_VALUE"""),"arxiv-vanity")</f>
        <v>arxiv-vanity</v>
      </c>
      <c r="D69" s="4" t="s">
        <v>192</v>
      </c>
      <c r="E69" s="5">
        <v>42959.612280092595</v>
      </c>
      <c r="F69" s="5">
        <v>44292.092592592591</v>
      </c>
      <c r="G69" s="13">
        <f t="shared" si="6"/>
        <v>1332.4803124999962</v>
      </c>
      <c r="H69" s="6" t="b">
        <v>0</v>
      </c>
      <c r="I69" s="7" t="b">
        <v>1</v>
      </c>
      <c r="J69" s="8">
        <v>1193</v>
      </c>
      <c r="K69" s="8">
        <v>22</v>
      </c>
      <c r="L69" s="8">
        <v>65</v>
      </c>
      <c r="M69" s="8">
        <v>0</v>
      </c>
      <c r="N69" s="8">
        <v>0</v>
      </c>
      <c r="O69" s="8">
        <v>8</v>
      </c>
      <c r="P69" s="8">
        <v>489</v>
      </c>
      <c r="Q69" s="8">
        <v>11</v>
      </c>
      <c r="R69" s="8">
        <v>123</v>
      </c>
      <c r="S69" s="8">
        <v>40</v>
      </c>
      <c r="T69" s="3" t="s">
        <v>69</v>
      </c>
      <c r="U69" s="10">
        <v>2260</v>
      </c>
      <c r="V69" s="32">
        <v>1</v>
      </c>
      <c r="W69" s="27">
        <v>4.4247787610619468E-4</v>
      </c>
      <c r="X69" s="34">
        <v>0</v>
      </c>
      <c r="Y69" s="27">
        <v>0</v>
      </c>
      <c r="Z69" s="27">
        <v>0</v>
      </c>
      <c r="AA69" s="35">
        <v>1</v>
      </c>
      <c r="AB69" s="27">
        <v>1</v>
      </c>
      <c r="AC69" s="27">
        <f t="shared" si="7"/>
        <v>4.4247787610619468E-4</v>
      </c>
      <c r="AD69" s="36">
        <v>0</v>
      </c>
      <c r="AE69" s="27">
        <v>0</v>
      </c>
      <c r="AF69" s="27">
        <f t="shared" si="8"/>
        <v>0</v>
      </c>
      <c r="AG69" s="37">
        <v>0</v>
      </c>
      <c r="AH69" s="27">
        <v>0</v>
      </c>
      <c r="AI69" s="27">
        <f t="shared" si="9"/>
        <v>0</v>
      </c>
      <c r="AJ69" s="38">
        <v>0</v>
      </c>
      <c r="AK69" s="27">
        <v>0</v>
      </c>
      <c r="AL69" s="27">
        <f t="shared" si="10"/>
        <v>0</v>
      </c>
      <c r="AM69" s="40">
        <v>0</v>
      </c>
      <c r="AN69" s="27">
        <v>0</v>
      </c>
      <c r="AO69" s="27">
        <f t="shared" si="11"/>
        <v>0</v>
      </c>
      <c r="AP69" s="7" t="b">
        <v>1</v>
      </c>
      <c r="AQ69" s="7" t="b">
        <v>1</v>
      </c>
      <c r="AR69" s="6" t="b">
        <v>0</v>
      </c>
      <c r="AS69" s="6" t="b">
        <v>0</v>
      </c>
      <c r="AT69" s="7" t="b">
        <v>1</v>
      </c>
      <c r="AU69" s="6" t="b">
        <v>0</v>
      </c>
      <c r="AV69" s="6" t="b">
        <v>0</v>
      </c>
      <c r="AW69" s="6" t="b">
        <v>0</v>
      </c>
      <c r="AX69" s="6" t="b">
        <v>0</v>
      </c>
      <c r="AY69" s="6" t="b">
        <v>0</v>
      </c>
      <c r="AZ69" s="6" t="b">
        <v>0</v>
      </c>
      <c r="BA69" s="6" t="b">
        <v>0</v>
      </c>
      <c r="BB69" s="6" t="b">
        <v>0</v>
      </c>
    </row>
    <row r="70" spans="1:54" ht="15" x14ac:dyDescent="0.25">
      <c r="A70" s="3" t="s">
        <v>193</v>
      </c>
      <c r="B70" s="3" t="str">
        <f ca="1">IFERROR(__xludf.DUMMYFUNCTION("SPLIT(A70,""/"")"),"asyml")</f>
        <v>asyml</v>
      </c>
      <c r="C70" s="3" t="str">
        <f ca="1">IFERROR(__xludf.DUMMYFUNCTION("""COMPUTED_VALUE"""),"texar-pytorch")</f>
        <v>texar-pytorch</v>
      </c>
      <c r="D70" s="4" t="s">
        <v>194</v>
      </c>
      <c r="E70" s="5">
        <v>43532.044548611113</v>
      </c>
      <c r="F70" s="5">
        <v>44292.27789351852</v>
      </c>
      <c r="G70" s="13">
        <f t="shared" si="6"/>
        <v>760.23334490740672</v>
      </c>
      <c r="H70" s="6" t="b">
        <v>0</v>
      </c>
      <c r="I70" s="7" t="b">
        <v>1</v>
      </c>
      <c r="J70" s="8">
        <v>648</v>
      </c>
      <c r="K70" s="8">
        <v>23</v>
      </c>
      <c r="L70" s="8">
        <v>101</v>
      </c>
      <c r="M70" s="8">
        <v>4</v>
      </c>
      <c r="N70" s="8">
        <v>15</v>
      </c>
      <c r="O70" s="8">
        <v>17</v>
      </c>
      <c r="P70" s="8">
        <v>203</v>
      </c>
      <c r="Q70" s="8">
        <v>7</v>
      </c>
      <c r="R70" s="8">
        <v>131</v>
      </c>
      <c r="S70" s="8">
        <v>31</v>
      </c>
      <c r="T70" s="3" t="s">
        <v>69</v>
      </c>
      <c r="U70" s="10">
        <v>22965</v>
      </c>
      <c r="V70" s="32">
        <v>49</v>
      </c>
      <c r="W70" s="27">
        <v>2.133681689527542E-3</v>
      </c>
      <c r="X70" s="34">
        <v>0</v>
      </c>
      <c r="Y70" s="27">
        <v>0</v>
      </c>
      <c r="Z70" s="27">
        <v>0</v>
      </c>
      <c r="AA70" s="35">
        <v>28</v>
      </c>
      <c r="AB70" s="27">
        <v>0.5714285714285714</v>
      </c>
      <c r="AC70" s="27">
        <f t="shared" si="7"/>
        <v>1.219246679730024E-3</v>
      </c>
      <c r="AD70" s="36">
        <v>20</v>
      </c>
      <c r="AE70" s="27">
        <v>0.40816326530612246</v>
      </c>
      <c r="AF70" s="27">
        <f t="shared" si="8"/>
        <v>8.7089048552144567E-4</v>
      </c>
      <c r="AG70" s="37">
        <v>0</v>
      </c>
      <c r="AH70" s="27">
        <v>0</v>
      </c>
      <c r="AI70" s="27">
        <f t="shared" si="9"/>
        <v>0</v>
      </c>
      <c r="AJ70" s="38">
        <v>0</v>
      </c>
      <c r="AK70" s="27">
        <v>0</v>
      </c>
      <c r="AL70" s="27">
        <f t="shared" si="10"/>
        <v>0</v>
      </c>
      <c r="AM70" s="40">
        <v>1</v>
      </c>
      <c r="AN70" s="27">
        <v>2.0408163265306121E-2</v>
      </c>
      <c r="AO70" s="27">
        <f t="shared" si="11"/>
        <v>4.3544524276072285E-5</v>
      </c>
      <c r="AP70" s="7" t="b">
        <v>1</v>
      </c>
      <c r="AQ70" s="6" t="b">
        <v>0</v>
      </c>
      <c r="AR70" s="6" t="b">
        <v>0</v>
      </c>
      <c r="AS70" s="6" t="b">
        <v>0</v>
      </c>
      <c r="AT70" s="7" t="b">
        <v>1</v>
      </c>
      <c r="AU70" s="6" t="b">
        <v>0</v>
      </c>
      <c r="AV70" s="6" t="b">
        <v>0</v>
      </c>
      <c r="AW70" s="6" t="b">
        <v>0</v>
      </c>
      <c r="AX70" s="6" t="b">
        <v>0</v>
      </c>
      <c r="AY70" s="6" t="b">
        <v>0</v>
      </c>
      <c r="AZ70" s="6" t="b">
        <v>0</v>
      </c>
      <c r="BA70" s="6" t="b">
        <v>0</v>
      </c>
      <c r="BB70" s="6" t="b">
        <v>0</v>
      </c>
    </row>
    <row r="71" spans="1:54" ht="15" x14ac:dyDescent="0.25">
      <c r="A71" s="3" t="s">
        <v>195</v>
      </c>
      <c r="B71" s="3" t="str">
        <f ca="1">IFERROR(__xludf.DUMMYFUNCTION("SPLIT(A71,""/"")"),"automl")</f>
        <v>automl</v>
      </c>
      <c r="C71" s="3" t="str">
        <f ca="1">IFERROR(__xludf.DUMMYFUNCTION("""COMPUTED_VALUE"""),"auto-sklearn")</f>
        <v>auto-sklearn</v>
      </c>
      <c r="D71" s="4" t="s">
        <v>196</v>
      </c>
      <c r="E71" s="5">
        <v>42187.651504629626</v>
      </c>
      <c r="F71" s="5">
        <v>44294.912280092591</v>
      </c>
      <c r="G71" s="13">
        <f t="shared" si="6"/>
        <v>2107.2607754629644</v>
      </c>
      <c r="H71" s="6" t="b">
        <v>0</v>
      </c>
      <c r="I71" s="7" t="b">
        <v>1</v>
      </c>
      <c r="J71" s="8">
        <v>5336</v>
      </c>
      <c r="K71" s="8">
        <v>217</v>
      </c>
      <c r="L71" s="8">
        <v>976</v>
      </c>
      <c r="M71" s="8">
        <v>24</v>
      </c>
      <c r="N71" s="8">
        <v>7</v>
      </c>
      <c r="O71" s="8">
        <v>55</v>
      </c>
      <c r="P71" s="8">
        <v>421</v>
      </c>
      <c r="Q71" s="8">
        <v>11</v>
      </c>
      <c r="R71" s="8">
        <v>699</v>
      </c>
      <c r="S71" s="8">
        <v>98</v>
      </c>
      <c r="T71" s="3" t="s">
        <v>92</v>
      </c>
      <c r="U71" s="10">
        <v>21858</v>
      </c>
      <c r="V71" s="32">
        <v>193</v>
      </c>
      <c r="W71" s="27">
        <v>8.8297190959831639E-3</v>
      </c>
      <c r="X71" s="34">
        <v>73</v>
      </c>
      <c r="Y71" s="27">
        <v>0.37823834196891193</v>
      </c>
      <c r="Z71" s="27">
        <v>3.3397383109159116E-3</v>
      </c>
      <c r="AA71" s="35">
        <v>59</v>
      </c>
      <c r="AB71" s="27">
        <v>0.30569948186528495</v>
      </c>
      <c r="AC71" s="27">
        <f t="shared" si="7"/>
        <v>2.6992405526580659E-3</v>
      </c>
      <c r="AD71" s="36">
        <v>38</v>
      </c>
      <c r="AE71" s="27">
        <v>0.19689119170984457</v>
      </c>
      <c r="AF71" s="27">
        <f t="shared" si="8"/>
        <v>1.7384939152712965E-3</v>
      </c>
      <c r="AG71" s="37">
        <v>18</v>
      </c>
      <c r="AH71" s="27">
        <v>9.3264248704663211E-2</v>
      </c>
      <c r="AI71" s="27">
        <f t="shared" si="9"/>
        <v>8.2349711776008789E-4</v>
      </c>
      <c r="AJ71" s="38">
        <v>3</v>
      </c>
      <c r="AK71" s="27">
        <v>1.5544041450777202E-2</v>
      </c>
      <c r="AL71" s="27">
        <f t="shared" si="10"/>
        <v>1.372495196266813E-4</v>
      </c>
      <c r="AM71" s="40">
        <v>1</v>
      </c>
      <c r="AN71" s="27">
        <v>5.1813471502590676E-3</v>
      </c>
      <c r="AO71" s="27">
        <f t="shared" si="11"/>
        <v>4.5749839875560434E-5</v>
      </c>
      <c r="AP71" s="7" t="b">
        <v>1</v>
      </c>
      <c r="AQ71" s="6" t="b">
        <v>0</v>
      </c>
      <c r="AR71" s="6" t="b">
        <v>0</v>
      </c>
      <c r="AS71" s="6" t="b">
        <v>0</v>
      </c>
      <c r="AT71" s="7" t="b">
        <v>1</v>
      </c>
      <c r="AU71" s="6" t="b">
        <v>0</v>
      </c>
      <c r="AV71" s="6" t="b">
        <v>0</v>
      </c>
      <c r="AW71" s="6" t="b">
        <v>0</v>
      </c>
      <c r="AX71" s="6" t="b">
        <v>0</v>
      </c>
      <c r="AY71" s="6" t="b">
        <v>0</v>
      </c>
      <c r="AZ71" s="6" t="b">
        <v>0</v>
      </c>
      <c r="BA71" s="6" t="b">
        <v>0</v>
      </c>
      <c r="BB71" s="6" t="b">
        <v>0</v>
      </c>
    </row>
    <row r="72" spans="1:54" ht="15" x14ac:dyDescent="0.25">
      <c r="A72" s="3" t="s">
        <v>197</v>
      </c>
      <c r="B72" s="3" t="str">
        <f ca="1">IFERROR(__xludf.DUMMYFUNCTION("SPLIT(A72,""/"")"),"autorope")</f>
        <v>autorope</v>
      </c>
      <c r="C72" s="3" t="str">
        <f ca="1">IFERROR(__xludf.DUMMYFUNCTION("""COMPUTED_VALUE"""),"donkeycar")</f>
        <v>donkeycar</v>
      </c>
      <c r="D72" s="4" t="s">
        <v>198</v>
      </c>
      <c r="E72" s="5">
        <v>42714.274409722224</v>
      </c>
      <c r="F72" s="5">
        <v>44294.482581018521</v>
      </c>
      <c r="G72" s="13">
        <f t="shared" si="6"/>
        <v>1580.2081712962972</v>
      </c>
      <c r="H72" s="6" t="b">
        <v>0</v>
      </c>
      <c r="I72" s="7" t="b">
        <v>1</v>
      </c>
      <c r="J72" s="8">
        <v>2070</v>
      </c>
      <c r="K72" s="8">
        <v>148</v>
      </c>
      <c r="L72" s="8">
        <v>970</v>
      </c>
      <c r="M72" s="8">
        <v>8</v>
      </c>
      <c r="N72" s="8">
        <v>19</v>
      </c>
      <c r="O72" s="8">
        <v>109</v>
      </c>
      <c r="P72" s="8">
        <v>568</v>
      </c>
      <c r="Q72" s="8">
        <v>12</v>
      </c>
      <c r="R72" s="8">
        <v>265</v>
      </c>
      <c r="S72" s="8">
        <v>52</v>
      </c>
      <c r="T72" s="3" t="s">
        <v>72</v>
      </c>
      <c r="U72" s="10">
        <v>12940</v>
      </c>
      <c r="V72" s="32">
        <v>52</v>
      </c>
      <c r="W72" s="27">
        <v>4.0185471406491502E-3</v>
      </c>
      <c r="X72" s="34">
        <v>8</v>
      </c>
      <c r="Y72" s="27">
        <v>0.15384615384615385</v>
      </c>
      <c r="Z72" s="27">
        <v>6.1823802163833079E-4</v>
      </c>
      <c r="AA72" s="35">
        <v>25</v>
      </c>
      <c r="AB72" s="27">
        <v>0.48076923076923078</v>
      </c>
      <c r="AC72" s="27">
        <f t="shared" si="7"/>
        <v>1.9319938176197836E-3</v>
      </c>
      <c r="AD72" s="36">
        <v>3</v>
      </c>
      <c r="AE72" s="27">
        <v>5.7692307692307696E-2</v>
      </c>
      <c r="AF72" s="27">
        <f t="shared" si="8"/>
        <v>2.3183925811437405E-4</v>
      </c>
      <c r="AG72" s="37">
        <v>4</v>
      </c>
      <c r="AH72" s="27">
        <v>7.6923076923076927E-2</v>
      </c>
      <c r="AI72" s="27">
        <f t="shared" si="9"/>
        <v>3.0911901081916539E-4</v>
      </c>
      <c r="AJ72" s="38">
        <v>0</v>
      </c>
      <c r="AK72" s="27">
        <v>0</v>
      </c>
      <c r="AL72" s="27">
        <f t="shared" si="10"/>
        <v>0</v>
      </c>
      <c r="AM72" s="40">
        <v>9</v>
      </c>
      <c r="AN72" s="27">
        <v>0.17307692307692307</v>
      </c>
      <c r="AO72" s="27">
        <f t="shared" si="11"/>
        <v>6.9551777434312206E-4</v>
      </c>
      <c r="AP72" s="7" t="b">
        <v>1</v>
      </c>
      <c r="AQ72" s="6" t="b">
        <v>0</v>
      </c>
      <c r="AR72" s="6" t="b">
        <v>0</v>
      </c>
      <c r="AS72" s="6" t="b">
        <v>0</v>
      </c>
      <c r="AT72" s="7" t="b">
        <v>1</v>
      </c>
      <c r="AU72" s="6" t="b">
        <v>0</v>
      </c>
      <c r="AV72" s="6" t="b">
        <v>0</v>
      </c>
      <c r="AW72" s="6" t="b">
        <v>0</v>
      </c>
      <c r="AX72" s="6" t="b">
        <v>0</v>
      </c>
      <c r="AY72" s="6" t="b">
        <v>0</v>
      </c>
      <c r="AZ72" s="6" t="b">
        <v>0</v>
      </c>
      <c r="BA72" s="6" t="b">
        <v>0</v>
      </c>
      <c r="BB72" s="6" t="b">
        <v>0</v>
      </c>
    </row>
    <row r="73" spans="1:54" ht="15" x14ac:dyDescent="0.25">
      <c r="A73" s="3" t="s">
        <v>199</v>
      </c>
      <c r="B73" s="3" t="str">
        <f ca="1">IFERROR(__xludf.DUMMYFUNCTION("SPLIT(A73,""/"")"),"avatartwo")</f>
        <v>avatartwo</v>
      </c>
      <c r="C73" s="3" t="str">
        <f ca="1">IFERROR(__xludf.DUMMYFUNCTION("""COMPUTED_VALUE"""),"avatar2")</f>
        <v>avatar2</v>
      </c>
      <c r="D73" s="4" t="s">
        <v>200</v>
      </c>
      <c r="E73" s="5">
        <v>42899.688784722224</v>
      </c>
      <c r="F73" s="5">
        <v>44293.781423611108</v>
      </c>
      <c r="G73" s="13">
        <f t="shared" si="6"/>
        <v>1394.0926388888838</v>
      </c>
      <c r="H73" s="6" t="b">
        <v>0</v>
      </c>
      <c r="I73" s="7" t="b">
        <v>1</v>
      </c>
      <c r="J73" s="8">
        <v>337</v>
      </c>
      <c r="K73" s="8">
        <v>25</v>
      </c>
      <c r="L73" s="8">
        <v>75</v>
      </c>
      <c r="M73" s="8">
        <v>0</v>
      </c>
      <c r="N73" s="8">
        <v>0</v>
      </c>
      <c r="O73" s="8">
        <v>21</v>
      </c>
      <c r="P73" s="8">
        <v>53</v>
      </c>
      <c r="Q73" s="8">
        <v>0</v>
      </c>
      <c r="R73" s="8">
        <v>32</v>
      </c>
      <c r="S73" s="8">
        <v>5</v>
      </c>
      <c r="T73" s="3" t="s">
        <v>69</v>
      </c>
      <c r="U73" s="10">
        <v>5975</v>
      </c>
      <c r="V73" s="32">
        <v>232</v>
      </c>
      <c r="W73" s="27">
        <v>3.8828451882845186E-2</v>
      </c>
      <c r="X73" s="34">
        <v>92</v>
      </c>
      <c r="Y73" s="27">
        <v>0.39655172413793105</v>
      </c>
      <c r="Z73" s="27">
        <v>1.5397489539748954E-2</v>
      </c>
      <c r="AA73" s="35">
        <v>50</v>
      </c>
      <c r="AB73" s="27">
        <v>0.21551724137931033</v>
      </c>
      <c r="AC73" s="27">
        <f t="shared" si="7"/>
        <v>8.368200836820083E-3</v>
      </c>
      <c r="AD73" s="36">
        <v>37</v>
      </c>
      <c r="AE73" s="27">
        <v>0.15948275862068967</v>
      </c>
      <c r="AF73" s="27">
        <f t="shared" si="8"/>
        <v>6.1924686192468617E-3</v>
      </c>
      <c r="AG73" s="37">
        <v>32</v>
      </c>
      <c r="AH73" s="27">
        <v>0.13793103448275862</v>
      </c>
      <c r="AI73" s="27">
        <f t="shared" si="9"/>
        <v>5.3556485355648539E-3</v>
      </c>
      <c r="AJ73" s="38">
        <v>21</v>
      </c>
      <c r="AK73" s="27">
        <v>9.0517241379310345E-2</v>
      </c>
      <c r="AL73" s="27">
        <f t="shared" si="10"/>
        <v>3.5146443514644352E-3</v>
      </c>
      <c r="AM73" s="40">
        <v>0</v>
      </c>
      <c r="AN73" s="27">
        <v>0</v>
      </c>
      <c r="AO73" s="27">
        <f t="shared" si="11"/>
        <v>0</v>
      </c>
      <c r="AP73" s="7" t="b">
        <v>1</v>
      </c>
      <c r="AQ73" s="6" t="b">
        <v>0</v>
      </c>
      <c r="AR73" s="6" t="b">
        <v>0</v>
      </c>
      <c r="AS73" s="6" t="b">
        <v>0</v>
      </c>
      <c r="AT73" s="7" t="b">
        <v>1</v>
      </c>
      <c r="AU73" s="6" t="b">
        <v>0</v>
      </c>
      <c r="AV73" s="6" t="b">
        <v>0</v>
      </c>
      <c r="AW73" s="6" t="b">
        <v>0</v>
      </c>
      <c r="AX73" s="6" t="b">
        <v>0</v>
      </c>
      <c r="AY73" s="6" t="b">
        <v>0</v>
      </c>
      <c r="AZ73" s="6" t="b">
        <v>0</v>
      </c>
      <c r="BA73" s="6" t="b">
        <v>0</v>
      </c>
      <c r="BB73" s="6" t="b">
        <v>0</v>
      </c>
    </row>
    <row r="74" spans="1:54" ht="15" x14ac:dyDescent="0.25">
      <c r="A74" s="3" t="s">
        <v>201</v>
      </c>
      <c r="B74" s="3" t="str">
        <f ca="1">IFERROR(__xludf.DUMMYFUNCTION("SPLIT(A74,""/"")"),"awolfly9")</f>
        <v>awolfly9</v>
      </c>
      <c r="C74" s="3" t="str">
        <f ca="1">IFERROR(__xludf.DUMMYFUNCTION("""COMPUTED_VALUE"""),"IPProxyTool")</f>
        <v>IPProxyTool</v>
      </c>
      <c r="D74" s="4" t="s">
        <v>202</v>
      </c>
      <c r="E74" s="5">
        <v>42709.536354166667</v>
      </c>
      <c r="F74" s="5">
        <v>44294.260520833333</v>
      </c>
      <c r="G74" s="13">
        <f t="shared" si="6"/>
        <v>1584.7241666666669</v>
      </c>
      <c r="H74" s="6" t="b">
        <v>0</v>
      </c>
      <c r="I74" s="6" t="b">
        <v>0</v>
      </c>
      <c r="J74" s="8">
        <v>1750</v>
      </c>
      <c r="K74" s="8">
        <v>71</v>
      </c>
      <c r="L74" s="8">
        <v>365</v>
      </c>
      <c r="M74" s="8">
        <v>0</v>
      </c>
      <c r="N74" s="8">
        <v>0</v>
      </c>
      <c r="O74" s="8">
        <v>9</v>
      </c>
      <c r="P74" s="8">
        <v>29</v>
      </c>
      <c r="Q74" s="8">
        <v>5</v>
      </c>
      <c r="R74" s="8">
        <v>24</v>
      </c>
      <c r="S74" s="8">
        <v>0</v>
      </c>
      <c r="T74" s="3" t="s">
        <v>72</v>
      </c>
      <c r="U74" s="10">
        <v>1450</v>
      </c>
      <c r="V74" s="32">
        <v>57</v>
      </c>
      <c r="W74" s="27">
        <v>3.9310344827586205E-2</v>
      </c>
      <c r="X74" s="34">
        <v>15</v>
      </c>
      <c r="Y74" s="27">
        <v>0.26315789473684209</v>
      </c>
      <c r="Z74" s="27">
        <v>1.0344827586206896E-2</v>
      </c>
      <c r="AA74" s="35">
        <v>10</v>
      </c>
      <c r="AB74" s="27">
        <v>0.17543859649122806</v>
      </c>
      <c r="AC74" s="27">
        <f t="shared" si="7"/>
        <v>6.8965517241379309E-3</v>
      </c>
      <c r="AD74" s="36">
        <v>0</v>
      </c>
      <c r="AE74" s="27">
        <v>0</v>
      </c>
      <c r="AF74" s="27">
        <f t="shared" si="8"/>
        <v>0</v>
      </c>
      <c r="AG74" s="37">
        <v>22</v>
      </c>
      <c r="AH74" s="27">
        <v>0.38596491228070173</v>
      </c>
      <c r="AI74" s="27">
        <f t="shared" si="9"/>
        <v>1.5172413793103448E-2</v>
      </c>
      <c r="AJ74" s="38">
        <v>0</v>
      </c>
      <c r="AK74" s="27">
        <v>0</v>
      </c>
      <c r="AL74" s="27">
        <f t="shared" si="10"/>
        <v>0</v>
      </c>
      <c r="AM74" s="40">
        <v>10</v>
      </c>
      <c r="AN74" s="27">
        <v>0.17543859649122806</v>
      </c>
      <c r="AO74" s="27">
        <f t="shared" si="11"/>
        <v>6.8965517241379309E-3</v>
      </c>
      <c r="AP74" s="7" t="b">
        <v>1</v>
      </c>
      <c r="AQ74" s="6" t="b">
        <v>0</v>
      </c>
      <c r="AR74" s="6" t="b">
        <v>0</v>
      </c>
      <c r="AS74" s="6" t="b">
        <v>0</v>
      </c>
      <c r="AT74" s="7" t="b">
        <v>1</v>
      </c>
      <c r="AU74" s="6" t="b">
        <v>0</v>
      </c>
      <c r="AV74" s="6" t="b">
        <v>0</v>
      </c>
      <c r="AW74" s="6" t="b">
        <v>0</v>
      </c>
      <c r="AX74" s="6" t="b">
        <v>0</v>
      </c>
      <c r="AY74" s="6" t="b">
        <v>0</v>
      </c>
      <c r="AZ74" s="6" t="b">
        <v>0</v>
      </c>
      <c r="BA74" s="6" t="b">
        <v>0</v>
      </c>
      <c r="BB74" s="6" t="b">
        <v>0</v>
      </c>
    </row>
    <row r="75" spans="1:54" ht="15" x14ac:dyDescent="0.25">
      <c r="A75" s="3" t="s">
        <v>203</v>
      </c>
      <c r="B75" s="3" t="str">
        <f ca="1">IFERROR(__xludf.DUMMYFUNCTION("SPLIT(A75,""/"")"),"aws-cloudformation")</f>
        <v>aws-cloudformation</v>
      </c>
      <c r="C75" s="3" t="str">
        <f ca="1">IFERROR(__xludf.DUMMYFUNCTION("""COMPUTED_VALUE"""),"cfn-python-lint")</f>
        <v>cfn-python-lint</v>
      </c>
      <c r="D75" s="4" t="s">
        <v>204</v>
      </c>
      <c r="E75" s="5">
        <v>43200.969629629632</v>
      </c>
      <c r="F75" s="5">
        <v>44294.641435185185</v>
      </c>
      <c r="G75" s="13">
        <f t="shared" si="6"/>
        <v>1093.6718055555539</v>
      </c>
      <c r="H75" s="6" t="b">
        <v>0</v>
      </c>
      <c r="I75" s="7" t="b">
        <v>1</v>
      </c>
      <c r="J75" s="8">
        <v>1494</v>
      </c>
      <c r="K75" s="8">
        <v>47</v>
      </c>
      <c r="L75" s="8">
        <v>312</v>
      </c>
      <c r="M75" s="8">
        <v>150</v>
      </c>
      <c r="N75" s="8">
        <v>0</v>
      </c>
      <c r="O75" s="8">
        <v>111</v>
      </c>
      <c r="P75" s="8">
        <v>1282</v>
      </c>
      <c r="Q75" s="8">
        <v>12</v>
      </c>
      <c r="R75" s="8">
        <v>692</v>
      </c>
      <c r="S75" s="8">
        <v>73</v>
      </c>
      <c r="T75" s="3" t="s">
        <v>92</v>
      </c>
      <c r="U75" s="10">
        <v>16241</v>
      </c>
      <c r="V75" s="32">
        <v>143</v>
      </c>
      <c r="W75" s="27">
        <v>8.8048765470106517E-3</v>
      </c>
      <c r="X75" s="34">
        <v>103</v>
      </c>
      <c r="Y75" s="27">
        <v>0.72027972027972031</v>
      </c>
      <c r="Z75" s="27">
        <v>6.3419740163783017E-3</v>
      </c>
      <c r="AA75" s="35">
        <v>20</v>
      </c>
      <c r="AB75" s="27">
        <v>0.13986013986013987</v>
      </c>
      <c r="AC75" s="27">
        <f t="shared" si="7"/>
        <v>1.231451265316175E-3</v>
      </c>
      <c r="AD75" s="36">
        <v>4</v>
      </c>
      <c r="AE75" s="27">
        <v>2.7972027972027972E-2</v>
      </c>
      <c r="AF75" s="27">
        <f t="shared" si="8"/>
        <v>2.46290253063235E-4</v>
      </c>
      <c r="AG75" s="37">
        <v>16</v>
      </c>
      <c r="AH75" s="27">
        <v>0.11188811188811189</v>
      </c>
      <c r="AI75" s="27">
        <f t="shared" si="9"/>
        <v>9.8516101225294E-4</v>
      </c>
      <c r="AJ75" s="38">
        <v>0</v>
      </c>
      <c r="AK75" s="27">
        <v>0</v>
      </c>
      <c r="AL75" s="27">
        <f t="shared" si="10"/>
        <v>0</v>
      </c>
      <c r="AM75" s="40">
        <v>0</v>
      </c>
      <c r="AN75" s="27">
        <v>0</v>
      </c>
      <c r="AO75" s="27">
        <f t="shared" si="11"/>
        <v>0</v>
      </c>
      <c r="AP75" s="7" t="b">
        <v>1</v>
      </c>
      <c r="AQ75" s="6" t="b">
        <v>0</v>
      </c>
      <c r="AR75" s="6" t="b">
        <v>0</v>
      </c>
      <c r="AS75" s="6" t="b">
        <v>0</v>
      </c>
      <c r="AT75" s="7" t="b">
        <v>1</v>
      </c>
      <c r="AU75" s="6" t="b">
        <v>0</v>
      </c>
      <c r="AV75" s="6" t="b">
        <v>0</v>
      </c>
      <c r="AW75" s="6" t="b">
        <v>0</v>
      </c>
      <c r="AX75" s="6" t="b">
        <v>0</v>
      </c>
      <c r="AY75" s="6" t="b">
        <v>0</v>
      </c>
      <c r="AZ75" s="6" t="b">
        <v>0</v>
      </c>
      <c r="BA75" s="6" t="b">
        <v>0</v>
      </c>
      <c r="BB75" s="6" t="b">
        <v>0</v>
      </c>
    </row>
    <row r="76" spans="1:54" ht="15" x14ac:dyDescent="0.25">
      <c r="A76" s="3" t="s">
        <v>205</v>
      </c>
      <c r="B76" s="3" t="str">
        <f ca="1">IFERROR(__xludf.DUMMYFUNCTION("SPLIT(A76,""/"")"),"aws-quickstart")</f>
        <v>aws-quickstart</v>
      </c>
      <c r="C76" s="3" t="str">
        <f ca="1">IFERROR(__xludf.DUMMYFUNCTION("""COMPUTED_VALUE"""),"taskcat")</f>
        <v>taskcat</v>
      </c>
      <c r="D76" s="4" t="s">
        <v>206</v>
      </c>
      <c r="E76" s="5">
        <v>42689.020150462966</v>
      </c>
      <c r="F76" s="5">
        <v>44293.181770833333</v>
      </c>
      <c r="G76" s="13">
        <f t="shared" si="6"/>
        <v>1604.161620370367</v>
      </c>
      <c r="H76" s="6" t="b">
        <v>0</v>
      </c>
      <c r="I76" s="7" t="b">
        <v>1</v>
      </c>
      <c r="J76" s="8">
        <v>809</v>
      </c>
      <c r="K76" s="8">
        <v>41</v>
      </c>
      <c r="L76" s="8">
        <v>160</v>
      </c>
      <c r="M76" s="8">
        <v>45</v>
      </c>
      <c r="N76" s="8">
        <v>2</v>
      </c>
      <c r="O76" s="8">
        <v>32</v>
      </c>
      <c r="P76" s="8">
        <v>373</v>
      </c>
      <c r="Q76" s="8">
        <v>5</v>
      </c>
      <c r="R76" s="8">
        <v>283</v>
      </c>
      <c r="S76" s="8">
        <v>50</v>
      </c>
      <c r="T76" s="3" t="s">
        <v>69</v>
      </c>
      <c r="U76" s="10">
        <v>6934</v>
      </c>
      <c r="V76" s="32">
        <v>132</v>
      </c>
      <c r="W76" s="27">
        <v>1.9036631093164121E-2</v>
      </c>
      <c r="X76" s="34">
        <v>17</v>
      </c>
      <c r="Y76" s="27">
        <v>0.12878787878787878</v>
      </c>
      <c r="Z76" s="27">
        <v>2.4516873377559852E-3</v>
      </c>
      <c r="AA76" s="35">
        <v>50</v>
      </c>
      <c r="AB76" s="27">
        <v>0.37878787878787878</v>
      </c>
      <c r="AC76" s="27">
        <f t="shared" si="7"/>
        <v>7.2108451110470149E-3</v>
      </c>
      <c r="AD76" s="36">
        <v>33</v>
      </c>
      <c r="AE76" s="27">
        <v>0.25</v>
      </c>
      <c r="AF76" s="27">
        <f t="shared" si="8"/>
        <v>4.7591577732910301E-3</v>
      </c>
      <c r="AG76" s="37">
        <v>32</v>
      </c>
      <c r="AH76" s="27">
        <v>0.24242424242424243</v>
      </c>
      <c r="AI76" s="27">
        <f t="shared" si="9"/>
        <v>4.614940871070089E-3</v>
      </c>
      <c r="AJ76" s="38">
        <v>0</v>
      </c>
      <c r="AK76" s="27">
        <v>0</v>
      </c>
      <c r="AL76" s="27">
        <f t="shared" si="10"/>
        <v>0</v>
      </c>
      <c r="AM76" s="40">
        <v>0</v>
      </c>
      <c r="AN76" s="27">
        <v>0</v>
      </c>
      <c r="AO76" s="27">
        <f t="shared" si="11"/>
        <v>0</v>
      </c>
      <c r="AP76" s="7" t="b">
        <v>1</v>
      </c>
      <c r="AQ76" s="6" t="b">
        <v>0</v>
      </c>
      <c r="AR76" s="6" t="b">
        <v>0</v>
      </c>
      <c r="AS76" s="6" t="b">
        <v>0</v>
      </c>
      <c r="AT76" s="7" t="b">
        <v>1</v>
      </c>
      <c r="AU76" s="6" t="b">
        <v>0</v>
      </c>
      <c r="AV76" s="6" t="b">
        <v>0</v>
      </c>
      <c r="AW76" s="6" t="b">
        <v>0</v>
      </c>
      <c r="AX76" s="6" t="b">
        <v>0</v>
      </c>
      <c r="AY76" s="6" t="b">
        <v>0</v>
      </c>
      <c r="AZ76" s="6" t="b">
        <v>0</v>
      </c>
      <c r="BA76" s="6" t="b">
        <v>0</v>
      </c>
      <c r="BB76" s="6" t="b">
        <v>0</v>
      </c>
    </row>
    <row r="77" spans="1:54" ht="15" x14ac:dyDescent="0.25">
      <c r="A77" s="3" t="s">
        <v>207</v>
      </c>
      <c r="B77" s="3" t="str">
        <f ca="1">IFERROR(__xludf.DUMMYFUNCTION("SPLIT(A77,""/"")"),"aws-samples")</f>
        <v>aws-samples</v>
      </c>
      <c r="C77" s="3" t="str">
        <f ca="1">IFERROR(__xludf.DUMMYFUNCTION("""COMPUTED_VALUE"""),"aws-cdk-examples")</f>
        <v>aws-cdk-examples</v>
      </c>
      <c r="D77" s="4" t="s">
        <v>208</v>
      </c>
      <c r="E77" s="5">
        <v>43497.969930555555</v>
      </c>
      <c r="F77" s="5">
        <v>44295.106990740744</v>
      </c>
      <c r="G77" s="13">
        <f t="shared" si="6"/>
        <v>797.1370601851886</v>
      </c>
      <c r="H77" s="6" t="b">
        <v>0</v>
      </c>
      <c r="I77" s="7" t="b">
        <v>1</v>
      </c>
      <c r="J77" s="8">
        <v>1859</v>
      </c>
      <c r="K77" s="8">
        <v>66</v>
      </c>
      <c r="L77" s="8">
        <v>757</v>
      </c>
      <c r="M77" s="8">
        <v>0</v>
      </c>
      <c r="N77" s="8">
        <v>8</v>
      </c>
      <c r="O77" s="8">
        <v>90</v>
      </c>
      <c r="P77" s="8">
        <v>275</v>
      </c>
      <c r="Q77" s="8">
        <v>38</v>
      </c>
      <c r="R77" s="8">
        <v>139</v>
      </c>
      <c r="S77" s="8">
        <v>54</v>
      </c>
      <c r="T77" s="3" t="s">
        <v>69</v>
      </c>
      <c r="U77" s="10">
        <v>1608</v>
      </c>
      <c r="V77" s="32">
        <v>24</v>
      </c>
      <c r="W77" s="27">
        <v>1.4925373134328358E-2</v>
      </c>
      <c r="X77" s="34">
        <v>1</v>
      </c>
      <c r="Y77" s="27">
        <v>4.1666666666666664E-2</v>
      </c>
      <c r="Z77" s="27">
        <v>6.2189054726368158E-4</v>
      </c>
      <c r="AA77" s="35">
        <v>15</v>
      </c>
      <c r="AB77" s="27">
        <v>0.625</v>
      </c>
      <c r="AC77" s="27">
        <f t="shared" si="7"/>
        <v>9.3283582089552231E-3</v>
      </c>
      <c r="AD77" s="36">
        <v>0</v>
      </c>
      <c r="AE77" s="27">
        <v>0</v>
      </c>
      <c r="AF77" s="27">
        <f t="shared" si="8"/>
        <v>0</v>
      </c>
      <c r="AG77" s="37">
        <v>4</v>
      </c>
      <c r="AH77" s="27">
        <v>0.16666666666666666</v>
      </c>
      <c r="AI77" s="27">
        <f t="shared" si="9"/>
        <v>2.4875621890547263E-3</v>
      </c>
      <c r="AJ77" s="38">
        <v>0</v>
      </c>
      <c r="AK77" s="27">
        <v>0</v>
      </c>
      <c r="AL77" s="27">
        <f t="shared" si="10"/>
        <v>0</v>
      </c>
      <c r="AM77" s="40">
        <v>0</v>
      </c>
      <c r="AN77" s="27">
        <v>0</v>
      </c>
      <c r="AO77" s="27">
        <f t="shared" si="11"/>
        <v>0</v>
      </c>
      <c r="AP77" s="7" t="b">
        <v>1</v>
      </c>
      <c r="AQ77" s="6" t="b">
        <v>0</v>
      </c>
      <c r="AR77" s="6" t="b">
        <v>0</v>
      </c>
      <c r="AS77" s="6" t="b">
        <v>0</v>
      </c>
      <c r="AT77" s="7" t="b">
        <v>1</v>
      </c>
      <c r="AU77" s="6" t="b">
        <v>0</v>
      </c>
      <c r="AV77" s="6" t="b">
        <v>0</v>
      </c>
      <c r="AW77" s="6" t="b">
        <v>0</v>
      </c>
      <c r="AX77" s="6" t="b">
        <v>0</v>
      </c>
      <c r="AY77" s="6" t="b">
        <v>0</v>
      </c>
      <c r="AZ77" s="6" t="b">
        <v>0</v>
      </c>
      <c r="BA77" s="6" t="b">
        <v>0</v>
      </c>
      <c r="BB77" s="6" t="b">
        <v>0</v>
      </c>
    </row>
    <row r="78" spans="1:54" ht="15" x14ac:dyDescent="0.25">
      <c r="A78" s="3" t="s">
        <v>209</v>
      </c>
      <c r="B78" s="3" t="str">
        <f ca="1">IFERROR(__xludf.DUMMYFUNCTION("SPLIT(A78,""/"")"),"aws-samples")</f>
        <v>aws-samples</v>
      </c>
      <c r="C78" s="3" t="str">
        <f ca="1">IFERROR(__xludf.DUMMYFUNCTION("""COMPUTED_VALUE"""),"aws-glue-samples")</f>
        <v>aws-glue-samples</v>
      </c>
      <c r="D78" s="4" t="s">
        <v>210</v>
      </c>
      <c r="E78" s="5">
        <v>42876.198414351849</v>
      </c>
      <c r="F78" s="5">
        <v>44294.052164351851</v>
      </c>
      <c r="G78" s="13">
        <f t="shared" si="6"/>
        <v>1417.853750000002</v>
      </c>
      <c r="H78" s="6" t="b">
        <v>0</v>
      </c>
      <c r="I78" s="7" t="b">
        <v>1</v>
      </c>
      <c r="J78" s="8">
        <v>841</v>
      </c>
      <c r="K78" s="8">
        <v>78</v>
      </c>
      <c r="L78" s="8">
        <v>436</v>
      </c>
      <c r="M78" s="8">
        <v>0</v>
      </c>
      <c r="N78" s="8">
        <v>0</v>
      </c>
      <c r="O78" s="8">
        <v>17</v>
      </c>
      <c r="P78" s="8">
        <v>25</v>
      </c>
      <c r="Q78" s="8">
        <v>5</v>
      </c>
      <c r="R78" s="8">
        <v>61</v>
      </c>
      <c r="S78" s="8">
        <v>23</v>
      </c>
      <c r="T78" s="3" t="s">
        <v>92</v>
      </c>
      <c r="U78" s="10">
        <v>1212</v>
      </c>
      <c r="V78" s="32">
        <v>2</v>
      </c>
      <c r="W78" s="27">
        <v>1.6501650165016502E-3</v>
      </c>
      <c r="X78" s="34">
        <v>0</v>
      </c>
      <c r="Y78" s="27">
        <v>0</v>
      </c>
      <c r="Z78" s="27">
        <v>0</v>
      </c>
      <c r="AA78" s="35">
        <v>0</v>
      </c>
      <c r="AB78" s="27">
        <v>0</v>
      </c>
      <c r="AC78" s="27">
        <f t="shared" si="7"/>
        <v>0</v>
      </c>
      <c r="AD78" s="36">
        <v>1</v>
      </c>
      <c r="AE78" s="27">
        <v>0.5</v>
      </c>
      <c r="AF78" s="27">
        <f t="shared" si="8"/>
        <v>8.2508250825082509E-4</v>
      </c>
      <c r="AG78" s="37">
        <v>1</v>
      </c>
      <c r="AH78" s="27">
        <v>0.5</v>
      </c>
      <c r="AI78" s="27">
        <f t="shared" si="9"/>
        <v>8.2508250825082509E-4</v>
      </c>
      <c r="AJ78" s="38">
        <v>0</v>
      </c>
      <c r="AK78" s="27">
        <v>0</v>
      </c>
      <c r="AL78" s="27">
        <f t="shared" si="10"/>
        <v>0</v>
      </c>
      <c r="AM78" s="40">
        <v>0</v>
      </c>
      <c r="AN78" s="27">
        <v>0</v>
      </c>
      <c r="AO78" s="27">
        <f t="shared" si="11"/>
        <v>0</v>
      </c>
      <c r="AP78" s="7" t="b">
        <v>1</v>
      </c>
      <c r="AQ78" s="6" t="b">
        <v>0</v>
      </c>
      <c r="AR78" s="6" t="b">
        <v>0</v>
      </c>
      <c r="AS78" s="6" t="b">
        <v>0</v>
      </c>
      <c r="AT78" s="7" t="b">
        <v>1</v>
      </c>
      <c r="AU78" s="6" t="b">
        <v>0</v>
      </c>
      <c r="AV78" s="6" t="b">
        <v>0</v>
      </c>
      <c r="AW78" s="6" t="b">
        <v>0</v>
      </c>
      <c r="AX78" s="6" t="b">
        <v>0</v>
      </c>
      <c r="AY78" s="6" t="b">
        <v>0</v>
      </c>
      <c r="AZ78" s="6" t="b">
        <v>0</v>
      </c>
      <c r="BA78" s="6" t="b">
        <v>0</v>
      </c>
      <c r="BB78" s="6" t="b">
        <v>0</v>
      </c>
    </row>
    <row r="79" spans="1:54" ht="15" x14ac:dyDescent="0.25">
      <c r="A79" s="3" t="s">
        <v>211</v>
      </c>
      <c r="B79" s="3" t="str">
        <f ca="1">IFERROR(__xludf.DUMMYFUNCTION("SPLIT(A79,""/"")"),"aws")</f>
        <v>aws</v>
      </c>
      <c r="C79" s="3" t="str">
        <f ca="1">IFERROR(__xludf.DUMMYFUNCTION("""COMPUTED_VALUE"""),"aws-parallelcluster")</f>
        <v>aws-parallelcluster</v>
      </c>
      <c r="D79" s="4" t="s">
        <v>212</v>
      </c>
      <c r="E79" s="5">
        <v>41771.946053240739</v>
      </c>
      <c r="F79" s="5">
        <v>44294.86451388889</v>
      </c>
      <c r="G79" s="13">
        <f t="shared" si="6"/>
        <v>2522.9184606481504</v>
      </c>
      <c r="H79" s="6" t="b">
        <v>0</v>
      </c>
      <c r="I79" s="7" t="b">
        <v>1</v>
      </c>
      <c r="J79" s="8">
        <v>607</v>
      </c>
      <c r="K79" s="8">
        <v>104</v>
      </c>
      <c r="L79" s="8">
        <v>217</v>
      </c>
      <c r="M79" s="8">
        <v>49</v>
      </c>
      <c r="N79" s="8">
        <v>11</v>
      </c>
      <c r="O79" s="8">
        <v>51</v>
      </c>
      <c r="P79" s="8">
        <v>1797</v>
      </c>
      <c r="Q79" s="8">
        <v>14</v>
      </c>
      <c r="R79" s="8">
        <v>824</v>
      </c>
      <c r="S79" s="8">
        <v>69</v>
      </c>
      <c r="T79" s="3" t="s">
        <v>69</v>
      </c>
      <c r="U79" s="10">
        <v>19592</v>
      </c>
      <c r="V79" s="32">
        <v>767</v>
      </c>
      <c r="W79" s="27">
        <v>3.9148632094732544E-2</v>
      </c>
      <c r="X79" s="34">
        <v>93</v>
      </c>
      <c r="Y79" s="27">
        <v>0.121251629726206</v>
      </c>
      <c r="Z79" s="27">
        <v>4.7468354430379748E-3</v>
      </c>
      <c r="AA79" s="35">
        <v>460</v>
      </c>
      <c r="AB79" s="27">
        <v>0.59973924380704047</v>
      </c>
      <c r="AC79" s="27">
        <f t="shared" si="7"/>
        <v>2.347897100857493E-2</v>
      </c>
      <c r="AD79" s="36">
        <v>37</v>
      </c>
      <c r="AE79" s="27">
        <v>4.8239895697522815E-2</v>
      </c>
      <c r="AF79" s="27">
        <f t="shared" si="8"/>
        <v>1.8885259289505921E-3</v>
      </c>
      <c r="AG79" s="37">
        <v>150</v>
      </c>
      <c r="AH79" s="27">
        <v>0.19556714471968709</v>
      </c>
      <c r="AI79" s="27">
        <f t="shared" si="9"/>
        <v>7.656186198448346E-3</v>
      </c>
      <c r="AJ79" s="38">
        <v>23</v>
      </c>
      <c r="AK79" s="27">
        <v>2.9986962190352021E-2</v>
      </c>
      <c r="AL79" s="27">
        <f t="shared" si="10"/>
        <v>1.1739485504287464E-3</v>
      </c>
      <c r="AM79" s="40">
        <v>0</v>
      </c>
      <c r="AN79" s="27">
        <v>0</v>
      </c>
      <c r="AO79" s="27">
        <f t="shared" si="11"/>
        <v>0</v>
      </c>
      <c r="AP79" s="7" t="b">
        <v>1</v>
      </c>
      <c r="AQ79" s="6" t="b">
        <v>0</v>
      </c>
      <c r="AR79" s="6" t="b">
        <v>0</v>
      </c>
      <c r="AS79" s="6" t="b">
        <v>0</v>
      </c>
      <c r="AT79" s="7" t="b">
        <v>1</v>
      </c>
      <c r="AU79" s="6" t="b">
        <v>0</v>
      </c>
      <c r="AV79" s="6" t="b">
        <v>0</v>
      </c>
      <c r="AW79" s="6" t="b">
        <v>0</v>
      </c>
      <c r="AX79" s="6" t="b">
        <v>0</v>
      </c>
      <c r="AY79" s="6" t="b">
        <v>0</v>
      </c>
      <c r="AZ79" s="6" t="b">
        <v>0</v>
      </c>
      <c r="BA79" s="6" t="b">
        <v>0</v>
      </c>
      <c r="BB79" s="6" t="b">
        <v>0</v>
      </c>
    </row>
    <row r="80" spans="1:54" ht="15" x14ac:dyDescent="0.25">
      <c r="A80" s="3" t="s">
        <v>213</v>
      </c>
      <c r="B80" s="3" t="str">
        <f ca="1">IFERROR(__xludf.DUMMYFUNCTION("SPLIT(A80,""/"")"),"aws")</f>
        <v>aws</v>
      </c>
      <c r="C80" s="3" t="str">
        <f ca="1">IFERROR(__xludf.DUMMYFUNCTION("""COMPUTED_VALUE"""),"aws-sam-cli")</f>
        <v>aws-sam-cli</v>
      </c>
      <c r="D80" s="4" t="s">
        <v>214</v>
      </c>
      <c r="E80" s="5">
        <v>42878.761377314811</v>
      </c>
      <c r="F80" s="5">
        <v>44294.110254629632</v>
      </c>
      <c r="G80" s="13">
        <f t="shared" si="6"/>
        <v>1415.3488773148201</v>
      </c>
      <c r="H80" s="6" t="b">
        <v>0</v>
      </c>
      <c r="I80" s="7" t="b">
        <v>1</v>
      </c>
      <c r="J80" s="8">
        <v>5482</v>
      </c>
      <c r="K80" s="8">
        <v>162</v>
      </c>
      <c r="L80" s="8">
        <v>828</v>
      </c>
      <c r="M80" s="8">
        <v>98</v>
      </c>
      <c r="N80" s="8">
        <v>6</v>
      </c>
      <c r="O80" s="8">
        <v>197</v>
      </c>
      <c r="P80" s="8">
        <v>1200</v>
      </c>
      <c r="Q80" s="8">
        <v>25</v>
      </c>
      <c r="R80" s="8">
        <v>1550</v>
      </c>
      <c r="S80" s="8">
        <v>332</v>
      </c>
      <c r="T80" s="3" t="s">
        <v>69</v>
      </c>
      <c r="U80" s="10">
        <v>35953</v>
      </c>
      <c r="V80" s="32">
        <v>402</v>
      </c>
      <c r="W80" s="27">
        <v>1.1181264428559509E-2</v>
      </c>
      <c r="X80" s="34">
        <v>216</v>
      </c>
      <c r="Y80" s="27">
        <v>0.53731343283582089</v>
      </c>
      <c r="Z80" s="27">
        <v>6.0078435735543625E-3</v>
      </c>
      <c r="AA80" s="35">
        <v>132</v>
      </c>
      <c r="AB80" s="27">
        <v>0.32835820895522388</v>
      </c>
      <c r="AC80" s="27">
        <f t="shared" si="7"/>
        <v>3.6714599616165548E-3</v>
      </c>
      <c r="AD80" s="36">
        <v>16</v>
      </c>
      <c r="AE80" s="27">
        <v>3.9800995024875621E-2</v>
      </c>
      <c r="AF80" s="27">
        <f t="shared" si="8"/>
        <v>4.4502544989291577E-4</v>
      </c>
      <c r="AG80" s="37">
        <v>38</v>
      </c>
      <c r="AH80" s="27">
        <v>9.4527363184079602E-2</v>
      </c>
      <c r="AI80" s="27">
        <f t="shared" si="9"/>
        <v>1.0569354434956748E-3</v>
      </c>
      <c r="AJ80" s="38">
        <v>0</v>
      </c>
      <c r="AK80" s="27">
        <v>0</v>
      </c>
      <c r="AL80" s="27">
        <f t="shared" si="10"/>
        <v>0</v>
      </c>
      <c r="AM80" s="40">
        <v>0</v>
      </c>
      <c r="AN80" s="27">
        <v>0</v>
      </c>
      <c r="AO80" s="27">
        <f t="shared" si="11"/>
        <v>0</v>
      </c>
      <c r="AP80" s="7" t="b">
        <v>1</v>
      </c>
      <c r="AQ80" s="6" t="b">
        <v>0</v>
      </c>
      <c r="AR80" s="6" t="b">
        <v>0</v>
      </c>
      <c r="AS80" s="6" t="b">
        <v>0</v>
      </c>
      <c r="AT80" s="7" t="b">
        <v>1</v>
      </c>
      <c r="AU80" s="6" t="b">
        <v>0</v>
      </c>
      <c r="AV80" s="6" t="b">
        <v>0</v>
      </c>
      <c r="AW80" s="6" t="b">
        <v>0</v>
      </c>
      <c r="AX80" s="6" t="b">
        <v>0</v>
      </c>
      <c r="AY80" s="6" t="b">
        <v>0</v>
      </c>
      <c r="AZ80" s="6" t="b">
        <v>0</v>
      </c>
      <c r="BA80" s="6" t="b">
        <v>0</v>
      </c>
      <c r="BB80" s="6" t="b">
        <v>0</v>
      </c>
    </row>
    <row r="81" spans="1:54" ht="15" x14ac:dyDescent="0.25">
      <c r="A81" s="3" t="s">
        <v>215</v>
      </c>
      <c r="B81" s="3" t="str">
        <f ca="1">IFERROR(__xludf.DUMMYFUNCTION("SPLIT(A81,""/"")"),"aws")</f>
        <v>aws</v>
      </c>
      <c r="C81" s="3" t="str">
        <f ca="1">IFERROR(__xludf.DUMMYFUNCTION("""COMPUTED_VALUE"""),"sagemaker-python-sdk")</f>
        <v>sagemaker-python-sdk</v>
      </c>
      <c r="D81" s="4" t="s">
        <v>216</v>
      </c>
      <c r="E81" s="5">
        <v>43053.044131944444</v>
      </c>
      <c r="F81" s="5">
        <v>44294.980925925927</v>
      </c>
      <c r="G81" s="13">
        <f t="shared" si="6"/>
        <v>1241.9367939814838</v>
      </c>
      <c r="H81" s="6" t="b">
        <v>0</v>
      </c>
      <c r="I81" s="7" t="b">
        <v>1</v>
      </c>
      <c r="J81" s="8">
        <v>1357</v>
      </c>
      <c r="K81" s="8">
        <v>103</v>
      </c>
      <c r="L81" s="8">
        <v>591</v>
      </c>
      <c r="M81" s="8">
        <v>329</v>
      </c>
      <c r="N81" s="8">
        <v>21</v>
      </c>
      <c r="O81" s="8">
        <v>188</v>
      </c>
      <c r="P81" s="8">
        <v>1486</v>
      </c>
      <c r="Q81" s="8">
        <v>11</v>
      </c>
      <c r="R81" s="8">
        <v>781</v>
      </c>
      <c r="S81" s="8">
        <v>240</v>
      </c>
      <c r="T81" s="3" t="s">
        <v>69</v>
      </c>
      <c r="U81" s="10">
        <v>44713</v>
      </c>
      <c r="V81" s="32">
        <v>218</v>
      </c>
      <c r="W81" s="27">
        <v>4.8755395522554965E-3</v>
      </c>
      <c r="X81" s="34">
        <v>34</v>
      </c>
      <c r="Y81" s="27">
        <v>0.15596330275229359</v>
      </c>
      <c r="Z81" s="27">
        <v>7.6040525126920588E-4</v>
      </c>
      <c r="AA81" s="35">
        <v>92</v>
      </c>
      <c r="AB81" s="27">
        <v>0.42201834862385323</v>
      </c>
      <c r="AC81" s="27">
        <f t="shared" si="7"/>
        <v>2.057567150493145E-3</v>
      </c>
      <c r="AD81" s="36">
        <v>57</v>
      </c>
      <c r="AE81" s="27">
        <v>0.26146788990825687</v>
      </c>
      <c r="AF81" s="27">
        <f t="shared" si="8"/>
        <v>1.2747970388924921E-3</v>
      </c>
      <c r="AG81" s="37">
        <v>35</v>
      </c>
      <c r="AH81" s="27">
        <v>0.16055045871559634</v>
      </c>
      <c r="AI81" s="27">
        <f t="shared" si="9"/>
        <v>7.827701116006531E-4</v>
      </c>
      <c r="AJ81" s="38">
        <v>0</v>
      </c>
      <c r="AK81" s="27">
        <v>0</v>
      </c>
      <c r="AL81" s="27">
        <f t="shared" si="10"/>
        <v>0</v>
      </c>
      <c r="AM81" s="40">
        <v>0</v>
      </c>
      <c r="AN81" s="27">
        <v>0</v>
      </c>
      <c r="AO81" s="27">
        <f t="shared" si="11"/>
        <v>0</v>
      </c>
      <c r="AP81" s="7" t="b">
        <v>1</v>
      </c>
      <c r="AQ81" s="6" t="b">
        <v>0</v>
      </c>
      <c r="AR81" s="6" t="b">
        <v>0</v>
      </c>
      <c r="AS81" s="6" t="b">
        <v>0</v>
      </c>
      <c r="AT81" s="7" t="b">
        <v>1</v>
      </c>
      <c r="AU81" s="6" t="b">
        <v>0</v>
      </c>
      <c r="AV81" s="6" t="b">
        <v>0</v>
      </c>
      <c r="AW81" s="6" t="b">
        <v>0</v>
      </c>
      <c r="AX81" s="6" t="b">
        <v>0</v>
      </c>
      <c r="AY81" s="6" t="b">
        <v>0</v>
      </c>
      <c r="AZ81" s="6" t="b">
        <v>0</v>
      </c>
      <c r="BA81" s="6" t="b">
        <v>0</v>
      </c>
      <c r="BB81" s="6" t="b">
        <v>0</v>
      </c>
    </row>
    <row r="82" spans="1:54" ht="15" x14ac:dyDescent="0.25">
      <c r="A82" s="3" t="s">
        <v>217</v>
      </c>
      <c r="B82" s="3" t="str">
        <f ca="1">IFERROR(__xludf.DUMMYFUNCTION("SPLIT(A82,""/"")"),"awslabs")</f>
        <v>awslabs</v>
      </c>
      <c r="C82" s="3" t="str">
        <f ca="1">IFERROR(__xludf.DUMMYFUNCTION("""COMPUTED_VALUE"""),"amazon-redshift-utils")</f>
        <v>amazon-redshift-utils</v>
      </c>
      <c r="D82" s="4" t="s">
        <v>218</v>
      </c>
      <c r="E82" s="5">
        <v>41982.39570601852</v>
      </c>
      <c r="F82" s="5">
        <v>44294.885104166664</v>
      </c>
      <c r="G82" s="13">
        <f t="shared" si="6"/>
        <v>2312.4893981481437</v>
      </c>
      <c r="H82" s="6" t="b">
        <v>0</v>
      </c>
      <c r="I82" s="7" t="b">
        <v>1</v>
      </c>
      <c r="J82" s="8">
        <v>2083</v>
      </c>
      <c r="K82" s="8">
        <v>231</v>
      </c>
      <c r="L82" s="8">
        <v>981</v>
      </c>
      <c r="M82" s="8">
        <v>0</v>
      </c>
      <c r="N82" s="8">
        <v>12</v>
      </c>
      <c r="O82" s="8">
        <v>123</v>
      </c>
      <c r="P82" s="8">
        <v>351</v>
      </c>
      <c r="Q82" s="8">
        <v>9</v>
      </c>
      <c r="R82" s="8">
        <v>189</v>
      </c>
      <c r="S82" s="8">
        <v>80</v>
      </c>
      <c r="T82" s="3" t="s">
        <v>92</v>
      </c>
      <c r="U82" s="10">
        <v>6664</v>
      </c>
      <c r="V82" s="32">
        <v>213</v>
      </c>
      <c r="W82" s="27">
        <v>3.1962785114045621E-2</v>
      </c>
      <c r="X82" s="34">
        <v>62</v>
      </c>
      <c r="Y82" s="27">
        <v>0.29107981220657275</v>
      </c>
      <c r="Z82" s="27">
        <v>9.3037214885954376E-3</v>
      </c>
      <c r="AA82" s="35">
        <v>74</v>
      </c>
      <c r="AB82" s="27">
        <v>0.34741784037558687</v>
      </c>
      <c r="AC82" s="27">
        <f t="shared" si="7"/>
        <v>1.1104441776710685E-2</v>
      </c>
      <c r="AD82" s="36">
        <v>11</v>
      </c>
      <c r="AE82" s="27">
        <v>5.1643192488262914E-2</v>
      </c>
      <c r="AF82" s="27">
        <f t="shared" si="8"/>
        <v>1.6506602641056423E-3</v>
      </c>
      <c r="AG82" s="37">
        <v>57</v>
      </c>
      <c r="AH82" s="27">
        <v>0.26760563380281688</v>
      </c>
      <c r="AI82" s="27">
        <f t="shared" si="9"/>
        <v>8.5534213685474186E-3</v>
      </c>
      <c r="AJ82" s="38">
        <v>8</v>
      </c>
      <c r="AK82" s="27">
        <v>3.7558685446009391E-2</v>
      </c>
      <c r="AL82" s="27">
        <f t="shared" si="10"/>
        <v>1.2004801920768306E-3</v>
      </c>
      <c r="AM82" s="40">
        <v>0</v>
      </c>
      <c r="AN82" s="27">
        <v>0</v>
      </c>
      <c r="AO82" s="27">
        <f t="shared" si="11"/>
        <v>0</v>
      </c>
      <c r="AP82" s="7" t="b">
        <v>1</v>
      </c>
      <c r="AQ82" s="6" t="b">
        <v>0</v>
      </c>
      <c r="AR82" s="6" t="b">
        <v>0</v>
      </c>
      <c r="AS82" s="6" t="b">
        <v>0</v>
      </c>
      <c r="AT82" s="7" t="b">
        <v>1</v>
      </c>
      <c r="AU82" s="6" t="b">
        <v>0</v>
      </c>
      <c r="AV82" s="6" t="b">
        <v>0</v>
      </c>
      <c r="AW82" s="6" t="b">
        <v>0</v>
      </c>
      <c r="AX82" s="6" t="b">
        <v>0</v>
      </c>
      <c r="AY82" s="6" t="b">
        <v>0</v>
      </c>
      <c r="AZ82" s="6" t="b">
        <v>0</v>
      </c>
      <c r="BA82" s="6" t="b">
        <v>0</v>
      </c>
      <c r="BB82" s="6" t="b">
        <v>0</v>
      </c>
    </row>
    <row r="83" spans="1:54" ht="15" x14ac:dyDescent="0.25">
      <c r="A83" s="3" t="s">
        <v>219</v>
      </c>
      <c r="B83" s="3" t="str">
        <f ca="1">IFERROR(__xludf.DUMMYFUNCTION("SPLIT(A83,""/"")"),"awslabs")</f>
        <v>awslabs</v>
      </c>
      <c r="C83" s="3" t="str">
        <f ca="1">IFERROR(__xludf.DUMMYFUNCTION("""COMPUTED_VALUE"""),"aws-data-wrangler")</f>
        <v>aws-data-wrangler</v>
      </c>
      <c r="D83" s="4" t="s">
        <v>220</v>
      </c>
      <c r="E83" s="5">
        <v>43522.068773148145</v>
      </c>
      <c r="F83" s="5">
        <v>44295.116828703707</v>
      </c>
      <c r="G83" s="13">
        <f t="shared" si="6"/>
        <v>773.04805555556231</v>
      </c>
      <c r="H83" s="6" t="b">
        <v>0</v>
      </c>
      <c r="I83" s="7" t="b">
        <v>1</v>
      </c>
      <c r="J83" s="8">
        <v>1634</v>
      </c>
      <c r="K83" s="8">
        <v>54</v>
      </c>
      <c r="L83" s="8">
        <v>251</v>
      </c>
      <c r="M83" s="8">
        <v>77</v>
      </c>
      <c r="N83" s="8">
        <v>0</v>
      </c>
      <c r="O83" s="8">
        <v>63</v>
      </c>
      <c r="P83" s="8">
        <v>273</v>
      </c>
      <c r="Q83" s="8">
        <v>2</v>
      </c>
      <c r="R83" s="8">
        <v>365</v>
      </c>
      <c r="S83" s="8">
        <v>27</v>
      </c>
      <c r="T83" s="3" t="s">
        <v>69</v>
      </c>
      <c r="U83" s="10">
        <v>11277</v>
      </c>
      <c r="V83" s="32">
        <v>195</v>
      </c>
      <c r="W83" s="27">
        <v>1.7291832934291033E-2</v>
      </c>
      <c r="X83" s="34">
        <v>178</v>
      </c>
      <c r="Y83" s="27">
        <v>0.9128205128205128</v>
      </c>
      <c r="Z83" s="27">
        <v>1.5784339806686174E-2</v>
      </c>
      <c r="AA83" s="35">
        <v>3</v>
      </c>
      <c r="AB83" s="27">
        <v>1.5384615384615385E-2</v>
      </c>
      <c r="AC83" s="27">
        <f t="shared" si="7"/>
        <v>2.6602819898909286E-4</v>
      </c>
      <c r="AD83" s="36">
        <v>3</v>
      </c>
      <c r="AE83" s="27">
        <v>1.5384615384615385E-2</v>
      </c>
      <c r="AF83" s="27">
        <f t="shared" si="8"/>
        <v>2.6602819898909286E-4</v>
      </c>
      <c r="AG83" s="37">
        <v>11</v>
      </c>
      <c r="AH83" s="27">
        <v>5.6410256410256411E-2</v>
      </c>
      <c r="AI83" s="27">
        <f t="shared" si="9"/>
        <v>9.7543672962667374E-4</v>
      </c>
      <c r="AJ83" s="38">
        <v>0</v>
      </c>
      <c r="AK83" s="27">
        <v>0</v>
      </c>
      <c r="AL83" s="27">
        <f t="shared" si="10"/>
        <v>0</v>
      </c>
      <c r="AM83" s="40">
        <v>0</v>
      </c>
      <c r="AN83" s="27">
        <v>0</v>
      </c>
      <c r="AO83" s="27">
        <f t="shared" si="11"/>
        <v>0</v>
      </c>
      <c r="AP83" s="7" t="b">
        <v>1</v>
      </c>
      <c r="AQ83" s="6" t="b">
        <v>0</v>
      </c>
      <c r="AR83" s="6" t="b">
        <v>0</v>
      </c>
      <c r="AS83" s="6" t="b">
        <v>0</v>
      </c>
      <c r="AT83" s="7" t="b">
        <v>1</v>
      </c>
      <c r="AU83" s="6" t="b">
        <v>0</v>
      </c>
      <c r="AV83" s="6" t="b">
        <v>0</v>
      </c>
      <c r="AW83" s="6" t="b">
        <v>0</v>
      </c>
      <c r="AX83" s="6" t="b">
        <v>0</v>
      </c>
      <c r="AY83" s="6" t="b">
        <v>0</v>
      </c>
      <c r="AZ83" s="6" t="b">
        <v>0</v>
      </c>
      <c r="BA83" s="6" t="b">
        <v>0</v>
      </c>
      <c r="BB83" s="6" t="b">
        <v>0</v>
      </c>
    </row>
    <row r="84" spans="1:54" ht="15" x14ac:dyDescent="0.25">
      <c r="A84" s="3" t="s">
        <v>221</v>
      </c>
      <c r="B84" s="3" t="str">
        <f ca="1">IFERROR(__xludf.DUMMYFUNCTION("SPLIT(A84,""/"")"),"awslabs")</f>
        <v>awslabs</v>
      </c>
      <c r="C84" s="3" t="str">
        <f ca="1">IFERROR(__xludf.DUMMYFUNCTION("""COMPUTED_VALUE"""),"aws-deployment-framework")</f>
        <v>aws-deployment-framework</v>
      </c>
      <c r="D84" s="4" t="s">
        <v>222</v>
      </c>
      <c r="E84" s="5">
        <v>43516.761516203704</v>
      </c>
      <c r="F84" s="5">
        <v>44293.648865740739</v>
      </c>
      <c r="G84" s="13">
        <f t="shared" si="6"/>
        <v>776.88734953703533</v>
      </c>
      <c r="H84" s="6" t="b">
        <v>0</v>
      </c>
      <c r="I84" s="7" t="b">
        <v>1</v>
      </c>
      <c r="J84" s="8">
        <v>381</v>
      </c>
      <c r="K84" s="8">
        <v>40</v>
      </c>
      <c r="L84" s="8">
        <v>129</v>
      </c>
      <c r="M84" s="8">
        <v>28</v>
      </c>
      <c r="N84" s="8">
        <v>0</v>
      </c>
      <c r="O84" s="8">
        <v>27</v>
      </c>
      <c r="P84" s="8">
        <v>158</v>
      </c>
      <c r="Q84" s="8">
        <v>10</v>
      </c>
      <c r="R84" s="8">
        <v>189</v>
      </c>
      <c r="S84" s="8">
        <v>46</v>
      </c>
      <c r="T84" s="3" t="s">
        <v>69</v>
      </c>
      <c r="U84" s="10">
        <v>5503</v>
      </c>
      <c r="V84" s="32">
        <v>166</v>
      </c>
      <c r="W84" s="27">
        <v>3.0165364346719972E-2</v>
      </c>
      <c r="X84" s="34">
        <v>32</v>
      </c>
      <c r="Y84" s="27">
        <v>0.19277108433734941</v>
      </c>
      <c r="Z84" s="27">
        <v>5.8150099945484283E-3</v>
      </c>
      <c r="AA84" s="35">
        <v>113</v>
      </c>
      <c r="AB84" s="27">
        <v>0.68072289156626509</v>
      </c>
      <c r="AC84" s="27">
        <f t="shared" si="7"/>
        <v>2.0534254043249135E-2</v>
      </c>
      <c r="AD84" s="36">
        <v>7</v>
      </c>
      <c r="AE84" s="27">
        <v>4.2168674698795178E-2</v>
      </c>
      <c r="AF84" s="27">
        <f t="shared" si="8"/>
        <v>1.2720334363074686E-3</v>
      </c>
      <c r="AG84" s="37">
        <v>14</v>
      </c>
      <c r="AH84" s="27">
        <v>8.4337349397590355E-2</v>
      </c>
      <c r="AI84" s="27">
        <f t="shared" si="9"/>
        <v>2.5440668726149371E-3</v>
      </c>
      <c r="AJ84" s="38">
        <v>0</v>
      </c>
      <c r="AK84" s="27">
        <v>0</v>
      </c>
      <c r="AL84" s="27">
        <f t="shared" si="10"/>
        <v>0</v>
      </c>
      <c r="AM84" s="40">
        <v>0</v>
      </c>
      <c r="AN84" s="27">
        <v>0</v>
      </c>
      <c r="AO84" s="27">
        <f t="shared" si="11"/>
        <v>0</v>
      </c>
      <c r="AP84" s="7" t="b">
        <v>1</v>
      </c>
      <c r="AQ84" s="6" t="b">
        <v>0</v>
      </c>
      <c r="AR84" s="6" t="b">
        <v>0</v>
      </c>
      <c r="AS84" s="6" t="b">
        <v>0</v>
      </c>
      <c r="AT84" s="7" t="b">
        <v>1</v>
      </c>
      <c r="AU84" s="6" t="b">
        <v>0</v>
      </c>
      <c r="AV84" s="6" t="b">
        <v>0</v>
      </c>
      <c r="AW84" s="6" t="b">
        <v>0</v>
      </c>
      <c r="AX84" s="6" t="b">
        <v>0</v>
      </c>
      <c r="AY84" s="6" t="b">
        <v>0</v>
      </c>
      <c r="AZ84" s="6" t="b">
        <v>0</v>
      </c>
      <c r="BA84" s="6" t="b">
        <v>0</v>
      </c>
      <c r="BB84" s="6" t="b">
        <v>0</v>
      </c>
    </row>
    <row r="85" spans="1:54" ht="15" x14ac:dyDescent="0.25">
      <c r="A85" s="3" t="s">
        <v>223</v>
      </c>
      <c r="B85" s="3" t="str">
        <f ca="1">IFERROR(__xludf.DUMMYFUNCTION("SPLIT(A85,""/"")"),"awslabs")</f>
        <v>awslabs</v>
      </c>
      <c r="C85" s="3" t="str">
        <f ca="1">IFERROR(__xludf.DUMMYFUNCTION("""COMPUTED_VALUE"""),"aws-lambda-powertools-python")</f>
        <v>aws-lambda-powertools-python</v>
      </c>
      <c r="D85" s="4" t="s">
        <v>224</v>
      </c>
      <c r="E85" s="5">
        <v>43784.518194444441</v>
      </c>
      <c r="F85" s="5">
        <v>44294.799189814818</v>
      </c>
      <c r="G85" s="13">
        <f t="shared" si="6"/>
        <v>510.28099537037633</v>
      </c>
      <c r="H85" s="6" t="b">
        <v>0</v>
      </c>
      <c r="I85" s="7" t="b">
        <v>1</v>
      </c>
      <c r="J85" s="8">
        <v>820</v>
      </c>
      <c r="K85" s="8">
        <v>70</v>
      </c>
      <c r="L85" s="8">
        <v>88</v>
      </c>
      <c r="M85" s="8">
        <v>30</v>
      </c>
      <c r="N85" s="8">
        <v>5</v>
      </c>
      <c r="O85" s="8">
        <v>25</v>
      </c>
      <c r="P85" s="8">
        <v>233</v>
      </c>
      <c r="Q85" s="8">
        <v>2</v>
      </c>
      <c r="R85" s="8">
        <v>138</v>
      </c>
      <c r="S85" s="8">
        <v>15</v>
      </c>
      <c r="T85" s="3" t="s">
        <v>225</v>
      </c>
      <c r="U85" s="10">
        <v>9572</v>
      </c>
      <c r="V85" s="32">
        <v>123</v>
      </c>
      <c r="W85" s="27">
        <v>1.2849979105725032E-2</v>
      </c>
      <c r="X85" s="34">
        <v>74</v>
      </c>
      <c r="Y85" s="27">
        <v>0.60162601626016265</v>
      </c>
      <c r="Z85" s="27">
        <v>7.7308817384036778E-3</v>
      </c>
      <c r="AA85" s="35">
        <v>38</v>
      </c>
      <c r="AB85" s="27">
        <v>0.30894308943089432</v>
      </c>
      <c r="AC85" s="27">
        <f t="shared" si="7"/>
        <v>3.9699122440451312E-3</v>
      </c>
      <c r="AD85" s="36">
        <v>2</v>
      </c>
      <c r="AE85" s="27">
        <v>1.6260162601626018E-2</v>
      </c>
      <c r="AF85" s="27">
        <f t="shared" si="8"/>
        <v>2.0894274968658589E-4</v>
      </c>
      <c r="AG85" s="37">
        <v>8</v>
      </c>
      <c r="AH85" s="27">
        <v>6.5040650406504072E-2</v>
      </c>
      <c r="AI85" s="27">
        <f t="shared" si="9"/>
        <v>8.3577099874634355E-4</v>
      </c>
      <c r="AJ85" s="38">
        <v>1</v>
      </c>
      <c r="AK85" s="27">
        <v>8.130081300813009E-3</v>
      </c>
      <c r="AL85" s="27">
        <f t="shared" si="10"/>
        <v>1.0447137484329294E-4</v>
      </c>
      <c r="AM85" s="40">
        <v>0</v>
      </c>
      <c r="AN85" s="27">
        <v>0</v>
      </c>
      <c r="AO85" s="27">
        <f t="shared" si="11"/>
        <v>0</v>
      </c>
      <c r="AP85" s="7" t="b">
        <v>1</v>
      </c>
      <c r="AQ85" s="6" t="b">
        <v>0</v>
      </c>
      <c r="AR85" s="6" t="b">
        <v>0</v>
      </c>
      <c r="AS85" s="6" t="b">
        <v>0</v>
      </c>
      <c r="AT85" s="7" t="b">
        <v>1</v>
      </c>
      <c r="AU85" s="6" t="b">
        <v>0</v>
      </c>
      <c r="AV85" s="6" t="b">
        <v>0</v>
      </c>
      <c r="AW85" s="6" t="b">
        <v>0</v>
      </c>
      <c r="AX85" s="6" t="b">
        <v>0</v>
      </c>
      <c r="AY85" s="6" t="b">
        <v>0</v>
      </c>
      <c r="AZ85" s="6" t="b">
        <v>0</v>
      </c>
      <c r="BA85" s="6" t="b">
        <v>0</v>
      </c>
      <c r="BB85" s="6" t="b">
        <v>0</v>
      </c>
    </row>
    <row r="86" spans="1:54" ht="15" x14ac:dyDescent="0.25">
      <c r="A86" s="3" t="s">
        <v>226</v>
      </c>
      <c r="B86" s="3" t="str">
        <f ca="1">IFERROR(__xludf.DUMMYFUNCTION("SPLIT(A86,""/"")"),"awslabs")</f>
        <v>awslabs</v>
      </c>
      <c r="C86" s="3" t="str">
        <f ca="1">IFERROR(__xludf.DUMMYFUNCTION("""COMPUTED_VALUE"""),"aws-servicebroker")</f>
        <v>aws-servicebroker</v>
      </c>
      <c r="D86" s="4" t="s">
        <v>227</v>
      </c>
      <c r="E86" s="5">
        <v>43174.733657407407</v>
      </c>
      <c r="F86" s="5">
        <v>44285.523078703707</v>
      </c>
      <c r="G86" s="13">
        <f t="shared" si="6"/>
        <v>1110.7894212963001</v>
      </c>
      <c r="H86" s="6" t="b">
        <v>0</v>
      </c>
      <c r="I86" s="7" t="b">
        <v>1</v>
      </c>
      <c r="J86" s="8">
        <v>433</v>
      </c>
      <c r="K86" s="8">
        <v>22</v>
      </c>
      <c r="L86" s="8">
        <v>122</v>
      </c>
      <c r="M86" s="8">
        <v>8</v>
      </c>
      <c r="N86" s="8">
        <v>2</v>
      </c>
      <c r="O86" s="8">
        <v>38</v>
      </c>
      <c r="P86" s="8">
        <v>84</v>
      </c>
      <c r="Q86" s="8">
        <v>6</v>
      </c>
      <c r="R86" s="8">
        <v>147</v>
      </c>
      <c r="S86" s="8">
        <v>48</v>
      </c>
      <c r="T86" s="3" t="s">
        <v>69</v>
      </c>
      <c r="U86" s="10">
        <v>10320</v>
      </c>
      <c r="V86" s="32">
        <v>28</v>
      </c>
      <c r="W86" s="27">
        <v>2.7131782945736434E-3</v>
      </c>
      <c r="X86" s="34">
        <v>0</v>
      </c>
      <c r="Y86" s="27">
        <v>0</v>
      </c>
      <c r="Z86" s="27">
        <v>0</v>
      </c>
      <c r="AA86" s="35">
        <v>0</v>
      </c>
      <c r="AB86" s="27">
        <v>0</v>
      </c>
      <c r="AC86" s="27">
        <f t="shared" si="7"/>
        <v>0</v>
      </c>
      <c r="AD86" s="36">
        <v>6</v>
      </c>
      <c r="AE86" s="27">
        <v>0.21428571428571427</v>
      </c>
      <c r="AF86" s="27">
        <f t="shared" si="8"/>
        <v>5.8139534883720929E-4</v>
      </c>
      <c r="AG86" s="37">
        <v>22</v>
      </c>
      <c r="AH86" s="27">
        <v>0.7857142857142857</v>
      </c>
      <c r="AI86" s="27">
        <f t="shared" si="9"/>
        <v>2.1317829457364341E-3</v>
      </c>
      <c r="AJ86" s="38">
        <v>0</v>
      </c>
      <c r="AK86" s="27">
        <v>0</v>
      </c>
      <c r="AL86" s="27">
        <f t="shared" si="10"/>
        <v>0</v>
      </c>
      <c r="AM86" s="40">
        <v>0</v>
      </c>
      <c r="AN86" s="27">
        <v>0</v>
      </c>
      <c r="AO86" s="27">
        <f t="shared" si="11"/>
        <v>0</v>
      </c>
      <c r="AP86" s="7" t="b">
        <v>1</v>
      </c>
      <c r="AQ86" s="6" t="b">
        <v>0</v>
      </c>
      <c r="AR86" s="6" t="b">
        <v>0</v>
      </c>
      <c r="AS86" s="6" t="b">
        <v>0</v>
      </c>
      <c r="AT86" s="7" t="b">
        <v>1</v>
      </c>
      <c r="AU86" s="6" t="b">
        <v>0</v>
      </c>
      <c r="AV86" s="6" t="b">
        <v>0</v>
      </c>
      <c r="AW86" s="6" t="b">
        <v>0</v>
      </c>
      <c r="AX86" s="6" t="b">
        <v>0</v>
      </c>
      <c r="AY86" s="6" t="b">
        <v>0</v>
      </c>
      <c r="AZ86" s="6" t="b">
        <v>0</v>
      </c>
      <c r="BA86" s="6" t="b">
        <v>0</v>
      </c>
      <c r="BB86" s="6" t="b">
        <v>0</v>
      </c>
    </row>
    <row r="87" spans="1:54" ht="15" x14ac:dyDescent="0.25">
      <c r="A87" s="3" t="s">
        <v>228</v>
      </c>
      <c r="B87" s="3" t="str">
        <f ca="1">IFERROR(__xludf.DUMMYFUNCTION("SPLIT(A87,""/"")"),"awslabs")</f>
        <v>awslabs</v>
      </c>
      <c r="C87" s="3" t="str">
        <f ca="1">IFERROR(__xludf.DUMMYFUNCTION("""COMPUTED_VALUE"""),"gluon-ts")</f>
        <v>gluon-ts</v>
      </c>
      <c r="D87" s="4" t="s">
        <v>229</v>
      </c>
      <c r="E87" s="5">
        <v>43600.72047453704</v>
      </c>
      <c r="F87" s="5">
        <v>44295.155277777776</v>
      </c>
      <c r="G87" s="13">
        <f t="shared" si="6"/>
        <v>694.43480324073607</v>
      </c>
      <c r="H87" s="6" t="b">
        <v>0</v>
      </c>
      <c r="I87" s="7" t="b">
        <v>1</v>
      </c>
      <c r="J87" s="8">
        <v>1828</v>
      </c>
      <c r="K87" s="8">
        <v>66</v>
      </c>
      <c r="L87" s="8">
        <v>384</v>
      </c>
      <c r="M87" s="8">
        <v>28</v>
      </c>
      <c r="N87" s="8">
        <v>8</v>
      </c>
      <c r="O87" s="8">
        <v>66</v>
      </c>
      <c r="P87" s="8">
        <v>805</v>
      </c>
      <c r="Q87" s="8">
        <v>50</v>
      </c>
      <c r="R87" s="8">
        <v>535</v>
      </c>
      <c r="S87" s="8">
        <v>166</v>
      </c>
      <c r="T87" s="3" t="s">
        <v>69</v>
      </c>
      <c r="U87" s="10">
        <v>24614</v>
      </c>
      <c r="V87" s="32">
        <v>95</v>
      </c>
      <c r="W87" s="27">
        <v>3.8595921020557408E-3</v>
      </c>
      <c r="X87" s="34">
        <v>1</v>
      </c>
      <c r="Y87" s="27">
        <v>1.0526315789473684E-2</v>
      </c>
      <c r="Z87" s="27">
        <v>4.0627285284797267E-5</v>
      </c>
      <c r="AA87" s="35">
        <v>65</v>
      </c>
      <c r="AB87" s="27">
        <v>0.68421052631578949</v>
      </c>
      <c r="AC87" s="27">
        <f t="shared" si="7"/>
        <v>2.6407735435118227E-3</v>
      </c>
      <c r="AD87" s="36">
        <v>21</v>
      </c>
      <c r="AE87" s="27">
        <v>0.22105263157894736</v>
      </c>
      <c r="AF87" s="27">
        <f t="shared" si="8"/>
        <v>8.5317299098074269E-4</v>
      </c>
      <c r="AG87" s="37">
        <v>2</v>
      </c>
      <c r="AH87" s="27">
        <v>2.1052631578947368E-2</v>
      </c>
      <c r="AI87" s="27">
        <f t="shared" si="9"/>
        <v>8.1254570569594533E-5</v>
      </c>
      <c r="AJ87" s="38">
        <v>0</v>
      </c>
      <c r="AK87" s="27">
        <v>0</v>
      </c>
      <c r="AL87" s="27">
        <f t="shared" si="10"/>
        <v>0</v>
      </c>
      <c r="AM87" s="40">
        <v>6</v>
      </c>
      <c r="AN87" s="27">
        <v>6.3157894736842107E-2</v>
      </c>
      <c r="AO87" s="27">
        <f t="shared" si="11"/>
        <v>2.4376371170878363E-4</v>
      </c>
      <c r="AP87" s="7" t="b">
        <v>1</v>
      </c>
      <c r="AQ87" s="6" t="b">
        <v>0</v>
      </c>
      <c r="AR87" s="6" t="b">
        <v>0</v>
      </c>
      <c r="AS87" s="6" t="b">
        <v>0</v>
      </c>
      <c r="AT87" s="7" t="b">
        <v>1</v>
      </c>
      <c r="AU87" s="6" t="b">
        <v>0</v>
      </c>
      <c r="AV87" s="6" t="b">
        <v>0</v>
      </c>
      <c r="AW87" s="6" t="b">
        <v>0</v>
      </c>
      <c r="AX87" s="6" t="b">
        <v>0</v>
      </c>
      <c r="AY87" s="6" t="b">
        <v>0</v>
      </c>
      <c r="AZ87" s="6" t="b">
        <v>0</v>
      </c>
      <c r="BA87" s="6" t="b">
        <v>0</v>
      </c>
      <c r="BB87" s="6" t="b">
        <v>0</v>
      </c>
    </row>
    <row r="88" spans="1:54" ht="15" x14ac:dyDescent="0.25">
      <c r="A88" s="3" t="s">
        <v>230</v>
      </c>
      <c r="B88" s="3" t="str">
        <f ca="1">IFERROR(__xludf.DUMMYFUNCTION("SPLIT(A88,""/"")"),"awslabs")</f>
        <v>awslabs</v>
      </c>
      <c r="C88" s="3" t="str">
        <f ca="1">IFERROR(__xludf.DUMMYFUNCTION("""COMPUTED_VALUE"""),"sockeye")</f>
        <v>sockeye</v>
      </c>
      <c r="D88" s="4" t="s">
        <v>231</v>
      </c>
      <c r="E88" s="5">
        <v>42894.322569444441</v>
      </c>
      <c r="F88" s="5">
        <v>44295.152037037034</v>
      </c>
      <c r="G88" s="13">
        <f t="shared" si="6"/>
        <v>1400.8294675925936</v>
      </c>
      <c r="H88" s="6" t="b">
        <v>0</v>
      </c>
      <c r="I88" s="7" t="b">
        <v>1</v>
      </c>
      <c r="J88" s="8">
        <v>993</v>
      </c>
      <c r="K88" s="8">
        <v>54</v>
      </c>
      <c r="L88" s="8">
        <v>272</v>
      </c>
      <c r="M88" s="8">
        <v>54</v>
      </c>
      <c r="N88" s="8">
        <v>20</v>
      </c>
      <c r="O88" s="8">
        <v>47</v>
      </c>
      <c r="P88" s="8">
        <v>698</v>
      </c>
      <c r="Q88" s="8">
        <v>3</v>
      </c>
      <c r="R88" s="8">
        <v>244</v>
      </c>
      <c r="S88" s="8">
        <v>16</v>
      </c>
      <c r="T88" s="3" t="s">
        <v>69</v>
      </c>
      <c r="U88" s="10">
        <v>10889</v>
      </c>
      <c r="V88" s="32">
        <v>279</v>
      </c>
      <c r="W88" s="27">
        <v>2.5622187528698687E-2</v>
      </c>
      <c r="X88" s="34">
        <v>19</v>
      </c>
      <c r="Y88" s="27">
        <v>6.8100358422939072E-2</v>
      </c>
      <c r="Z88" s="27">
        <v>1.74488015428414E-3</v>
      </c>
      <c r="AA88" s="35">
        <v>205</v>
      </c>
      <c r="AB88" s="27">
        <v>0.73476702508960579</v>
      </c>
      <c r="AC88" s="27">
        <f t="shared" si="7"/>
        <v>1.8826338506749932E-2</v>
      </c>
      <c r="AD88" s="36">
        <v>36</v>
      </c>
      <c r="AE88" s="27">
        <v>0.12903225806451613</v>
      </c>
      <c r="AF88" s="27">
        <f t="shared" si="8"/>
        <v>3.3060887133804758E-3</v>
      </c>
      <c r="AG88" s="37">
        <v>16</v>
      </c>
      <c r="AH88" s="27">
        <v>5.7347670250896057E-2</v>
      </c>
      <c r="AI88" s="27">
        <f t="shared" si="9"/>
        <v>1.4693727615024336E-3</v>
      </c>
      <c r="AJ88" s="38">
        <v>0</v>
      </c>
      <c r="AK88" s="27">
        <v>0</v>
      </c>
      <c r="AL88" s="27">
        <f t="shared" si="10"/>
        <v>0</v>
      </c>
      <c r="AM88" s="40">
        <v>5</v>
      </c>
      <c r="AN88" s="27">
        <v>1.7921146953405017E-2</v>
      </c>
      <c r="AO88" s="27">
        <f t="shared" si="11"/>
        <v>4.5917898796951054E-4</v>
      </c>
      <c r="AP88" s="7" t="b">
        <v>1</v>
      </c>
      <c r="AQ88" s="6" t="b">
        <v>0</v>
      </c>
      <c r="AR88" s="6" t="b">
        <v>0</v>
      </c>
      <c r="AS88" s="6" t="b">
        <v>0</v>
      </c>
      <c r="AT88" s="7" t="b">
        <v>1</v>
      </c>
      <c r="AU88" s="6" t="b">
        <v>0</v>
      </c>
      <c r="AV88" s="6" t="b">
        <v>0</v>
      </c>
      <c r="AW88" s="6" t="b">
        <v>0</v>
      </c>
      <c r="AX88" s="6" t="b">
        <v>0</v>
      </c>
      <c r="AY88" s="6" t="b">
        <v>0</v>
      </c>
      <c r="AZ88" s="6" t="b">
        <v>0</v>
      </c>
      <c r="BA88" s="6" t="b">
        <v>0</v>
      </c>
      <c r="BB88" s="6" t="b">
        <v>0</v>
      </c>
    </row>
    <row r="89" spans="1:54" ht="15" x14ac:dyDescent="0.25">
      <c r="A89" s="3" t="s">
        <v>232</v>
      </c>
      <c r="B89" s="3" t="str">
        <f ca="1">IFERROR(__xludf.DUMMYFUNCTION("SPLIT(A89,""/"")"),"azavea")</f>
        <v>azavea</v>
      </c>
      <c r="C89" s="3" t="str">
        <f ca="1">IFERROR(__xludf.DUMMYFUNCTION("""COMPUTED_VALUE"""),"raster-vision")</f>
        <v>raster-vision</v>
      </c>
      <c r="D89" s="4" t="s">
        <v>233</v>
      </c>
      <c r="E89" s="5">
        <v>42768.605486111112</v>
      </c>
      <c r="F89" s="5">
        <v>44294.818171296298</v>
      </c>
      <c r="G89" s="13">
        <f t="shared" si="6"/>
        <v>1526.2126851851863</v>
      </c>
      <c r="H89" s="6" t="b">
        <v>0</v>
      </c>
      <c r="I89" s="7" t="b">
        <v>1</v>
      </c>
      <c r="J89" s="8">
        <v>1263</v>
      </c>
      <c r="K89" s="8">
        <v>92</v>
      </c>
      <c r="L89" s="8">
        <v>273</v>
      </c>
      <c r="M89" s="8">
        <v>11</v>
      </c>
      <c r="N89" s="8">
        <v>6</v>
      </c>
      <c r="O89" s="8">
        <v>20</v>
      </c>
      <c r="P89" s="8">
        <v>610</v>
      </c>
      <c r="Q89" s="8">
        <v>33</v>
      </c>
      <c r="R89" s="8">
        <v>538</v>
      </c>
      <c r="S89" s="8">
        <v>73</v>
      </c>
      <c r="T89" s="3" t="s">
        <v>92</v>
      </c>
      <c r="U89" s="10">
        <v>13523</v>
      </c>
      <c r="V89" s="32">
        <v>80</v>
      </c>
      <c r="W89" s="27">
        <v>5.9158470753531023E-3</v>
      </c>
      <c r="X89" s="34">
        <v>8</v>
      </c>
      <c r="Y89" s="27">
        <v>0.1</v>
      </c>
      <c r="Z89" s="27">
        <v>5.9158470753531021E-4</v>
      </c>
      <c r="AA89" s="35">
        <v>63</v>
      </c>
      <c r="AB89" s="27">
        <v>0.78749999999999998</v>
      </c>
      <c r="AC89" s="27">
        <f t="shared" si="7"/>
        <v>4.6587295718405683E-3</v>
      </c>
      <c r="AD89" s="36">
        <v>9</v>
      </c>
      <c r="AE89" s="27">
        <v>0.1125</v>
      </c>
      <c r="AF89" s="27">
        <f t="shared" si="8"/>
        <v>6.6553279597722395E-4</v>
      </c>
      <c r="AG89" s="37">
        <v>0</v>
      </c>
      <c r="AH89" s="27">
        <v>0</v>
      </c>
      <c r="AI89" s="27">
        <f t="shared" si="9"/>
        <v>0</v>
      </c>
      <c r="AJ89" s="38">
        <v>0</v>
      </c>
      <c r="AK89" s="27">
        <v>0</v>
      </c>
      <c r="AL89" s="27">
        <f t="shared" si="10"/>
        <v>0</v>
      </c>
      <c r="AM89" s="40">
        <v>0</v>
      </c>
      <c r="AN89" s="27">
        <v>0</v>
      </c>
      <c r="AO89" s="27">
        <f t="shared" si="11"/>
        <v>0</v>
      </c>
      <c r="AP89" s="7" t="b">
        <v>1</v>
      </c>
      <c r="AQ89" s="6" t="b">
        <v>0</v>
      </c>
      <c r="AR89" s="6" t="b">
        <v>0</v>
      </c>
      <c r="AS89" s="6" t="b">
        <v>0</v>
      </c>
      <c r="AT89" s="7" t="b">
        <v>1</v>
      </c>
      <c r="AU89" s="6" t="b">
        <v>0</v>
      </c>
      <c r="AV89" s="6" t="b">
        <v>0</v>
      </c>
      <c r="AW89" s="6" t="b">
        <v>0</v>
      </c>
      <c r="AX89" s="6" t="b">
        <v>0</v>
      </c>
      <c r="AY89" s="6" t="b">
        <v>0</v>
      </c>
      <c r="AZ89" s="6" t="b">
        <v>0</v>
      </c>
      <c r="BA89" s="6" t="b">
        <v>0</v>
      </c>
      <c r="BB89" s="6" t="b">
        <v>0</v>
      </c>
    </row>
    <row r="90" spans="1:54" ht="15" x14ac:dyDescent="0.25">
      <c r="A90" s="3" t="s">
        <v>234</v>
      </c>
      <c r="B90" s="3" t="str">
        <f ca="1">IFERROR(__xludf.DUMMYFUNCTION("SPLIT(A90,""/"")"),"Azure")</f>
        <v>Azure</v>
      </c>
      <c r="C90" s="3" t="str">
        <f ca="1">IFERROR(__xludf.DUMMYFUNCTION("""COMPUTED_VALUE"""),"azure-cli")</f>
        <v>azure-cli</v>
      </c>
      <c r="D90" s="4" t="s">
        <v>235</v>
      </c>
      <c r="E90" s="5">
        <v>42404.015173611115</v>
      </c>
      <c r="F90" s="5">
        <v>44295.130196759259</v>
      </c>
      <c r="G90" s="13">
        <f t="shared" si="6"/>
        <v>1891.1150231481442</v>
      </c>
      <c r="H90" s="6" t="b">
        <v>0</v>
      </c>
      <c r="I90" s="7" t="b">
        <v>1</v>
      </c>
      <c r="J90" s="8">
        <v>2332</v>
      </c>
      <c r="K90" s="8">
        <v>157</v>
      </c>
      <c r="L90" s="8">
        <v>1529</v>
      </c>
      <c r="M90" s="8">
        <v>121</v>
      </c>
      <c r="N90" s="8">
        <v>43</v>
      </c>
      <c r="O90" s="8">
        <v>612</v>
      </c>
      <c r="P90" s="8">
        <v>7823</v>
      </c>
      <c r="Q90" s="8">
        <v>108</v>
      </c>
      <c r="R90" s="8">
        <v>9629</v>
      </c>
      <c r="S90" s="8">
        <v>1663</v>
      </c>
      <c r="T90" s="3" t="s">
        <v>72</v>
      </c>
      <c r="U90" s="10">
        <v>172416</v>
      </c>
      <c r="V90" s="32">
        <v>1572</v>
      </c>
      <c r="W90" s="27">
        <v>9.1174832962138078E-3</v>
      </c>
      <c r="X90" s="34">
        <v>315</v>
      </c>
      <c r="Y90" s="27">
        <v>0.20038167938931298</v>
      </c>
      <c r="Z90" s="27">
        <v>1.8269766146993319E-3</v>
      </c>
      <c r="AA90" s="35">
        <v>360</v>
      </c>
      <c r="AB90" s="27">
        <v>0.22900763358778625</v>
      </c>
      <c r="AC90" s="27">
        <f t="shared" si="7"/>
        <v>2.0879732739420937E-3</v>
      </c>
      <c r="AD90" s="36">
        <v>820</v>
      </c>
      <c r="AE90" s="27">
        <v>0.52162849872773542</v>
      </c>
      <c r="AF90" s="27">
        <f t="shared" si="8"/>
        <v>4.755939123979213E-3</v>
      </c>
      <c r="AG90" s="37">
        <v>70</v>
      </c>
      <c r="AH90" s="27">
        <v>4.4529262086513997E-2</v>
      </c>
      <c r="AI90" s="27">
        <f t="shared" si="9"/>
        <v>4.059948032665182E-4</v>
      </c>
      <c r="AJ90" s="38">
        <v>0</v>
      </c>
      <c r="AK90" s="27">
        <v>0</v>
      </c>
      <c r="AL90" s="27">
        <f t="shared" si="10"/>
        <v>0</v>
      </c>
      <c r="AM90" s="40">
        <v>0</v>
      </c>
      <c r="AN90" s="27">
        <v>0</v>
      </c>
      <c r="AO90" s="27">
        <f t="shared" si="11"/>
        <v>0</v>
      </c>
      <c r="AP90" s="7" t="b">
        <v>1</v>
      </c>
      <c r="AQ90" s="6" t="b">
        <v>0</v>
      </c>
      <c r="AR90" s="6" t="b">
        <v>0</v>
      </c>
      <c r="AS90" s="6" t="b">
        <v>0</v>
      </c>
      <c r="AT90" s="7" t="b">
        <v>1</v>
      </c>
      <c r="AU90" s="6" t="b">
        <v>0</v>
      </c>
      <c r="AV90" s="6" t="b">
        <v>0</v>
      </c>
      <c r="AW90" s="6" t="b">
        <v>0</v>
      </c>
      <c r="AX90" s="6" t="b">
        <v>0</v>
      </c>
      <c r="AY90" s="6" t="b">
        <v>0</v>
      </c>
      <c r="AZ90" s="6" t="b">
        <v>0</v>
      </c>
      <c r="BA90" s="6" t="b">
        <v>0</v>
      </c>
      <c r="BB90" s="6" t="b">
        <v>0</v>
      </c>
    </row>
    <row r="91" spans="1:54" ht="15" x14ac:dyDescent="0.25">
      <c r="A91" s="3" t="s">
        <v>236</v>
      </c>
      <c r="B91" s="3" t="str">
        <f ca="1">IFERROR(__xludf.DUMMYFUNCTION("SPLIT(A91,""/"")"),"Azure")</f>
        <v>Azure</v>
      </c>
      <c r="C91" s="3" t="str">
        <f ca="1">IFERROR(__xludf.DUMMYFUNCTION("""COMPUTED_VALUE"""),"azure-sdk-for-python")</f>
        <v>azure-sdk-for-python</v>
      </c>
      <c r="D91" s="4" t="s">
        <v>237</v>
      </c>
      <c r="E91" s="5">
        <v>41023.698750000003</v>
      </c>
      <c r="F91" s="5">
        <v>44295.07880787037</v>
      </c>
      <c r="G91" s="13">
        <f t="shared" si="6"/>
        <v>3271.3800578703667</v>
      </c>
      <c r="H91" s="6" t="b">
        <v>0</v>
      </c>
      <c r="I91" s="7" t="b">
        <v>1</v>
      </c>
      <c r="J91" s="8">
        <v>1894</v>
      </c>
      <c r="K91" s="8">
        <v>287</v>
      </c>
      <c r="L91" s="8">
        <v>1211</v>
      </c>
      <c r="M91" s="8">
        <v>1552</v>
      </c>
      <c r="N91" s="8">
        <v>55</v>
      </c>
      <c r="O91" s="8">
        <v>287</v>
      </c>
      <c r="P91" s="8">
        <v>13292</v>
      </c>
      <c r="Q91" s="8">
        <v>134</v>
      </c>
      <c r="R91" s="8">
        <v>4614</v>
      </c>
      <c r="S91" s="8">
        <v>746</v>
      </c>
      <c r="T91" s="3" t="s">
        <v>72</v>
      </c>
      <c r="U91" s="10">
        <v>3506112</v>
      </c>
      <c r="V91" s="32">
        <v>886</v>
      </c>
      <c r="W91" s="27">
        <v>2.5270156800467301E-4</v>
      </c>
      <c r="X91" s="34">
        <v>254</v>
      </c>
      <c r="Y91" s="27">
        <v>0.28668171557562078</v>
      </c>
      <c r="Z91" s="27">
        <v>7.2444919044229052E-5</v>
      </c>
      <c r="AA91" s="35">
        <v>399</v>
      </c>
      <c r="AB91" s="27">
        <v>0.45033860045146729</v>
      </c>
      <c r="AC91" s="27">
        <f t="shared" si="7"/>
        <v>1.1380127046711571E-4</v>
      </c>
      <c r="AD91" s="36">
        <v>143</v>
      </c>
      <c r="AE91" s="27">
        <v>0.16139954853273139</v>
      </c>
      <c r="AF91" s="27">
        <f t="shared" si="8"/>
        <v>4.0785918989467536E-5</v>
      </c>
      <c r="AG91" s="37">
        <v>80</v>
      </c>
      <c r="AH91" s="27">
        <v>9.0293453724604969E-2</v>
      </c>
      <c r="AI91" s="27">
        <f t="shared" si="9"/>
        <v>2.2817297336765054E-5</v>
      </c>
      <c r="AJ91" s="38">
        <v>8</v>
      </c>
      <c r="AK91" s="27">
        <v>9.0293453724604959E-3</v>
      </c>
      <c r="AL91" s="27">
        <f t="shared" si="10"/>
        <v>2.2817297336765056E-6</v>
      </c>
      <c r="AM91" s="40">
        <v>0</v>
      </c>
      <c r="AN91" s="27">
        <v>0</v>
      </c>
      <c r="AO91" s="27">
        <f t="shared" si="11"/>
        <v>0</v>
      </c>
      <c r="AP91" s="7" t="b">
        <v>1</v>
      </c>
      <c r="AQ91" s="6" t="b">
        <v>0</v>
      </c>
      <c r="AR91" s="6" t="b">
        <v>0</v>
      </c>
      <c r="AS91" s="6" t="b">
        <v>0</v>
      </c>
      <c r="AT91" s="7" t="b">
        <v>1</v>
      </c>
      <c r="AU91" s="6" t="b">
        <v>0</v>
      </c>
      <c r="AV91" s="6" t="b">
        <v>0</v>
      </c>
      <c r="AW91" s="6" t="b">
        <v>0</v>
      </c>
      <c r="AX91" s="6" t="b">
        <v>0</v>
      </c>
      <c r="AY91" s="6" t="b">
        <v>0</v>
      </c>
      <c r="AZ91" s="6" t="b">
        <v>0</v>
      </c>
      <c r="BA91" s="6" t="b">
        <v>0</v>
      </c>
      <c r="BB91" s="6" t="b">
        <v>0</v>
      </c>
    </row>
    <row r="92" spans="1:54" ht="15" x14ac:dyDescent="0.25">
      <c r="A92" s="3" t="s">
        <v>238</v>
      </c>
      <c r="B92" s="3" t="str">
        <f ca="1">IFERROR(__xludf.DUMMYFUNCTION("SPLIT(A92,""/"")"),"Azure")</f>
        <v>Azure</v>
      </c>
      <c r="C92" s="3" t="str">
        <f ca="1">IFERROR(__xludf.DUMMYFUNCTION("""COMPUTED_VALUE"""),"Stormspotter")</f>
        <v>Stormspotter</v>
      </c>
      <c r="D92" s="4" t="s">
        <v>239</v>
      </c>
      <c r="E92" s="5">
        <v>43943.936990740738</v>
      </c>
      <c r="F92" s="5">
        <v>44291.173981481479</v>
      </c>
      <c r="G92" s="13">
        <f t="shared" si="6"/>
        <v>347.23699074074102</v>
      </c>
      <c r="H92" s="6" t="b">
        <v>0</v>
      </c>
      <c r="I92" s="7" t="b">
        <v>1</v>
      </c>
      <c r="J92" s="8">
        <v>699</v>
      </c>
      <c r="K92" s="8">
        <v>44</v>
      </c>
      <c r="L92" s="8">
        <v>79</v>
      </c>
      <c r="M92" s="8">
        <v>7</v>
      </c>
      <c r="N92" s="8">
        <v>0</v>
      </c>
      <c r="O92" s="8">
        <v>8</v>
      </c>
      <c r="P92" s="8">
        <v>23</v>
      </c>
      <c r="Q92" s="8">
        <v>3</v>
      </c>
      <c r="R92" s="8">
        <v>16</v>
      </c>
      <c r="S92" s="8">
        <v>3</v>
      </c>
      <c r="T92" s="3" t="s">
        <v>92</v>
      </c>
      <c r="U92" s="10">
        <v>1116</v>
      </c>
      <c r="V92" s="32">
        <v>49</v>
      </c>
      <c r="W92" s="27">
        <v>4.3906810035842292E-2</v>
      </c>
      <c r="X92" s="34">
        <v>0</v>
      </c>
      <c r="Y92" s="27">
        <v>0</v>
      </c>
      <c r="Z92" s="27">
        <v>0</v>
      </c>
      <c r="AA92" s="35">
        <v>31</v>
      </c>
      <c r="AB92" s="27">
        <v>0.63265306122448983</v>
      </c>
      <c r="AC92" s="27">
        <f t="shared" si="7"/>
        <v>2.7777777777777776E-2</v>
      </c>
      <c r="AD92" s="36">
        <v>4</v>
      </c>
      <c r="AE92" s="27">
        <v>8.1632653061224483E-2</v>
      </c>
      <c r="AF92" s="27">
        <f t="shared" si="8"/>
        <v>3.5842293906810036E-3</v>
      </c>
      <c r="AG92" s="37">
        <v>8</v>
      </c>
      <c r="AH92" s="27">
        <v>0.16326530612244897</v>
      </c>
      <c r="AI92" s="27">
        <f t="shared" si="9"/>
        <v>7.1684587813620072E-3</v>
      </c>
      <c r="AJ92" s="38">
        <v>0</v>
      </c>
      <c r="AK92" s="27">
        <v>0</v>
      </c>
      <c r="AL92" s="27">
        <f t="shared" si="10"/>
        <v>0</v>
      </c>
      <c r="AM92" s="40">
        <v>2</v>
      </c>
      <c r="AN92" s="27">
        <v>4.0816326530612242E-2</v>
      </c>
      <c r="AO92" s="27">
        <f t="shared" si="11"/>
        <v>1.7921146953405018E-3</v>
      </c>
      <c r="AP92" s="7" t="b">
        <v>1</v>
      </c>
      <c r="AQ92" s="7" t="b">
        <v>1</v>
      </c>
      <c r="AR92" s="6" t="b">
        <v>0</v>
      </c>
      <c r="AS92" s="6" t="b">
        <v>0</v>
      </c>
      <c r="AT92" s="7" t="b">
        <v>1</v>
      </c>
      <c r="AU92" s="6" t="b">
        <v>0</v>
      </c>
      <c r="AV92" s="6" t="b">
        <v>0</v>
      </c>
      <c r="AW92" s="6" t="b">
        <v>0</v>
      </c>
      <c r="AX92" s="7" t="b">
        <v>1</v>
      </c>
      <c r="AY92" s="6" t="b">
        <v>0</v>
      </c>
      <c r="AZ92" s="6" t="b">
        <v>0</v>
      </c>
      <c r="BA92" s="6" t="b">
        <v>0</v>
      </c>
      <c r="BB92" s="6" t="b">
        <v>0</v>
      </c>
    </row>
    <row r="93" spans="1:54" ht="15" x14ac:dyDescent="0.25">
      <c r="A93" s="3" t="s">
        <v>240</v>
      </c>
      <c r="B93" s="3" t="str">
        <f ca="1">IFERROR(__xludf.DUMMYFUNCTION("SPLIT(A93,""/"")"),"baabaaox")</f>
        <v>baabaaox</v>
      </c>
      <c r="C93" s="3" t="str">
        <f ca="1">IFERROR(__xludf.DUMMYFUNCTION("""COMPUTED_VALUE"""),"ScrapyDouban")</f>
        <v>ScrapyDouban</v>
      </c>
      <c r="D93" s="4" t="s">
        <v>241</v>
      </c>
      <c r="E93" s="5">
        <v>42624.940185185187</v>
      </c>
      <c r="F93" s="5">
        <v>44294.801851851851</v>
      </c>
      <c r="G93" s="13">
        <f t="shared" si="6"/>
        <v>1669.861666666664</v>
      </c>
      <c r="H93" s="6" t="b">
        <v>0</v>
      </c>
      <c r="I93" s="6" t="b">
        <v>0</v>
      </c>
      <c r="J93" s="8">
        <v>411</v>
      </c>
      <c r="K93" s="8">
        <v>19</v>
      </c>
      <c r="L93" s="8">
        <v>140</v>
      </c>
      <c r="M93" s="8">
        <v>0</v>
      </c>
      <c r="N93" s="8">
        <v>1</v>
      </c>
      <c r="O93" s="8">
        <v>2</v>
      </c>
      <c r="P93" s="8">
        <v>4</v>
      </c>
      <c r="Q93" s="8">
        <v>1</v>
      </c>
      <c r="R93" s="8">
        <v>14</v>
      </c>
      <c r="S93" s="8">
        <v>1</v>
      </c>
      <c r="T93" s="11" t="s">
        <v>52</v>
      </c>
      <c r="U93" s="10">
        <v>733</v>
      </c>
      <c r="V93" s="32">
        <v>4</v>
      </c>
      <c r="W93" s="27">
        <v>5.4570259208731242E-3</v>
      </c>
      <c r="X93" s="34">
        <v>0</v>
      </c>
      <c r="Y93" s="27">
        <v>0</v>
      </c>
      <c r="Z93" s="27">
        <v>0</v>
      </c>
      <c r="AA93" s="35">
        <v>2</v>
      </c>
      <c r="AB93" s="27">
        <v>0.5</v>
      </c>
      <c r="AC93" s="27">
        <f t="shared" si="7"/>
        <v>2.7285129604365621E-3</v>
      </c>
      <c r="AD93" s="36">
        <v>1</v>
      </c>
      <c r="AE93" s="27">
        <v>0.25</v>
      </c>
      <c r="AF93" s="27">
        <f t="shared" si="8"/>
        <v>1.364256480218281E-3</v>
      </c>
      <c r="AG93" s="37">
        <v>0</v>
      </c>
      <c r="AH93" s="27">
        <v>0</v>
      </c>
      <c r="AI93" s="27">
        <f t="shared" si="9"/>
        <v>0</v>
      </c>
      <c r="AJ93" s="38">
        <v>0</v>
      </c>
      <c r="AK93" s="27">
        <v>0</v>
      </c>
      <c r="AL93" s="27">
        <f t="shared" si="10"/>
        <v>0</v>
      </c>
      <c r="AM93" s="40">
        <v>0</v>
      </c>
      <c r="AN93" s="27">
        <v>0</v>
      </c>
      <c r="AO93" s="27">
        <f t="shared" si="11"/>
        <v>0</v>
      </c>
      <c r="AP93" s="7" t="b">
        <v>1</v>
      </c>
      <c r="AQ93" s="7" t="b">
        <v>1</v>
      </c>
      <c r="AR93" s="6" t="b">
        <v>0</v>
      </c>
      <c r="AS93" s="6" t="b">
        <v>0</v>
      </c>
      <c r="AT93" s="7" t="b">
        <v>1</v>
      </c>
      <c r="AU93" s="6" t="b">
        <v>0</v>
      </c>
      <c r="AV93" s="6" t="b">
        <v>0</v>
      </c>
      <c r="AW93" s="6" t="b">
        <v>0</v>
      </c>
      <c r="AX93" s="6" t="b">
        <v>0</v>
      </c>
      <c r="AY93" s="6" t="b">
        <v>0</v>
      </c>
      <c r="AZ93" s="6" t="b">
        <v>0</v>
      </c>
      <c r="BA93" s="6" t="b">
        <v>0</v>
      </c>
      <c r="BB93" s="6" t="b">
        <v>0</v>
      </c>
    </row>
    <row r="94" spans="1:54" ht="15" x14ac:dyDescent="0.25">
      <c r="A94" s="3" t="s">
        <v>242</v>
      </c>
      <c r="B94" s="3" t="str">
        <f ca="1">IFERROR(__xludf.DUMMYFUNCTION("SPLIT(A94,""/"")"),"bbc")</f>
        <v>bbc</v>
      </c>
      <c r="C94" s="3" t="str">
        <f ca="1">IFERROR(__xludf.DUMMYFUNCTION("""COMPUTED_VALUE"""),"brave")</f>
        <v>brave</v>
      </c>
      <c r="D94" s="4" t="s">
        <v>243</v>
      </c>
      <c r="E94" s="5">
        <v>43397.743252314816</v>
      </c>
      <c r="F94" s="5">
        <v>44287.146226851852</v>
      </c>
      <c r="G94" s="13">
        <f t="shared" si="6"/>
        <v>889.40297453703533</v>
      </c>
      <c r="H94" s="6" t="b">
        <v>0</v>
      </c>
      <c r="I94" s="7" t="b">
        <v>1</v>
      </c>
      <c r="J94" s="8">
        <v>478</v>
      </c>
      <c r="K94" s="8">
        <v>37</v>
      </c>
      <c r="L94" s="8">
        <v>91</v>
      </c>
      <c r="M94" s="8">
        <v>5</v>
      </c>
      <c r="N94" s="8">
        <v>0</v>
      </c>
      <c r="O94" s="8">
        <v>11</v>
      </c>
      <c r="P94" s="8">
        <v>50</v>
      </c>
      <c r="Q94" s="8">
        <v>4</v>
      </c>
      <c r="R94" s="8">
        <v>32</v>
      </c>
      <c r="S94" s="8">
        <v>15</v>
      </c>
      <c r="T94" s="3" t="s">
        <v>69</v>
      </c>
      <c r="U94" s="10">
        <v>4592</v>
      </c>
      <c r="V94" s="32">
        <v>109</v>
      </c>
      <c r="W94" s="27">
        <v>2.3736933797909407E-2</v>
      </c>
      <c r="X94" s="34">
        <v>43</v>
      </c>
      <c r="Y94" s="27">
        <v>0.39449541284403672</v>
      </c>
      <c r="Z94" s="27">
        <v>9.3641114982578391E-3</v>
      </c>
      <c r="AA94" s="35">
        <v>12</v>
      </c>
      <c r="AB94" s="27">
        <v>0.11009174311926606</v>
      </c>
      <c r="AC94" s="27">
        <f t="shared" si="7"/>
        <v>2.6132404181184671E-3</v>
      </c>
      <c r="AD94" s="36">
        <v>37</v>
      </c>
      <c r="AE94" s="27">
        <v>0.33944954128440369</v>
      </c>
      <c r="AF94" s="27">
        <f t="shared" si="8"/>
        <v>8.057491289198606E-3</v>
      </c>
      <c r="AG94" s="37">
        <v>17</v>
      </c>
      <c r="AH94" s="27">
        <v>0.15596330275229359</v>
      </c>
      <c r="AI94" s="27">
        <f t="shared" si="9"/>
        <v>3.7020905923344947E-3</v>
      </c>
      <c r="AJ94" s="38">
        <v>0</v>
      </c>
      <c r="AK94" s="27">
        <v>0</v>
      </c>
      <c r="AL94" s="27">
        <f t="shared" si="10"/>
        <v>0</v>
      </c>
      <c r="AM94" s="40">
        <v>0</v>
      </c>
      <c r="AN94" s="27">
        <v>0</v>
      </c>
      <c r="AO94" s="27">
        <f t="shared" si="11"/>
        <v>0</v>
      </c>
      <c r="AP94" s="7" t="b">
        <v>1</v>
      </c>
      <c r="AQ94" s="6" t="b">
        <v>0</v>
      </c>
      <c r="AR94" s="6" t="b">
        <v>0</v>
      </c>
      <c r="AS94" s="6" t="b">
        <v>0</v>
      </c>
      <c r="AT94" s="7" t="b">
        <v>1</v>
      </c>
      <c r="AU94" s="6" t="b">
        <v>0</v>
      </c>
      <c r="AV94" s="6" t="b">
        <v>0</v>
      </c>
      <c r="AW94" s="6" t="b">
        <v>0</v>
      </c>
      <c r="AX94" s="6" t="b">
        <v>0</v>
      </c>
      <c r="AY94" s="6" t="b">
        <v>0</v>
      </c>
      <c r="AZ94" s="6" t="b">
        <v>0</v>
      </c>
      <c r="BA94" s="6" t="b">
        <v>0</v>
      </c>
      <c r="BB94" s="6" t="b">
        <v>0</v>
      </c>
    </row>
    <row r="95" spans="1:54" ht="15" x14ac:dyDescent="0.25">
      <c r="A95" s="3" t="s">
        <v>244</v>
      </c>
      <c r="B95" s="3" t="str">
        <f ca="1">IFERROR(__xludf.DUMMYFUNCTION("SPLIT(A95,""/"")"),"bchew")</f>
        <v>bchew</v>
      </c>
      <c r="C95" s="3" t="str">
        <f ca="1">IFERROR(__xludf.DUMMYFUNCTION("""COMPUTED_VALUE"""),"dynamodump")</f>
        <v>dynamodump</v>
      </c>
      <c r="D95" s="4" t="s">
        <v>245</v>
      </c>
      <c r="E95" s="5">
        <v>41593.208333333336</v>
      </c>
      <c r="F95" s="5">
        <v>44285.893229166664</v>
      </c>
      <c r="G95" s="13">
        <f t="shared" si="6"/>
        <v>2692.6848958333285</v>
      </c>
      <c r="H95" s="6" t="b">
        <v>0</v>
      </c>
      <c r="I95" s="6" t="b">
        <v>0</v>
      </c>
      <c r="J95" s="8">
        <v>670</v>
      </c>
      <c r="K95" s="8">
        <v>24</v>
      </c>
      <c r="L95" s="8">
        <v>240</v>
      </c>
      <c r="M95" s="8">
        <v>6</v>
      </c>
      <c r="N95" s="8">
        <v>9</v>
      </c>
      <c r="O95" s="8">
        <v>21</v>
      </c>
      <c r="P95" s="8">
        <v>61</v>
      </c>
      <c r="Q95" s="8">
        <v>15</v>
      </c>
      <c r="R95" s="8">
        <v>0</v>
      </c>
      <c r="S95" s="8">
        <v>0</v>
      </c>
      <c r="T95" s="3" t="s">
        <v>72</v>
      </c>
      <c r="U95" s="10">
        <v>692</v>
      </c>
      <c r="V95" s="32">
        <v>81</v>
      </c>
      <c r="W95" s="27">
        <v>0.11705202312138728</v>
      </c>
      <c r="X95" s="34">
        <v>4</v>
      </c>
      <c r="Y95" s="27">
        <v>4.9382716049382713E-2</v>
      </c>
      <c r="Z95" s="27">
        <v>5.7803468208092483E-3</v>
      </c>
      <c r="AA95" s="35">
        <v>58</v>
      </c>
      <c r="AB95" s="27">
        <v>0.71604938271604934</v>
      </c>
      <c r="AC95" s="27">
        <f t="shared" si="7"/>
        <v>8.3815028901734104E-2</v>
      </c>
      <c r="AD95" s="36">
        <v>0</v>
      </c>
      <c r="AE95" s="27">
        <v>0</v>
      </c>
      <c r="AF95" s="27">
        <f t="shared" si="8"/>
        <v>0</v>
      </c>
      <c r="AG95" s="37">
        <v>15</v>
      </c>
      <c r="AH95" s="27">
        <v>0.18518518518518517</v>
      </c>
      <c r="AI95" s="27">
        <f t="shared" si="9"/>
        <v>2.1676300578034682E-2</v>
      </c>
      <c r="AJ95" s="38">
        <v>0</v>
      </c>
      <c r="AK95" s="27">
        <v>0</v>
      </c>
      <c r="AL95" s="27">
        <f t="shared" si="10"/>
        <v>0</v>
      </c>
      <c r="AM95" s="40">
        <v>0</v>
      </c>
      <c r="AN95" s="27">
        <v>0</v>
      </c>
      <c r="AO95" s="27">
        <f t="shared" si="11"/>
        <v>0</v>
      </c>
      <c r="AP95" s="7" t="b">
        <v>1</v>
      </c>
      <c r="AQ95" s="6" t="b">
        <v>0</v>
      </c>
      <c r="AR95" s="6" t="b">
        <v>0</v>
      </c>
      <c r="AS95" s="6" t="b">
        <v>0</v>
      </c>
      <c r="AT95" s="7" t="b">
        <v>1</v>
      </c>
      <c r="AU95" s="6" t="b">
        <v>0</v>
      </c>
      <c r="AV95" s="6" t="b">
        <v>0</v>
      </c>
      <c r="AW95" s="6" t="b">
        <v>0</v>
      </c>
      <c r="AX95" s="6" t="b">
        <v>0</v>
      </c>
      <c r="AY95" s="6" t="b">
        <v>0</v>
      </c>
      <c r="AZ95" s="6" t="b">
        <v>0</v>
      </c>
      <c r="BA95" s="6" t="b">
        <v>0</v>
      </c>
      <c r="BB95" s="6" t="b">
        <v>0</v>
      </c>
    </row>
    <row r="96" spans="1:54" ht="15" x14ac:dyDescent="0.25">
      <c r="A96" s="3" t="s">
        <v>246</v>
      </c>
      <c r="B96" s="3" t="str">
        <f ca="1">IFERROR(__xludf.DUMMYFUNCTION("SPLIT(A96,""/"")"),"beancount")</f>
        <v>beancount</v>
      </c>
      <c r="C96" s="3" t="str">
        <f ca="1">IFERROR(__xludf.DUMMYFUNCTION("""COMPUTED_VALUE"""),"fava")</f>
        <v>fava</v>
      </c>
      <c r="D96" s="4" t="s">
        <v>247</v>
      </c>
      <c r="E96" s="5">
        <v>42342.633969907409</v>
      </c>
      <c r="F96" s="5">
        <v>44294.218368055554</v>
      </c>
      <c r="G96" s="13">
        <f t="shared" si="6"/>
        <v>1951.5843981481448</v>
      </c>
      <c r="H96" s="6" t="b">
        <v>0</v>
      </c>
      <c r="I96" s="7" t="b">
        <v>1</v>
      </c>
      <c r="J96" s="8">
        <v>973</v>
      </c>
      <c r="K96" s="8">
        <v>30</v>
      </c>
      <c r="L96" s="8">
        <v>154</v>
      </c>
      <c r="M96" s="8">
        <v>0</v>
      </c>
      <c r="N96" s="8">
        <v>118</v>
      </c>
      <c r="O96" s="8">
        <v>65</v>
      </c>
      <c r="P96" s="8">
        <v>520</v>
      </c>
      <c r="Q96" s="8">
        <v>4</v>
      </c>
      <c r="R96" s="8">
        <v>729</v>
      </c>
      <c r="S96" s="8">
        <v>53</v>
      </c>
      <c r="T96" s="3" t="s">
        <v>72</v>
      </c>
      <c r="U96" s="10">
        <v>4595</v>
      </c>
      <c r="V96" s="32">
        <v>0</v>
      </c>
      <c r="W96" s="27">
        <v>0</v>
      </c>
      <c r="X96" s="34">
        <v>0</v>
      </c>
      <c r="Y96" s="27">
        <v>0</v>
      </c>
      <c r="Z96" s="27">
        <v>0</v>
      </c>
      <c r="AA96" s="35">
        <v>0</v>
      </c>
      <c r="AB96" s="27">
        <v>0</v>
      </c>
      <c r="AC96" s="27">
        <f t="shared" si="7"/>
        <v>0</v>
      </c>
      <c r="AD96" s="36">
        <v>0</v>
      </c>
      <c r="AE96" s="27">
        <v>0</v>
      </c>
      <c r="AF96" s="27">
        <f t="shared" si="8"/>
        <v>0</v>
      </c>
      <c r="AG96" s="37">
        <v>0</v>
      </c>
      <c r="AH96" s="27">
        <v>0</v>
      </c>
      <c r="AI96" s="27">
        <f t="shared" si="9"/>
        <v>0</v>
      </c>
      <c r="AJ96" s="38">
        <v>0</v>
      </c>
      <c r="AK96" s="27">
        <v>0</v>
      </c>
      <c r="AL96" s="27">
        <f t="shared" si="10"/>
        <v>0</v>
      </c>
      <c r="AM96" s="40">
        <v>0</v>
      </c>
      <c r="AN96" s="27">
        <v>0</v>
      </c>
      <c r="AO96" s="27">
        <f t="shared" si="11"/>
        <v>0</v>
      </c>
      <c r="AP96" s="7" t="b">
        <v>1</v>
      </c>
      <c r="AQ96" s="6" t="b">
        <v>0</v>
      </c>
      <c r="AR96" s="6" t="b">
        <v>0</v>
      </c>
      <c r="AS96" s="6" t="b">
        <v>0</v>
      </c>
      <c r="AT96" s="7" t="b">
        <v>1</v>
      </c>
      <c r="AU96" s="6" t="b">
        <v>0</v>
      </c>
      <c r="AV96" s="6" t="b">
        <v>0</v>
      </c>
      <c r="AW96" s="6" t="b">
        <v>0</v>
      </c>
      <c r="AX96" s="6" t="b">
        <v>0</v>
      </c>
      <c r="AY96" s="6" t="b">
        <v>0</v>
      </c>
      <c r="AZ96" s="6" t="b">
        <v>0</v>
      </c>
      <c r="BA96" s="6" t="b">
        <v>0</v>
      </c>
      <c r="BB96" s="6" t="b">
        <v>0</v>
      </c>
    </row>
    <row r="97" spans="1:54" ht="15" x14ac:dyDescent="0.25">
      <c r="A97" s="3" t="s">
        <v>248</v>
      </c>
      <c r="B97" s="3" t="str">
        <f ca="1">IFERROR(__xludf.DUMMYFUNCTION("SPLIT(A97,""/"")"),"bear")</f>
        <v>bear</v>
      </c>
      <c r="C97" s="3" t="str">
        <f ca="1">IFERROR(__xludf.DUMMYFUNCTION("""COMPUTED_VALUE"""),"python-twitter")</f>
        <v>python-twitter</v>
      </c>
      <c r="D97" s="4" t="s">
        <v>249</v>
      </c>
      <c r="E97" s="5">
        <v>41164.285439814812</v>
      </c>
      <c r="F97" s="5">
        <v>44294.472349537034</v>
      </c>
      <c r="G97" s="13">
        <f t="shared" si="6"/>
        <v>3130.1869097222225</v>
      </c>
      <c r="H97" s="6" t="b">
        <v>0</v>
      </c>
      <c r="I97" s="6" t="b">
        <v>0</v>
      </c>
      <c r="J97" s="8">
        <v>3150</v>
      </c>
      <c r="K97" s="8">
        <v>174</v>
      </c>
      <c r="L97" s="8">
        <v>925</v>
      </c>
      <c r="M97" s="8">
        <v>12</v>
      </c>
      <c r="N97" s="8">
        <v>27</v>
      </c>
      <c r="O97" s="8">
        <v>133</v>
      </c>
      <c r="P97" s="8">
        <v>302</v>
      </c>
      <c r="Q97" s="8">
        <v>18</v>
      </c>
      <c r="R97" s="8">
        <v>389</v>
      </c>
      <c r="S97" s="8">
        <v>81</v>
      </c>
      <c r="T97" s="3" t="s">
        <v>92</v>
      </c>
      <c r="U97" s="10">
        <v>4820</v>
      </c>
      <c r="V97" s="32">
        <v>5</v>
      </c>
      <c r="W97" s="27">
        <v>1.037344398340249E-3</v>
      </c>
      <c r="X97" s="34">
        <v>1</v>
      </c>
      <c r="Y97" s="27">
        <v>0.2</v>
      </c>
      <c r="Z97" s="27">
        <v>2.0746887966804979E-4</v>
      </c>
      <c r="AA97" s="35">
        <v>0</v>
      </c>
      <c r="AB97" s="27">
        <v>0</v>
      </c>
      <c r="AC97" s="27">
        <f t="shared" si="7"/>
        <v>0</v>
      </c>
      <c r="AD97" s="36">
        <v>4</v>
      </c>
      <c r="AE97" s="27">
        <v>0.8</v>
      </c>
      <c r="AF97" s="27">
        <f t="shared" si="8"/>
        <v>8.2987551867219915E-4</v>
      </c>
      <c r="AG97" s="37">
        <v>0</v>
      </c>
      <c r="AH97" s="27">
        <v>0</v>
      </c>
      <c r="AI97" s="27">
        <f t="shared" si="9"/>
        <v>0</v>
      </c>
      <c r="AJ97" s="38">
        <v>0</v>
      </c>
      <c r="AK97" s="27">
        <v>0</v>
      </c>
      <c r="AL97" s="27">
        <f t="shared" si="10"/>
        <v>0</v>
      </c>
      <c r="AM97" s="40">
        <v>0</v>
      </c>
      <c r="AN97" s="27">
        <v>0</v>
      </c>
      <c r="AO97" s="27">
        <f t="shared" si="11"/>
        <v>0</v>
      </c>
      <c r="AP97" s="7" t="b">
        <v>1</v>
      </c>
      <c r="AQ97" s="6" t="b">
        <v>0</v>
      </c>
      <c r="AR97" s="6" t="b">
        <v>0</v>
      </c>
      <c r="AS97" s="6" t="b">
        <v>0</v>
      </c>
      <c r="AT97" s="7" t="b">
        <v>1</v>
      </c>
      <c r="AU97" s="6" t="b">
        <v>0</v>
      </c>
      <c r="AV97" s="6" t="b">
        <v>0</v>
      </c>
      <c r="AW97" s="6" t="b">
        <v>0</v>
      </c>
      <c r="AX97" s="6" t="b">
        <v>0</v>
      </c>
      <c r="AY97" s="6" t="b">
        <v>0</v>
      </c>
      <c r="AZ97" s="6" t="b">
        <v>0</v>
      </c>
      <c r="BA97" s="6" t="b">
        <v>0</v>
      </c>
      <c r="BB97" s="6" t="b">
        <v>0</v>
      </c>
    </row>
    <row r="98" spans="1:54" ht="15" x14ac:dyDescent="0.25">
      <c r="A98" s="3" t="s">
        <v>250</v>
      </c>
      <c r="B98" s="3" t="str">
        <f ca="1">IFERROR(__xludf.DUMMYFUNCTION("SPLIT(A98,""/"")"),"bentoml")</f>
        <v>bentoml</v>
      </c>
      <c r="C98" s="3" t="str">
        <f ca="1">IFERROR(__xludf.DUMMYFUNCTION("""COMPUTED_VALUE"""),"BentoML")</f>
        <v>BentoML</v>
      </c>
      <c r="D98" s="4" t="s">
        <v>251</v>
      </c>
      <c r="E98" s="5">
        <v>43557.069062499999</v>
      </c>
      <c r="F98" s="5">
        <v>44294.866087962961</v>
      </c>
      <c r="G98" s="13">
        <f t="shared" si="6"/>
        <v>737.79702546296176</v>
      </c>
      <c r="H98" s="6" t="b">
        <v>0</v>
      </c>
      <c r="I98" s="7" t="b">
        <v>1</v>
      </c>
      <c r="J98" s="8">
        <v>2310</v>
      </c>
      <c r="K98" s="8">
        <v>50</v>
      </c>
      <c r="L98" s="8">
        <v>263</v>
      </c>
      <c r="M98" s="8">
        <v>53</v>
      </c>
      <c r="N98" s="8">
        <v>0</v>
      </c>
      <c r="O98" s="8">
        <v>74</v>
      </c>
      <c r="P98" s="8">
        <v>1104</v>
      </c>
      <c r="Q98" s="8">
        <v>12</v>
      </c>
      <c r="R98" s="8">
        <v>394</v>
      </c>
      <c r="S98" s="8">
        <v>89</v>
      </c>
      <c r="T98" s="3" t="s">
        <v>69</v>
      </c>
      <c r="U98" s="10">
        <v>19127</v>
      </c>
      <c r="V98" s="32">
        <v>358</v>
      </c>
      <c r="W98" s="27">
        <v>1.8716996915355257E-2</v>
      </c>
      <c r="X98" s="34">
        <v>123</v>
      </c>
      <c r="Y98" s="27">
        <v>0.34357541899441341</v>
      </c>
      <c r="Z98" s="27">
        <v>6.4307000575103256E-3</v>
      </c>
      <c r="AA98" s="35">
        <v>145</v>
      </c>
      <c r="AB98" s="27">
        <v>0.40502793296089384</v>
      </c>
      <c r="AC98" s="27">
        <f t="shared" si="7"/>
        <v>7.5809065718617664E-3</v>
      </c>
      <c r="AD98" s="36">
        <v>49</v>
      </c>
      <c r="AE98" s="27">
        <v>0.13687150837988826</v>
      </c>
      <c r="AF98" s="27">
        <f t="shared" si="8"/>
        <v>2.56182360014639E-3</v>
      </c>
      <c r="AG98" s="37">
        <v>41</v>
      </c>
      <c r="AH98" s="27">
        <v>0.11452513966480447</v>
      </c>
      <c r="AI98" s="27">
        <f t="shared" si="9"/>
        <v>2.1435666858367754E-3</v>
      </c>
      <c r="AJ98" s="38">
        <v>0</v>
      </c>
      <c r="AK98" s="27">
        <v>0</v>
      </c>
      <c r="AL98" s="27">
        <f t="shared" si="10"/>
        <v>0</v>
      </c>
      <c r="AM98" s="40">
        <v>0</v>
      </c>
      <c r="AN98" s="27">
        <v>0</v>
      </c>
      <c r="AO98" s="27">
        <f t="shared" si="11"/>
        <v>0</v>
      </c>
      <c r="AP98" s="7" t="b">
        <v>1</v>
      </c>
      <c r="AQ98" s="6" t="b">
        <v>0</v>
      </c>
      <c r="AR98" s="6" t="b">
        <v>0</v>
      </c>
      <c r="AS98" s="6" t="b">
        <v>0</v>
      </c>
      <c r="AT98" s="7" t="b">
        <v>1</v>
      </c>
      <c r="AU98" s="6" t="b">
        <v>0</v>
      </c>
      <c r="AV98" s="6" t="b">
        <v>0</v>
      </c>
      <c r="AW98" s="6" t="b">
        <v>0</v>
      </c>
      <c r="AX98" s="6" t="b">
        <v>0</v>
      </c>
      <c r="AY98" s="6" t="b">
        <v>0</v>
      </c>
      <c r="AZ98" s="6" t="b">
        <v>0</v>
      </c>
      <c r="BA98" s="6" t="b">
        <v>0</v>
      </c>
      <c r="BB98" s="6" t="b">
        <v>0</v>
      </c>
    </row>
    <row r="99" spans="1:54" ht="15" x14ac:dyDescent="0.25">
      <c r="A99" s="3" t="s">
        <v>252</v>
      </c>
      <c r="B99" s="3" t="str">
        <f ca="1">IFERROR(__xludf.DUMMYFUNCTION("SPLIT(A99,""/"")"),"bhoov")</f>
        <v>bhoov</v>
      </c>
      <c r="C99" s="3" t="str">
        <f ca="1">IFERROR(__xludf.DUMMYFUNCTION("""COMPUTED_VALUE"""),"exbert")</f>
        <v>exbert</v>
      </c>
      <c r="D99" s="4" t="s">
        <v>253</v>
      </c>
      <c r="E99" s="5">
        <v>43752.084178240744</v>
      </c>
      <c r="F99" s="5">
        <v>44294.282476851855</v>
      </c>
      <c r="G99" s="13">
        <f t="shared" si="6"/>
        <v>542.19829861111066</v>
      </c>
      <c r="H99" s="6" t="b">
        <v>0</v>
      </c>
      <c r="I99" s="6" t="b">
        <v>0</v>
      </c>
      <c r="J99" s="8">
        <v>392</v>
      </c>
      <c r="K99" s="8">
        <v>11</v>
      </c>
      <c r="L99" s="8">
        <v>36</v>
      </c>
      <c r="M99" s="8">
        <v>0</v>
      </c>
      <c r="N99" s="8">
        <v>0</v>
      </c>
      <c r="O99" s="8">
        <v>4</v>
      </c>
      <c r="P99" s="8">
        <v>6</v>
      </c>
      <c r="Q99" s="8">
        <v>0</v>
      </c>
      <c r="R99" s="8">
        <v>15</v>
      </c>
      <c r="S99" s="8">
        <v>3</v>
      </c>
      <c r="T99" s="3" t="s">
        <v>69</v>
      </c>
      <c r="U99" s="10">
        <v>42661</v>
      </c>
      <c r="V99" s="32">
        <v>671</v>
      </c>
      <c r="W99" s="27">
        <v>1.5728651461522233E-2</v>
      </c>
      <c r="X99" s="34">
        <v>0</v>
      </c>
      <c r="Y99" s="27">
        <v>0</v>
      </c>
      <c r="Z99" s="27">
        <v>0</v>
      </c>
      <c r="AA99" s="35">
        <v>553</v>
      </c>
      <c r="AB99" s="27">
        <v>0.82414307004470944</v>
      </c>
      <c r="AC99" s="27">
        <f t="shared" si="7"/>
        <v>1.2962659103162138E-2</v>
      </c>
      <c r="AD99" s="36">
        <v>67</v>
      </c>
      <c r="AE99" s="27">
        <v>9.9850968703427717E-2</v>
      </c>
      <c r="AF99" s="27">
        <f t="shared" si="8"/>
        <v>1.5705210848315791E-3</v>
      </c>
      <c r="AG99" s="37">
        <v>50</v>
      </c>
      <c r="AH99" s="27">
        <v>7.4515648286140088E-2</v>
      </c>
      <c r="AI99" s="27">
        <f t="shared" si="9"/>
        <v>1.172030660322074E-3</v>
      </c>
      <c r="AJ99" s="38">
        <v>0</v>
      </c>
      <c r="AK99" s="27">
        <v>0</v>
      </c>
      <c r="AL99" s="27">
        <f t="shared" si="10"/>
        <v>0</v>
      </c>
      <c r="AM99" s="40">
        <v>1</v>
      </c>
      <c r="AN99" s="27">
        <v>1.4903129657228018E-3</v>
      </c>
      <c r="AO99" s="27">
        <f t="shared" si="11"/>
        <v>2.3440613206441482E-5</v>
      </c>
      <c r="AP99" s="7" t="b">
        <v>1</v>
      </c>
      <c r="AQ99" s="6" t="b">
        <v>0</v>
      </c>
      <c r="AR99" s="6" t="b">
        <v>0</v>
      </c>
      <c r="AS99" s="6" t="b">
        <v>0</v>
      </c>
      <c r="AT99" s="7" t="b">
        <v>1</v>
      </c>
      <c r="AU99" s="6" t="b">
        <v>0</v>
      </c>
      <c r="AV99" s="6" t="b">
        <v>0</v>
      </c>
      <c r="AW99" s="6" t="b">
        <v>0</v>
      </c>
      <c r="AX99" s="6" t="b">
        <v>0</v>
      </c>
      <c r="AY99" s="6" t="b">
        <v>0</v>
      </c>
      <c r="AZ99" s="6" t="b">
        <v>0</v>
      </c>
      <c r="BA99" s="6" t="b">
        <v>0</v>
      </c>
      <c r="BB99" s="6" t="b">
        <v>0</v>
      </c>
    </row>
    <row r="100" spans="1:54" ht="15" x14ac:dyDescent="0.25">
      <c r="A100" s="3" t="s">
        <v>254</v>
      </c>
      <c r="B100" s="3" t="str">
        <f ca="1">IFERROR(__xludf.DUMMYFUNCTION("SPLIT(A100,""/"")"),"bigbaser")</f>
        <v>bigbaser</v>
      </c>
      <c r="C100" s="3" t="str">
        <f ca="1">IFERROR(__xludf.DUMMYFUNCTION("""COMPUTED_VALUE"""),"TcloudServer")</f>
        <v>TcloudServer</v>
      </c>
      <c r="D100" s="4" t="s">
        <v>255</v>
      </c>
      <c r="E100" s="5">
        <v>43717.131423611114</v>
      </c>
      <c r="F100" s="5">
        <v>44258.320173611108</v>
      </c>
      <c r="G100" s="13">
        <f t="shared" si="6"/>
        <v>541.18874999999389</v>
      </c>
      <c r="H100" s="6" t="b">
        <v>0</v>
      </c>
      <c r="I100" s="7" t="b">
        <v>1</v>
      </c>
      <c r="J100" s="8">
        <v>526</v>
      </c>
      <c r="K100" s="8">
        <v>23</v>
      </c>
      <c r="L100" s="8">
        <v>195</v>
      </c>
      <c r="M100" s="8">
        <v>2</v>
      </c>
      <c r="N100" s="8">
        <v>0</v>
      </c>
      <c r="O100" s="8">
        <v>7</v>
      </c>
      <c r="P100" s="8">
        <v>44</v>
      </c>
      <c r="Q100" s="8">
        <v>0</v>
      </c>
      <c r="R100" s="8">
        <v>13</v>
      </c>
      <c r="S100" s="8">
        <v>4</v>
      </c>
      <c r="T100" s="3" t="s">
        <v>92</v>
      </c>
      <c r="U100" s="10">
        <v>16817</v>
      </c>
      <c r="V100" s="32">
        <v>369</v>
      </c>
      <c r="W100" s="27">
        <v>2.1942082416602247E-2</v>
      </c>
      <c r="X100" s="34">
        <v>1</v>
      </c>
      <c r="Y100" s="27">
        <v>2.7100271002710027E-3</v>
      </c>
      <c r="Z100" s="27">
        <v>5.9463637985371946E-5</v>
      </c>
      <c r="AA100" s="35">
        <v>137</v>
      </c>
      <c r="AB100" s="27">
        <v>0.37127371273712739</v>
      </c>
      <c r="AC100" s="27">
        <f t="shared" si="7"/>
        <v>8.1465184039959566E-3</v>
      </c>
      <c r="AD100" s="36">
        <v>17</v>
      </c>
      <c r="AE100" s="27">
        <v>4.6070460704607047E-2</v>
      </c>
      <c r="AF100" s="27">
        <f t="shared" si="8"/>
        <v>1.0108818457513231E-3</v>
      </c>
      <c r="AG100" s="37">
        <v>159</v>
      </c>
      <c r="AH100" s="27">
        <v>0.43089430894308944</v>
      </c>
      <c r="AI100" s="27">
        <f t="shared" si="9"/>
        <v>9.45471843967414E-3</v>
      </c>
      <c r="AJ100" s="38">
        <v>0</v>
      </c>
      <c r="AK100" s="27">
        <v>0</v>
      </c>
      <c r="AL100" s="27">
        <f t="shared" si="10"/>
        <v>0</v>
      </c>
      <c r="AM100" s="40">
        <v>0</v>
      </c>
      <c r="AN100" s="27">
        <v>0</v>
      </c>
      <c r="AO100" s="27">
        <f t="shared" si="11"/>
        <v>0</v>
      </c>
      <c r="AP100" s="7" t="b">
        <v>1</v>
      </c>
      <c r="AQ100" s="7" t="b">
        <v>1</v>
      </c>
      <c r="AR100" s="6" t="b">
        <v>0</v>
      </c>
      <c r="AS100" s="6" t="b">
        <v>0</v>
      </c>
      <c r="AT100" s="7" t="b">
        <v>1</v>
      </c>
      <c r="AU100" s="6" t="b">
        <v>0</v>
      </c>
      <c r="AV100" s="6" t="b">
        <v>0</v>
      </c>
      <c r="AW100" s="6" t="b">
        <v>0</v>
      </c>
      <c r="AX100" s="6" t="b">
        <v>0</v>
      </c>
      <c r="AY100" s="6" t="b">
        <v>0</v>
      </c>
      <c r="AZ100" s="6" t="b">
        <v>0</v>
      </c>
      <c r="BA100" s="6" t="b">
        <v>0</v>
      </c>
      <c r="BB100" s="6" t="b">
        <v>0</v>
      </c>
    </row>
    <row r="101" spans="1:54" ht="15" x14ac:dyDescent="0.25">
      <c r="A101" s="3" t="s">
        <v>256</v>
      </c>
      <c r="B101" s="3" t="str">
        <f ca="1">IFERROR(__xludf.DUMMYFUNCTION("SPLIT(A101,""/"")"),"bigchaindb")</f>
        <v>bigchaindb</v>
      </c>
      <c r="C101" s="3" t="str">
        <f ca="1">IFERROR(__xludf.DUMMYFUNCTION("""COMPUTED_VALUE"""),"bigchaindb")</f>
        <v>bigchaindb</v>
      </c>
      <c r="D101" s="4" t="s">
        <v>257</v>
      </c>
      <c r="E101" s="5">
        <v>42408.425671296296</v>
      </c>
      <c r="F101" s="5">
        <v>44294.983518518522</v>
      </c>
      <c r="G101" s="13">
        <f t="shared" si="6"/>
        <v>1886.557847222226</v>
      </c>
      <c r="H101" s="6" t="b">
        <v>0</v>
      </c>
      <c r="I101" s="7" t="b">
        <v>1</v>
      </c>
      <c r="J101" s="8">
        <v>3598</v>
      </c>
      <c r="K101" s="8">
        <v>229</v>
      </c>
      <c r="L101" s="8">
        <v>700</v>
      </c>
      <c r="M101" s="8">
        <v>51</v>
      </c>
      <c r="N101" s="8">
        <v>45</v>
      </c>
      <c r="O101" s="8">
        <v>70</v>
      </c>
      <c r="P101" s="8">
        <v>1524</v>
      </c>
      <c r="Q101" s="8">
        <v>2</v>
      </c>
      <c r="R101" s="8">
        <v>1194</v>
      </c>
      <c r="S101" s="8">
        <v>146</v>
      </c>
      <c r="T101" s="3" t="s">
        <v>69</v>
      </c>
      <c r="U101" s="10">
        <v>9262</v>
      </c>
      <c r="V101" s="32">
        <v>56</v>
      </c>
      <c r="W101" s="27">
        <v>6.0462103217447634E-3</v>
      </c>
      <c r="X101" s="34">
        <v>20</v>
      </c>
      <c r="Y101" s="27">
        <v>0.35714285714285715</v>
      </c>
      <c r="Z101" s="27">
        <v>2.1593608291945584E-3</v>
      </c>
      <c r="AA101" s="35">
        <v>17</v>
      </c>
      <c r="AB101" s="27">
        <v>0.30357142857142855</v>
      </c>
      <c r="AC101" s="27">
        <f t="shared" si="7"/>
        <v>1.8354567048153748E-3</v>
      </c>
      <c r="AD101" s="36">
        <v>6</v>
      </c>
      <c r="AE101" s="27">
        <v>0.10714285714285714</v>
      </c>
      <c r="AF101" s="27">
        <f t="shared" si="8"/>
        <v>6.4780824875836757E-4</v>
      </c>
      <c r="AG101" s="37">
        <v>10</v>
      </c>
      <c r="AH101" s="27">
        <v>0.17857142857142858</v>
      </c>
      <c r="AI101" s="27">
        <f t="shared" si="9"/>
        <v>1.0796804145972792E-3</v>
      </c>
      <c r="AJ101" s="38">
        <v>2</v>
      </c>
      <c r="AK101" s="27">
        <v>3.5714285714285712E-2</v>
      </c>
      <c r="AL101" s="27">
        <f t="shared" si="10"/>
        <v>2.1593608291945585E-4</v>
      </c>
      <c r="AM101" s="40">
        <v>0</v>
      </c>
      <c r="AN101" s="27">
        <v>0</v>
      </c>
      <c r="AO101" s="27">
        <f t="shared" si="11"/>
        <v>0</v>
      </c>
      <c r="AP101" s="7" t="b">
        <v>1</v>
      </c>
      <c r="AQ101" s="7" t="b">
        <v>1</v>
      </c>
      <c r="AR101" s="6" t="b">
        <v>0</v>
      </c>
      <c r="AS101" s="6" t="b">
        <v>0</v>
      </c>
      <c r="AT101" s="7" t="b">
        <v>1</v>
      </c>
      <c r="AU101" s="6" t="b">
        <v>0</v>
      </c>
      <c r="AV101" s="6" t="b">
        <v>0</v>
      </c>
      <c r="AW101" s="6" t="b">
        <v>0</v>
      </c>
      <c r="AX101" s="6" t="b">
        <v>0</v>
      </c>
      <c r="AY101" s="6" t="b">
        <v>0</v>
      </c>
      <c r="AZ101" s="6" t="b">
        <v>0</v>
      </c>
      <c r="BA101" s="6" t="b">
        <v>0</v>
      </c>
      <c r="BB101" s="6" t="b">
        <v>0</v>
      </c>
    </row>
    <row r="102" spans="1:54" ht="15" x14ac:dyDescent="0.25">
      <c r="A102" s="3" t="s">
        <v>258</v>
      </c>
      <c r="B102" s="3" t="str">
        <f ca="1">IFERROR(__xludf.DUMMYFUNCTION("SPLIT(A102,""/"")"),"binux")</f>
        <v>binux</v>
      </c>
      <c r="C102" s="3" t="str">
        <f ca="1">IFERROR(__xludf.DUMMYFUNCTION("""COMPUTED_VALUE"""),"pyspider")</f>
        <v>pyspider</v>
      </c>
      <c r="D102" s="4" t="s">
        <v>259</v>
      </c>
      <c r="E102" s="5">
        <v>41691.804710648146</v>
      </c>
      <c r="F102" s="5">
        <v>44295.041006944448</v>
      </c>
      <c r="G102" s="13">
        <f t="shared" si="6"/>
        <v>2603.2362962963016</v>
      </c>
      <c r="H102" s="6" t="b">
        <v>0</v>
      </c>
      <c r="I102" s="6" t="b">
        <v>0</v>
      </c>
      <c r="J102" s="8">
        <v>14945</v>
      </c>
      <c r="K102" s="8">
        <v>908</v>
      </c>
      <c r="L102" s="8">
        <v>3468</v>
      </c>
      <c r="M102" s="8">
        <v>13</v>
      </c>
      <c r="N102" s="8">
        <v>31</v>
      </c>
      <c r="O102" s="8">
        <v>51</v>
      </c>
      <c r="P102" s="8">
        <v>161</v>
      </c>
      <c r="Q102" s="8">
        <v>20</v>
      </c>
      <c r="R102" s="8">
        <v>804</v>
      </c>
      <c r="S102" s="8">
        <v>261</v>
      </c>
      <c r="T102" s="3" t="s">
        <v>69</v>
      </c>
      <c r="U102" s="10">
        <v>11364</v>
      </c>
      <c r="V102" s="32">
        <v>132</v>
      </c>
      <c r="W102" s="27">
        <v>1.1615628299894404E-2</v>
      </c>
      <c r="X102" s="34">
        <v>14</v>
      </c>
      <c r="Y102" s="27">
        <v>0.10606060606060606</v>
      </c>
      <c r="Z102" s="27">
        <v>1.2319605772615277E-3</v>
      </c>
      <c r="AA102" s="35">
        <v>54</v>
      </c>
      <c r="AB102" s="27">
        <v>0.40909090909090912</v>
      </c>
      <c r="AC102" s="27">
        <f t="shared" si="7"/>
        <v>4.7518479408658922E-3</v>
      </c>
      <c r="AD102" s="36">
        <v>22</v>
      </c>
      <c r="AE102" s="27">
        <v>0.16666666666666666</v>
      </c>
      <c r="AF102" s="27">
        <f t="shared" si="8"/>
        <v>1.9359380499824005E-3</v>
      </c>
      <c r="AG102" s="37">
        <v>29</v>
      </c>
      <c r="AH102" s="27">
        <v>0.2196969696969697</v>
      </c>
      <c r="AI102" s="27">
        <f t="shared" si="9"/>
        <v>2.5519183386131642E-3</v>
      </c>
      <c r="AJ102" s="38">
        <v>0</v>
      </c>
      <c r="AK102" s="27">
        <v>0</v>
      </c>
      <c r="AL102" s="27">
        <f t="shared" si="10"/>
        <v>0</v>
      </c>
      <c r="AM102" s="40">
        <v>0</v>
      </c>
      <c r="AN102" s="27">
        <v>0</v>
      </c>
      <c r="AO102" s="27">
        <f t="shared" si="11"/>
        <v>0</v>
      </c>
      <c r="AP102" s="7" t="b">
        <v>1</v>
      </c>
      <c r="AQ102" s="7" t="b">
        <v>1</v>
      </c>
      <c r="AR102" s="6" t="b">
        <v>0</v>
      </c>
      <c r="AS102" s="6" t="b">
        <v>0</v>
      </c>
      <c r="AT102" s="7" t="b">
        <v>1</v>
      </c>
      <c r="AU102" s="6" t="b">
        <v>0</v>
      </c>
      <c r="AV102" s="6" t="b">
        <v>0</v>
      </c>
      <c r="AW102" s="6" t="b">
        <v>0</v>
      </c>
      <c r="AX102" s="6" t="b">
        <v>0</v>
      </c>
      <c r="AY102" s="6" t="b">
        <v>0</v>
      </c>
      <c r="AZ102" s="6" t="b">
        <v>0</v>
      </c>
      <c r="BA102" s="6" t="b">
        <v>0</v>
      </c>
      <c r="BB102" s="6" t="b">
        <v>0</v>
      </c>
    </row>
    <row r="103" spans="1:54" ht="15" x14ac:dyDescent="0.25">
      <c r="A103" s="3" t="s">
        <v>260</v>
      </c>
      <c r="B103" s="3" t="str">
        <f ca="1">IFERROR(__xludf.DUMMYFUNCTION("SPLIT(A103,""/"")"),"Bitmessage")</f>
        <v>Bitmessage</v>
      </c>
      <c r="C103" s="3" t="str">
        <f ca="1">IFERROR(__xludf.DUMMYFUNCTION("""COMPUTED_VALUE"""),"PyBitmessage")</f>
        <v>PyBitmessage</v>
      </c>
      <c r="D103" s="4" t="s">
        <v>261</v>
      </c>
      <c r="E103" s="5">
        <v>41225.150497685187</v>
      </c>
      <c r="F103" s="5">
        <v>44295.110208333332</v>
      </c>
      <c r="G103" s="13">
        <f t="shared" si="6"/>
        <v>3069.9597106481451</v>
      </c>
      <c r="H103" s="6" t="b">
        <v>0</v>
      </c>
      <c r="I103" s="7" t="b">
        <v>1</v>
      </c>
      <c r="J103" s="8">
        <v>2592</v>
      </c>
      <c r="K103" s="8">
        <v>178</v>
      </c>
      <c r="L103" s="8">
        <v>528</v>
      </c>
      <c r="M103" s="8">
        <v>5</v>
      </c>
      <c r="N103" s="8">
        <v>145</v>
      </c>
      <c r="O103" s="8">
        <v>109</v>
      </c>
      <c r="P103" s="8">
        <v>1144</v>
      </c>
      <c r="Q103" s="8">
        <v>45</v>
      </c>
      <c r="R103" s="8">
        <v>598</v>
      </c>
      <c r="S103" s="8">
        <v>151</v>
      </c>
      <c r="T103" s="3" t="s">
        <v>92</v>
      </c>
      <c r="U103" s="10">
        <v>22863</v>
      </c>
      <c r="V103" s="32">
        <v>470</v>
      </c>
      <c r="W103" s="27">
        <v>2.0557232209246382E-2</v>
      </c>
      <c r="X103" s="34">
        <v>158</v>
      </c>
      <c r="Y103" s="27">
        <v>0.33617021276595743</v>
      </c>
      <c r="Z103" s="27">
        <v>6.9107291256615489E-3</v>
      </c>
      <c r="AA103" s="35">
        <v>162</v>
      </c>
      <c r="AB103" s="27">
        <v>0.34468085106382979</v>
      </c>
      <c r="AC103" s="27">
        <f t="shared" si="7"/>
        <v>7.0856842933998167E-3</v>
      </c>
      <c r="AD103" s="36">
        <v>33</v>
      </c>
      <c r="AE103" s="27">
        <v>7.0212765957446813E-2</v>
      </c>
      <c r="AF103" s="27">
        <f t="shared" si="8"/>
        <v>1.4433801338407032E-3</v>
      </c>
      <c r="AG103" s="37">
        <v>92</v>
      </c>
      <c r="AH103" s="27">
        <v>0.19574468085106383</v>
      </c>
      <c r="AI103" s="27">
        <f t="shared" si="9"/>
        <v>4.0239688579801428E-3</v>
      </c>
      <c r="AJ103" s="38">
        <v>22</v>
      </c>
      <c r="AK103" s="27">
        <v>4.6808510638297871E-2</v>
      </c>
      <c r="AL103" s="27">
        <f t="shared" si="10"/>
        <v>9.6225342256046887E-4</v>
      </c>
      <c r="AM103" s="40">
        <v>1</v>
      </c>
      <c r="AN103" s="27">
        <v>2.1276595744680851E-3</v>
      </c>
      <c r="AO103" s="27">
        <f t="shared" si="11"/>
        <v>4.3738791934566766E-5</v>
      </c>
      <c r="AP103" s="7" t="b">
        <v>1</v>
      </c>
      <c r="AQ103" s="6" t="b">
        <v>0</v>
      </c>
      <c r="AR103" s="6" t="b">
        <v>0</v>
      </c>
      <c r="AS103" s="6" t="b">
        <v>0</v>
      </c>
      <c r="AT103" s="7" t="b">
        <v>1</v>
      </c>
      <c r="AU103" s="6" t="b">
        <v>0</v>
      </c>
      <c r="AV103" s="6" t="b">
        <v>0</v>
      </c>
      <c r="AW103" s="6" t="b">
        <v>0</v>
      </c>
      <c r="AX103" s="6" t="b">
        <v>0</v>
      </c>
      <c r="AY103" s="6" t="b">
        <v>0</v>
      </c>
      <c r="AZ103" s="6" t="b">
        <v>0</v>
      </c>
      <c r="BA103" s="6" t="b">
        <v>0</v>
      </c>
      <c r="BB103" s="6" t="b">
        <v>0</v>
      </c>
    </row>
    <row r="104" spans="1:54" ht="15" x14ac:dyDescent="0.25">
      <c r="A104" s="3" t="s">
        <v>262</v>
      </c>
      <c r="B104" s="3" t="str">
        <f ca="1">IFERROR(__xludf.DUMMYFUNCTION("SPLIT(A104,""/"")"),"blackholll")</f>
        <v>blackholll</v>
      </c>
      <c r="C104" s="3" t="str">
        <f ca="1">IFERROR(__xludf.DUMMYFUNCTION("""COMPUTED_VALUE"""),"loonflow")</f>
        <v>loonflow</v>
      </c>
      <c r="D104" s="4" t="s">
        <v>263</v>
      </c>
      <c r="E104" s="5">
        <v>43139.26866898148</v>
      </c>
      <c r="F104" s="5">
        <v>44294.347685185188</v>
      </c>
      <c r="G104" s="13">
        <f t="shared" si="6"/>
        <v>1155.0790162037083</v>
      </c>
      <c r="H104" s="6" t="b">
        <v>0</v>
      </c>
      <c r="I104" s="6" t="b">
        <v>0</v>
      </c>
      <c r="J104" s="8">
        <v>1182</v>
      </c>
      <c r="K104" s="8">
        <v>74</v>
      </c>
      <c r="L104" s="8">
        <v>484</v>
      </c>
      <c r="M104" s="8">
        <v>67</v>
      </c>
      <c r="N104" s="8">
        <v>4</v>
      </c>
      <c r="O104" s="8">
        <v>13</v>
      </c>
      <c r="P104" s="8">
        <v>46</v>
      </c>
      <c r="Q104" s="8">
        <v>2</v>
      </c>
      <c r="R104" s="8">
        <v>202</v>
      </c>
      <c r="S104" s="8">
        <v>3</v>
      </c>
      <c r="T104" s="3" t="s">
        <v>72</v>
      </c>
      <c r="U104" s="10">
        <v>6147</v>
      </c>
      <c r="V104" s="32">
        <v>5</v>
      </c>
      <c r="W104" s="27">
        <v>8.134049129656743E-4</v>
      </c>
      <c r="X104" s="34">
        <v>0</v>
      </c>
      <c r="Y104" s="27">
        <v>0</v>
      </c>
      <c r="Z104" s="27">
        <v>0</v>
      </c>
      <c r="AA104" s="35">
        <v>3</v>
      </c>
      <c r="AB104" s="27">
        <v>0.6</v>
      </c>
      <c r="AC104" s="27">
        <f t="shared" si="7"/>
        <v>4.880429477794046E-4</v>
      </c>
      <c r="AD104" s="36">
        <v>0</v>
      </c>
      <c r="AE104" s="27">
        <v>0</v>
      </c>
      <c r="AF104" s="27">
        <f t="shared" si="8"/>
        <v>0</v>
      </c>
      <c r="AG104" s="37">
        <v>2</v>
      </c>
      <c r="AH104" s="27">
        <v>0.4</v>
      </c>
      <c r="AI104" s="27">
        <f t="shared" si="9"/>
        <v>3.253619651862697E-4</v>
      </c>
      <c r="AJ104" s="38">
        <v>0</v>
      </c>
      <c r="AK104" s="27">
        <v>0</v>
      </c>
      <c r="AL104" s="27">
        <f t="shared" si="10"/>
        <v>0</v>
      </c>
      <c r="AM104" s="40">
        <v>0</v>
      </c>
      <c r="AN104" s="27">
        <v>0</v>
      </c>
      <c r="AO104" s="27">
        <f t="shared" si="11"/>
        <v>0</v>
      </c>
      <c r="AP104" s="7" t="b">
        <v>1</v>
      </c>
      <c r="AQ104" s="7" t="b">
        <v>1</v>
      </c>
      <c r="AR104" s="6" t="b">
        <v>0</v>
      </c>
      <c r="AS104" s="6" t="b">
        <v>0</v>
      </c>
      <c r="AT104" s="7" t="b">
        <v>1</v>
      </c>
      <c r="AU104" s="6" t="b">
        <v>0</v>
      </c>
      <c r="AV104" s="6" t="b">
        <v>0</v>
      </c>
      <c r="AW104" s="6" t="b">
        <v>0</v>
      </c>
      <c r="AX104" s="6" t="b">
        <v>0</v>
      </c>
      <c r="AY104" s="6" t="b">
        <v>0</v>
      </c>
      <c r="AZ104" s="6" t="b">
        <v>0</v>
      </c>
      <c r="BA104" s="6" t="b">
        <v>0</v>
      </c>
      <c r="BB104" s="6" t="b">
        <v>0</v>
      </c>
    </row>
    <row r="105" spans="1:54" ht="15" x14ac:dyDescent="0.25">
      <c r="A105" s="3" t="s">
        <v>264</v>
      </c>
      <c r="B105" s="3" t="str">
        <f ca="1">IFERROR(__xludf.DUMMYFUNCTION("SPLIT(A105,""/"")"),"blacklanternsecurity")</f>
        <v>blacklanternsecurity</v>
      </c>
      <c r="C105" s="3" t="str">
        <f ca="1">IFERROR(__xludf.DUMMYFUNCTION("""COMPUTED_VALUE"""),"writehat")</f>
        <v>writehat</v>
      </c>
      <c r="D105" s="4" t="s">
        <v>265</v>
      </c>
      <c r="E105" s="5">
        <v>44165.799537037034</v>
      </c>
      <c r="F105" s="5">
        <v>44288.773888888885</v>
      </c>
      <c r="G105" s="13">
        <f t="shared" si="6"/>
        <v>122.97435185185168</v>
      </c>
      <c r="H105" s="6" t="b">
        <v>0</v>
      </c>
      <c r="I105" s="7" t="b">
        <v>1</v>
      </c>
      <c r="J105" s="8">
        <v>516</v>
      </c>
      <c r="K105" s="8">
        <v>16</v>
      </c>
      <c r="L105" s="8">
        <v>94</v>
      </c>
      <c r="M105" s="8">
        <v>0</v>
      </c>
      <c r="N105" s="8">
        <v>0</v>
      </c>
      <c r="O105" s="9">
        <v>0</v>
      </c>
      <c r="P105" s="8">
        <v>3</v>
      </c>
      <c r="Q105" s="8">
        <v>3</v>
      </c>
      <c r="R105" s="8">
        <v>26</v>
      </c>
      <c r="S105" s="8">
        <v>14</v>
      </c>
      <c r="T105" s="3" t="s">
        <v>49</v>
      </c>
      <c r="U105" s="10">
        <v>4876</v>
      </c>
      <c r="V105" s="32">
        <v>252</v>
      </c>
      <c r="W105" s="27">
        <v>5.1681706316652996E-2</v>
      </c>
      <c r="X105" s="34">
        <v>232</v>
      </c>
      <c r="Y105" s="27">
        <v>0.92063492063492058</v>
      </c>
      <c r="Z105" s="27">
        <v>4.7579983593109103E-2</v>
      </c>
      <c r="AA105" s="35">
        <v>5</v>
      </c>
      <c r="AB105" s="27">
        <v>1.984126984126984E-2</v>
      </c>
      <c r="AC105" s="27">
        <f t="shared" si="7"/>
        <v>1.0254306808859721E-3</v>
      </c>
      <c r="AD105" s="36">
        <v>5</v>
      </c>
      <c r="AE105" s="27">
        <v>1.984126984126984E-2</v>
      </c>
      <c r="AF105" s="27">
        <f t="shared" si="8"/>
        <v>1.0254306808859721E-3</v>
      </c>
      <c r="AG105" s="37">
        <v>8</v>
      </c>
      <c r="AH105" s="27">
        <v>3.1746031746031744E-2</v>
      </c>
      <c r="AI105" s="27">
        <f t="shared" si="9"/>
        <v>1.6406890894175555E-3</v>
      </c>
      <c r="AJ105" s="38">
        <v>0</v>
      </c>
      <c r="AK105" s="27">
        <v>0</v>
      </c>
      <c r="AL105" s="27">
        <f t="shared" si="10"/>
        <v>0</v>
      </c>
      <c r="AM105" s="40">
        <v>0</v>
      </c>
      <c r="AN105" s="27">
        <v>0</v>
      </c>
      <c r="AO105" s="27">
        <f t="shared" si="11"/>
        <v>0</v>
      </c>
      <c r="AP105" s="6" t="b">
        <v>0</v>
      </c>
      <c r="AQ105" s="7" t="b">
        <v>1</v>
      </c>
      <c r="AR105" s="6" t="b">
        <v>0</v>
      </c>
      <c r="AS105" s="6" t="b">
        <v>0</v>
      </c>
      <c r="AT105" s="7" t="b">
        <v>1</v>
      </c>
      <c r="AU105" s="6" t="b">
        <v>0</v>
      </c>
      <c r="AV105" s="6" t="b">
        <v>0</v>
      </c>
      <c r="AW105" s="6" t="b">
        <v>0</v>
      </c>
      <c r="AX105" s="6" t="b">
        <v>0</v>
      </c>
      <c r="AY105" s="6" t="b">
        <v>0</v>
      </c>
      <c r="AZ105" s="6" t="b">
        <v>0</v>
      </c>
      <c r="BA105" s="6" t="b">
        <v>0</v>
      </c>
      <c r="BB105" s="6" t="b">
        <v>0</v>
      </c>
    </row>
    <row r="106" spans="1:54" ht="15" x14ac:dyDescent="0.25">
      <c r="A106" s="3" t="s">
        <v>266</v>
      </c>
      <c r="B106" s="3" t="str">
        <f ca="1">IFERROR(__xludf.DUMMYFUNCTION("SPLIT(A106,""/"")"),"Blazemeter")</f>
        <v>Blazemeter</v>
      </c>
      <c r="C106" s="3" t="str">
        <f ca="1">IFERROR(__xludf.DUMMYFUNCTION("""COMPUTED_VALUE"""),"taurus")</f>
        <v>taurus</v>
      </c>
      <c r="D106" s="4" t="s">
        <v>267</v>
      </c>
      <c r="E106" s="5">
        <v>42052.920231481483</v>
      </c>
      <c r="F106" s="5">
        <v>44293.31795138889</v>
      </c>
      <c r="G106" s="13">
        <f t="shared" si="6"/>
        <v>2240.397719907407</v>
      </c>
      <c r="H106" s="6" t="b">
        <v>0</v>
      </c>
      <c r="I106" s="7" t="b">
        <v>1</v>
      </c>
      <c r="J106" s="8">
        <v>1415</v>
      </c>
      <c r="K106" s="8">
        <v>107</v>
      </c>
      <c r="L106" s="8">
        <v>371</v>
      </c>
      <c r="M106" s="8">
        <v>0</v>
      </c>
      <c r="N106" s="8">
        <v>22</v>
      </c>
      <c r="O106" s="8">
        <v>52</v>
      </c>
      <c r="P106" s="8">
        <v>1474</v>
      </c>
      <c r="Q106" s="8">
        <v>4</v>
      </c>
      <c r="R106" s="8">
        <v>0</v>
      </c>
      <c r="S106" s="8">
        <v>0</v>
      </c>
      <c r="T106" s="3" t="s">
        <v>69</v>
      </c>
      <c r="U106" s="10">
        <v>34332</v>
      </c>
      <c r="V106" s="32">
        <v>888</v>
      </c>
      <c r="W106" s="27">
        <v>2.5865082139112199E-2</v>
      </c>
      <c r="X106" s="34">
        <v>436</v>
      </c>
      <c r="Y106" s="27">
        <v>0.49099099099099097</v>
      </c>
      <c r="Z106" s="27">
        <v>1.269952231154608E-2</v>
      </c>
      <c r="AA106" s="35">
        <v>172</v>
      </c>
      <c r="AB106" s="27">
        <v>0.19369369369369369</v>
      </c>
      <c r="AC106" s="27">
        <f t="shared" si="7"/>
        <v>5.0099032972154255E-3</v>
      </c>
      <c r="AD106" s="36">
        <v>251</v>
      </c>
      <c r="AE106" s="27">
        <v>0.28265765765765766</v>
      </c>
      <c r="AF106" s="27">
        <f t="shared" si="8"/>
        <v>7.3109635325643713E-3</v>
      </c>
      <c r="AG106" s="37">
        <v>24</v>
      </c>
      <c r="AH106" s="27">
        <v>2.7027027027027029E-2</v>
      </c>
      <c r="AI106" s="27">
        <f t="shared" si="9"/>
        <v>6.9905627403005937E-4</v>
      </c>
      <c r="AJ106" s="38">
        <v>0</v>
      </c>
      <c r="AK106" s="27">
        <v>0</v>
      </c>
      <c r="AL106" s="27">
        <f t="shared" si="10"/>
        <v>0</v>
      </c>
      <c r="AM106" s="40">
        <v>5</v>
      </c>
      <c r="AN106" s="27">
        <v>5.6306306306306304E-3</v>
      </c>
      <c r="AO106" s="27">
        <f t="shared" si="11"/>
        <v>1.4563672375626237E-4</v>
      </c>
      <c r="AP106" s="7" t="b">
        <v>1</v>
      </c>
      <c r="AQ106" s="6" t="b">
        <v>0</v>
      </c>
      <c r="AR106" s="6" t="b">
        <v>0</v>
      </c>
      <c r="AS106" s="6" t="b">
        <v>0</v>
      </c>
      <c r="AT106" s="7" t="b">
        <v>1</v>
      </c>
      <c r="AU106" s="6" t="b">
        <v>0</v>
      </c>
      <c r="AV106" s="6" t="b">
        <v>0</v>
      </c>
      <c r="AW106" s="6" t="b">
        <v>0</v>
      </c>
      <c r="AX106" s="6" t="b">
        <v>0</v>
      </c>
      <c r="AY106" s="6" t="b">
        <v>0</v>
      </c>
      <c r="AZ106" s="6" t="b">
        <v>0</v>
      </c>
      <c r="BA106" s="6" t="b">
        <v>0</v>
      </c>
      <c r="BB106" s="6" t="b">
        <v>0</v>
      </c>
    </row>
    <row r="107" spans="1:54" ht="15" x14ac:dyDescent="0.25">
      <c r="A107" s="3" t="s">
        <v>268</v>
      </c>
      <c r="B107" s="3" t="str">
        <f ca="1">IFERROR(__xludf.DUMMYFUNCTION("SPLIT(A107,""/"")"),"blockchain-certificates")</f>
        <v>blockchain-certificates</v>
      </c>
      <c r="C107" s="3" t="str">
        <f ca="1">IFERROR(__xludf.DUMMYFUNCTION("""COMPUTED_VALUE"""),"cert-issuer")</f>
        <v>cert-issuer</v>
      </c>
      <c r="D107" s="4" t="s">
        <v>269</v>
      </c>
      <c r="E107" s="5">
        <v>42392.936782407407</v>
      </c>
      <c r="F107" s="5">
        <v>44290.537418981483</v>
      </c>
      <c r="G107" s="13">
        <f t="shared" si="6"/>
        <v>1897.6006365740759</v>
      </c>
      <c r="H107" s="6" t="b">
        <v>0</v>
      </c>
      <c r="I107" s="7" t="b">
        <v>1</v>
      </c>
      <c r="J107" s="8">
        <v>332</v>
      </c>
      <c r="K107" s="8">
        <v>66</v>
      </c>
      <c r="L107" s="8">
        <v>167</v>
      </c>
      <c r="M107" s="8">
        <v>0</v>
      </c>
      <c r="N107" s="8">
        <v>5</v>
      </c>
      <c r="O107" s="8">
        <v>16</v>
      </c>
      <c r="P107" s="8">
        <v>105</v>
      </c>
      <c r="Q107" s="8">
        <v>4</v>
      </c>
      <c r="R107" s="8">
        <v>92</v>
      </c>
      <c r="S107" s="8">
        <v>26</v>
      </c>
      <c r="T107" s="3" t="s">
        <v>72</v>
      </c>
      <c r="U107" s="10">
        <v>1643</v>
      </c>
      <c r="V107" s="32">
        <v>81</v>
      </c>
      <c r="W107" s="27">
        <v>4.9300060864272674E-2</v>
      </c>
      <c r="X107" s="34">
        <v>6</v>
      </c>
      <c r="Y107" s="27">
        <v>7.407407407407407E-2</v>
      </c>
      <c r="Z107" s="27">
        <v>3.6518563603164943E-3</v>
      </c>
      <c r="AA107" s="35">
        <v>41</v>
      </c>
      <c r="AB107" s="27">
        <v>0.50617283950617287</v>
      </c>
      <c r="AC107" s="27">
        <f t="shared" si="7"/>
        <v>2.4954351795496044E-2</v>
      </c>
      <c r="AD107" s="36">
        <v>11</v>
      </c>
      <c r="AE107" s="27">
        <v>0.13580246913580246</v>
      </c>
      <c r="AF107" s="27">
        <f t="shared" si="8"/>
        <v>6.6950699939135726E-3</v>
      </c>
      <c r="AG107" s="37">
        <v>20</v>
      </c>
      <c r="AH107" s="27">
        <v>0.24691358024691357</v>
      </c>
      <c r="AI107" s="27">
        <f t="shared" si="9"/>
        <v>1.2172854534388313E-2</v>
      </c>
      <c r="AJ107" s="38">
        <v>0</v>
      </c>
      <c r="AK107" s="27">
        <v>0</v>
      </c>
      <c r="AL107" s="27">
        <f t="shared" si="10"/>
        <v>0</v>
      </c>
      <c r="AM107" s="40">
        <v>0</v>
      </c>
      <c r="AN107" s="27">
        <v>0</v>
      </c>
      <c r="AO107" s="27">
        <f t="shared" si="11"/>
        <v>0</v>
      </c>
      <c r="AP107" s="7" t="b">
        <v>1</v>
      </c>
      <c r="AQ107" s="6" t="b">
        <v>0</v>
      </c>
      <c r="AR107" s="6" t="b">
        <v>0</v>
      </c>
      <c r="AS107" s="6" t="b">
        <v>0</v>
      </c>
      <c r="AT107" s="7" t="b">
        <v>1</v>
      </c>
      <c r="AU107" s="6" t="b">
        <v>0</v>
      </c>
      <c r="AV107" s="6" t="b">
        <v>0</v>
      </c>
      <c r="AW107" s="6" t="b">
        <v>0</v>
      </c>
      <c r="AX107" s="6" t="b">
        <v>0</v>
      </c>
      <c r="AY107" s="6" t="b">
        <v>0</v>
      </c>
      <c r="AZ107" s="6" t="b">
        <v>0</v>
      </c>
      <c r="BA107" s="6" t="b">
        <v>0</v>
      </c>
      <c r="BB107" s="6" t="b">
        <v>0</v>
      </c>
    </row>
    <row r="108" spans="1:54" ht="15" x14ac:dyDescent="0.25">
      <c r="A108" s="3" t="s">
        <v>270</v>
      </c>
      <c r="B108" s="3" t="str">
        <f ca="1">IFERROR(__xludf.DUMMYFUNCTION("SPLIT(A108,""/"")"),"blockchain-etl")</f>
        <v>blockchain-etl</v>
      </c>
      <c r="C108" s="3" t="str">
        <f ca="1">IFERROR(__xludf.DUMMYFUNCTION("""COMPUTED_VALUE"""),"ethereum-etl")</f>
        <v>ethereum-etl</v>
      </c>
      <c r="D108" s="4" t="s">
        <v>271</v>
      </c>
      <c r="E108" s="5">
        <v>43222.371967592589</v>
      </c>
      <c r="F108" s="5">
        <v>44294.680983796294</v>
      </c>
      <c r="G108" s="13">
        <f t="shared" si="6"/>
        <v>1072.3090162037042</v>
      </c>
      <c r="H108" s="6" t="b">
        <v>0</v>
      </c>
      <c r="I108" s="7" t="b">
        <v>1</v>
      </c>
      <c r="J108" s="8">
        <v>976</v>
      </c>
      <c r="K108" s="8">
        <v>59</v>
      </c>
      <c r="L108" s="8">
        <v>231</v>
      </c>
      <c r="M108" s="8">
        <v>7</v>
      </c>
      <c r="N108" s="8">
        <v>0</v>
      </c>
      <c r="O108" s="8">
        <v>14</v>
      </c>
      <c r="P108" s="8">
        <v>123</v>
      </c>
      <c r="Q108" s="8">
        <v>4</v>
      </c>
      <c r="R108" s="8">
        <v>122</v>
      </c>
      <c r="S108" s="8">
        <v>37</v>
      </c>
      <c r="T108" s="3" t="s">
        <v>72</v>
      </c>
      <c r="U108" s="10">
        <v>3827</v>
      </c>
      <c r="V108" s="32">
        <v>51</v>
      </c>
      <c r="W108" s="27">
        <v>1.3326365299189966E-2</v>
      </c>
      <c r="X108" s="34">
        <v>4</v>
      </c>
      <c r="Y108" s="27">
        <v>7.8431372549019607E-2</v>
      </c>
      <c r="Z108" s="27">
        <v>1.0452051215050953E-3</v>
      </c>
      <c r="AA108" s="35">
        <v>29</v>
      </c>
      <c r="AB108" s="27">
        <v>0.56862745098039214</v>
      </c>
      <c r="AC108" s="27">
        <f t="shared" si="7"/>
        <v>7.5777371309119412E-3</v>
      </c>
      <c r="AD108" s="36">
        <v>8</v>
      </c>
      <c r="AE108" s="27">
        <v>0.15686274509803921</v>
      </c>
      <c r="AF108" s="27">
        <f t="shared" si="8"/>
        <v>2.0904102430101905E-3</v>
      </c>
      <c r="AG108" s="37">
        <v>10</v>
      </c>
      <c r="AH108" s="27">
        <v>0.19607843137254902</v>
      </c>
      <c r="AI108" s="27">
        <f t="shared" si="9"/>
        <v>2.6130128037627383E-3</v>
      </c>
      <c r="AJ108" s="38">
        <v>0</v>
      </c>
      <c r="AK108" s="27">
        <v>0</v>
      </c>
      <c r="AL108" s="27">
        <f t="shared" si="10"/>
        <v>0</v>
      </c>
      <c r="AM108" s="40">
        <v>0</v>
      </c>
      <c r="AN108" s="27">
        <v>0</v>
      </c>
      <c r="AO108" s="27">
        <f t="shared" si="11"/>
        <v>0</v>
      </c>
      <c r="AP108" s="7" t="b">
        <v>1</v>
      </c>
      <c r="AQ108" s="6" t="b">
        <v>0</v>
      </c>
      <c r="AR108" s="6" t="b">
        <v>0</v>
      </c>
      <c r="AS108" s="6" t="b">
        <v>0</v>
      </c>
      <c r="AT108" s="7" t="b">
        <v>1</v>
      </c>
      <c r="AU108" s="6" t="b">
        <v>0</v>
      </c>
      <c r="AV108" s="6" t="b">
        <v>0</v>
      </c>
      <c r="AW108" s="6" t="b">
        <v>0</v>
      </c>
      <c r="AX108" s="6" t="b">
        <v>0</v>
      </c>
      <c r="AY108" s="6" t="b">
        <v>0</v>
      </c>
      <c r="AZ108" s="6" t="b">
        <v>0</v>
      </c>
      <c r="BA108" s="6" t="b">
        <v>0</v>
      </c>
      <c r="BB108" s="6" t="b">
        <v>0</v>
      </c>
    </row>
    <row r="109" spans="1:54" ht="15" x14ac:dyDescent="0.25">
      <c r="A109" s="3" t="s">
        <v>272</v>
      </c>
      <c r="B109" s="3" t="str">
        <f ca="1">IFERROR(__xludf.DUMMYFUNCTION("SPLIT(A109,""/"")"),"BMW-InnovationLab")</f>
        <v>BMW-InnovationLab</v>
      </c>
      <c r="C109" s="3" t="str">
        <f ca="1">IFERROR(__xludf.DUMMYFUNCTION("""COMPUTED_VALUE"""),"BMW-TensorFlow-Training-GUI")</f>
        <v>BMW-TensorFlow-Training-GUI</v>
      </c>
      <c r="D109" s="4" t="s">
        <v>273</v>
      </c>
      <c r="E109" s="5">
        <v>43810.754293981481</v>
      </c>
      <c r="F109" s="5">
        <v>44293.012361111112</v>
      </c>
      <c r="G109" s="13">
        <f t="shared" si="6"/>
        <v>482.25806712963094</v>
      </c>
      <c r="H109" s="6" t="b">
        <v>0</v>
      </c>
      <c r="I109" s="7" t="b">
        <v>1</v>
      </c>
      <c r="J109" s="8">
        <v>740</v>
      </c>
      <c r="K109" s="8">
        <v>48</v>
      </c>
      <c r="L109" s="8">
        <v>130</v>
      </c>
      <c r="M109" s="8">
        <v>1</v>
      </c>
      <c r="N109" s="8">
        <v>0</v>
      </c>
      <c r="O109" s="8">
        <v>6</v>
      </c>
      <c r="P109" s="8">
        <v>20</v>
      </c>
      <c r="Q109" s="8">
        <v>5</v>
      </c>
      <c r="R109" s="8">
        <v>10</v>
      </c>
      <c r="S109" s="8">
        <v>2</v>
      </c>
      <c r="T109" s="3" t="s">
        <v>69</v>
      </c>
      <c r="U109" s="10">
        <v>40369</v>
      </c>
      <c r="V109" s="32">
        <v>106</v>
      </c>
      <c r="W109" s="27">
        <v>2.6257772052812804E-3</v>
      </c>
      <c r="X109" s="34">
        <v>0</v>
      </c>
      <c r="Y109" s="27">
        <v>0</v>
      </c>
      <c r="Z109" s="27">
        <v>0</v>
      </c>
      <c r="AA109" s="35">
        <v>76</v>
      </c>
      <c r="AB109" s="27">
        <v>0.71698113207547165</v>
      </c>
      <c r="AC109" s="27">
        <f t="shared" si="7"/>
        <v>1.8826327132205405E-3</v>
      </c>
      <c r="AD109" s="36">
        <v>24</v>
      </c>
      <c r="AE109" s="27">
        <v>0.22641509433962265</v>
      </c>
      <c r="AF109" s="27">
        <f t="shared" si="8"/>
        <v>5.9451559364859176E-4</v>
      </c>
      <c r="AG109" s="37">
        <v>5</v>
      </c>
      <c r="AH109" s="27">
        <v>4.716981132075472E-2</v>
      </c>
      <c r="AI109" s="27">
        <f t="shared" si="9"/>
        <v>1.2385741534345663E-4</v>
      </c>
      <c r="AJ109" s="38">
        <v>1</v>
      </c>
      <c r="AK109" s="27">
        <v>9.433962264150943E-3</v>
      </c>
      <c r="AL109" s="27">
        <f t="shared" si="10"/>
        <v>2.4771483068691321E-5</v>
      </c>
      <c r="AM109" s="40">
        <v>0</v>
      </c>
      <c r="AN109" s="27">
        <v>0</v>
      </c>
      <c r="AO109" s="27">
        <f t="shared" si="11"/>
        <v>0</v>
      </c>
      <c r="AP109" s="7" t="b">
        <v>1</v>
      </c>
      <c r="AQ109" s="6" t="b">
        <v>0</v>
      </c>
      <c r="AR109" s="6" t="b">
        <v>0</v>
      </c>
      <c r="AS109" s="6" t="b">
        <v>0</v>
      </c>
      <c r="AT109" s="7" t="b">
        <v>1</v>
      </c>
      <c r="AU109" s="6" t="b">
        <v>0</v>
      </c>
      <c r="AV109" s="6" t="b">
        <v>0</v>
      </c>
      <c r="AW109" s="6" t="b">
        <v>0</v>
      </c>
      <c r="AX109" s="6" t="b">
        <v>0</v>
      </c>
      <c r="AY109" s="6" t="b">
        <v>0</v>
      </c>
      <c r="AZ109" s="6" t="b">
        <v>0</v>
      </c>
      <c r="BA109" s="6" t="b">
        <v>0</v>
      </c>
      <c r="BB109" s="6" t="b">
        <v>0</v>
      </c>
    </row>
    <row r="110" spans="1:54" ht="15" x14ac:dyDescent="0.25">
      <c r="A110" s="3" t="s">
        <v>274</v>
      </c>
      <c r="B110" s="3" t="str">
        <f ca="1">IFERROR(__xludf.DUMMYFUNCTION("SPLIT(A110,""/"")"),"BMW-InnovationLab")</f>
        <v>BMW-InnovationLab</v>
      </c>
      <c r="C110" s="3" t="str">
        <f ca="1">IFERROR(__xludf.DUMMYFUNCTION("""COMPUTED_VALUE"""),"BMW-YOLOv4-Training-Automation")</f>
        <v>BMW-YOLOv4-Training-Automation</v>
      </c>
      <c r="D110" s="4" t="s">
        <v>275</v>
      </c>
      <c r="E110" s="5">
        <v>43810.700439814813</v>
      </c>
      <c r="F110" s="5">
        <v>44294.429062499999</v>
      </c>
      <c r="G110" s="13">
        <f t="shared" si="6"/>
        <v>483.72862268518656</v>
      </c>
      <c r="H110" s="6" t="b">
        <v>0</v>
      </c>
      <c r="I110" s="7" t="b">
        <v>1</v>
      </c>
      <c r="J110" s="8">
        <v>540</v>
      </c>
      <c r="K110" s="8">
        <v>39</v>
      </c>
      <c r="L110" s="8">
        <v>110</v>
      </c>
      <c r="M110" s="8">
        <v>2</v>
      </c>
      <c r="N110" s="8">
        <v>0</v>
      </c>
      <c r="O110" s="8">
        <v>4</v>
      </c>
      <c r="P110" s="8">
        <v>6</v>
      </c>
      <c r="Q110" s="8">
        <v>3</v>
      </c>
      <c r="R110" s="8">
        <v>16</v>
      </c>
      <c r="S110" s="8">
        <v>0</v>
      </c>
      <c r="T110" s="3" t="s">
        <v>57</v>
      </c>
      <c r="U110" s="10">
        <v>1256</v>
      </c>
      <c r="V110" s="32">
        <v>41</v>
      </c>
      <c r="W110" s="27">
        <v>3.2643312101910828E-2</v>
      </c>
      <c r="X110" s="34">
        <v>0</v>
      </c>
      <c r="Y110" s="27">
        <v>0</v>
      </c>
      <c r="Z110" s="27">
        <v>0</v>
      </c>
      <c r="AA110" s="35">
        <v>41</v>
      </c>
      <c r="AB110" s="27">
        <v>1</v>
      </c>
      <c r="AC110" s="27">
        <f t="shared" si="7"/>
        <v>3.2643312101910828E-2</v>
      </c>
      <c r="AD110" s="36">
        <v>0</v>
      </c>
      <c r="AE110" s="27">
        <v>0</v>
      </c>
      <c r="AF110" s="27">
        <f t="shared" si="8"/>
        <v>0</v>
      </c>
      <c r="AG110" s="37">
        <v>0</v>
      </c>
      <c r="AH110" s="27">
        <v>0</v>
      </c>
      <c r="AI110" s="27">
        <f t="shared" si="9"/>
        <v>0</v>
      </c>
      <c r="AJ110" s="38">
        <v>0</v>
      </c>
      <c r="AK110" s="27">
        <v>0</v>
      </c>
      <c r="AL110" s="27">
        <f t="shared" si="10"/>
        <v>0</v>
      </c>
      <c r="AM110" s="40">
        <v>0</v>
      </c>
      <c r="AN110" s="27">
        <v>0</v>
      </c>
      <c r="AO110" s="27">
        <f t="shared" si="11"/>
        <v>0</v>
      </c>
      <c r="AP110" s="7" t="b">
        <v>1</v>
      </c>
      <c r="AQ110" s="6" t="b">
        <v>0</v>
      </c>
      <c r="AR110" s="6" t="b">
        <v>0</v>
      </c>
      <c r="AS110" s="6" t="b">
        <v>0</v>
      </c>
      <c r="AT110" s="7" t="b">
        <v>1</v>
      </c>
      <c r="AU110" s="6" t="b">
        <v>0</v>
      </c>
      <c r="AV110" s="6" t="b">
        <v>0</v>
      </c>
      <c r="AW110" s="6" t="b">
        <v>0</v>
      </c>
      <c r="AX110" s="6" t="b">
        <v>0</v>
      </c>
      <c r="AY110" s="6" t="b">
        <v>0</v>
      </c>
      <c r="AZ110" s="6" t="b">
        <v>0</v>
      </c>
      <c r="BA110" s="6" t="b">
        <v>0</v>
      </c>
      <c r="BB110" s="6" t="b">
        <v>0</v>
      </c>
    </row>
    <row r="111" spans="1:54" ht="15" x14ac:dyDescent="0.25">
      <c r="A111" s="3" t="s">
        <v>276</v>
      </c>
      <c r="B111" s="3" t="str">
        <f ca="1">IFERROR(__xludf.DUMMYFUNCTION("SPLIT(A111,""/"")"),"Boerderij")</f>
        <v>Boerderij</v>
      </c>
      <c r="C111" s="3" t="str">
        <f ca="1">IFERROR(__xludf.DUMMYFUNCTION("""COMPUTED_VALUE"""),"Varken")</f>
        <v>Varken</v>
      </c>
      <c r="D111" s="4" t="s">
        <v>277</v>
      </c>
      <c r="E111" s="5">
        <v>43141.273263888892</v>
      </c>
      <c r="F111" s="5">
        <v>44294.988240740742</v>
      </c>
      <c r="G111" s="13">
        <f t="shared" si="6"/>
        <v>1153.7149768518502</v>
      </c>
      <c r="H111" s="6" t="b">
        <v>0</v>
      </c>
      <c r="I111" s="7" t="b">
        <v>1</v>
      </c>
      <c r="J111" s="8">
        <v>837</v>
      </c>
      <c r="K111" s="8">
        <v>32</v>
      </c>
      <c r="L111" s="8">
        <v>76</v>
      </c>
      <c r="M111" s="8">
        <v>27</v>
      </c>
      <c r="N111" s="8">
        <v>5</v>
      </c>
      <c r="O111" s="8">
        <v>9</v>
      </c>
      <c r="P111" s="8">
        <v>53</v>
      </c>
      <c r="Q111" s="8">
        <v>2</v>
      </c>
      <c r="R111" s="8">
        <v>145</v>
      </c>
      <c r="S111" s="8">
        <v>9</v>
      </c>
      <c r="T111" s="3" t="s">
        <v>72</v>
      </c>
      <c r="U111" s="10">
        <v>2293</v>
      </c>
      <c r="V111" s="32">
        <v>110</v>
      </c>
      <c r="W111" s="27">
        <v>4.7972088966419538E-2</v>
      </c>
      <c r="X111" s="34">
        <v>28</v>
      </c>
      <c r="Y111" s="27">
        <v>0.25454545454545452</v>
      </c>
      <c r="Z111" s="27">
        <v>1.2211077191452245E-2</v>
      </c>
      <c r="AA111" s="35">
        <v>18</v>
      </c>
      <c r="AB111" s="27">
        <v>0.16363636363636364</v>
      </c>
      <c r="AC111" s="27">
        <f t="shared" si="7"/>
        <v>7.849978194505015E-3</v>
      </c>
      <c r="AD111" s="36">
        <v>2</v>
      </c>
      <c r="AE111" s="27">
        <v>1.8181818181818181E-2</v>
      </c>
      <c r="AF111" s="27">
        <f t="shared" si="8"/>
        <v>8.7221979938944616E-4</v>
      </c>
      <c r="AG111" s="37">
        <v>60</v>
      </c>
      <c r="AH111" s="27">
        <v>0.54545454545454541</v>
      </c>
      <c r="AI111" s="27">
        <f t="shared" si="9"/>
        <v>2.6166593981683386E-2</v>
      </c>
      <c r="AJ111" s="38">
        <v>2</v>
      </c>
      <c r="AK111" s="27">
        <v>1.8181818181818181E-2</v>
      </c>
      <c r="AL111" s="27">
        <f t="shared" si="10"/>
        <v>8.7221979938944616E-4</v>
      </c>
      <c r="AM111" s="40">
        <v>0</v>
      </c>
      <c r="AN111" s="27">
        <v>0</v>
      </c>
      <c r="AO111" s="27">
        <f t="shared" si="11"/>
        <v>0</v>
      </c>
      <c r="AP111" s="7" t="b">
        <v>1</v>
      </c>
      <c r="AQ111" s="7" t="b">
        <v>1</v>
      </c>
      <c r="AR111" s="6" t="b">
        <v>0</v>
      </c>
      <c r="AS111" s="6" t="b">
        <v>0</v>
      </c>
      <c r="AT111" s="7" t="b">
        <v>1</v>
      </c>
      <c r="AU111" s="6" t="b">
        <v>0</v>
      </c>
      <c r="AV111" s="6" t="b">
        <v>0</v>
      </c>
      <c r="AW111" s="6" t="b">
        <v>0</v>
      </c>
      <c r="AX111" s="6" t="b">
        <v>0</v>
      </c>
      <c r="AY111" s="6" t="b">
        <v>0</v>
      </c>
      <c r="AZ111" s="6" t="b">
        <v>0</v>
      </c>
      <c r="BA111" s="6" t="b">
        <v>0</v>
      </c>
      <c r="BB111" s="6" t="b">
        <v>0</v>
      </c>
    </row>
    <row r="112" spans="1:54" ht="15" x14ac:dyDescent="0.25">
      <c r="A112" s="3" t="s">
        <v>278</v>
      </c>
      <c r="B112" s="3" t="str">
        <f ca="1">IFERROR(__xludf.DUMMYFUNCTION("SPLIT(A112,""/"")"),"bokeh")</f>
        <v>bokeh</v>
      </c>
      <c r="C112" s="3" t="str">
        <f ca="1">IFERROR(__xludf.DUMMYFUNCTION("""COMPUTED_VALUE"""),"bokeh")</f>
        <v>bokeh</v>
      </c>
      <c r="D112" s="4" t="s">
        <v>279</v>
      </c>
      <c r="E112" s="5">
        <v>40994.652789351851</v>
      </c>
      <c r="F112" s="5">
        <v>44295.101724537039</v>
      </c>
      <c r="G112" s="13">
        <f t="shared" si="6"/>
        <v>3300.448935185188</v>
      </c>
      <c r="H112" s="6" t="b">
        <v>0</v>
      </c>
      <c r="I112" s="7" t="b">
        <v>1</v>
      </c>
      <c r="J112" s="8">
        <v>14955</v>
      </c>
      <c r="K112" s="8">
        <v>471</v>
      </c>
      <c r="L112" s="8">
        <v>3619</v>
      </c>
      <c r="M112" s="8">
        <v>0</v>
      </c>
      <c r="N112" s="8">
        <v>275</v>
      </c>
      <c r="O112" s="8">
        <v>498</v>
      </c>
      <c r="P112" s="8">
        <v>4658</v>
      </c>
      <c r="Q112" s="8">
        <v>24</v>
      </c>
      <c r="R112" s="8">
        <v>6491</v>
      </c>
      <c r="S112" s="8">
        <v>645</v>
      </c>
      <c r="T112" s="3" t="s">
        <v>57</v>
      </c>
      <c r="U112" s="10">
        <v>57608</v>
      </c>
      <c r="V112" s="32">
        <v>139</v>
      </c>
      <c r="W112" s="27">
        <v>2.4128593250937369E-3</v>
      </c>
      <c r="X112" s="34">
        <v>48</v>
      </c>
      <c r="Y112" s="27">
        <v>0.34532374100719426</v>
      </c>
      <c r="Z112" s="27">
        <v>8.3321760866546311E-4</v>
      </c>
      <c r="AA112" s="35">
        <v>32</v>
      </c>
      <c r="AB112" s="27">
        <v>0.23021582733812951</v>
      </c>
      <c r="AC112" s="27">
        <f t="shared" si="7"/>
        <v>5.5547840577697537E-4</v>
      </c>
      <c r="AD112" s="36">
        <v>32</v>
      </c>
      <c r="AE112" s="27">
        <v>0.23021582733812951</v>
      </c>
      <c r="AF112" s="27">
        <f t="shared" si="8"/>
        <v>5.5547840577697537E-4</v>
      </c>
      <c r="AG112" s="37">
        <v>24</v>
      </c>
      <c r="AH112" s="27">
        <v>0.17266187050359713</v>
      </c>
      <c r="AI112" s="27">
        <f t="shared" si="9"/>
        <v>4.1660880433273156E-4</v>
      </c>
      <c r="AJ112" s="38">
        <v>3</v>
      </c>
      <c r="AK112" s="27">
        <v>2.1582733812949641E-2</v>
      </c>
      <c r="AL112" s="27">
        <f t="shared" si="10"/>
        <v>5.2076100541591444E-5</v>
      </c>
      <c r="AM112" s="40">
        <v>0</v>
      </c>
      <c r="AN112" s="27">
        <v>0</v>
      </c>
      <c r="AO112" s="27">
        <f t="shared" si="11"/>
        <v>0</v>
      </c>
      <c r="AP112" s="7" t="b">
        <v>1</v>
      </c>
      <c r="AQ112" s="6" t="b">
        <v>0</v>
      </c>
      <c r="AR112" s="6" t="b">
        <v>0</v>
      </c>
      <c r="AS112" s="6" t="b">
        <v>0</v>
      </c>
      <c r="AT112" s="7" t="b">
        <v>1</v>
      </c>
      <c r="AU112" s="6" t="b">
        <v>0</v>
      </c>
      <c r="AV112" s="6" t="b">
        <v>0</v>
      </c>
      <c r="AW112" s="6" t="b">
        <v>0</v>
      </c>
      <c r="AX112" s="6" t="b">
        <v>0</v>
      </c>
      <c r="AY112" s="6" t="b">
        <v>0</v>
      </c>
      <c r="AZ112" s="6" t="b">
        <v>0</v>
      </c>
      <c r="BA112" s="6" t="b">
        <v>0</v>
      </c>
      <c r="BB112" s="6" t="b">
        <v>0</v>
      </c>
    </row>
    <row r="113" spans="1:54" ht="15" x14ac:dyDescent="0.25">
      <c r="A113" s="3" t="s">
        <v>280</v>
      </c>
      <c r="B113" s="3" t="str">
        <f ca="1">IFERROR(__xludf.DUMMYFUNCTION("SPLIT(A113,""/"")"),"bootphon")</f>
        <v>bootphon</v>
      </c>
      <c r="C113" s="3" t="str">
        <f ca="1">IFERROR(__xludf.DUMMYFUNCTION("""COMPUTED_VALUE"""),"phonemizer")</f>
        <v>phonemizer</v>
      </c>
      <c r="D113" s="4" t="s">
        <v>281</v>
      </c>
      <c r="E113" s="5">
        <v>42480.988287037035</v>
      </c>
      <c r="F113" s="5">
        <v>44294.440891203703</v>
      </c>
      <c r="G113" s="13">
        <f t="shared" si="6"/>
        <v>1813.4526041666686</v>
      </c>
      <c r="H113" s="6" t="b">
        <v>0</v>
      </c>
      <c r="I113" s="7" t="b">
        <v>1</v>
      </c>
      <c r="J113" s="8">
        <v>422</v>
      </c>
      <c r="K113" s="8">
        <v>22</v>
      </c>
      <c r="L113" s="8">
        <v>80</v>
      </c>
      <c r="M113" s="8">
        <v>11</v>
      </c>
      <c r="N113" s="8">
        <v>0</v>
      </c>
      <c r="O113" s="8">
        <v>9</v>
      </c>
      <c r="P113" s="8">
        <v>11</v>
      </c>
      <c r="Q113" s="8">
        <v>0</v>
      </c>
      <c r="R113" s="8">
        <v>54</v>
      </c>
      <c r="S113" s="8">
        <v>4</v>
      </c>
      <c r="T113" s="3" t="s">
        <v>49</v>
      </c>
      <c r="U113" s="10">
        <v>1520</v>
      </c>
      <c r="V113" s="32">
        <v>24</v>
      </c>
      <c r="W113" s="27">
        <v>1.5789473684210527E-2</v>
      </c>
      <c r="X113" s="34">
        <v>9</v>
      </c>
      <c r="Y113" s="27">
        <v>0.375</v>
      </c>
      <c r="Z113" s="27">
        <v>5.9210526315789476E-3</v>
      </c>
      <c r="AA113" s="35">
        <v>5</v>
      </c>
      <c r="AB113" s="27">
        <v>0.20833333333333334</v>
      </c>
      <c r="AC113" s="27">
        <f t="shared" si="7"/>
        <v>3.2894736842105261E-3</v>
      </c>
      <c r="AD113" s="36">
        <v>8</v>
      </c>
      <c r="AE113" s="27">
        <v>0.33333333333333331</v>
      </c>
      <c r="AF113" s="27">
        <f t="shared" si="8"/>
        <v>5.263157894736842E-3</v>
      </c>
      <c r="AG113" s="37">
        <v>2</v>
      </c>
      <c r="AH113" s="27">
        <v>8.3333333333333329E-2</v>
      </c>
      <c r="AI113" s="27">
        <f t="shared" si="9"/>
        <v>1.3157894736842105E-3</v>
      </c>
      <c r="AJ113" s="38">
        <v>0</v>
      </c>
      <c r="AK113" s="27">
        <v>0</v>
      </c>
      <c r="AL113" s="27">
        <f t="shared" si="10"/>
        <v>0</v>
      </c>
      <c r="AM113" s="40">
        <v>0</v>
      </c>
      <c r="AN113" s="27">
        <v>0</v>
      </c>
      <c r="AO113" s="27">
        <f t="shared" si="11"/>
        <v>0</v>
      </c>
      <c r="AP113" s="7" t="b">
        <v>1</v>
      </c>
      <c r="AQ113" s="6" t="b">
        <v>0</v>
      </c>
      <c r="AR113" s="6" t="b">
        <v>0</v>
      </c>
      <c r="AS113" s="6" t="b">
        <v>0</v>
      </c>
      <c r="AT113" s="7" t="b">
        <v>1</v>
      </c>
      <c r="AU113" s="6" t="b">
        <v>0</v>
      </c>
      <c r="AV113" s="6" t="b">
        <v>0</v>
      </c>
      <c r="AW113" s="6" t="b">
        <v>0</v>
      </c>
      <c r="AX113" s="6" t="b">
        <v>0</v>
      </c>
      <c r="AY113" s="6" t="b">
        <v>0</v>
      </c>
      <c r="AZ113" s="6" t="b">
        <v>0</v>
      </c>
      <c r="BA113" s="6" t="b">
        <v>0</v>
      </c>
      <c r="BB113" s="6" t="b">
        <v>0</v>
      </c>
    </row>
    <row r="114" spans="1:54" ht="15" x14ac:dyDescent="0.25">
      <c r="A114" s="3" t="s">
        <v>282</v>
      </c>
      <c r="B114" s="3" t="str">
        <f ca="1">IFERROR(__xludf.DUMMYFUNCTION("SPLIT(A114,""/"")"),"boston-dynamics")</f>
        <v>boston-dynamics</v>
      </c>
      <c r="C114" s="3" t="str">
        <f ca="1">IFERROR(__xludf.DUMMYFUNCTION("""COMPUTED_VALUE"""),"spot-sdk")</f>
        <v>spot-sdk</v>
      </c>
      <c r="D114" s="4" t="s">
        <v>283</v>
      </c>
      <c r="E114" s="5">
        <v>43846.814467592594</v>
      </c>
      <c r="F114" s="5">
        <v>44294.589699074073</v>
      </c>
      <c r="G114" s="13">
        <f t="shared" si="6"/>
        <v>447.77523148147884</v>
      </c>
      <c r="H114" s="6" t="b">
        <v>0</v>
      </c>
      <c r="I114" s="7" t="b">
        <v>1</v>
      </c>
      <c r="J114" s="8">
        <v>1444</v>
      </c>
      <c r="K114" s="8">
        <v>163</v>
      </c>
      <c r="L114" s="8">
        <v>305</v>
      </c>
      <c r="M114" s="8">
        <v>0</v>
      </c>
      <c r="N114" s="8">
        <v>1</v>
      </c>
      <c r="O114" s="9">
        <v>0</v>
      </c>
      <c r="P114" s="8">
        <v>13</v>
      </c>
      <c r="Q114" s="8">
        <v>6</v>
      </c>
      <c r="R114" s="8">
        <v>0</v>
      </c>
      <c r="S114" s="8">
        <v>0</v>
      </c>
      <c r="T114" s="3" t="s">
        <v>92</v>
      </c>
      <c r="U114" s="10">
        <v>28875</v>
      </c>
      <c r="V114" s="32">
        <v>494</v>
      </c>
      <c r="W114" s="27">
        <v>1.7108225108225107E-2</v>
      </c>
      <c r="X114" s="34">
        <v>46</v>
      </c>
      <c r="Y114" s="27">
        <v>9.3117408906882596E-2</v>
      </c>
      <c r="Z114" s="27">
        <v>1.593073593073593E-3</v>
      </c>
      <c r="AA114" s="35">
        <v>286</v>
      </c>
      <c r="AB114" s="27">
        <v>0.57894736842105265</v>
      </c>
      <c r="AC114" s="27">
        <f t="shared" si="7"/>
        <v>9.9047619047619041E-3</v>
      </c>
      <c r="AD114" s="36">
        <v>39</v>
      </c>
      <c r="AE114" s="27">
        <v>7.8947368421052627E-2</v>
      </c>
      <c r="AF114" s="27">
        <f t="shared" si="8"/>
        <v>1.3506493506493507E-3</v>
      </c>
      <c r="AG114" s="37">
        <v>119</v>
      </c>
      <c r="AH114" s="27">
        <v>0.24089068825910931</v>
      </c>
      <c r="AI114" s="27">
        <f t="shared" si="9"/>
        <v>4.121212121212121E-3</v>
      </c>
      <c r="AJ114" s="38">
        <v>2</v>
      </c>
      <c r="AK114" s="27">
        <v>4.048582995951417E-3</v>
      </c>
      <c r="AL114" s="27">
        <f t="shared" si="10"/>
        <v>6.9264069264069259E-5</v>
      </c>
      <c r="AM114" s="40">
        <v>1</v>
      </c>
      <c r="AN114" s="27">
        <v>2.0242914979757085E-3</v>
      </c>
      <c r="AO114" s="27">
        <f t="shared" si="11"/>
        <v>3.4632034632034629E-5</v>
      </c>
      <c r="AP114" s="7" t="b">
        <v>1</v>
      </c>
      <c r="AQ114" s="6" t="b">
        <v>0</v>
      </c>
      <c r="AR114" s="6" t="b">
        <v>0</v>
      </c>
      <c r="AS114" s="6" t="b">
        <v>0</v>
      </c>
      <c r="AT114" s="7" t="b">
        <v>1</v>
      </c>
      <c r="AU114" s="6" t="b">
        <v>0</v>
      </c>
      <c r="AV114" s="6" t="b">
        <v>0</v>
      </c>
      <c r="AW114" s="6" t="b">
        <v>0</v>
      </c>
      <c r="AX114" s="6" t="b">
        <v>0</v>
      </c>
      <c r="AY114" s="6" t="b">
        <v>0</v>
      </c>
      <c r="AZ114" s="6" t="b">
        <v>0</v>
      </c>
      <c r="BA114" s="6" t="b">
        <v>0</v>
      </c>
      <c r="BB114" s="6" t="b">
        <v>0</v>
      </c>
    </row>
    <row r="115" spans="1:54" ht="15" x14ac:dyDescent="0.25">
      <c r="A115" s="3" t="s">
        <v>284</v>
      </c>
      <c r="B115" s="3" t="str">
        <f ca="1">IFERROR(__xludf.DUMMYFUNCTION("SPLIT(A115,""/"")"),"brettkromkamp")</f>
        <v>brettkromkamp</v>
      </c>
      <c r="C115" s="3" t="str">
        <f ca="1">IFERROR(__xludf.DUMMYFUNCTION("""COMPUTED_VALUE"""),"contextualise")</f>
        <v>contextualise</v>
      </c>
      <c r="D115" s="4" t="s">
        <v>285</v>
      </c>
      <c r="E115" s="5">
        <v>43577.383645833332</v>
      </c>
      <c r="F115" s="5">
        <v>44286.248993055553</v>
      </c>
      <c r="G115" s="13">
        <f t="shared" si="6"/>
        <v>708.86534722222132</v>
      </c>
      <c r="H115" s="6" t="b">
        <v>0</v>
      </c>
      <c r="I115" s="6" t="b">
        <v>0</v>
      </c>
      <c r="J115" s="8">
        <v>901</v>
      </c>
      <c r="K115" s="8">
        <v>25</v>
      </c>
      <c r="L115" s="8">
        <v>42</v>
      </c>
      <c r="M115" s="8">
        <v>0</v>
      </c>
      <c r="N115" s="8">
        <v>0</v>
      </c>
      <c r="O115" s="8">
        <v>6</v>
      </c>
      <c r="P115" s="8">
        <v>5</v>
      </c>
      <c r="Q115" s="8">
        <v>0</v>
      </c>
      <c r="R115" s="8">
        <v>102</v>
      </c>
      <c r="S115" s="8">
        <v>43</v>
      </c>
      <c r="T115" s="3" t="s">
        <v>72</v>
      </c>
      <c r="U115" s="10">
        <v>2869</v>
      </c>
      <c r="V115" s="32">
        <v>30</v>
      </c>
      <c r="W115" s="27">
        <v>1.0456605088881143E-2</v>
      </c>
      <c r="X115" s="34">
        <v>0</v>
      </c>
      <c r="Y115" s="27">
        <v>0</v>
      </c>
      <c r="Z115" s="27">
        <v>0</v>
      </c>
      <c r="AA115" s="35">
        <v>2</v>
      </c>
      <c r="AB115" s="27">
        <v>6.6666666666666666E-2</v>
      </c>
      <c r="AC115" s="27">
        <f t="shared" si="7"/>
        <v>6.9710700592540956E-4</v>
      </c>
      <c r="AD115" s="36">
        <v>28</v>
      </c>
      <c r="AE115" s="27">
        <v>0.93333333333333335</v>
      </c>
      <c r="AF115" s="27">
        <f t="shared" si="8"/>
        <v>9.7594980829557344E-3</v>
      </c>
      <c r="AG115" s="37">
        <v>0</v>
      </c>
      <c r="AH115" s="27">
        <v>0</v>
      </c>
      <c r="AI115" s="27">
        <f t="shared" si="9"/>
        <v>0</v>
      </c>
      <c r="AJ115" s="38">
        <v>0</v>
      </c>
      <c r="AK115" s="27">
        <v>0</v>
      </c>
      <c r="AL115" s="27">
        <f t="shared" si="10"/>
        <v>0</v>
      </c>
      <c r="AM115" s="40">
        <v>0</v>
      </c>
      <c r="AN115" s="27">
        <v>0</v>
      </c>
      <c r="AO115" s="27">
        <f t="shared" si="11"/>
        <v>0</v>
      </c>
      <c r="AP115" s="7" t="b">
        <v>1</v>
      </c>
      <c r="AQ115" s="7" t="b">
        <v>1</v>
      </c>
      <c r="AR115" s="6" t="b">
        <v>0</v>
      </c>
      <c r="AS115" s="6" t="b">
        <v>0</v>
      </c>
      <c r="AT115" s="7" t="b">
        <v>1</v>
      </c>
      <c r="AU115" s="6" t="b">
        <v>0</v>
      </c>
      <c r="AV115" s="6" t="b">
        <v>0</v>
      </c>
      <c r="AW115" s="6" t="b">
        <v>0</v>
      </c>
      <c r="AX115" s="6" t="b">
        <v>0</v>
      </c>
      <c r="AY115" s="6" t="b">
        <v>0</v>
      </c>
      <c r="AZ115" s="6" t="b">
        <v>0</v>
      </c>
      <c r="BA115" s="6" t="b">
        <v>0</v>
      </c>
      <c r="BB115" s="6" t="b">
        <v>0</v>
      </c>
    </row>
    <row r="116" spans="1:54" ht="15" x14ac:dyDescent="0.25">
      <c r="A116" s="3" t="s">
        <v>286</v>
      </c>
      <c r="B116" s="3" t="str">
        <f ca="1">IFERROR(__xludf.DUMMYFUNCTION("SPLIT(A116,""/"")"),"briancappello")</f>
        <v>briancappello</v>
      </c>
      <c r="C116" s="3" t="str">
        <f ca="1">IFERROR(__xludf.DUMMYFUNCTION("""COMPUTED_VALUE"""),"flask-react-spa")</f>
        <v>flask-react-spa</v>
      </c>
      <c r="D116" s="4" t="s">
        <v>287</v>
      </c>
      <c r="E116" s="5">
        <v>42983.137280092589</v>
      </c>
      <c r="F116" s="5">
        <v>44294.074745370373</v>
      </c>
      <c r="G116" s="13">
        <f t="shared" si="6"/>
        <v>1310.9374652777842</v>
      </c>
      <c r="H116" s="6" t="b">
        <v>0</v>
      </c>
      <c r="I116" s="6" t="b">
        <v>0</v>
      </c>
      <c r="J116" s="8">
        <v>456</v>
      </c>
      <c r="K116" s="8">
        <v>21</v>
      </c>
      <c r="L116" s="8">
        <v>84</v>
      </c>
      <c r="M116" s="8">
        <v>0</v>
      </c>
      <c r="N116" s="8">
        <v>1</v>
      </c>
      <c r="O116" s="8">
        <v>3</v>
      </c>
      <c r="P116" s="8">
        <v>9</v>
      </c>
      <c r="Q116" s="8">
        <v>0</v>
      </c>
      <c r="R116" s="8">
        <v>15</v>
      </c>
      <c r="S116" s="8">
        <v>6</v>
      </c>
      <c r="T116" s="3" t="s">
        <v>72</v>
      </c>
      <c r="U116" s="10">
        <v>4679</v>
      </c>
      <c r="V116" s="32">
        <v>1</v>
      </c>
      <c r="W116" s="27">
        <v>2.1372088053002778E-4</v>
      </c>
      <c r="X116" s="34">
        <v>0</v>
      </c>
      <c r="Y116" s="27">
        <v>0</v>
      </c>
      <c r="Z116" s="27">
        <v>0</v>
      </c>
      <c r="AA116" s="35">
        <v>0</v>
      </c>
      <c r="AB116" s="27">
        <v>0</v>
      </c>
      <c r="AC116" s="27">
        <f t="shared" si="7"/>
        <v>0</v>
      </c>
      <c r="AD116" s="36">
        <v>0</v>
      </c>
      <c r="AE116" s="27">
        <v>0</v>
      </c>
      <c r="AF116" s="27">
        <f t="shared" si="8"/>
        <v>0</v>
      </c>
      <c r="AG116" s="37">
        <v>1</v>
      </c>
      <c r="AH116" s="27">
        <v>1</v>
      </c>
      <c r="AI116" s="27">
        <f t="shared" si="9"/>
        <v>2.1372088053002778E-4</v>
      </c>
      <c r="AJ116" s="38">
        <v>0</v>
      </c>
      <c r="AK116" s="27">
        <v>0</v>
      </c>
      <c r="AL116" s="27">
        <f t="shared" si="10"/>
        <v>0</v>
      </c>
      <c r="AM116" s="40">
        <v>0</v>
      </c>
      <c r="AN116" s="27">
        <v>0</v>
      </c>
      <c r="AO116" s="27">
        <f t="shared" si="11"/>
        <v>0</v>
      </c>
      <c r="AP116" s="7" t="b">
        <v>1</v>
      </c>
      <c r="AQ116" s="7" t="b">
        <v>1</v>
      </c>
      <c r="AR116" s="6" t="b">
        <v>0</v>
      </c>
      <c r="AS116" s="6" t="b">
        <v>0</v>
      </c>
      <c r="AT116" s="7" t="b">
        <v>1</v>
      </c>
      <c r="AU116" s="6" t="b">
        <v>0</v>
      </c>
      <c r="AV116" s="6" t="b">
        <v>0</v>
      </c>
      <c r="AW116" s="6" t="b">
        <v>0</v>
      </c>
      <c r="AX116" s="6" t="b">
        <v>0</v>
      </c>
      <c r="AY116" s="6" t="b">
        <v>0</v>
      </c>
      <c r="AZ116" s="6" t="b">
        <v>0</v>
      </c>
      <c r="BA116" s="6" t="b">
        <v>0</v>
      </c>
      <c r="BB116" s="6" t="b">
        <v>0</v>
      </c>
    </row>
    <row r="117" spans="1:54" ht="15" x14ac:dyDescent="0.25">
      <c r="A117" s="3" t="s">
        <v>288</v>
      </c>
      <c r="B117" s="3" t="str">
        <f ca="1">IFERROR(__xludf.DUMMYFUNCTION("SPLIT(A117,""/"")"),"bridgecrewio")</f>
        <v>bridgecrewio</v>
      </c>
      <c r="C117" s="3" t="str">
        <f ca="1">IFERROR(__xludf.DUMMYFUNCTION("""COMPUTED_VALUE"""),"checkov")</f>
        <v>checkov</v>
      </c>
      <c r="D117" s="4" t="s">
        <v>289</v>
      </c>
      <c r="E117" s="5">
        <v>43796.371689814812</v>
      </c>
      <c r="F117" s="5">
        <v>44294.864398148151</v>
      </c>
      <c r="G117" s="13">
        <f t="shared" si="6"/>
        <v>498.49270833333867</v>
      </c>
      <c r="H117" s="6" t="b">
        <v>0</v>
      </c>
      <c r="I117" s="7" t="b">
        <v>1</v>
      </c>
      <c r="J117" s="8">
        <v>2316</v>
      </c>
      <c r="K117" s="8">
        <v>51</v>
      </c>
      <c r="L117" s="8">
        <v>265</v>
      </c>
      <c r="M117" s="8">
        <v>142</v>
      </c>
      <c r="N117" s="8">
        <v>19</v>
      </c>
      <c r="O117" s="8">
        <v>84</v>
      </c>
      <c r="P117" s="8">
        <v>678</v>
      </c>
      <c r="Q117" s="8">
        <v>9</v>
      </c>
      <c r="R117" s="8">
        <v>361</v>
      </c>
      <c r="S117" s="8">
        <v>82</v>
      </c>
      <c r="T117" s="3" t="s">
        <v>69</v>
      </c>
      <c r="U117" s="10">
        <v>25437</v>
      </c>
      <c r="V117" s="32">
        <v>126</v>
      </c>
      <c r="W117" s="27">
        <v>4.9534143177261472E-3</v>
      </c>
      <c r="X117" s="34">
        <v>71</v>
      </c>
      <c r="Y117" s="27">
        <v>0.56349206349206349</v>
      </c>
      <c r="Z117" s="27">
        <v>2.7912096552266384E-3</v>
      </c>
      <c r="AA117" s="35">
        <v>15</v>
      </c>
      <c r="AB117" s="27">
        <v>0.11904761904761904</v>
      </c>
      <c r="AC117" s="27">
        <f t="shared" si="7"/>
        <v>5.8969218068168419E-4</v>
      </c>
      <c r="AD117" s="36">
        <v>3</v>
      </c>
      <c r="AE117" s="27">
        <v>2.3809523809523808E-2</v>
      </c>
      <c r="AF117" s="27">
        <f t="shared" si="8"/>
        <v>1.1793843613633684E-4</v>
      </c>
      <c r="AG117" s="37">
        <v>37</v>
      </c>
      <c r="AH117" s="27">
        <v>0.29365079365079366</v>
      </c>
      <c r="AI117" s="27">
        <f t="shared" si="9"/>
        <v>1.4545740456814876E-3</v>
      </c>
      <c r="AJ117" s="38">
        <v>0</v>
      </c>
      <c r="AK117" s="27">
        <v>0</v>
      </c>
      <c r="AL117" s="27">
        <f t="shared" si="10"/>
        <v>0</v>
      </c>
      <c r="AM117" s="40">
        <v>0</v>
      </c>
      <c r="AN117" s="27">
        <v>0</v>
      </c>
      <c r="AO117" s="27">
        <f t="shared" si="11"/>
        <v>0</v>
      </c>
      <c r="AP117" s="7" t="b">
        <v>1</v>
      </c>
      <c r="AQ117" s="6" t="b">
        <v>0</v>
      </c>
      <c r="AR117" s="6" t="b">
        <v>0</v>
      </c>
      <c r="AS117" s="6" t="b">
        <v>0</v>
      </c>
      <c r="AT117" s="7" t="b">
        <v>1</v>
      </c>
      <c r="AU117" s="6" t="b">
        <v>0</v>
      </c>
      <c r="AV117" s="6" t="b">
        <v>0</v>
      </c>
      <c r="AW117" s="6" t="b">
        <v>0</v>
      </c>
      <c r="AX117" s="6" t="b">
        <v>0</v>
      </c>
      <c r="AY117" s="6" t="b">
        <v>0</v>
      </c>
      <c r="AZ117" s="6" t="b">
        <v>0</v>
      </c>
      <c r="BA117" s="6" t="b">
        <v>0</v>
      </c>
      <c r="BB117" s="6" t="b">
        <v>0</v>
      </c>
    </row>
    <row r="118" spans="1:54" ht="15" x14ac:dyDescent="0.25">
      <c r="A118" s="3" t="s">
        <v>290</v>
      </c>
      <c r="B118" s="3" t="str">
        <f ca="1">IFERROR(__xludf.DUMMYFUNCTION("SPLIT(A118,""/"")"),"brndnmtthws")</f>
        <v>brndnmtthws</v>
      </c>
      <c r="C118" s="3" t="str">
        <f ca="1">IFERROR(__xludf.DUMMYFUNCTION("""COMPUTED_VALUE"""),"thetagang")</f>
        <v>thetagang</v>
      </c>
      <c r="D118" s="4" t="s">
        <v>291</v>
      </c>
      <c r="E118" s="5">
        <v>44168.845243055555</v>
      </c>
      <c r="F118" s="5">
        <v>44294.837905092594</v>
      </c>
      <c r="G118" s="13">
        <f t="shared" si="6"/>
        <v>125.99266203703883</v>
      </c>
      <c r="H118" s="6" t="b">
        <v>0</v>
      </c>
      <c r="I118" s="6" t="b">
        <v>0</v>
      </c>
      <c r="J118" s="8">
        <v>1241</v>
      </c>
      <c r="K118" s="8">
        <v>61</v>
      </c>
      <c r="L118" s="8">
        <v>165</v>
      </c>
      <c r="M118" s="8">
        <v>19</v>
      </c>
      <c r="N118" s="8">
        <v>0</v>
      </c>
      <c r="O118" s="8">
        <v>2</v>
      </c>
      <c r="P118" s="8">
        <v>1</v>
      </c>
      <c r="Q118" s="8">
        <v>0</v>
      </c>
      <c r="R118" s="8">
        <v>16</v>
      </c>
      <c r="S118" s="8">
        <v>4</v>
      </c>
      <c r="T118" s="3" t="s">
        <v>92</v>
      </c>
      <c r="U118" s="10">
        <v>555</v>
      </c>
      <c r="V118" s="32">
        <v>0</v>
      </c>
      <c r="W118" s="27">
        <v>0</v>
      </c>
      <c r="X118" s="34">
        <v>0</v>
      </c>
      <c r="Y118" s="27">
        <v>0</v>
      </c>
      <c r="Z118" s="27">
        <v>0</v>
      </c>
      <c r="AA118" s="35">
        <v>0</v>
      </c>
      <c r="AB118" s="27">
        <v>0</v>
      </c>
      <c r="AC118" s="27">
        <f t="shared" si="7"/>
        <v>0</v>
      </c>
      <c r="AD118" s="36">
        <v>0</v>
      </c>
      <c r="AE118" s="27">
        <v>0</v>
      </c>
      <c r="AF118" s="27">
        <f t="shared" si="8"/>
        <v>0</v>
      </c>
      <c r="AG118" s="37">
        <v>0</v>
      </c>
      <c r="AH118" s="27">
        <v>0</v>
      </c>
      <c r="AI118" s="27">
        <f t="shared" si="9"/>
        <v>0</v>
      </c>
      <c r="AJ118" s="38">
        <v>0</v>
      </c>
      <c r="AK118" s="27">
        <v>0</v>
      </c>
      <c r="AL118" s="27">
        <f t="shared" si="10"/>
        <v>0</v>
      </c>
      <c r="AM118" s="40">
        <v>0</v>
      </c>
      <c r="AN118" s="27">
        <v>0</v>
      </c>
      <c r="AO118" s="27">
        <f t="shared" si="11"/>
        <v>0</v>
      </c>
      <c r="AP118" s="7" t="b">
        <v>1</v>
      </c>
      <c r="AQ118" s="6" t="b">
        <v>0</v>
      </c>
      <c r="AR118" s="6" t="b">
        <v>0</v>
      </c>
      <c r="AS118" s="6" t="b">
        <v>0</v>
      </c>
      <c r="AT118" s="7" t="b">
        <v>1</v>
      </c>
      <c r="AU118" s="6" t="b">
        <v>0</v>
      </c>
      <c r="AV118" s="6" t="b">
        <v>0</v>
      </c>
      <c r="AW118" s="6" t="b">
        <v>0</v>
      </c>
      <c r="AX118" s="6" t="b">
        <v>0</v>
      </c>
      <c r="AY118" s="6" t="b">
        <v>0</v>
      </c>
      <c r="AZ118" s="6" t="b">
        <v>0</v>
      </c>
      <c r="BA118" s="6" t="b">
        <v>0</v>
      </c>
      <c r="BB118" s="6" t="b">
        <v>0</v>
      </c>
    </row>
    <row r="119" spans="1:54" ht="15" x14ac:dyDescent="0.25">
      <c r="A119" s="3" t="s">
        <v>292</v>
      </c>
      <c r="B119" s="3" t="str">
        <f ca="1">IFERROR(__xludf.DUMMYFUNCTION("SPLIT(A119,""/"")"),"brutasse")</f>
        <v>brutasse</v>
      </c>
      <c r="C119" s="3" t="str">
        <f ca="1">IFERROR(__xludf.DUMMYFUNCTION("""COMPUTED_VALUE"""),"graphite-api")</f>
        <v>graphite-api</v>
      </c>
      <c r="D119" s="4" t="s">
        <v>293</v>
      </c>
      <c r="E119" s="5">
        <v>41703.989236111112</v>
      </c>
      <c r="F119" s="5">
        <v>44284.996689814812</v>
      </c>
      <c r="G119" s="13">
        <f t="shared" si="6"/>
        <v>2581.0074537036999</v>
      </c>
      <c r="H119" s="6" t="b">
        <v>0</v>
      </c>
      <c r="I119" s="6" t="b">
        <v>0</v>
      </c>
      <c r="J119" s="8">
        <v>494</v>
      </c>
      <c r="K119" s="8">
        <v>34</v>
      </c>
      <c r="L119" s="8">
        <v>129</v>
      </c>
      <c r="M119" s="8">
        <v>3</v>
      </c>
      <c r="N119" s="8">
        <v>4</v>
      </c>
      <c r="O119" s="8">
        <v>35</v>
      </c>
      <c r="P119" s="8">
        <v>118</v>
      </c>
      <c r="Q119" s="8">
        <v>13</v>
      </c>
      <c r="R119" s="8">
        <v>131</v>
      </c>
      <c r="S119" s="8">
        <v>34</v>
      </c>
      <c r="T119" s="3" t="s">
        <v>69</v>
      </c>
      <c r="U119" s="10">
        <v>9411</v>
      </c>
      <c r="V119" s="32">
        <v>32</v>
      </c>
      <c r="W119" s="27">
        <v>3.4002762724471363E-3</v>
      </c>
      <c r="X119" s="34">
        <v>18</v>
      </c>
      <c r="Y119" s="27">
        <v>0.5625</v>
      </c>
      <c r="Z119" s="27">
        <v>1.9126554032515141E-3</v>
      </c>
      <c r="AA119" s="35">
        <v>9</v>
      </c>
      <c r="AB119" s="27">
        <v>0.28125</v>
      </c>
      <c r="AC119" s="27">
        <f t="shared" si="7"/>
        <v>9.5632770162575704E-4</v>
      </c>
      <c r="AD119" s="36">
        <v>4</v>
      </c>
      <c r="AE119" s="27">
        <v>0.125</v>
      </c>
      <c r="AF119" s="27">
        <f t="shared" si="8"/>
        <v>4.2503453405589204E-4</v>
      </c>
      <c r="AG119" s="37">
        <v>1</v>
      </c>
      <c r="AH119" s="27">
        <v>3.125E-2</v>
      </c>
      <c r="AI119" s="27">
        <f t="shared" si="9"/>
        <v>1.0625863351397301E-4</v>
      </c>
      <c r="AJ119" s="38">
        <v>0</v>
      </c>
      <c r="AK119" s="27">
        <v>0</v>
      </c>
      <c r="AL119" s="27">
        <f t="shared" si="10"/>
        <v>0</v>
      </c>
      <c r="AM119" s="40">
        <v>0</v>
      </c>
      <c r="AN119" s="27">
        <v>0</v>
      </c>
      <c r="AO119" s="27">
        <f t="shared" si="11"/>
        <v>0</v>
      </c>
      <c r="AP119" s="7" t="b">
        <v>1</v>
      </c>
      <c r="AQ119" s="6" t="b">
        <v>0</v>
      </c>
      <c r="AR119" s="6" t="b">
        <v>0</v>
      </c>
      <c r="AS119" s="6" t="b">
        <v>0</v>
      </c>
      <c r="AT119" s="7" t="b">
        <v>1</v>
      </c>
      <c r="AU119" s="6" t="b">
        <v>0</v>
      </c>
      <c r="AV119" s="6" t="b">
        <v>0</v>
      </c>
      <c r="AW119" s="6" t="b">
        <v>0</v>
      </c>
      <c r="AX119" s="6" t="b">
        <v>0</v>
      </c>
      <c r="AY119" s="6" t="b">
        <v>0</v>
      </c>
      <c r="AZ119" s="6" t="b">
        <v>0</v>
      </c>
      <c r="BA119" s="7" t="b">
        <v>1</v>
      </c>
      <c r="BB119" s="6" t="b">
        <v>0</v>
      </c>
    </row>
    <row r="120" spans="1:54" ht="15" x14ac:dyDescent="0.25">
      <c r="A120" s="3" t="s">
        <v>294</v>
      </c>
      <c r="B120" s="3" t="str">
        <f ca="1">IFERROR(__xludf.DUMMYFUNCTION("SPLIT(A120,""/"")"),"buffer")</f>
        <v>buffer</v>
      </c>
      <c r="C120" s="3" t="str">
        <f ca="1">IFERROR(__xludf.DUMMYFUNCTION("""COMPUTED_VALUE"""),"thug")</f>
        <v>thug</v>
      </c>
      <c r="D120" s="4" t="s">
        <v>295</v>
      </c>
      <c r="E120" s="5">
        <v>40959.497847222221</v>
      </c>
      <c r="F120" s="5">
        <v>44294.535833333335</v>
      </c>
      <c r="G120" s="13">
        <f t="shared" si="6"/>
        <v>3335.0379861111142</v>
      </c>
      <c r="H120" s="6" t="b">
        <v>0</v>
      </c>
      <c r="I120" s="6" t="b">
        <v>0</v>
      </c>
      <c r="J120" s="8">
        <v>822</v>
      </c>
      <c r="K120" s="8">
        <v>78</v>
      </c>
      <c r="L120" s="8">
        <v>180</v>
      </c>
      <c r="M120" s="8">
        <v>9</v>
      </c>
      <c r="N120" s="8">
        <v>8</v>
      </c>
      <c r="O120" s="8">
        <v>31</v>
      </c>
      <c r="P120" s="8">
        <v>172</v>
      </c>
      <c r="Q120" s="8">
        <v>0</v>
      </c>
      <c r="R120" s="8">
        <v>145</v>
      </c>
      <c r="S120" s="8">
        <v>0</v>
      </c>
      <c r="T120" s="3" t="s">
        <v>64</v>
      </c>
      <c r="U120" s="10">
        <v>19158</v>
      </c>
      <c r="V120" s="32">
        <v>200</v>
      </c>
      <c r="W120" s="27">
        <v>1.0439503079653408E-2</v>
      </c>
      <c r="X120" s="34">
        <v>9</v>
      </c>
      <c r="Y120" s="27">
        <v>4.4999999999999998E-2</v>
      </c>
      <c r="Z120" s="27">
        <v>4.697776385844034E-4</v>
      </c>
      <c r="AA120" s="35">
        <v>43</v>
      </c>
      <c r="AB120" s="27">
        <v>0.215</v>
      </c>
      <c r="AC120" s="27">
        <f t="shared" si="7"/>
        <v>2.2444931621254829E-3</v>
      </c>
      <c r="AD120" s="36">
        <v>144</v>
      </c>
      <c r="AE120" s="27">
        <v>0.72</v>
      </c>
      <c r="AF120" s="27">
        <f t="shared" si="8"/>
        <v>7.5164422173504544E-3</v>
      </c>
      <c r="AG120" s="37">
        <v>0</v>
      </c>
      <c r="AH120" s="27">
        <v>0</v>
      </c>
      <c r="AI120" s="27">
        <f t="shared" si="9"/>
        <v>0</v>
      </c>
      <c r="AJ120" s="38">
        <v>4</v>
      </c>
      <c r="AK120" s="27">
        <v>0.02</v>
      </c>
      <c r="AL120" s="27">
        <f t="shared" si="10"/>
        <v>2.0879006159306817E-4</v>
      </c>
      <c r="AM120" s="40">
        <v>0</v>
      </c>
      <c r="AN120" s="27">
        <v>0</v>
      </c>
      <c r="AO120" s="27">
        <f t="shared" si="11"/>
        <v>0</v>
      </c>
      <c r="AP120" s="7" t="b">
        <v>1</v>
      </c>
      <c r="AQ120" s="6" t="b">
        <v>0</v>
      </c>
      <c r="AR120" s="6" t="b">
        <v>0</v>
      </c>
      <c r="AS120" s="6" t="b">
        <v>0</v>
      </c>
      <c r="AT120" s="7" t="b">
        <v>1</v>
      </c>
      <c r="AU120" s="6" t="b">
        <v>0</v>
      </c>
      <c r="AV120" s="6" t="b">
        <v>0</v>
      </c>
      <c r="AW120" s="6" t="b">
        <v>0</v>
      </c>
      <c r="AX120" s="6" t="b">
        <v>0</v>
      </c>
      <c r="AY120" s="6" t="b">
        <v>0</v>
      </c>
      <c r="AZ120" s="6" t="b">
        <v>0</v>
      </c>
      <c r="BA120" s="6" t="b">
        <v>0</v>
      </c>
      <c r="BB120" s="6" t="b">
        <v>0</v>
      </c>
    </row>
    <row r="121" spans="1:54" ht="15" x14ac:dyDescent="0.25">
      <c r="A121" s="3" t="s">
        <v>296</v>
      </c>
      <c r="B121" s="3" t="str">
        <f ca="1">IFERROR(__xludf.DUMMYFUNCTION("SPLIT(A121,""/"")"),"bugy")</f>
        <v>bugy</v>
      </c>
      <c r="C121" s="3" t="str">
        <f ca="1">IFERROR(__xludf.DUMMYFUNCTION("""COMPUTED_VALUE"""),"script-server")</f>
        <v>script-server</v>
      </c>
      <c r="D121" s="4" t="s">
        <v>297</v>
      </c>
      <c r="E121" s="5">
        <v>42492.769247685188</v>
      </c>
      <c r="F121" s="5">
        <v>44295.025324074071</v>
      </c>
      <c r="G121" s="13">
        <f t="shared" si="6"/>
        <v>1802.2560763888832</v>
      </c>
      <c r="H121" s="6" t="b">
        <v>0</v>
      </c>
      <c r="I121" s="6" t="b">
        <v>0</v>
      </c>
      <c r="J121" s="8">
        <v>521</v>
      </c>
      <c r="K121" s="8">
        <v>31</v>
      </c>
      <c r="L121" s="8">
        <v>133</v>
      </c>
      <c r="M121" s="8">
        <v>13</v>
      </c>
      <c r="N121" s="8">
        <v>6</v>
      </c>
      <c r="O121" s="8">
        <v>15</v>
      </c>
      <c r="P121" s="8">
        <v>39</v>
      </c>
      <c r="Q121" s="8">
        <v>5</v>
      </c>
      <c r="R121" s="8">
        <v>388</v>
      </c>
      <c r="S121" s="8">
        <v>101</v>
      </c>
      <c r="T121" s="3" t="s">
        <v>92</v>
      </c>
      <c r="U121" s="10">
        <v>15123</v>
      </c>
      <c r="V121" s="32">
        <v>137</v>
      </c>
      <c r="W121" s="27">
        <v>9.0590491304635319E-3</v>
      </c>
      <c r="X121" s="34">
        <v>1</v>
      </c>
      <c r="Y121" s="27">
        <v>7.2992700729927005E-3</v>
      </c>
      <c r="Z121" s="27">
        <v>6.6124446207763005E-5</v>
      </c>
      <c r="AA121" s="35">
        <v>35</v>
      </c>
      <c r="AB121" s="27">
        <v>0.25547445255474455</v>
      </c>
      <c r="AC121" s="27">
        <f t="shared" si="7"/>
        <v>2.3143556172717052E-3</v>
      </c>
      <c r="AD121" s="36">
        <v>53</v>
      </c>
      <c r="AE121" s="27">
        <v>0.38686131386861317</v>
      </c>
      <c r="AF121" s="27">
        <f t="shared" si="8"/>
        <v>3.5045956490114393E-3</v>
      </c>
      <c r="AG121" s="37">
        <v>48</v>
      </c>
      <c r="AH121" s="27">
        <v>0.35036496350364965</v>
      </c>
      <c r="AI121" s="27">
        <f t="shared" si="9"/>
        <v>3.1739734179726245E-3</v>
      </c>
      <c r="AJ121" s="38">
        <v>0</v>
      </c>
      <c r="AK121" s="27">
        <v>0</v>
      </c>
      <c r="AL121" s="27">
        <f t="shared" si="10"/>
        <v>0</v>
      </c>
      <c r="AM121" s="40">
        <v>0</v>
      </c>
      <c r="AN121" s="27">
        <v>0</v>
      </c>
      <c r="AO121" s="27">
        <f t="shared" si="11"/>
        <v>0</v>
      </c>
      <c r="AP121" s="7" t="b">
        <v>1</v>
      </c>
      <c r="AQ121" s="6" t="b">
        <v>0</v>
      </c>
      <c r="AR121" s="6" t="b">
        <v>0</v>
      </c>
      <c r="AS121" s="6" t="b">
        <v>0</v>
      </c>
      <c r="AT121" s="7" t="b">
        <v>1</v>
      </c>
      <c r="AU121" s="6" t="b">
        <v>0</v>
      </c>
      <c r="AV121" s="6" t="b">
        <v>0</v>
      </c>
      <c r="AW121" s="6" t="b">
        <v>0</v>
      </c>
      <c r="AX121" s="6" t="b">
        <v>0</v>
      </c>
      <c r="AY121" s="6" t="b">
        <v>0</v>
      </c>
      <c r="AZ121" s="6" t="b">
        <v>0</v>
      </c>
      <c r="BA121" s="6" t="b">
        <v>0</v>
      </c>
      <c r="BB121" s="6" t="b">
        <v>0</v>
      </c>
    </row>
    <row r="122" spans="1:54" ht="15" x14ac:dyDescent="0.25">
      <c r="A122" s="3" t="s">
        <v>298</v>
      </c>
      <c r="B122" s="3" t="str">
        <f ca="1">IFERROR(__xludf.DUMMYFUNCTION("SPLIT(A122,""/"")"),"buildbot")</f>
        <v>buildbot</v>
      </c>
      <c r="C122" s="3" t="str">
        <f ca="1">IFERROR(__xludf.DUMMYFUNCTION("""COMPUTED_VALUE"""),"buildbot")</f>
        <v>buildbot</v>
      </c>
      <c r="D122" s="4" t="s">
        <v>299</v>
      </c>
      <c r="E122" s="5">
        <v>40365.747835648152</v>
      </c>
      <c r="F122" s="5">
        <v>44294.590138888889</v>
      </c>
      <c r="G122" s="13">
        <f t="shared" si="6"/>
        <v>3928.8423032407372</v>
      </c>
      <c r="H122" s="6" t="b">
        <v>0</v>
      </c>
      <c r="I122" s="7" t="b">
        <v>1</v>
      </c>
      <c r="J122" s="8">
        <v>4592</v>
      </c>
      <c r="K122" s="8">
        <v>204</v>
      </c>
      <c r="L122" s="8">
        <v>1384</v>
      </c>
      <c r="M122" s="8">
        <v>48</v>
      </c>
      <c r="N122" s="8">
        <v>318</v>
      </c>
      <c r="O122" s="8">
        <v>566</v>
      </c>
      <c r="P122" s="8">
        <v>4663</v>
      </c>
      <c r="Q122" s="8">
        <v>11</v>
      </c>
      <c r="R122" s="8">
        <v>1298</v>
      </c>
      <c r="S122" s="8">
        <v>629</v>
      </c>
      <c r="T122" s="3" t="s">
        <v>64</v>
      </c>
      <c r="U122" s="10">
        <v>99059</v>
      </c>
      <c r="V122" s="32">
        <v>369</v>
      </c>
      <c r="W122" s="27">
        <v>3.7250527463430884E-3</v>
      </c>
      <c r="X122" s="34">
        <v>6</v>
      </c>
      <c r="Y122" s="27">
        <v>1.6260162601626018E-2</v>
      </c>
      <c r="Z122" s="27">
        <v>6.0569963355172173E-5</v>
      </c>
      <c r="AA122" s="35">
        <v>8</v>
      </c>
      <c r="AB122" s="27">
        <v>2.1680216802168022E-2</v>
      </c>
      <c r="AC122" s="27">
        <f t="shared" si="7"/>
        <v>8.0759951140229556E-5</v>
      </c>
      <c r="AD122" s="36">
        <v>59</v>
      </c>
      <c r="AE122" s="27">
        <v>0.15989159891598917</v>
      </c>
      <c r="AF122" s="27">
        <f t="shared" si="8"/>
        <v>5.9560463965919303E-4</v>
      </c>
      <c r="AG122" s="37">
        <v>215</v>
      </c>
      <c r="AH122" s="27">
        <v>0.58265582655826553</v>
      </c>
      <c r="AI122" s="27">
        <f t="shared" si="9"/>
        <v>2.1704236868936694E-3</v>
      </c>
      <c r="AJ122" s="38">
        <v>4</v>
      </c>
      <c r="AK122" s="27">
        <v>1.0840108401084011E-2</v>
      </c>
      <c r="AL122" s="27">
        <f t="shared" si="10"/>
        <v>4.0379975570114778E-5</v>
      </c>
      <c r="AM122" s="40">
        <v>77</v>
      </c>
      <c r="AN122" s="27">
        <v>0.20867208672086721</v>
      </c>
      <c r="AO122" s="27">
        <f t="shared" si="11"/>
        <v>7.773145297247095E-4</v>
      </c>
      <c r="AP122" s="7" t="b">
        <v>1</v>
      </c>
      <c r="AQ122" s="6" t="b">
        <v>0</v>
      </c>
      <c r="AR122" s="6" t="b">
        <v>0</v>
      </c>
      <c r="AS122" s="6" t="b">
        <v>0</v>
      </c>
      <c r="AT122" s="7" t="b">
        <v>1</v>
      </c>
      <c r="AU122" s="6" t="b">
        <v>0</v>
      </c>
      <c r="AV122" s="6" t="b">
        <v>0</v>
      </c>
      <c r="AW122" s="6" t="b">
        <v>0</v>
      </c>
      <c r="AX122" s="6" t="b">
        <v>0</v>
      </c>
      <c r="AY122" s="6" t="b">
        <v>0</v>
      </c>
      <c r="AZ122" s="6" t="b">
        <v>0</v>
      </c>
      <c r="BA122" s="6" t="b">
        <v>0</v>
      </c>
      <c r="BB122" s="6" t="b">
        <v>0</v>
      </c>
    </row>
    <row r="123" spans="1:54" ht="15" x14ac:dyDescent="0.25">
      <c r="A123" s="3" t="s">
        <v>300</v>
      </c>
      <c r="B123" s="3" t="str">
        <f ca="1">IFERROR(__xludf.DUMMYFUNCTION("SPLIT(A123,""/"")"),"buildout")</f>
        <v>buildout</v>
      </c>
      <c r="C123" s="3" t="str">
        <f ca="1">IFERROR(__xludf.DUMMYFUNCTION("""COMPUTED_VALUE"""),"buildout")</f>
        <v>buildout</v>
      </c>
      <c r="D123" s="4" t="s">
        <v>301</v>
      </c>
      <c r="E123" s="5">
        <v>40993.907847222225</v>
      </c>
      <c r="F123" s="5">
        <v>44292.240335648145</v>
      </c>
      <c r="G123" s="13">
        <f t="shared" si="6"/>
        <v>3298.33248842592</v>
      </c>
      <c r="H123" s="6" t="b">
        <v>0</v>
      </c>
      <c r="I123" s="7" t="b">
        <v>1</v>
      </c>
      <c r="J123" s="8">
        <v>510</v>
      </c>
      <c r="K123" s="8">
        <v>54</v>
      </c>
      <c r="L123" s="8">
        <v>163</v>
      </c>
      <c r="M123" s="8">
        <v>0</v>
      </c>
      <c r="N123" s="8">
        <v>61</v>
      </c>
      <c r="O123" s="8">
        <v>78</v>
      </c>
      <c r="P123" s="8">
        <v>249</v>
      </c>
      <c r="Q123" s="8">
        <v>13</v>
      </c>
      <c r="R123" s="8">
        <v>316</v>
      </c>
      <c r="S123" s="8">
        <v>113</v>
      </c>
      <c r="T123" s="3" t="s">
        <v>92</v>
      </c>
      <c r="U123" s="10">
        <v>4442</v>
      </c>
      <c r="V123" s="32">
        <v>73</v>
      </c>
      <c r="W123" s="27">
        <v>1.6434038721296715E-2</v>
      </c>
      <c r="X123" s="34">
        <v>30</v>
      </c>
      <c r="Y123" s="27">
        <v>0.41095890410958902</v>
      </c>
      <c r="Z123" s="27">
        <v>6.7537145429986496E-3</v>
      </c>
      <c r="AA123" s="35">
        <v>19</v>
      </c>
      <c r="AB123" s="27">
        <v>0.26027397260273971</v>
      </c>
      <c r="AC123" s="27">
        <f t="shared" si="7"/>
        <v>4.2773525438991444E-3</v>
      </c>
      <c r="AD123" s="36">
        <v>21</v>
      </c>
      <c r="AE123" s="27">
        <v>0.28767123287671231</v>
      </c>
      <c r="AF123" s="27">
        <f t="shared" si="8"/>
        <v>4.7276001800990548E-3</v>
      </c>
      <c r="AG123" s="37">
        <v>2</v>
      </c>
      <c r="AH123" s="27">
        <v>2.7397260273972601E-2</v>
      </c>
      <c r="AI123" s="27">
        <f t="shared" si="9"/>
        <v>4.5024763619990995E-4</v>
      </c>
      <c r="AJ123" s="38">
        <v>0</v>
      </c>
      <c r="AK123" s="27">
        <v>0</v>
      </c>
      <c r="AL123" s="27">
        <f t="shared" si="10"/>
        <v>0</v>
      </c>
      <c r="AM123" s="40">
        <v>1</v>
      </c>
      <c r="AN123" s="27">
        <v>1.3698630136986301E-2</v>
      </c>
      <c r="AO123" s="27">
        <f t="shared" si="11"/>
        <v>2.2512381809995497E-4</v>
      </c>
      <c r="AP123" s="7" t="b">
        <v>1</v>
      </c>
      <c r="AQ123" s="6" t="b">
        <v>0</v>
      </c>
      <c r="AR123" s="6" t="b">
        <v>0</v>
      </c>
      <c r="AS123" s="6" t="b">
        <v>0</v>
      </c>
      <c r="AT123" s="7" t="b">
        <v>1</v>
      </c>
      <c r="AU123" s="6" t="b">
        <v>0</v>
      </c>
      <c r="AV123" s="6" t="b">
        <v>0</v>
      </c>
      <c r="AW123" s="6" t="b">
        <v>0</v>
      </c>
      <c r="AX123" s="6" t="b">
        <v>0</v>
      </c>
      <c r="AY123" s="6" t="b">
        <v>0</v>
      </c>
      <c r="AZ123" s="6" t="b">
        <v>0</v>
      </c>
      <c r="BA123" s="6" t="b">
        <v>0</v>
      </c>
      <c r="BB123" s="6" t="b">
        <v>0</v>
      </c>
    </row>
    <row r="124" spans="1:54" ht="15" x14ac:dyDescent="0.25">
      <c r="A124" s="3" t="s">
        <v>302</v>
      </c>
      <c r="B124" s="3" t="str">
        <f ca="1">IFERROR(__xludf.DUMMYFUNCTION("SPLIT(A124,""/"")"),"buriburisuri")</f>
        <v>buriburisuri</v>
      </c>
      <c r="C124" s="3" t="str">
        <f ca="1">IFERROR(__xludf.DUMMYFUNCTION("""COMPUTED_VALUE"""),"sugartensor")</f>
        <v>sugartensor</v>
      </c>
      <c r="D124" s="4" t="s">
        <v>303</v>
      </c>
      <c r="E124" s="5">
        <v>42618.323680555557</v>
      </c>
      <c r="F124" s="5">
        <v>44294.138159722221</v>
      </c>
      <c r="G124" s="13">
        <f t="shared" si="6"/>
        <v>1675.8144791666637</v>
      </c>
      <c r="H124" s="6" t="b">
        <v>0</v>
      </c>
      <c r="I124" s="6" t="b">
        <v>0</v>
      </c>
      <c r="J124" s="8">
        <v>375</v>
      </c>
      <c r="K124" s="8">
        <v>19</v>
      </c>
      <c r="L124" s="8">
        <v>62</v>
      </c>
      <c r="M124" s="8">
        <v>0</v>
      </c>
      <c r="N124" s="8">
        <v>1</v>
      </c>
      <c r="O124" s="8">
        <v>3</v>
      </c>
      <c r="P124" s="8">
        <v>12</v>
      </c>
      <c r="Q124" s="8">
        <v>4</v>
      </c>
      <c r="R124" s="8">
        <v>33</v>
      </c>
      <c r="S124" s="8">
        <v>22</v>
      </c>
      <c r="T124" s="3" t="s">
        <v>72</v>
      </c>
      <c r="U124" s="10">
        <v>1740</v>
      </c>
      <c r="V124" s="32">
        <v>6</v>
      </c>
      <c r="W124" s="27">
        <v>3.4482758620689655E-3</v>
      </c>
      <c r="X124" s="34">
        <v>1</v>
      </c>
      <c r="Y124" s="27">
        <v>0.16666666666666666</v>
      </c>
      <c r="Z124" s="27">
        <v>5.7471264367816091E-4</v>
      </c>
      <c r="AA124" s="35">
        <v>1</v>
      </c>
      <c r="AB124" s="27">
        <v>0.16666666666666666</v>
      </c>
      <c r="AC124" s="27">
        <f t="shared" si="7"/>
        <v>5.7471264367816091E-4</v>
      </c>
      <c r="AD124" s="36">
        <v>1</v>
      </c>
      <c r="AE124" s="27">
        <v>0.16666666666666666</v>
      </c>
      <c r="AF124" s="27">
        <f t="shared" si="8"/>
        <v>5.7471264367816091E-4</v>
      </c>
      <c r="AG124" s="37">
        <v>2</v>
      </c>
      <c r="AH124" s="27">
        <v>0.33333333333333331</v>
      </c>
      <c r="AI124" s="27">
        <f t="shared" si="9"/>
        <v>1.1494252873563218E-3</v>
      </c>
      <c r="AJ124" s="38">
        <v>1</v>
      </c>
      <c r="AK124" s="27">
        <v>0.16666666666666666</v>
      </c>
      <c r="AL124" s="27">
        <f t="shared" si="10"/>
        <v>5.7471264367816091E-4</v>
      </c>
      <c r="AM124" s="40">
        <v>0</v>
      </c>
      <c r="AN124" s="27">
        <v>0</v>
      </c>
      <c r="AO124" s="27">
        <f t="shared" si="11"/>
        <v>0</v>
      </c>
      <c r="AP124" s="7" t="b">
        <v>1</v>
      </c>
      <c r="AQ124" s="6" t="b">
        <v>0</v>
      </c>
      <c r="AR124" s="6" t="b">
        <v>0</v>
      </c>
      <c r="AS124" s="6" t="b">
        <v>0</v>
      </c>
      <c r="AT124" s="7" t="b">
        <v>1</v>
      </c>
      <c r="AU124" s="6" t="b">
        <v>0</v>
      </c>
      <c r="AV124" s="6" t="b">
        <v>0</v>
      </c>
      <c r="AW124" s="6" t="b">
        <v>0</v>
      </c>
      <c r="AX124" s="6" t="b">
        <v>0</v>
      </c>
      <c r="AY124" s="6" t="b">
        <v>0</v>
      </c>
      <c r="AZ124" s="6" t="b">
        <v>0</v>
      </c>
      <c r="BA124" s="6" t="b">
        <v>0</v>
      </c>
      <c r="BB124" s="6" t="b">
        <v>0</v>
      </c>
    </row>
    <row r="125" spans="1:54" ht="15" x14ac:dyDescent="0.25">
      <c r="A125" s="3" t="s">
        <v>304</v>
      </c>
      <c r="B125" s="3" t="str">
        <f ca="1">IFERROR(__xludf.DUMMYFUNCTION("SPLIT(A125,""/"")"),"burnettk")</f>
        <v>burnettk</v>
      </c>
      <c r="C125" s="3" t="str">
        <f ca="1">IFERROR(__xludf.DUMMYFUNCTION("""COMPUTED_VALUE"""),"delete-docker-registry-image")</f>
        <v>delete-docker-registry-image</v>
      </c>
      <c r="D125" s="4" t="s">
        <v>305</v>
      </c>
      <c r="E125" s="5">
        <v>42249.819212962961</v>
      </c>
      <c r="F125" s="5">
        <v>44281.723275462966</v>
      </c>
      <c r="G125" s="13">
        <f t="shared" si="6"/>
        <v>2031.9040625000052</v>
      </c>
      <c r="H125" s="6" t="b">
        <v>0</v>
      </c>
      <c r="I125" s="6" t="b">
        <v>0</v>
      </c>
      <c r="J125" s="8">
        <v>673</v>
      </c>
      <c r="K125" s="8">
        <v>47</v>
      </c>
      <c r="L125" s="8">
        <v>178</v>
      </c>
      <c r="M125" s="8">
        <v>0</v>
      </c>
      <c r="N125" s="8">
        <v>0</v>
      </c>
      <c r="O125" s="8">
        <v>8</v>
      </c>
      <c r="P125" s="8">
        <v>17</v>
      </c>
      <c r="Q125" s="8">
        <v>0</v>
      </c>
      <c r="R125" s="8">
        <v>21</v>
      </c>
      <c r="S125" s="8">
        <v>0</v>
      </c>
      <c r="T125" s="3" t="s">
        <v>72</v>
      </c>
      <c r="U125" s="10">
        <v>420</v>
      </c>
      <c r="V125" s="32">
        <v>22</v>
      </c>
      <c r="W125" s="27">
        <v>5.2380952380952382E-2</v>
      </c>
      <c r="X125" s="34">
        <v>12</v>
      </c>
      <c r="Y125" s="27">
        <v>0.54545454545454541</v>
      </c>
      <c r="Z125" s="27">
        <v>2.8571428571428571E-2</v>
      </c>
      <c r="AA125" s="35">
        <v>4</v>
      </c>
      <c r="AB125" s="27">
        <v>0.18181818181818182</v>
      </c>
      <c r="AC125" s="27">
        <f t="shared" si="7"/>
        <v>9.5238095238095247E-3</v>
      </c>
      <c r="AD125" s="36">
        <v>1</v>
      </c>
      <c r="AE125" s="27">
        <v>4.5454545454545456E-2</v>
      </c>
      <c r="AF125" s="27">
        <f t="shared" si="8"/>
        <v>2.3809523809523812E-3</v>
      </c>
      <c r="AG125" s="37">
        <v>0</v>
      </c>
      <c r="AH125" s="27">
        <v>0</v>
      </c>
      <c r="AI125" s="27">
        <f t="shared" si="9"/>
        <v>0</v>
      </c>
      <c r="AJ125" s="38">
        <v>5</v>
      </c>
      <c r="AK125" s="27">
        <v>0.22727272727272727</v>
      </c>
      <c r="AL125" s="27">
        <f t="shared" si="10"/>
        <v>1.1904761904761904E-2</v>
      </c>
      <c r="AM125" s="40">
        <v>0</v>
      </c>
      <c r="AN125" s="27">
        <v>0</v>
      </c>
      <c r="AO125" s="27">
        <f t="shared" si="11"/>
        <v>0</v>
      </c>
      <c r="AP125" s="7" t="b">
        <v>1</v>
      </c>
      <c r="AQ125" s="7" t="b">
        <v>1</v>
      </c>
      <c r="AR125" s="6" t="b">
        <v>0</v>
      </c>
      <c r="AS125" s="6" t="b">
        <v>0</v>
      </c>
      <c r="AT125" s="7" t="b">
        <v>1</v>
      </c>
      <c r="AU125" s="6" t="b">
        <v>0</v>
      </c>
      <c r="AV125" s="6" t="b">
        <v>0</v>
      </c>
      <c r="AW125" s="6" t="b">
        <v>0</v>
      </c>
      <c r="AX125" s="6" t="b">
        <v>0</v>
      </c>
      <c r="AY125" s="6" t="b">
        <v>0</v>
      </c>
      <c r="AZ125" s="6" t="b">
        <v>0</v>
      </c>
      <c r="BA125" s="6" t="b">
        <v>0</v>
      </c>
      <c r="BB125" s="6" t="b">
        <v>0</v>
      </c>
    </row>
    <row r="126" spans="1:54" ht="15" x14ac:dyDescent="0.25">
      <c r="A126" s="3" t="s">
        <v>306</v>
      </c>
      <c r="B126" s="3" t="str">
        <f ca="1">IFERROR(__xludf.DUMMYFUNCTION("SPLIT(A126,""/"")"),"Buuntu")</f>
        <v>Buuntu</v>
      </c>
      <c r="C126" s="3" t="str">
        <f ca="1">IFERROR(__xludf.DUMMYFUNCTION("""COMPUTED_VALUE"""),"fastapi-react")</f>
        <v>fastapi-react</v>
      </c>
      <c r="D126" s="4" t="s">
        <v>307</v>
      </c>
      <c r="E126" s="5">
        <v>43911.825543981482</v>
      </c>
      <c r="F126" s="5">
        <v>44294.856261574074</v>
      </c>
      <c r="G126" s="13">
        <f t="shared" si="6"/>
        <v>383.03071759259183</v>
      </c>
      <c r="H126" s="6" t="b">
        <v>0</v>
      </c>
      <c r="I126" s="6" t="b">
        <v>0</v>
      </c>
      <c r="J126" s="8">
        <v>524</v>
      </c>
      <c r="K126" s="8">
        <v>22</v>
      </c>
      <c r="L126" s="8">
        <v>74</v>
      </c>
      <c r="M126" s="8">
        <v>2</v>
      </c>
      <c r="N126" s="8">
        <v>0</v>
      </c>
      <c r="O126" s="8">
        <v>9</v>
      </c>
      <c r="P126" s="8">
        <v>110</v>
      </c>
      <c r="Q126" s="8">
        <v>1</v>
      </c>
      <c r="R126" s="8">
        <v>44</v>
      </c>
      <c r="S126" s="8">
        <v>12</v>
      </c>
      <c r="T126" s="3" t="s">
        <v>72</v>
      </c>
      <c r="U126" s="10">
        <v>524</v>
      </c>
      <c r="V126" s="32">
        <v>0</v>
      </c>
      <c r="W126" s="27">
        <v>0</v>
      </c>
      <c r="X126" s="34">
        <v>0</v>
      </c>
      <c r="Y126" s="27">
        <v>0</v>
      </c>
      <c r="Z126" s="27">
        <v>0</v>
      </c>
      <c r="AA126" s="35">
        <v>0</v>
      </c>
      <c r="AB126" s="27">
        <v>0</v>
      </c>
      <c r="AC126" s="27">
        <f t="shared" si="7"/>
        <v>0</v>
      </c>
      <c r="AD126" s="36">
        <v>0</v>
      </c>
      <c r="AE126" s="27">
        <v>0</v>
      </c>
      <c r="AF126" s="27">
        <f t="shared" si="8"/>
        <v>0</v>
      </c>
      <c r="AG126" s="37">
        <v>0</v>
      </c>
      <c r="AH126" s="27">
        <v>0</v>
      </c>
      <c r="AI126" s="27">
        <f t="shared" si="9"/>
        <v>0</v>
      </c>
      <c r="AJ126" s="38">
        <v>0</v>
      </c>
      <c r="AK126" s="27">
        <v>0</v>
      </c>
      <c r="AL126" s="27">
        <f t="shared" si="10"/>
        <v>0</v>
      </c>
      <c r="AM126" s="40">
        <v>0</v>
      </c>
      <c r="AN126" s="27">
        <v>0</v>
      </c>
      <c r="AO126" s="27">
        <f t="shared" si="11"/>
        <v>0</v>
      </c>
      <c r="AP126" s="7" t="b">
        <v>1</v>
      </c>
      <c r="AQ126" s="7" t="b">
        <v>1</v>
      </c>
      <c r="AR126" s="6" t="b">
        <v>0</v>
      </c>
      <c r="AS126" s="6" t="b">
        <v>0</v>
      </c>
      <c r="AT126" s="7" t="b">
        <v>1</v>
      </c>
      <c r="AU126" s="6" t="b">
        <v>0</v>
      </c>
      <c r="AV126" s="6" t="b">
        <v>0</v>
      </c>
      <c r="AW126" s="6" t="b">
        <v>0</v>
      </c>
      <c r="AX126" s="6" t="b">
        <v>0</v>
      </c>
      <c r="AY126" s="6" t="b">
        <v>0</v>
      </c>
      <c r="AZ126" s="6" t="b">
        <v>0</v>
      </c>
      <c r="BA126" s="6" t="b">
        <v>0</v>
      </c>
      <c r="BB126" s="6" t="b">
        <v>0</v>
      </c>
    </row>
    <row r="127" spans="1:54" ht="15" x14ac:dyDescent="0.25">
      <c r="A127" s="3" t="s">
        <v>308</v>
      </c>
      <c r="B127" s="3" t="str">
        <f ca="1">IFERROR(__xludf.DUMMYFUNCTION("SPLIT(A127,""/"")"),"byt3bl33d3r")</f>
        <v>byt3bl33d3r</v>
      </c>
      <c r="C127" s="3" t="str">
        <f ca="1">IFERROR(__xludf.DUMMYFUNCTION("""COMPUTED_VALUE"""),"CrackMapExec")</f>
        <v>CrackMapExec</v>
      </c>
      <c r="D127" s="4" t="s">
        <v>309</v>
      </c>
      <c r="E127" s="5">
        <v>42230.591608796298</v>
      </c>
      <c r="F127" s="5">
        <v>44294.401805555557</v>
      </c>
      <c r="G127" s="13">
        <f t="shared" si="6"/>
        <v>2063.8101967592593</v>
      </c>
      <c r="H127" s="6" t="b">
        <v>0</v>
      </c>
      <c r="I127" s="6" t="b">
        <v>0</v>
      </c>
      <c r="J127" s="8">
        <v>4649</v>
      </c>
      <c r="K127" s="8">
        <v>292</v>
      </c>
      <c r="L127" s="8">
        <v>994</v>
      </c>
      <c r="M127" s="8">
        <v>25</v>
      </c>
      <c r="N127" s="8">
        <v>17</v>
      </c>
      <c r="O127" s="8">
        <v>30</v>
      </c>
      <c r="P127" s="8">
        <v>86</v>
      </c>
      <c r="Q127" s="8">
        <v>18</v>
      </c>
      <c r="R127" s="8">
        <v>371</v>
      </c>
      <c r="S127" s="8">
        <v>44</v>
      </c>
      <c r="T127" s="3" t="s">
        <v>153</v>
      </c>
      <c r="U127" s="10">
        <v>7010</v>
      </c>
      <c r="V127" s="32">
        <v>300</v>
      </c>
      <c r="W127" s="27">
        <v>4.2796005706134094E-2</v>
      </c>
      <c r="X127" s="34">
        <v>116</v>
      </c>
      <c r="Y127" s="27">
        <v>0.38666666666666666</v>
      </c>
      <c r="Z127" s="27">
        <v>1.6547788873038517E-2</v>
      </c>
      <c r="AA127" s="35">
        <v>68</v>
      </c>
      <c r="AB127" s="27">
        <v>0.22666666666666666</v>
      </c>
      <c r="AC127" s="27">
        <f t="shared" si="7"/>
        <v>9.7004279600570609E-3</v>
      </c>
      <c r="AD127" s="36">
        <v>0</v>
      </c>
      <c r="AE127" s="27">
        <v>0</v>
      </c>
      <c r="AF127" s="27">
        <f t="shared" si="8"/>
        <v>0</v>
      </c>
      <c r="AG127" s="37">
        <v>113</v>
      </c>
      <c r="AH127" s="27">
        <v>0.37666666666666665</v>
      </c>
      <c r="AI127" s="27">
        <f t="shared" si="9"/>
        <v>1.6119828815977174E-2</v>
      </c>
      <c r="AJ127" s="38">
        <v>0</v>
      </c>
      <c r="AK127" s="27">
        <v>0</v>
      </c>
      <c r="AL127" s="27">
        <f t="shared" si="10"/>
        <v>0</v>
      </c>
      <c r="AM127" s="40">
        <v>0</v>
      </c>
      <c r="AN127" s="27">
        <v>0</v>
      </c>
      <c r="AO127" s="27">
        <f t="shared" si="11"/>
        <v>0</v>
      </c>
      <c r="AP127" s="7" t="b">
        <v>1</v>
      </c>
      <c r="AQ127" s="6" t="b">
        <v>0</v>
      </c>
      <c r="AR127" s="6" t="b">
        <v>0</v>
      </c>
      <c r="AS127" s="6" t="b">
        <v>0</v>
      </c>
      <c r="AT127" s="7" t="b">
        <v>1</v>
      </c>
      <c r="AU127" s="6" t="b">
        <v>0</v>
      </c>
      <c r="AV127" s="6" t="b">
        <v>0</v>
      </c>
      <c r="AW127" s="6" t="b">
        <v>0</v>
      </c>
      <c r="AX127" s="6" t="b">
        <v>0</v>
      </c>
      <c r="AY127" s="6" t="b">
        <v>0</v>
      </c>
      <c r="AZ127" s="6" t="b">
        <v>0</v>
      </c>
      <c r="BA127" s="6" t="b">
        <v>0</v>
      </c>
      <c r="BB127" s="6" t="b">
        <v>0</v>
      </c>
    </row>
    <row r="128" spans="1:54" ht="15" x14ac:dyDescent="0.25">
      <c r="A128" s="3" t="s">
        <v>310</v>
      </c>
      <c r="B128" s="3" t="str">
        <f ca="1">IFERROR(__xludf.DUMMYFUNCTION("SPLIT(A128,""/"")"),"byt3bl33d3r")</f>
        <v>byt3bl33d3r</v>
      </c>
      <c r="C128" s="3" t="str">
        <f ca="1">IFERROR(__xludf.DUMMYFUNCTION("""COMPUTED_VALUE"""),"DeathStar")</f>
        <v>DeathStar</v>
      </c>
      <c r="D128" s="4" t="s">
        <v>311</v>
      </c>
      <c r="E128" s="5">
        <v>42876.315937500003</v>
      </c>
      <c r="F128" s="5">
        <v>44292.592175925929</v>
      </c>
      <c r="G128" s="13">
        <f t="shared" si="6"/>
        <v>1416.2762384259258</v>
      </c>
      <c r="H128" s="6" t="b">
        <v>0</v>
      </c>
      <c r="I128" s="6" t="b">
        <v>0</v>
      </c>
      <c r="J128" s="8">
        <v>1230</v>
      </c>
      <c r="K128" s="8">
        <v>79</v>
      </c>
      <c r="L128" s="8">
        <v>280</v>
      </c>
      <c r="M128" s="8">
        <v>0</v>
      </c>
      <c r="N128" s="8">
        <v>0</v>
      </c>
      <c r="O128" s="8">
        <v>6</v>
      </c>
      <c r="P128" s="8">
        <v>17</v>
      </c>
      <c r="Q128" s="8">
        <v>2</v>
      </c>
      <c r="R128" s="8">
        <v>59</v>
      </c>
      <c r="S128" s="8">
        <v>4</v>
      </c>
      <c r="T128" s="3" t="s">
        <v>49</v>
      </c>
      <c r="U128" s="10">
        <v>908</v>
      </c>
      <c r="V128" s="32">
        <v>61</v>
      </c>
      <c r="W128" s="27">
        <v>6.71806167400881E-2</v>
      </c>
      <c r="X128" s="34">
        <v>41</v>
      </c>
      <c r="Y128" s="27">
        <v>0.67213114754098358</v>
      </c>
      <c r="Z128" s="27">
        <v>4.5154185022026429E-2</v>
      </c>
      <c r="AA128" s="35">
        <v>11</v>
      </c>
      <c r="AB128" s="27">
        <v>0.18032786885245902</v>
      </c>
      <c r="AC128" s="27">
        <f t="shared" si="7"/>
        <v>1.2114537444933921E-2</v>
      </c>
      <c r="AD128" s="36">
        <v>0</v>
      </c>
      <c r="AE128" s="27">
        <v>0</v>
      </c>
      <c r="AF128" s="27">
        <f t="shared" si="8"/>
        <v>0</v>
      </c>
      <c r="AG128" s="37">
        <v>9</v>
      </c>
      <c r="AH128" s="27">
        <v>0.14754098360655737</v>
      </c>
      <c r="AI128" s="27">
        <f t="shared" si="9"/>
        <v>9.911894273127754E-3</v>
      </c>
      <c r="AJ128" s="38">
        <v>0</v>
      </c>
      <c r="AK128" s="27">
        <v>0</v>
      </c>
      <c r="AL128" s="27">
        <f t="shared" si="10"/>
        <v>0</v>
      </c>
      <c r="AM128" s="40">
        <v>0</v>
      </c>
      <c r="AN128" s="27">
        <v>0</v>
      </c>
      <c r="AO128" s="27">
        <f t="shared" si="11"/>
        <v>0</v>
      </c>
      <c r="AP128" s="7" t="b">
        <v>1</v>
      </c>
      <c r="AQ128" s="6" t="b">
        <v>0</v>
      </c>
      <c r="AR128" s="6" t="b">
        <v>0</v>
      </c>
      <c r="AS128" s="6" t="b">
        <v>0</v>
      </c>
      <c r="AT128" s="7" t="b">
        <v>1</v>
      </c>
      <c r="AU128" s="6" t="b">
        <v>0</v>
      </c>
      <c r="AV128" s="6" t="b">
        <v>0</v>
      </c>
      <c r="AW128" s="6" t="b">
        <v>0</v>
      </c>
      <c r="AX128" s="6" t="b">
        <v>0</v>
      </c>
      <c r="AY128" s="6" t="b">
        <v>0</v>
      </c>
      <c r="AZ128" s="6" t="b">
        <v>0</v>
      </c>
      <c r="BA128" s="6" t="b">
        <v>0</v>
      </c>
      <c r="BB128" s="6" t="b">
        <v>0</v>
      </c>
    </row>
    <row r="129" spans="1:54" ht="15" x14ac:dyDescent="0.25">
      <c r="A129" s="3" t="s">
        <v>312</v>
      </c>
      <c r="B129" s="3" t="str">
        <f ca="1">IFERROR(__xludf.DUMMYFUNCTION("SPLIT(A129,""/"")"),"byt3bl33d3r")</f>
        <v>byt3bl33d3r</v>
      </c>
      <c r="C129" s="3" t="str">
        <f ca="1">IFERROR(__xludf.DUMMYFUNCTION("""COMPUTED_VALUE"""),"WitnessMe")</f>
        <v>WitnessMe</v>
      </c>
      <c r="D129" s="4" t="s">
        <v>313</v>
      </c>
      <c r="E129" s="5">
        <v>43652.225810185184</v>
      </c>
      <c r="F129" s="5">
        <v>44285.717592592591</v>
      </c>
      <c r="G129" s="13">
        <f t="shared" si="6"/>
        <v>633.4917824074073</v>
      </c>
      <c r="H129" s="6" t="b">
        <v>0</v>
      </c>
      <c r="I129" s="6" t="b">
        <v>0</v>
      </c>
      <c r="J129" s="8">
        <v>440</v>
      </c>
      <c r="K129" s="8">
        <v>21</v>
      </c>
      <c r="L129" s="8">
        <v>69</v>
      </c>
      <c r="M129" s="8">
        <v>0</v>
      </c>
      <c r="N129" s="8">
        <v>0</v>
      </c>
      <c r="O129" s="8">
        <v>2</v>
      </c>
      <c r="P129" s="8">
        <v>8</v>
      </c>
      <c r="Q129" s="8">
        <v>3</v>
      </c>
      <c r="R129" s="8">
        <v>22</v>
      </c>
      <c r="S129" s="8">
        <v>7</v>
      </c>
      <c r="T129" s="3" t="s">
        <v>49</v>
      </c>
      <c r="U129" s="10">
        <v>1207</v>
      </c>
      <c r="V129" s="32">
        <v>40</v>
      </c>
      <c r="W129" s="27">
        <v>3.3140016570008285E-2</v>
      </c>
      <c r="X129" s="34">
        <v>17</v>
      </c>
      <c r="Y129" s="27">
        <v>0.42499999999999999</v>
      </c>
      <c r="Z129" s="27">
        <v>1.4084507042253521E-2</v>
      </c>
      <c r="AA129" s="35">
        <v>16</v>
      </c>
      <c r="AB129" s="27">
        <v>0.4</v>
      </c>
      <c r="AC129" s="27">
        <f t="shared" si="7"/>
        <v>1.3256006628003313E-2</v>
      </c>
      <c r="AD129" s="36">
        <v>2</v>
      </c>
      <c r="AE129" s="27">
        <v>0.05</v>
      </c>
      <c r="AF129" s="27">
        <f t="shared" si="8"/>
        <v>1.6570008285004142E-3</v>
      </c>
      <c r="AG129" s="37">
        <v>4</v>
      </c>
      <c r="AH129" s="27">
        <v>0.1</v>
      </c>
      <c r="AI129" s="27">
        <f t="shared" si="9"/>
        <v>3.3140016570008283E-3</v>
      </c>
      <c r="AJ129" s="38">
        <v>0</v>
      </c>
      <c r="AK129" s="27">
        <v>0</v>
      </c>
      <c r="AL129" s="27">
        <f t="shared" si="10"/>
        <v>0</v>
      </c>
      <c r="AM129" s="40">
        <v>0</v>
      </c>
      <c r="AN129" s="27">
        <v>0</v>
      </c>
      <c r="AO129" s="27">
        <f t="shared" si="11"/>
        <v>0</v>
      </c>
      <c r="AP129" s="7" t="b">
        <v>1</v>
      </c>
      <c r="AQ129" s="6" t="b">
        <v>0</v>
      </c>
      <c r="AR129" s="6" t="b">
        <v>0</v>
      </c>
      <c r="AS129" s="6" t="b">
        <v>0</v>
      </c>
      <c r="AT129" s="7" t="b">
        <v>1</v>
      </c>
      <c r="AU129" s="6" t="b">
        <v>0</v>
      </c>
      <c r="AV129" s="6" t="b">
        <v>0</v>
      </c>
      <c r="AW129" s="6" t="b">
        <v>0</v>
      </c>
      <c r="AX129" s="6" t="b">
        <v>0</v>
      </c>
      <c r="AY129" s="6" t="b">
        <v>0</v>
      </c>
      <c r="AZ129" s="6" t="b">
        <v>0</v>
      </c>
      <c r="BA129" s="6" t="b">
        <v>0</v>
      </c>
      <c r="BB129" s="6" t="b">
        <v>0</v>
      </c>
    </row>
    <row r="130" spans="1:54" ht="15" x14ac:dyDescent="0.25">
      <c r="A130" s="3" t="s">
        <v>314</v>
      </c>
      <c r="B130" s="3" t="str">
        <f ca="1">IFERROR(__xludf.DUMMYFUNCTION("SPLIT(A130,""/"")"),"bytedance")</f>
        <v>bytedance</v>
      </c>
      <c r="C130" s="3" t="str">
        <f ca="1">IFERROR(__xludf.DUMMYFUNCTION("""COMPUTED_VALUE"""),"byteps")</f>
        <v>byteps</v>
      </c>
      <c r="D130" s="4" t="s">
        <v>315</v>
      </c>
      <c r="E130" s="5">
        <v>43641.291817129626</v>
      </c>
      <c r="F130" s="5">
        <v>44294.074664351851</v>
      </c>
      <c r="G130" s="13">
        <f t="shared" si="6"/>
        <v>652.78284722222452</v>
      </c>
      <c r="H130" s="6" t="b">
        <v>0</v>
      </c>
      <c r="I130" s="7" t="b">
        <v>1</v>
      </c>
      <c r="J130" s="8">
        <v>2762</v>
      </c>
      <c r="K130" s="8">
        <v>78</v>
      </c>
      <c r="L130" s="8">
        <v>379</v>
      </c>
      <c r="M130" s="8">
        <v>1</v>
      </c>
      <c r="N130" s="8">
        <v>2</v>
      </c>
      <c r="O130" s="8">
        <v>21</v>
      </c>
      <c r="P130" s="8">
        <v>154</v>
      </c>
      <c r="Q130" s="8">
        <v>4</v>
      </c>
      <c r="R130" s="8">
        <v>229</v>
      </c>
      <c r="S130" s="8">
        <v>82</v>
      </c>
      <c r="T130" s="3" t="s">
        <v>92</v>
      </c>
      <c r="U130" s="10">
        <v>8516</v>
      </c>
      <c r="V130" s="32">
        <v>60</v>
      </c>
      <c r="W130" s="27">
        <v>7.0455612963832787E-3</v>
      </c>
      <c r="X130" s="34">
        <v>14</v>
      </c>
      <c r="Y130" s="27">
        <v>0.23333333333333334</v>
      </c>
      <c r="Z130" s="27">
        <v>1.6439643024894317E-3</v>
      </c>
      <c r="AA130" s="35">
        <v>34</v>
      </c>
      <c r="AB130" s="27">
        <v>0.56666666666666665</v>
      </c>
      <c r="AC130" s="27">
        <f t="shared" si="7"/>
        <v>3.992484734617191E-3</v>
      </c>
      <c r="AD130" s="36">
        <v>12</v>
      </c>
      <c r="AE130" s="27">
        <v>0.2</v>
      </c>
      <c r="AF130" s="27">
        <f t="shared" si="8"/>
        <v>1.4091122592766556E-3</v>
      </c>
      <c r="AG130" s="37">
        <v>0</v>
      </c>
      <c r="AH130" s="27">
        <v>0</v>
      </c>
      <c r="AI130" s="27">
        <f t="shared" si="9"/>
        <v>0</v>
      </c>
      <c r="AJ130" s="38">
        <v>0</v>
      </c>
      <c r="AK130" s="27">
        <v>0</v>
      </c>
      <c r="AL130" s="27">
        <f t="shared" si="10"/>
        <v>0</v>
      </c>
      <c r="AM130" s="40">
        <v>0</v>
      </c>
      <c r="AN130" s="27">
        <v>0</v>
      </c>
      <c r="AO130" s="27">
        <f t="shared" si="11"/>
        <v>0</v>
      </c>
      <c r="AP130" s="7" t="b">
        <v>1</v>
      </c>
      <c r="AQ130" s="6" t="b">
        <v>0</v>
      </c>
      <c r="AR130" s="6" t="b">
        <v>0</v>
      </c>
      <c r="AS130" s="6" t="b">
        <v>0</v>
      </c>
      <c r="AT130" s="7" t="b">
        <v>1</v>
      </c>
      <c r="AU130" s="6" t="b">
        <v>0</v>
      </c>
      <c r="AV130" s="6" t="b">
        <v>0</v>
      </c>
      <c r="AW130" s="6" t="b">
        <v>0</v>
      </c>
      <c r="AX130" s="6" t="b">
        <v>0</v>
      </c>
      <c r="AY130" s="6" t="b">
        <v>0</v>
      </c>
      <c r="AZ130" s="6" t="b">
        <v>0</v>
      </c>
      <c r="BA130" s="6" t="b">
        <v>0</v>
      </c>
      <c r="BB130" s="6" t="b">
        <v>0</v>
      </c>
    </row>
    <row r="131" spans="1:54" ht="15" x14ac:dyDescent="0.25">
      <c r="A131" s="3" t="s">
        <v>316</v>
      </c>
      <c r="B131" s="3" t="str">
        <f ca="1">IFERROR(__xludf.DUMMYFUNCTION("SPLIT(A131,""/"")"),"bytedance")</f>
        <v>bytedance</v>
      </c>
      <c r="C131" s="3" t="str">
        <f ca="1">IFERROR(__xludf.DUMMYFUNCTION("""COMPUTED_VALUE"""),"fedlearner")</f>
        <v>fedlearner</v>
      </c>
      <c r="D131" s="4" t="s">
        <v>317</v>
      </c>
      <c r="E131" s="5">
        <v>43851.560127314813</v>
      </c>
      <c r="F131" s="5">
        <v>44295.100706018522</v>
      </c>
      <c r="G131" s="13">
        <f t="shared" ref="G131:G194" si="12">F131-E131</f>
        <v>443.54057870370889</v>
      </c>
      <c r="H131" s="6" t="b">
        <v>0</v>
      </c>
      <c r="I131" s="7" t="b">
        <v>1</v>
      </c>
      <c r="J131" s="8">
        <v>565</v>
      </c>
      <c r="K131" s="8">
        <v>26</v>
      </c>
      <c r="L131" s="8">
        <v>116</v>
      </c>
      <c r="M131" s="8">
        <v>4</v>
      </c>
      <c r="N131" s="8">
        <v>0</v>
      </c>
      <c r="O131" s="8">
        <v>31</v>
      </c>
      <c r="P131" s="8">
        <v>760</v>
      </c>
      <c r="Q131" s="8">
        <v>13</v>
      </c>
      <c r="R131" s="8">
        <v>20</v>
      </c>
      <c r="S131" s="8">
        <v>5</v>
      </c>
      <c r="T131" s="3" t="s">
        <v>69</v>
      </c>
      <c r="U131" s="10">
        <v>23056</v>
      </c>
      <c r="V131" s="32">
        <v>411</v>
      </c>
      <c r="W131" s="27">
        <v>1.7826162387231091E-2</v>
      </c>
      <c r="X131" s="34">
        <v>67</v>
      </c>
      <c r="Y131" s="27">
        <v>0.16301703163017031</v>
      </c>
      <c r="Z131" s="27">
        <v>2.9059680777238027E-3</v>
      </c>
      <c r="AA131" s="35">
        <v>180</v>
      </c>
      <c r="AB131" s="27">
        <v>0.43795620437956206</v>
      </c>
      <c r="AC131" s="27">
        <f t="shared" ref="AC131:AC194" si="13">AA131/U131</f>
        <v>7.8070784177654406E-3</v>
      </c>
      <c r="AD131" s="36">
        <v>101</v>
      </c>
      <c r="AE131" s="27">
        <v>0.24574209245742093</v>
      </c>
      <c r="AF131" s="27">
        <f t="shared" ref="AF131:AF194" si="14">AD131/U131</f>
        <v>4.3806384455239416E-3</v>
      </c>
      <c r="AG131" s="37">
        <v>33</v>
      </c>
      <c r="AH131" s="27">
        <v>8.0291970802919707E-2</v>
      </c>
      <c r="AI131" s="27">
        <f t="shared" ref="AI131:AI194" si="15">AG131/U131</f>
        <v>1.4312977099236641E-3</v>
      </c>
      <c r="AJ131" s="38">
        <v>30</v>
      </c>
      <c r="AK131" s="27">
        <v>7.2992700729927001E-2</v>
      </c>
      <c r="AL131" s="27">
        <f t="shared" ref="AL131:AL194" si="16">AJ131/U131</f>
        <v>1.3011797362942402E-3</v>
      </c>
      <c r="AM131" s="40">
        <v>0</v>
      </c>
      <c r="AN131" s="27">
        <v>0</v>
      </c>
      <c r="AO131" s="27">
        <f t="shared" ref="AO131:AO194" si="17">AM131/U131</f>
        <v>0</v>
      </c>
      <c r="AP131" s="7" t="b">
        <v>1</v>
      </c>
      <c r="AQ131" s="6" t="b">
        <v>0</v>
      </c>
      <c r="AR131" s="6" t="b">
        <v>0</v>
      </c>
      <c r="AS131" s="6" t="b">
        <v>0</v>
      </c>
      <c r="AT131" s="7" t="b">
        <v>1</v>
      </c>
      <c r="AU131" s="6" t="b">
        <v>0</v>
      </c>
      <c r="AV131" s="6" t="b">
        <v>0</v>
      </c>
      <c r="AW131" s="6" t="b">
        <v>0</v>
      </c>
      <c r="AX131" s="6" t="b">
        <v>0</v>
      </c>
      <c r="AY131" s="6" t="b">
        <v>0</v>
      </c>
      <c r="AZ131" s="6" t="b">
        <v>0</v>
      </c>
      <c r="BA131" s="6" t="b">
        <v>0</v>
      </c>
      <c r="BB131" s="6" t="b">
        <v>0</v>
      </c>
    </row>
    <row r="132" spans="1:54" ht="15" x14ac:dyDescent="0.25">
      <c r="A132" s="3" t="s">
        <v>318</v>
      </c>
      <c r="B132" s="3" t="str">
        <f ca="1">IFERROR(__xludf.DUMMYFUNCTION("SPLIT(A132,""/"")"),"c4urself")</f>
        <v>c4urself</v>
      </c>
      <c r="C132" s="3" t="str">
        <f ca="1">IFERROR(__xludf.DUMMYFUNCTION("""COMPUTED_VALUE"""),"bump2version")</f>
        <v>bump2version</v>
      </c>
      <c r="D132" s="4" t="s">
        <v>319</v>
      </c>
      <c r="E132" s="5">
        <v>42821.742337962962</v>
      </c>
      <c r="F132" s="5">
        <v>44294.677002314813</v>
      </c>
      <c r="G132" s="13">
        <f t="shared" si="12"/>
        <v>1472.9346643518511</v>
      </c>
      <c r="H132" s="6" t="b">
        <v>0</v>
      </c>
      <c r="I132" s="6" t="b">
        <v>0</v>
      </c>
      <c r="J132" s="8">
        <v>606</v>
      </c>
      <c r="K132" s="8">
        <v>12</v>
      </c>
      <c r="L132" s="8">
        <v>91</v>
      </c>
      <c r="M132" s="8">
        <v>0</v>
      </c>
      <c r="N132" s="8">
        <v>3</v>
      </c>
      <c r="O132" s="8">
        <v>44</v>
      </c>
      <c r="P132" s="8">
        <v>83</v>
      </c>
      <c r="Q132" s="8">
        <v>14</v>
      </c>
      <c r="R132" s="8">
        <v>128</v>
      </c>
      <c r="S132" s="8">
        <v>64</v>
      </c>
      <c r="T132" s="3" t="s">
        <v>72</v>
      </c>
      <c r="U132" s="10">
        <v>1745</v>
      </c>
      <c r="V132" s="32">
        <v>39</v>
      </c>
      <c r="W132" s="27">
        <v>2.2349570200573064E-2</v>
      </c>
      <c r="X132" s="34">
        <v>7</v>
      </c>
      <c r="Y132" s="27">
        <v>0.17948717948717949</v>
      </c>
      <c r="Z132" s="27">
        <v>4.0114613180515755E-3</v>
      </c>
      <c r="AA132" s="35">
        <v>25</v>
      </c>
      <c r="AB132" s="27">
        <v>0.64102564102564108</v>
      </c>
      <c r="AC132" s="27">
        <f t="shared" si="13"/>
        <v>1.4326647564469915E-2</v>
      </c>
      <c r="AD132" s="36">
        <v>5</v>
      </c>
      <c r="AE132" s="27">
        <v>0.12820512820512819</v>
      </c>
      <c r="AF132" s="27">
        <f t="shared" si="14"/>
        <v>2.8653295128939827E-3</v>
      </c>
      <c r="AG132" s="37">
        <v>2</v>
      </c>
      <c r="AH132" s="27">
        <v>5.128205128205128E-2</v>
      </c>
      <c r="AI132" s="27">
        <f t="shared" si="15"/>
        <v>1.146131805157593E-3</v>
      </c>
      <c r="AJ132" s="38">
        <v>0</v>
      </c>
      <c r="AK132" s="27">
        <v>0</v>
      </c>
      <c r="AL132" s="27">
        <f t="shared" si="16"/>
        <v>0</v>
      </c>
      <c r="AM132" s="40">
        <v>0</v>
      </c>
      <c r="AN132" s="27">
        <v>0</v>
      </c>
      <c r="AO132" s="27">
        <f t="shared" si="17"/>
        <v>0</v>
      </c>
      <c r="AP132" s="7" t="b">
        <v>1</v>
      </c>
      <c r="AQ132" s="7" t="b">
        <v>1</v>
      </c>
      <c r="AR132" s="6" t="b">
        <v>0</v>
      </c>
      <c r="AS132" s="6" t="b">
        <v>0</v>
      </c>
      <c r="AT132" s="7" t="b">
        <v>1</v>
      </c>
      <c r="AU132" s="6" t="b">
        <v>0</v>
      </c>
      <c r="AV132" s="6" t="b">
        <v>0</v>
      </c>
      <c r="AW132" s="6" t="b">
        <v>0</v>
      </c>
      <c r="AX132" s="6" t="b">
        <v>0</v>
      </c>
      <c r="AY132" s="6" t="b">
        <v>0</v>
      </c>
      <c r="AZ132" s="6" t="b">
        <v>0</v>
      </c>
      <c r="BA132" s="6" t="b">
        <v>0</v>
      </c>
      <c r="BB132" s="6" t="b">
        <v>0</v>
      </c>
    </row>
    <row r="133" spans="1:54" ht="15" x14ac:dyDescent="0.25">
      <c r="A133" s="3" t="s">
        <v>320</v>
      </c>
      <c r="B133" s="3" t="str">
        <f ca="1">IFERROR(__xludf.DUMMYFUNCTION("SPLIT(A133,""/"")"),"calebstewart")</f>
        <v>calebstewart</v>
      </c>
      <c r="C133" s="3" t="str">
        <f ca="1">IFERROR(__xludf.DUMMYFUNCTION("""COMPUTED_VALUE"""),"pwncat")</f>
        <v>pwncat</v>
      </c>
      <c r="D133" s="4" t="s">
        <v>321</v>
      </c>
      <c r="E133" s="5">
        <v>43958.085185185184</v>
      </c>
      <c r="F133" s="5">
        <v>44294.927719907406</v>
      </c>
      <c r="G133" s="13">
        <f t="shared" si="12"/>
        <v>336.8425347222219</v>
      </c>
      <c r="H133" s="6" t="b">
        <v>0</v>
      </c>
      <c r="I133" s="6" t="b">
        <v>0</v>
      </c>
      <c r="J133" s="8">
        <v>720</v>
      </c>
      <c r="K133" s="8">
        <v>34</v>
      </c>
      <c r="L133" s="8">
        <v>72</v>
      </c>
      <c r="M133" s="8">
        <v>0</v>
      </c>
      <c r="N133" s="8">
        <v>0</v>
      </c>
      <c r="O133" s="8">
        <v>9</v>
      </c>
      <c r="P133" s="8">
        <v>17</v>
      </c>
      <c r="Q133" s="8">
        <v>4</v>
      </c>
      <c r="R133" s="8">
        <v>74</v>
      </c>
      <c r="S133" s="8">
        <v>13</v>
      </c>
      <c r="T133" s="11" t="s">
        <v>52</v>
      </c>
      <c r="U133" s="10">
        <v>6849</v>
      </c>
      <c r="V133" s="32">
        <v>26</v>
      </c>
      <c r="W133" s="27">
        <v>3.7961746240327055E-3</v>
      </c>
      <c r="X133" s="34">
        <v>0</v>
      </c>
      <c r="Y133" s="27">
        <v>0</v>
      </c>
      <c r="Z133" s="27">
        <v>0</v>
      </c>
      <c r="AA133" s="35">
        <v>0</v>
      </c>
      <c r="AB133" s="27">
        <v>0</v>
      </c>
      <c r="AC133" s="27">
        <f t="shared" si="13"/>
        <v>0</v>
      </c>
      <c r="AD133" s="36">
        <v>6</v>
      </c>
      <c r="AE133" s="27">
        <v>0.23076923076923078</v>
      </c>
      <c r="AF133" s="27">
        <f t="shared" si="14"/>
        <v>8.7604029785370125E-4</v>
      </c>
      <c r="AG133" s="37">
        <v>9</v>
      </c>
      <c r="AH133" s="27">
        <v>0.34615384615384615</v>
      </c>
      <c r="AI133" s="27">
        <f t="shared" si="15"/>
        <v>1.3140604467805519E-3</v>
      </c>
      <c r="AJ133" s="38">
        <v>0</v>
      </c>
      <c r="AK133" s="27">
        <v>0</v>
      </c>
      <c r="AL133" s="27">
        <f t="shared" si="16"/>
        <v>0</v>
      </c>
      <c r="AM133" s="40">
        <v>11</v>
      </c>
      <c r="AN133" s="27">
        <v>0.42307692307692307</v>
      </c>
      <c r="AO133" s="27">
        <f t="shared" si="17"/>
        <v>1.6060738793984522E-3</v>
      </c>
      <c r="AP133" s="7" t="b">
        <v>1</v>
      </c>
      <c r="AQ133" s="6" t="b">
        <v>0</v>
      </c>
      <c r="AR133" s="6" t="b">
        <v>0</v>
      </c>
      <c r="AS133" s="6" t="b">
        <v>0</v>
      </c>
      <c r="AT133" s="7" t="b">
        <v>1</v>
      </c>
      <c r="AU133" s="6" t="b">
        <v>0</v>
      </c>
      <c r="AV133" s="6" t="b">
        <v>0</v>
      </c>
      <c r="AW133" s="6" t="b">
        <v>0</v>
      </c>
      <c r="AX133" s="6" t="b">
        <v>0</v>
      </c>
      <c r="AY133" s="6" t="b">
        <v>0</v>
      </c>
      <c r="AZ133" s="6" t="b">
        <v>0</v>
      </c>
      <c r="BA133" s="6" t="b">
        <v>0</v>
      </c>
      <c r="BB133" s="6" t="b">
        <v>0</v>
      </c>
    </row>
    <row r="134" spans="1:54" ht="15" x14ac:dyDescent="0.25">
      <c r="A134" s="3" t="s">
        <v>322</v>
      </c>
      <c r="B134" s="3" t="str">
        <f ca="1">IFERROR(__xludf.DUMMYFUNCTION("SPLIT(A134,""/"")"),"CanopyTax")</f>
        <v>CanopyTax</v>
      </c>
      <c r="C134" s="3" t="str">
        <f ca="1">IFERROR(__xludf.DUMMYFUNCTION("""COMPUTED_VALUE"""),"asyncpgsa")</f>
        <v>asyncpgsa</v>
      </c>
      <c r="D134" s="4" t="s">
        <v>323</v>
      </c>
      <c r="E134" s="5">
        <v>42573.836134259262</v>
      </c>
      <c r="F134" s="5">
        <v>44294.288449074076</v>
      </c>
      <c r="G134" s="13">
        <f t="shared" si="12"/>
        <v>1720.4523148148146</v>
      </c>
      <c r="H134" s="6" t="b">
        <v>0</v>
      </c>
      <c r="I134" s="7" t="b">
        <v>1</v>
      </c>
      <c r="J134" s="8">
        <v>375</v>
      </c>
      <c r="K134" s="8">
        <v>26</v>
      </c>
      <c r="L134" s="8">
        <v>43</v>
      </c>
      <c r="M134" s="8">
        <v>16</v>
      </c>
      <c r="N134" s="8">
        <v>1</v>
      </c>
      <c r="O134" s="8">
        <v>32</v>
      </c>
      <c r="P134" s="8">
        <v>60</v>
      </c>
      <c r="Q134" s="8">
        <v>0</v>
      </c>
      <c r="R134" s="8">
        <v>54</v>
      </c>
      <c r="S134" s="8">
        <v>13</v>
      </c>
      <c r="T134" s="3" t="s">
        <v>69</v>
      </c>
      <c r="U134" s="10">
        <v>848</v>
      </c>
      <c r="V134" s="32">
        <v>3</v>
      </c>
      <c r="W134" s="27">
        <v>3.5377358490566039E-3</v>
      </c>
      <c r="X134" s="34">
        <v>3</v>
      </c>
      <c r="Y134" s="27">
        <v>1</v>
      </c>
      <c r="Z134" s="27">
        <v>3.5377358490566039E-3</v>
      </c>
      <c r="AA134" s="35">
        <v>0</v>
      </c>
      <c r="AB134" s="27">
        <v>0</v>
      </c>
      <c r="AC134" s="27">
        <f t="shared" si="13"/>
        <v>0</v>
      </c>
      <c r="AD134" s="36">
        <v>0</v>
      </c>
      <c r="AE134" s="27">
        <v>0</v>
      </c>
      <c r="AF134" s="27">
        <f t="shared" si="14"/>
        <v>0</v>
      </c>
      <c r="AG134" s="37">
        <v>0</v>
      </c>
      <c r="AH134" s="27">
        <v>0</v>
      </c>
      <c r="AI134" s="27">
        <f t="shared" si="15"/>
        <v>0</v>
      </c>
      <c r="AJ134" s="38">
        <v>0</v>
      </c>
      <c r="AK134" s="27">
        <v>0</v>
      </c>
      <c r="AL134" s="27">
        <f t="shared" si="16"/>
        <v>0</v>
      </c>
      <c r="AM134" s="40">
        <v>0</v>
      </c>
      <c r="AN134" s="27">
        <v>0</v>
      </c>
      <c r="AO134" s="27">
        <f t="shared" si="17"/>
        <v>0</v>
      </c>
      <c r="AP134" s="7" t="b">
        <v>1</v>
      </c>
      <c r="AQ134" s="7" t="b">
        <v>1</v>
      </c>
      <c r="AR134" s="6" t="b">
        <v>0</v>
      </c>
      <c r="AS134" s="6" t="b">
        <v>0</v>
      </c>
      <c r="AT134" s="7" t="b">
        <v>1</v>
      </c>
      <c r="AU134" s="6" t="b">
        <v>0</v>
      </c>
      <c r="AV134" s="6" t="b">
        <v>0</v>
      </c>
      <c r="AW134" s="6" t="b">
        <v>0</v>
      </c>
      <c r="AX134" s="6" t="b">
        <v>0</v>
      </c>
      <c r="AY134" s="6" t="b">
        <v>0</v>
      </c>
      <c r="AZ134" s="6" t="b">
        <v>0</v>
      </c>
      <c r="BA134" s="6" t="b">
        <v>0</v>
      </c>
      <c r="BB134" s="6" t="b">
        <v>0</v>
      </c>
    </row>
    <row r="135" spans="1:54" ht="15" x14ac:dyDescent="0.25">
      <c r="A135" s="3" t="s">
        <v>324</v>
      </c>
      <c r="B135" s="3" t="str">
        <f ca="1">IFERROR(__xludf.DUMMYFUNCTION("SPLIT(A135,""/"")"),"catalyst-team")</f>
        <v>catalyst-team</v>
      </c>
      <c r="C135" s="3" t="str">
        <f ca="1">IFERROR(__xludf.DUMMYFUNCTION("""COMPUTED_VALUE"""),"catalyst")</f>
        <v>catalyst</v>
      </c>
      <c r="D135" s="4" t="s">
        <v>325</v>
      </c>
      <c r="E135" s="5">
        <v>43332.330706018518</v>
      </c>
      <c r="F135" s="5">
        <v>44294.659872685188</v>
      </c>
      <c r="G135" s="13">
        <f t="shared" si="12"/>
        <v>962.32916666667006</v>
      </c>
      <c r="H135" s="6" t="b">
        <v>0</v>
      </c>
      <c r="I135" s="7" t="b">
        <v>1</v>
      </c>
      <c r="J135" s="8">
        <v>2515</v>
      </c>
      <c r="K135" s="8">
        <v>45</v>
      </c>
      <c r="L135" s="8">
        <v>301</v>
      </c>
      <c r="M135" s="8">
        <v>24</v>
      </c>
      <c r="N135" s="8">
        <v>1</v>
      </c>
      <c r="O135" s="8">
        <v>90</v>
      </c>
      <c r="P135" s="8">
        <v>881</v>
      </c>
      <c r="Q135" s="8">
        <v>4</v>
      </c>
      <c r="R135" s="8">
        <v>289</v>
      </c>
      <c r="S135" s="8">
        <v>8</v>
      </c>
      <c r="T135" s="3" t="s">
        <v>69</v>
      </c>
      <c r="U135" s="10">
        <v>17976</v>
      </c>
      <c r="V135" s="32">
        <v>18</v>
      </c>
      <c r="W135" s="27">
        <v>1.0013351134846463E-3</v>
      </c>
      <c r="X135" s="34">
        <v>3</v>
      </c>
      <c r="Y135" s="27">
        <v>0.16666666666666666</v>
      </c>
      <c r="Z135" s="27">
        <v>1.6688918558077436E-4</v>
      </c>
      <c r="AA135" s="35">
        <v>0</v>
      </c>
      <c r="AB135" s="27">
        <v>0</v>
      </c>
      <c r="AC135" s="27">
        <f t="shared" si="13"/>
        <v>0</v>
      </c>
      <c r="AD135" s="36">
        <v>13</v>
      </c>
      <c r="AE135" s="27">
        <v>0.72222222222222221</v>
      </c>
      <c r="AF135" s="27">
        <f t="shared" si="14"/>
        <v>7.2318647085002229E-4</v>
      </c>
      <c r="AG135" s="37">
        <v>2</v>
      </c>
      <c r="AH135" s="27">
        <v>0.1111111111111111</v>
      </c>
      <c r="AI135" s="27">
        <f t="shared" si="15"/>
        <v>1.1125945705384957E-4</v>
      </c>
      <c r="AJ135" s="38">
        <v>0</v>
      </c>
      <c r="AK135" s="27">
        <v>0</v>
      </c>
      <c r="AL135" s="27">
        <f t="shared" si="16"/>
        <v>0</v>
      </c>
      <c r="AM135" s="40">
        <v>0</v>
      </c>
      <c r="AN135" s="27">
        <v>0</v>
      </c>
      <c r="AO135" s="27">
        <f t="shared" si="17"/>
        <v>0</v>
      </c>
      <c r="AP135" s="7" t="b">
        <v>1</v>
      </c>
      <c r="AQ135" s="6" t="b">
        <v>0</v>
      </c>
      <c r="AR135" s="6" t="b">
        <v>0</v>
      </c>
      <c r="AS135" s="6" t="b">
        <v>0</v>
      </c>
      <c r="AT135" s="7" t="b">
        <v>1</v>
      </c>
      <c r="AU135" s="6" t="b">
        <v>0</v>
      </c>
      <c r="AV135" s="6" t="b">
        <v>0</v>
      </c>
      <c r="AW135" s="6" t="b">
        <v>0</v>
      </c>
      <c r="AX135" s="6" t="b">
        <v>0</v>
      </c>
      <c r="AY135" s="6" t="b">
        <v>0</v>
      </c>
      <c r="AZ135" s="6" t="b">
        <v>0</v>
      </c>
      <c r="BA135" s="6" t="b">
        <v>0</v>
      </c>
      <c r="BB135" s="6" t="b">
        <v>0</v>
      </c>
    </row>
    <row r="136" spans="1:54" ht="15" x14ac:dyDescent="0.25">
      <c r="A136" s="3" t="s">
        <v>326</v>
      </c>
      <c r="B136" s="3" t="str">
        <f ca="1">IFERROR(__xludf.DUMMYFUNCTION("SPLIT(A136,""/"")"),"cbfinn")</f>
        <v>cbfinn</v>
      </c>
      <c r="C136" s="3" t="str">
        <f ca="1">IFERROR(__xludf.DUMMYFUNCTION("""COMPUTED_VALUE"""),"maml_rl")</f>
        <v>maml_rl</v>
      </c>
      <c r="D136" s="4" t="s">
        <v>327</v>
      </c>
      <c r="E136" s="5">
        <v>42935.033773148149</v>
      </c>
      <c r="F136" s="5">
        <v>44290.567314814813</v>
      </c>
      <c r="G136" s="13">
        <f t="shared" si="12"/>
        <v>1355.533541666664</v>
      </c>
      <c r="H136" s="6" t="b">
        <v>0</v>
      </c>
      <c r="I136" s="6" t="b">
        <v>0</v>
      </c>
      <c r="J136" s="8">
        <v>450</v>
      </c>
      <c r="K136" s="8">
        <v>16</v>
      </c>
      <c r="L136" s="8">
        <v>145</v>
      </c>
      <c r="M136" s="8">
        <v>0</v>
      </c>
      <c r="N136" s="8">
        <v>0</v>
      </c>
      <c r="O136" s="8">
        <v>10</v>
      </c>
      <c r="P136" s="8">
        <v>2</v>
      </c>
      <c r="Q136" s="8">
        <v>1</v>
      </c>
      <c r="R136" s="8">
        <v>13</v>
      </c>
      <c r="S136" s="8">
        <v>10</v>
      </c>
      <c r="T136" s="3" t="s">
        <v>92</v>
      </c>
      <c r="U136" s="10">
        <v>28737</v>
      </c>
      <c r="V136" s="32">
        <v>92</v>
      </c>
      <c r="W136" s="27">
        <v>3.2014476110937122E-3</v>
      </c>
      <c r="X136" s="34">
        <v>0</v>
      </c>
      <c r="Y136" s="27">
        <v>0</v>
      </c>
      <c r="Z136" s="27">
        <v>0</v>
      </c>
      <c r="AA136" s="35">
        <v>1</v>
      </c>
      <c r="AB136" s="27">
        <v>1.0869565217391304E-2</v>
      </c>
      <c r="AC136" s="27">
        <f t="shared" si="13"/>
        <v>3.4798343598844697E-5</v>
      </c>
      <c r="AD136" s="36">
        <v>1</v>
      </c>
      <c r="AE136" s="27">
        <v>1.0869565217391304E-2</v>
      </c>
      <c r="AF136" s="27">
        <f t="shared" si="14"/>
        <v>3.4798343598844697E-5</v>
      </c>
      <c r="AG136" s="37">
        <v>1</v>
      </c>
      <c r="AH136" s="27">
        <v>1.0869565217391304E-2</v>
      </c>
      <c r="AI136" s="27">
        <f t="shared" si="15"/>
        <v>3.4798343598844697E-5</v>
      </c>
      <c r="AJ136" s="38">
        <v>0</v>
      </c>
      <c r="AK136" s="27">
        <v>0</v>
      </c>
      <c r="AL136" s="27">
        <f t="shared" si="16"/>
        <v>0</v>
      </c>
      <c r="AM136" s="40">
        <v>89</v>
      </c>
      <c r="AN136" s="27">
        <v>0.96739130434782605</v>
      </c>
      <c r="AO136" s="27">
        <f t="shared" si="17"/>
        <v>3.0970525802971778E-3</v>
      </c>
      <c r="AP136" s="7" t="b">
        <v>1</v>
      </c>
      <c r="AQ136" s="6" t="b">
        <v>0</v>
      </c>
      <c r="AR136" s="6" t="b">
        <v>0</v>
      </c>
      <c r="AS136" s="6" t="b">
        <v>0</v>
      </c>
      <c r="AT136" s="7" t="b">
        <v>1</v>
      </c>
      <c r="AU136" s="6" t="b">
        <v>0</v>
      </c>
      <c r="AV136" s="6" t="b">
        <v>0</v>
      </c>
      <c r="AW136" s="6" t="b">
        <v>0</v>
      </c>
      <c r="AX136" s="6" t="b">
        <v>0</v>
      </c>
      <c r="AY136" s="6" t="b">
        <v>0</v>
      </c>
      <c r="AZ136" s="6" t="b">
        <v>0</v>
      </c>
      <c r="BA136" s="6" t="b">
        <v>0</v>
      </c>
      <c r="BB136" s="6" t="b">
        <v>0</v>
      </c>
    </row>
    <row r="137" spans="1:54" ht="15" x14ac:dyDescent="0.25">
      <c r="A137" s="3" t="s">
        <v>328</v>
      </c>
      <c r="B137" s="3" t="str">
        <f ca="1">IFERROR(__xludf.DUMMYFUNCTION("SPLIT(A137,""/"")"),"cburmeister")</f>
        <v>cburmeister</v>
      </c>
      <c r="C137" s="3" t="str">
        <f ca="1">IFERROR(__xludf.DUMMYFUNCTION("""COMPUTED_VALUE"""),"flask-bones")</f>
        <v>flask-bones</v>
      </c>
      <c r="D137" s="4" t="s">
        <v>329</v>
      </c>
      <c r="E137" s="5">
        <v>41420.282685185186</v>
      </c>
      <c r="F137" s="5">
        <v>44294.160879629628</v>
      </c>
      <c r="G137" s="13">
        <f t="shared" si="12"/>
        <v>2873.8781944444418</v>
      </c>
      <c r="H137" s="6" t="b">
        <v>0</v>
      </c>
      <c r="I137" s="6" t="b">
        <v>0</v>
      </c>
      <c r="J137" s="8">
        <v>853</v>
      </c>
      <c r="K137" s="8">
        <v>26</v>
      </c>
      <c r="L137" s="8">
        <v>99</v>
      </c>
      <c r="M137" s="8">
        <v>0</v>
      </c>
      <c r="N137" s="8">
        <v>0</v>
      </c>
      <c r="O137" s="8">
        <v>10</v>
      </c>
      <c r="P137" s="8">
        <v>183</v>
      </c>
      <c r="Q137" s="8">
        <v>15</v>
      </c>
      <c r="R137" s="8">
        <v>18</v>
      </c>
      <c r="S137" s="8">
        <v>0</v>
      </c>
      <c r="T137" s="3" t="s">
        <v>72</v>
      </c>
      <c r="U137" s="10">
        <v>543</v>
      </c>
      <c r="V137" s="32">
        <v>1</v>
      </c>
      <c r="W137" s="27">
        <v>1.841620626151013E-3</v>
      </c>
      <c r="X137" s="34">
        <v>0</v>
      </c>
      <c r="Y137" s="27">
        <v>0</v>
      </c>
      <c r="Z137" s="27">
        <v>0</v>
      </c>
      <c r="AA137" s="35">
        <v>1</v>
      </c>
      <c r="AB137" s="27">
        <v>1</v>
      </c>
      <c r="AC137" s="27">
        <f t="shared" si="13"/>
        <v>1.841620626151013E-3</v>
      </c>
      <c r="AD137" s="36">
        <v>0</v>
      </c>
      <c r="AE137" s="27">
        <v>0</v>
      </c>
      <c r="AF137" s="27">
        <f t="shared" si="14"/>
        <v>0</v>
      </c>
      <c r="AG137" s="37">
        <v>0</v>
      </c>
      <c r="AH137" s="27">
        <v>0</v>
      </c>
      <c r="AI137" s="27">
        <f t="shared" si="15"/>
        <v>0</v>
      </c>
      <c r="AJ137" s="38">
        <v>0</v>
      </c>
      <c r="AK137" s="27">
        <v>0</v>
      </c>
      <c r="AL137" s="27">
        <f t="shared" si="16"/>
        <v>0</v>
      </c>
      <c r="AM137" s="40">
        <v>0</v>
      </c>
      <c r="AN137" s="27">
        <v>0</v>
      </c>
      <c r="AO137" s="27">
        <f t="shared" si="17"/>
        <v>0</v>
      </c>
      <c r="AP137" s="7" t="b">
        <v>1</v>
      </c>
      <c r="AQ137" s="7" t="b">
        <v>1</v>
      </c>
      <c r="AR137" s="6" t="b">
        <v>0</v>
      </c>
      <c r="AS137" s="6" t="b">
        <v>0</v>
      </c>
      <c r="AT137" s="7" t="b">
        <v>1</v>
      </c>
      <c r="AU137" s="6" t="b">
        <v>0</v>
      </c>
      <c r="AV137" s="6" t="b">
        <v>0</v>
      </c>
      <c r="AW137" s="6" t="b">
        <v>0</v>
      </c>
      <c r="AX137" s="6" t="b">
        <v>0</v>
      </c>
      <c r="AY137" s="6" t="b">
        <v>0</v>
      </c>
      <c r="AZ137" s="6" t="b">
        <v>0</v>
      </c>
      <c r="BA137" s="6" t="b">
        <v>0</v>
      </c>
      <c r="BB137" s="6" t="b">
        <v>0</v>
      </c>
    </row>
    <row r="138" spans="1:54" ht="15" x14ac:dyDescent="0.25">
      <c r="A138" s="3" t="s">
        <v>330</v>
      </c>
      <c r="B138" s="3" t="str">
        <f ca="1">IFERROR(__xludf.DUMMYFUNCTION("SPLIT(A138,""/"")"),"ccrisan")</f>
        <v>ccrisan</v>
      </c>
      <c r="C138" s="3" t="str">
        <f ca="1">IFERROR(__xludf.DUMMYFUNCTION("""COMPUTED_VALUE"""),"motioneye")</f>
        <v>motioneye</v>
      </c>
      <c r="D138" s="4" t="s">
        <v>331</v>
      </c>
      <c r="E138" s="5">
        <v>42246.556446759256</v>
      </c>
      <c r="F138" s="5">
        <v>44294.398553240739</v>
      </c>
      <c r="G138" s="13">
        <f t="shared" si="12"/>
        <v>2047.8421064814829</v>
      </c>
      <c r="H138" s="6" t="b">
        <v>0</v>
      </c>
      <c r="I138" s="6" t="b">
        <v>0</v>
      </c>
      <c r="J138" s="8">
        <v>2394</v>
      </c>
      <c r="K138" s="8">
        <v>160</v>
      </c>
      <c r="L138" s="8">
        <v>440</v>
      </c>
      <c r="M138" s="8">
        <v>49</v>
      </c>
      <c r="N138" s="8">
        <v>88</v>
      </c>
      <c r="O138" s="8">
        <v>47</v>
      </c>
      <c r="P138" s="8">
        <v>145</v>
      </c>
      <c r="Q138" s="8">
        <v>21</v>
      </c>
      <c r="R138" s="8">
        <v>1945</v>
      </c>
      <c r="S138" s="8">
        <v>642</v>
      </c>
      <c r="T138" s="3" t="s">
        <v>49</v>
      </c>
      <c r="U138" s="10">
        <v>7548</v>
      </c>
      <c r="V138" s="32">
        <v>476</v>
      </c>
      <c r="W138" s="27">
        <v>6.3063063063063057E-2</v>
      </c>
      <c r="X138" s="34">
        <v>258</v>
      </c>
      <c r="Y138" s="27">
        <v>0.54201680672268904</v>
      </c>
      <c r="Z138" s="27">
        <v>3.4181240063593007E-2</v>
      </c>
      <c r="AA138" s="35">
        <v>37</v>
      </c>
      <c r="AB138" s="27">
        <v>7.7731092436974791E-2</v>
      </c>
      <c r="AC138" s="27">
        <f t="shared" si="13"/>
        <v>4.9019607843137254E-3</v>
      </c>
      <c r="AD138" s="36">
        <v>20</v>
      </c>
      <c r="AE138" s="27">
        <v>4.2016806722689079E-2</v>
      </c>
      <c r="AF138" s="27">
        <f t="shared" si="14"/>
        <v>2.6497085320614732E-3</v>
      </c>
      <c r="AG138" s="37">
        <v>149</v>
      </c>
      <c r="AH138" s="27">
        <v>0.31302521008403361</v>
      </c>
      <c r="AI138" s="27">
        <f t="shared" si="15"/>
        <v>1.9740328563857976E-2</v>
      </c>
      <c r="AJ138" s="38">
        <v>11</v>
      </c>
      <c r="AK138" s="27">
        <v>2.3109243697478993E-2</v>
      </c>
      <c r="AL138" s="27">
        <f t="shared" si="16"/>
        <v>1.4573396926338103E-3</v>
      </c>
      <c r="AM138" s="40">
        <v>1</v>
      </c>
      <c r="AN138" s="27">
        <v>2.1008403361344537E-3</v>
      </c>
      <c r="AO138" s="27">
        <f t="shared" si="17"/>
        <v>1.3248542660307367E-4</v>
      </c>
      <c r="AP138" s="7" t="b">
        <v>1</v>
      </c>
      <c r="AQ138" s="7" t="b">
        <v>1</v>
      </c>
      <c r="AR138" s="6" t="b">
        <v>0</v>
      </c>
      <c r="AS138" s="6" t="b">
        <v>0</v>
      </c>
      <c r="AT138" s="7" t="b">
        <v>1</v>
      </c>
      <c r="AU138" s="6" t="b">
        <v>0</v>
      </c>
      <c r="AV138" s="6" t="b">
        <v>0</v>
      </c>
      <c r="AW138" s="6" t="b">
        <v>0</v>
      </c>
      <c r="AX138" s="6" t="b">
        <v>0</v>
      </c>
      <c r="AY138" s="6" t="b">
        <v>0</v>
      </c>
      <c r="AZ138" s="6" t="b">
        <v>0</v>
      </c>
      <c r="BA138" s="6" t="b">
        <v>0</v>
      </c>
      <c r="BB138" s="6" t="b">
        <v>0</v>
      </c>
    </row>
    <row r="139" spans="1:54" ht="15" x14ac:dyDescent="0.25">
      <c r="A139" s="3" t="s">
        <v>332</v>
      </c>
      <c r="B139" s="3" t="str">
        <f ca="1">IFERROR(__xludf.DUMMYFUNCTION("SPLIT(A139,""/"")"),"cdrx")</f>
        <v>cdrx</v>
      </c>
      <c r="C139" s="3" t="str">
        <f ca="1">IFERROR(__xludf.DUMMYFUNCTION("""COMPUTED_VALUE"""),"rancher-gitlab-deploy")</f>
        <v>rancher-gitlab-deploy</v>
      </c>
      <c r="D139" s="4" t="s">
        <v>333</v>
      </c>
      <c r="E139" s="5">
        <v>42627.679756944446</v>
      </c>
      <c r="F139" s="5">
        <v>44284.014537037037</v>
      </c>
      <c r="G139" s="13">
        <f t="shared" si="12"/>
        <v>1656.3347800925912</v>
      </c>
      <c r="H139" s="6" t="b">
        <v>0</v>
      </c>
      <c r="I139" s="6" t="b">
        <v>0</v>
      </c>
      <c r="J139" s="8">
        <v>411</v>
      </c>
      <c r="K139" s="8">
        <v>25</v>
      </c>
      <c r="L139" s="8">
        <v>82</v>
      </c>
      <c r="M139" s="8">
        <v>2</v>
      </c>
      <c r="N139" s="8">
        <v>0</v>
      </c>
      <c r="O139" s="8">
        <v>14</v>
      </c>
      <c r="P139" s="8">
        <v>22</v>
      </c>
      <c r="Q139" s="8">
        <v>0</v>
      </c>
      <c r="R139" s="8">
        <v>47</v>
      </c>
      <c r="S139" s="8">
        <v>5</v>
      </c>
      <c r="T139" s="3" t="s">
        <v>72</v>
      </c>
      <c r="U139" s="10">
        <v>335</v>
      </c>
      <c r="V139" s="32">
        <v>0</v>
      </c>
      <c r="W139" s="27">
        <v>0</v>
      </c>
      <c r="X139" s="34">
        <v>0</v>
      </c>
      <c r="Y139" s="27">
        <v>0</v>
      </c>
      <c r="Z139" s="27">
        <v>0</v>
      </c>
      <c r="AA139" s="35">
        <v>0</v>
      </c>
      <c r="AB139" s="27">
        <v>0</v>
      </c>
      <c r="AC139" s="27">
        <f t="shared" si="13"/>
        <v>0</v>
      </c>
      <c r="AD139" s="36">
        <v>0</v>
      </c>
      <c r="AE139" s="27">
        <v>0</v>
      </c>
      <c r="AF139" s="27">
        <f t="shared" si="14"/>
        <v>0</v>
      </c>
      <c r="AG139" s="37">
        <v>0</v>
      </c>
      <c r="AH139" s="27">
        <v>0</v>
      </c>
      <c r="AI139" s="27">
        <f t="shared" si="15"/>
        <v>0</v>
      </c>
      <c r="AJ139" s="38">
        <v>0</v>
      </c>
      <c r="AK139" s="27">
        <v>0</v>
      </c>
      <c r="AL139" s="27">
        <f t="shared" si="16"/>
        <v>0</v>
      </c>
      <c r="AM139" s="40">
        <v>0</v>
      </c>
      <c r="AN139" s="27">
        <v>0</v>
      </c>
      <c r="AO139" s="27">
        <f t="shared" si="17"/>
        <v>0</v>
      </c>
      <c r="AP139" s="7" t="b">
        <v>1</v>
      </c>
      <c r="AQ139" s="6" t="b">
        <v>0</v>
      </c>
      <c r="AR139" s="6" t="b">
        <v>0</v>
      </c>
      <c r="AS139" s="6" t="b">
        <v>0</v>
      </c>
      <c r="AT139" s="7" t="b">
        <v>1</v>
      </c>
      <c r="AU139" s="6" t="b">
        <v>0</v>
      </c>
      <c r="AV139" s="6" t="b">
        <v>0</v>
      </c>
      <c r="AW139" s="6" t="b">
        <v>0</v>
      </c>
      <c r="AX139" s="6" t="b">
        <v>0</v>
      </c>
      <c r="AY139" s="6" t="b">
        <v>0</v>
      </c>
      <c r="AZ139" s="6" t="b">
        <v>0</v>
      </c>
      <c r="BA139" s="6" t="b">
        <v>0</v>
      </c>
      <c r="BB139" s="6" t="b">
        <v>0</v>
      </c>
    </row>
    <row r="140" spans="1:54" ht="15" x14ac:dyDescent="0.25">
      <c r="A140" s="3" t="s">
        <v>334</v>
      </c>
      <c r="B140" s="3" t="str">
        <f ca="1">IFERROR(__xludf.DUMMYFUNCTION("SPLIT(A140,""/"")"),"cea-sec")</f>
        <v>cea-sec</v>
      </c>
      <c r="C140" s="3" t="str">
        <f ca="1">IFERROR(__xludf.DUMMYFUNCTION("""COMPUTED_VALUE"""),"ivre")</f>
        <v>ivre</v>
      </c>
      <c r="D140" s="4" t="s">
        <v>335</v>
      </c>
      <c r="E140" s="5">
        <v>41894.565925925926</v>
      </c>
      <c r="F140" s="5">
        <v>44294.977222222224</v>
      </c>
      <c r="G140" s="13">
        <f t="shared" si="12"/>
        <v>2400.4112962962972</v>
      </c>
      <c r="H140" s="6" t="b">
        <v>0</v>
      </c>
      <c r="I140" s="7" t="b">
        <v>1</v>
      </c>
      <c r="J140" s="8">
        <v>2062</v>
      </c>
      <c r="K140" s="8">
        <v>156</v>
      </c>
      <c r="L140" s="8">
        <v>489</v>
      </c>
      <c r="M140" s="8">
        <v>0</v>
      </c>
      <c r="N140" s="8">
        <v>1</v>
      </c>
      <c r="O140" s="8">
        <v>35</v>
      </c>
      <c r="P140" s="8">
        <v>869</v>
      </c>
      <c r="Q140" s="8">
        <v>4</v>
      </c>
      <c r="R140" s="8">
        <v>231</v>
      </c>
      <c r="S140" s="8">
        <v>26</v>
      </c>
      <c r="T140" s="3" t="s">
        <v>49</v>
      </c>
      <c r="U140" s="10">
        <v>24800</v>
      </c>
      <c r="V140" s="32">
        <v>256</v>
      </c>
      <c r="W140" s="27">
        <v>1.032258064516129E-2</v>
      </c>
      <c r="X140" s="34">
        <v>51</v>
      </c>
      <c r="Y140" s="27">
        <v>0.19921875</v>
      </c>
      <c r="Z140" s="27">
        <v>2.0564516129032259E-3</v>
      </c>
      <c r="AA140" s="35">
        <v>33</v>
      </c>
      <c r="AB140" s="27">
        <v>0.12890625</v>
      </c>
      <c r="AC140" s="27">
        <f t="shared" si="13"/>
        <v>1.3306451612903226E-3</v>
      </c>
      <c r="AD140" s="36">
        <v>153</v>
      </c>
      <c r="AE140" s="27">
        <v>0.59765625</v>
      </c>
      <c r="AF140" s="27">
        <f t="shared" si="14"/>
        <v>6.1693548387096774E-3</v>
      </c>
      <c r="AG140" s="37">
        <v>12</v>
      </c>
      <c r="AH140" s="27">
        <v>4.6875E-2</v>
      </c>
      <c r="AI140" s="27">
        <f t="shared" si="15"/>
        <v>4.8387096774193548E-4</v>
      </c>
      <c r="AJ140" s="38">
        <v>7</v>
      </c>
      <c r="AK140" s="27">
        <v>2.734375E-2</v>
      </c>
      <c r="AL140" s="27">
        <f t="shared" si="16"/>
        <v>2.8225806451612906E-4</v>
      </c>
      <c r="AM140" s="40">
        <v>0</v>
      </c>
      <c r="AN140" s="27">
        <v>0</v>
      </c>
      <c r="AO140" s="27">
        <f t="shared" si="17"/>
        <v>0</v>
      </c>
      <c r="AP140" s="7" t="b">
        <v>1</v>
      </c>
      <c r="AQ140" s="7" t="b">
        <v>1</v>
      </c>
      <c r="AR140" s="6" t="b">
        <v>0</v>
      </c>
      <c r="AS140" s="6" t="b">
        <v>0</v>
      </c>
      <c r="AT140" s="7" t="b">
        <v>1</v>
      </c>
      <c r="AU140" s="6" t="b">
        <v>0</v>
      </c>
      <c r="AV140" s="6" t="b">
        <v>0</v>
      </c>
      <c r="AW140" s="6" t="b">
        <v>0</v>
      </c>
      <c r="AX140" s="6" t="b">
        <v>0</v>
      </c>
      <c r="AY140" s="6" t="b">
        <v>0</v>
      </c>
      <c r="AZ140" s="6" t="b">
        <v>0</v>
      </c>
      <c r="BA140" s="6" t="b">
        <v>0</v>
      </c>
      <c r="BB140" s="6" t="b">
        <v>0</v>
      </c>
    </row>
    <row r="141" spans="1:54" ht="15" x14ac:dyDescent="0.25">
      <c r="A141" s="3" t="s">
        <v>336</v>
      </c>
      <c r="B141" s="3" t="str">
        <f ca="1">IFERROR(__xludf.DUMMYFUNCTION("SPLIT(A141,""/"")"),"cea-sec")</f>
        <v>cea-sec</v>
      </c>
      <c r="C141" s="3" t="str">
        <f ca="1">IFERROR(__xludf.DUMMYFUNCTION("""COMPUTED_VALUE"""),"miasm")</f>
        <v>miasm</v>
      </c>
      <c r="D141" s="4" t="s">
        <v>337</v>
      </c>
      <c r="E141" s="5">
        <v>41940.629016203704</v>
      </c>
      <c r="F141" s="5">
        <v>44294.12</v>
      </c>
      <c r="G141" s="13">
        <f t="shared" si="12"/>
        <v>2353.4909837962987</v>
      </c>
      <c r="H141" s="6" t="b">
        <v>0</v>
      </c>
      <c r="I141" s="7" t="b">
        <v>1</v>
      </c>
      <c r="J141" s="8">
        <v>2406</v>
      </c>
      <c r="K141" s="8">
        <v>137</v>
      </c>
      <c r="L141" s="8">
        <v>358</v>
      </c>
      <c r="M141" s="8">
        <v>5</v>
      </c>
      <c r="N141" s="8">
        <v>2</v>
      </c>
      <c r="O141" s="8">
        <v>61</v>
      </c>
      <c r="P141" s="8">
        <v>1063</v>
      </c>
      <c r="Q141" s="8">
        <v>37</v>
      </c>
      <c r="R141" s="8">
        <v>300</v>
      </c>
      <c r="S141" s="8">
        <v>92</v>
      </c>
      <c r="T141" s="3" t="s">
        <v>64</v>
      </c>
      <c r="U141" s="10">
        <v>63236</v>
      </c>
      <c r="V141" s="32">
        <v>381</v>
      </c>
      <c r="W141" s="27">
        <v>6.0250490227085835E-3</v>
      </c>
      <c r="X141" s="34">
        <v>178</v>
      </c>
      <c r="Y141" s="27">
        <v>0.46719160104986879</v>
      </c>
      <c r="Z141" s="27">
        <v>2.8148522993231705E-3</v>
      </c>
      <c r="AA141" s="35">
        <v>63</v>
      </c>
      <c r="AB141" s="27">
        <v>0.16535433070866143</v>
      </c>
      <c r="AC141" s="27">
        <f t="shared" si="13"/>
        <v>9.9626794863685235E-4</v>
      </c>
      <c r="AD141" s="36">
        <v>126</v>
      </c>
      <c r="AE141" s="27">
        <v>0.33070866141732286</v>
      </c>
      <c r="AF141" s="27">
        <f t="shared" si="14"/>
        <v>1.9925358972737047E-3</v>
      </c>
      <c r="AG141" s="37">
        <v>11</v>
      </c>
      <c r="AH141" s="27">
        <v>2.8871391076115485E-2</v>
      </c>
      <c r="AI141" s="27">
        <f t="shared" si="15"/>
        <v>1.7395154658738694E-4</v>
      </c>
      <c r="AJ141" s="38">
        <v>0</v>
      </c>
      <c r="AK141" s="27">
        <v>0</v>
      </c>
      <c r="AL141" s="27">
        <f t="shared" si="16"/>
        <v>0</v>
      </c>
      <c r="AM141" s="40">
        <v>0</v>
      </c>
      <c r="AN141" s="27">
        <v>0</v>
      </c>
      <c r="AO141" s="27">
        <f t="shared" si="17"/>
        <v>0</v>
      </c>
      <c r="AP141" s="7" t="b">
        <v>1</v>
      </c>
      <c r="AQ141" s="6" t="b">
        <v>0</v>
      </c>
      <c r="AR141" s="6" t="b">
        <v>0</v>
      </c>
      <c r="AS141" s="6" t="b">
        <v>0</v>
      </c>
      <c r="AT141" s="7" t="b">
        <v>1</v>
      </c>
      <c r="AU141" s="6" t="b">
        <v>0</v>
      </c>
      <c r="AV141" s="6" t="b">
        <v>0</v>
      </c>
      <c r="AW141" s="6" t="b">
        <v>0</v>
      </c>
      <c r="AX141" s="6" t="b">
        <v>0</v>
      </c>
      <c r="AY141" s="6" t="b">
        <v>0</v>
      </c>
      <c r="AZ141" s="6" t="b">
        <v>0</v>
      </c>
      <c r="BA141" s="6" t="b">
        <v>0</v>
      </c>
      <c r="BB141" s="6" t="b">
        <v>0</v>
      </c>
    </row>
    <row r="142" spans="1:54" ht="15" x14ac:dyDescent="0.25">
      <c r="A142" s="3" t="s">
        <v>338</v>
      </c>
      <c r="B142" s="3" t="str">
        <f ca="1">IFERROR(__xludf.DUMMYFUNCTION("SPLIT(A142,""/"")"),"cea-sec")</f>
        <v>cea-sec</v>
      </c>
      <c r="C142" s="3" t="str">
        <f ca="1">IFERROR(__xludf.DUMMYFUNCTION("""COMPUTED_VALUE"""),"Sibyl")</f>
        <v>Sibyl</v>
      </c>
      <c r="D142" s="4" t="s">
        <v>339</v>
      </c>
      <c r="E142" s="5">
        <v>41887.685104166667</v>
      </c>
      <c r="F142" s="5">
        <v>44277.315555555557</v>
      </c>
      <c r="G142" s="13">
        <f t="shared" si="12"/>
        <v>2389.6304513888899</v>
      </c>
      <c r="H142" s="6" t="b">
        <v>0</v>
      </c>
      <c r="I142" s="7" t="b">
        <v>1</v>
      </c>
      <c r="J142" s="8">
        <v>445</v>
      </c>
      <c r="K142" s="8">
        <v>36</v>
      </c>
      <c r="L142" s="8">
        <v>48</v>
      </c>
      <c r="M142" s="8">
        <v>2</v>
      </c>
      <c r="N142" s="8">
        <v>0</v>
      </c>
      <c r="O142" s="8">
        <v>6</v>
      </c>
      <c r="P142" s="8">
        <v>79</v>
      </c>
      <c r="Q142" s="8">
        <v>3</v>
      </c>
      <c r="R142" s="8">
        <v>23</v>
      </c>
      <c r="S142" s="8">
        <v>4</v>
      </c>
      <c r="T142" s="3" t="s">
        <v>49</v>
      </c>
      <c r="U142" s="10">
        <v>4079</v>
      </c>
      <c r="V142" s="32">
        <v>24</v>
      </c>
      <c r="W142" s="27">
        <v>5.8837950478058346E-3</v>
      </c>
      <c r="X142" s="34">
        <v>5</v>
      </c>
      <c r="Y142" s="27">
        <v>0.20833333333333334</v>
      </c>
      <c r="Z142" s="27">
        <v>1.225790634959549E-3</v>
      </c>
      <c r="AA142" s="35">
        <v>13</v>
      </c>
      <c r="AB142" s="27">
        <v>0.54166666666666663</v>
      </c>
      <c r="AC142" s="27">
        <f t="shared" si="13"/>
        <v>3.187055650894827E-3</v>
      </c>
      <c r="AD142" s="36">
        <v>2</v>
      </c>
      <c r="AE142" s="27">
        <v>8.3333333333333329E-2</v>
      </c>
      <c r="AF142" s="27">
        <f t="shared" si="14"/>
        <v>4.9031625398381952E-4</v>
      </c>
      <c r="AG142" s="37">
        <v>3</v>
      </c>
      <c r="AH142" s="27">
        <v>0.125</v>
      </c>
      <c r="AI142" s="27">
        <f t="shared" si="15"/>
        <v>7.3547438097572933E-4</v>
      </c>
      <c r="AJ142" s="38">
        <v>1</v>
      </c>
      <c r="AK142" s="27">
        <v>4.1666666666666664E-2</v>
      </c>
      <c r="AL142" s="27">
        <f t="shared" si="16"/>
        <v>2.4515812699190976E-4</v>
      </c>
      <c r="AM142" s="40">
        <v>0</v>
      </c>
      <c r="AN142" s="27">
        <v>0</v>
      </c>
      <c r="AO142" s="27">
        <f t="shared" si="17"/>
        <v>0</v>
      </c>
      <c r="AP142" s="7" t="b">
        <v>1</v>
      </c>
      <c r="AQ142" s="6" t="b">
        <v>0</v>
      </c>
      <c r="AR142" s="6" t="b">
        <v>0</v>
      </c>
      <c r="AS142" s="6" t="b">
        <v>0</v>
      </c>
      <c r="AT142" s="7" t="b">
        <v>1</v>
      </c>
      <c r="AU142" s="6" t="b">
        <v>0</v>
      </c>
      <c r="AV142" s="6" t="b">
        <v>0</v>
      </c>
      <c r="AW142" s="6" t="b">
        <v>0</v>
      </c>
      <c r="AX142" s="6" t="b">
        <v>0</v>
      </c>
      <c r="AY142" s="6" t="b">
        <v>0</v>
      </c>
      <c r="AZ142" s="6" t="b">
        <v>0</v>
      </c>
      <c r="BA142" s="6" t="b">
        <v>0</v>
      </c>
      <c r="BB142" s="6" t="b">
        <v>0</v>
      </c>
    </row>
    <row r="143" spans="1:54" ht="15" x14ac:dyDescent="0.25">
      <c r="A143" s="3" t="s">
        <v>340</v>
      </c>
      <c r="B143" s="3" t="str">
        <f ca="1">IFERROR(__xludf.DUMMYFUNCTION("SPLIT(A143,""/"")"),"celery")</f>
        <v>celery</v>
      </c>
      <c r="C143" s="3" t="str">
        <f ca="1">IFERROR(__xludf.DUMMYFUNCTION("""COMPUTED_VALUE"""),"celery")</f>
        <v>celery</v>
      </c>
      <c r="D143" s="4" t="s">
        <v>341</v>
      </c>
      <c r="E143" s="5">
        <v>39927.480138888888</v>
      </c>
      <c r="F143" s="5">
        <v>44295.047812500001</v>
      </c>
      <c r="G143" s="13">
        <f t="shared" si="12"/>
        <v>4367.5676736111127</v>
      </c>
      <c r="H143" s="6" t="b">
        <v>0</v>
      </c>
      <c r="I143" s="7" t="b">
        <v>1</v>
      </c>
      <c r="J143" s="8">
        <v>17028</v>
      </c>
      <c r="K143" s="8">
        <v>493</v>
      </c>
      <c r="L143" s="8">
        <v>3825</v>
      </c>
      <c r="M143" s="8">
        <v>17</v>
      </c>
      <c r="N143" s="8">
        <v>255</v>
      </c>
      <c r="O143" s="8">
        <v>929</v>
      </c>
      <c r="P143" s="8">
        <v>2254</v>
      </c>
      <c r="Q143" s="8">
        <v>54</v>
      </c>
      <c r="R143" s="8">
        <v>4414</v>
      </c>
      <c r="S143" s="8">
        <v>444</v>
      </c>
      <c r="T143" s="3" t="s">
        <v>92</v>
      </c>
      <c r="U143" s="10">
        <v>43738</v>
      </c>
      <c r="V143" s="32">
        <v>131</v>
      </c>
      <c r="W143" s="27">
        <v>2.9951072294114958E-3</v>
      </c>
      <c r="X143" s="34">
        <v>29</v>
      </c>
      <c r="Y143" s="27">
        <v>0.22137404580152673</v>
      </c>
      <c r="Z143" s="27">
        <v>6.6303900498422422E-4</v>
      </c>
      <c r="AA143" s="35">
        <v>23</v>
      </c>
      <c r="AB143" s="27">
        <v>0.17557251908396945</v>
      </c>
      <c r="AC143" s="27">
        <f t="shared" si="13"/>
        <v>5.2585852119438478E-4</v>
      </c>
      <c r="AD143" s="36">
        <v>31</v>
      </c>
      <c r="AE143" s="27">
        <v>0.23664122137404581</v>
      </c>
      <c r="AF143" s="27">
        <f t="shared" si="14"/>
        <v>7.0876583291417077E-4</v>
      </c>
      <c r="AG143" s="37">
        <v>43</v>
      </c>
      <c r="AH143" s="27">
        <v>0.3282442748091603</v>
      </c>
      <c r="AI143" s="27">
        <f t="shared" si="15"/>
        <v>9.8312680049384977E-4</v>
      </c>
      <c r="AJ143" s="38">
        <v>4</v>
      </c>
      <c r="AK143" s="27">
        <v>3.0534351145038167E-2</v>
      </c>
      <c r="AL143" s="27">
        <f t="shared" si="16"/>
        <v>9.1453655859893E-5</v>
      </c>
      <c r="AM143" s="40">
        <v>1</v>
      </c>
      <c r="AN143" s="27">
        <v>7.6335877862595417E-3</v>
      </c>
      <c r="AO143" s="27">
        <f t="shared" si="17"/>
        <v>2.286341396497325E-5</v>
      </c>
      <c r="AP143" s="7" t="b">
        <v>1</v>
      </c>
      <c r="AQ143" s="7" t="b">
        <v>1</v>
      </c>
      <c r="AR143" s="6" t="b">
        <v>0</v>
      </c>
      <c r="AS143" s="6" t="b">
        <v>0</v>
      </c>
      <c r="AT143" s="7" t="b">
        <v>1</v>
      </c>
      <c r="AU143" s="6" t="b">
        <v>0</v>
      </c>
      <c r="AV143" s="6" t="b">
        <v>0</v>
      </c>
      <c r="AW143" s="6" t="b">
        <v>0</v>
      </c>
      <c r="AX143" s="6" t="b">
        <v>0</v>
      </c>
      <c r="AY143" s="6" t="b">
        <v>0</v>
      </c>
      <c r="AZ143" s="6" t="b">
        <v>0</v>
      </c>
      <c r="BA143" s="6" t="b">
        <v>0</v>
      </c>
      <c r="BB143" s="6" t="b">
        <v>0</v>
      </c>
    </row>
    <row r="144" spans="1:54" ht="15" x14ac:dyDescent="0.25">
      <c r="A144" s="3" t="s">
        <v>342</v>
      </c>
      <c r="B144" s="3" t="str">
        <f ca="1">IFERROR(__xludf.DUMMYFUNCTION("SPLIT(A144,""/"")"),"celery")</f>
        <v>celery</v>
      </c>
      <c r="C144" s="3" t="str">
        <f ca="1">IFERROR(__xludf.DUMMYFUNCTION("""COMPUTED_VALUE"""),"django-celery-beat")</f>
        <v>django-celery-beat</v>
      </c>
      <c r="D144" s="4" t="s">
        <v>343</v>
      </c>
      <c r="E144" s="5">
        <v>42585.940497685187</v>
      </c>
      <c r="F144" s="5">
        <v>44294.278692129628</v>
      </c>
      <c r="G144" s="13">
        <f t="shared" si="12"/>
        <v>1708.3381944444409</v>
      </c>
      <c r="H144" s="6" t="b">
        <v>0</v>
      </c>
      <c r="I144" s="7" t="b">
        <v>1</v>
      </c>
      <c r="J144" s="8">
        <v>897</v>
      </c>
      <c r="K144" s="8">
        <v>48</v>
      </c>
      <c r="L144" s="8">
        <v>246</v>
      </c>
      <c r="M144" s="8">
        <v>10</v>
      </c>
      <c r="N144" s="8">
        <v>13</v>
      </c>
      <c r="O144" s="8">
        <v>73</v>
      </c>
      <c r="P144" s="8">
        <v>142</v>
      </c>
      <c r="Q144" s="8">
        <v>7</v>
      </c>
      <c r="R144" s="8">
        <v>254</v>
      </c>
      <c r="S144" s="8">
        <v>64</v>
      </c>
      <c r="T144" s="3" t="s">
        <v>92</v>
      </c>
      <c r="U144" s="10">
        <v>2077</v>
      </c>
      <c r="V144" s="32">
        <v>5</v>
      </c>
      <c r="W144" s="27">
        <v>2.4073182474723159E-3</v>
      </c>
      <c r="X144" s="34">
        <v>0</v>
      </c>
      <c r="Y144" s="27">
        <v>0</v>
      </c>
      <c r="Z144" s="27">
        <v>0</v>
      </c>
      <c r="AA144" s="35">
        <v>0</v>
      </c>
      <c r="AB144" s="27">
        <v>0</v>
      </c>
      <c r="AC144" s="27">
        <f t="shared" si="13"/>
        <v>0</v>
      </c>
      <c r="AD144" s="36">
        <v>0</v>
      </c>
      <c r="AE144" s="27">
        <v>0</v>
      </c>
      <c r="AF144" s="27">
        <f t="shared" si="14"/>
        <v>0</v>
      </c>
      <c r="AG144" s="37">
        <v>5</v>
      </c>
      <c r="AH144" s="27">
        <v>1</v>
      </c>
      <c r="AI144" s="27">
        <f t="shared" si="15"/>
        <v>2.4073182474723159E-3</v>
      </c>
      <c r="AJ144" s="38">
        <v>0</v>
      </c>
      <c r="AK144" s="27">
        <v>0</v>
      </c>
      <c r="AL144" s="27">
        <f t="shared" si="16"/>
        <v>0</v>
      </c>
      <c r="AM144" s="40">
        <v>0</v>
      </c>
      <c r="AN144" s="27">
        <v>0</v>
      </c>
      <c r="AO144" s="27">
        <f t="shared" si="17"/>
        <v>0</v>
      </c>
      <c r="AP144" s="7" t="b">
        <v>1</v>
      </c>
      <c r="AQ144" s="7" t="b">
        <v>1</v>
      </c>
      <c r="AR144" s="6" t="b">
        <v>0</v>
      </c>
      <c r="AS144" s="6" t="b">
        <v>0</v>
      </c>
      <c r="AT144" s="7" t="b">
        <v>1</v>
      </c>
      <c r="AU144" s="6" t="b">
        <v>0</v>
      </c>
      <c r="AV144" s="6" t="b">
        <v>0</v>
      </c>
      <c r="AW144" s="6" t="b">
        <v>0</v>
      </c>
      <c r="AX144" s="6" t="b">
        <v>0</v>
      </c>
      <c r="AY144" s="6" t="b">
        <v>0</v>
      </c>
      <c r="AZ144" s="6" t="b">
        <v>0</v>
      </c>
      <c r="BA144" s="6" t="b">
        <v>0</v>
      </c>
      <c r="BB144" s="6" t="b">
        <v>0</v>
      </c>
    </row>
    <row r="145" spans="1:54" ht="15" x14ac:dyDescent="0.25">
      <c r="A145" s="3" t="s">
        <v>344</v>
      </c>
      <c r="B145" s="3" t="str">
        <f ca="1">IFERROR(__xludf.DUMMYFUNCTION("SPLIT(A145,""/"")"),"CenterForOpenScience")</f>
        <v>CenterForOpenScience</v>
      </c>
      <c r="C145" s="4" t="str">
        <f ca="1">IFERROR(__xludf.DUMMYFUNCTION("""COMPUTED_VALUE"""),"osf.io")</f>
        <v>osf.io</v>
      </c>
      <c r="D145" s="4" t="s">
        <v>345</v>
      </c>
      <c r="E145" s="5">
        <v>41415.662233796298</v>
      </c>
      <c r="F145" s="5">
        <v>44293.565729166665</v>
      </c>
      <c r="G145" s="13">
        <f t="shared" si="12"/>
        <v>2877.9034953703667</v>
      </c>
      <c r="H145" s="6" t="b">
        <v>0</v>
      </c>
      <c r="I145" s="7" t="b">
        <v>1</v>
      </c>
      <c r="J145" s="8">
        <v>569</v>
      </c>
      <c r="K145" s="8">
        <v>53</v>
      </c>
      <c r="L145" s="8">
        <v>268</v>
      </c>
      <c r="M145" s="8">
        <v>21</v>
      </c>
      <c r="N145" s="8">
        <v>84</v>
      </c>
      <c r="O145" s="8">
        <v>134</v>
      </c>
      <c r="P145" s="8">
        <v>7123</v>
      </c>
      <c r="Q145" s="8">
        <v>84</v>
      </c>
      <c r="R145" s="8">
        <v>2541</v>
      </c>
      <c r="S145" s="8">
        <v>211</v>
      </c>
      <c r="T145" s="3" t="s">
        <v>69</v>
      </c>
      <c r="U145" s="10">
        <v>155776</v>
      </c>
      <c r="V145" s="32">
        <v>808</v>
      </c>
      <c r="W145" s="27">
        <v>5.1869350862777325E-3</v>
      </c>
      <c r="X145" s="34">
        <v>57</v>
      </c>
      <c r="Y145" s="27">
        <v>7.0544554455445538E-2</v>
      </c>
      <c r="Z145" s="27">
        <v>3.659100246507806E-4</v>
      </c>
      <c r="AA145" s="35">
        <v>526</v>
      </c>
      <c r="AB145" s="27">
        <v>0.65099009900990101</v>
      </c>
      <c r="AC145" s="27">
        <f t="shared" si="13"/>
        <v>3.3766433853738703E-3</v>
      </c>
      <c r="AD145" s="36">
        <v>101</v>
      </c>
      <c r="AE145" s="27">
        <v>0.125</v>
      </c>
      <c r="AF145" s="27">
        <f t="shared" si="14"/>
        <v>6.4836688578471656E-4</v>
      </c>
      <c r="AG145" s="37">
        <v>90</v>
      </c>
      <c r="AH145" s="27">
        <v>0.11138613861386139</v>
      </c>
      <c r="AI145" s="27">
        <f t="shared" si="15"/>
        <v>5.7775267050123251E-4</v>
      </c>
      <c r="AJ145" s="38">
        <v>0</v>
      </c>
      <c r="AK145" s="27">
        <v>0</v>
      </c>
      <c r="AL145" s="27">
        <f t="shared" si="16"/>
        <v>0</v>
      </c>
      <c r="AM145" s="40">
        <v>19</v>
      </c>
      <c r="AN145" s="27">
        <v>2.3514851485148515E-2</v>
      </c>
      <c r="AO145" s="27">
        <f t="shared" si="17"/>
        <v>1.2197000821692687E-4</v>
      </c>
      <c r="AP145" s="7" t="b">
        <v>1</v>
      </c>
      <c r="AQ145" s="7" t="b">
        <v>1</v>
      </c>
      <c r="AR145" s="6" t="b">
        <v>0</v>
      </c>
      <c r="AS145" s="6" t="b">
        <v>0</v>
      </c>
      <c r="AT145" s="7" t="b">
        <v>1</v>
      </c>
      <c r="AU145" s="6" t="b">
        <v>0</v>
      </c>
      <c r="AV145" s="6" t="b">
        <v>0</v>
      </c>
      <c r="AW145" s="6" t="b">
        <v>0</v>
      </c>
      <c r="AX145" s="6" t="b">
        <v>0</v>
      </c>
      <c r="AY145" s="6" t="b">
        <v>0</v>
      </c>
      <c r="AZ145" s="6" t="b">
        <v>0</v>
      </c>
      <c r="BA145" s="6" t="b">
        <v>0</v>
      </c>
      <c r="BB145" s="6" t="b">
        <v>0</v>
      </c>
    </row>
    <row r="146" spans="1:54" ht="15" x14ac:dyDescent="0.25">
      <c r="A146" s="3" t="s">
        <v>346</v>
      </c>
      <c r="B146" s="3" t="str">
        <f ca="1">IFERROR(__xludf.DUMMYFUNCTION("SPLIT(A146,""/"")"),"certbot")</f>
        <v>certbot</v>
      </c>
      <c r="C146" s="3" t="str">
        <f ca="1">IFERROR(__xludf.DUMMYFUNCTION("""COMPUTED_VALUE"""),"certbot")</f>
        <v>certbot</v>
      </c>
      <c r="D146" s="4" t="s">
        <v>347</v>
      </c>
      <c r="E146" s="5">
        <v>41955.119675925926</v>
      </c>
      <c r="F146" s="5">
        <v>44295.108622685184</v>
      </c>
      <c r="G146" s="13">
        <f t="shared" si="12"/>
        <v>2339.9889467592584</v>
      </c>
      <c r="H146" s="6" t="b">
        <v>0</v>
      </c>
      <c r="I146" s="7" t="b">
        <v>1</v>
      </c>
      <c r="J146" s="8">
        <v>27879</v>
      </c>
      <c r="K146" s="8">
        <v>826</v>
      </c>
      <c r="L146" s="8">
        <v>2927</v>
      </c>
      <c r="M146" s="8">
        <v>17</v>
      </c>
      <c r="N146" s="8">
        <v>241</v>
      </c>
      <c r="O146" s="8">
        <v>427</v>
      </c>
      <c r="P146" s="8">
        <v>3988</v>
      </c>
      <c r="Q146" s="8">
        <v>69</v>
      </c>
      <c r="R146" s="8">
        <v>4772</v>
      </c>
      <c r="S146" s="8">
        <v>517</v>
      </c>
      <c r="T146" s="3" t="s">
        <v>92</v>
      </c>
      <c r="U146" s="10">
        <v>37742</v>
      </c>
      <c r="V146" s="32">
        <v>462</v>
      </c>
      <c r="W146" s="27">
        <v>1.2241004716231255E-2</v>
      </c>
      <c r="X146" s="34">
        <v>223</v>
      </c>
      <c r="Y146" s="27">
        <v>0.48268398268398266</v>
      </c>
      <c r="Z146" s="27">
        <v>5.9085369084839173E-3</v>
      </c>
      <c r="AA146" s="35">
        <v>71</v>
      </c>
      <c r="AB146" s="27">
        <v>0.15367965367965367</v>
      </c>
      <c r="AC146" s="27">
        <f t="shared" si="13"/>
        <v>1.8811933654814266E-3</v>
      </c>
      <c r="AD146" s="36">
        <v>76</v>
      </c>
      <c r="AE146" s="27">
        <v>0.16450216450216451</v>
      </c>
      <c r="AF146" s="27">
        <f t="shared" si="14"/>
        <v>2.0136717715012451E-3</v>
      </c>
      <c r="AG146" s="37">
        <v>79</v>
      </c>
      <c r="AH146" s="27">
        <v>0.17099567099567101</v>
      </c>
      <c r="AI146" s="27">
        <f t="shared" si="15"/>
        <v>2.0931588151131366E-3</v>
      </c>
      <c r="AJ146" s="38">
        <v>11</v>
      </c>
      <c r="AK146" s="27">
        <v>2.3809523809523808E-2</v>
      </c>
      <c r="AL146" s="27">
        <f t="shared" si="16"/>
        <v>2.9145249324360128E-4</v>
      </c>
      <c r="AM146" s="40">
        <v>2</v>
      </c>
      <c r="AN146" s="27">
        <v>4.329004329004329E-3</v>
      </c>
      <c r="AO146" s="27">
        <f t="shared" si="17"/>
        <v>5.2991362407927508E-5</v>
      </c>
      <c r="AP146" s="7" t="b">
        <v>1</v>
      </c>
      <c r="AQ146" s="7" t="b">
        <v>1</v>
      </c>
      <c r="AR146" s="6" t="b">
        <v>0</v>
      </c>
      <c r="AS146" s="6" t="b">
        <v>0</v>
      </c>
      <c r="AT146" s="7" t="b">
        <v>1</v>
      </c>
      <c r="AU146" s="6" t="b">
        <v>0</v>
      </c>
      <c r="AV146" s="6" t="b">
        <v>0</v>
      </c>
      <c r="AW146" s="6" t="b">
        <v>0</v>
      </c>
      <c r="AX146" s="6" t="b">
        <v>0</v>
      </c>
      <c r="AY146" s="6" t="b">
        <v>0</v>
      </c>
      <c r="AZ146" s="6" t="b">
        <v>0</v>
      </c>
      <c r="BA146" s="6" t="b">
        <v>0</v>
      </c>
      <c r="BB146" s="6" t="b">
        <v>0</v>
      </c>
    </row>
    <row r="147" spans="1:54" ht="15" x14ac:dyDescent="0.25">
      <c r="A147" s="3" t="s">
        <v>348</v>
      </c>
      <c r="B147" s="3" t="str">
        <f ca="1">IFERROR(__xludf.DUMMYFUNCTION("SPLIT(A147,""/"")"),"Ceruleanacg")</f>
        <v>Ceruleanacg</v>
      </c>
      <c r="C147" s="3" t="str">
        <f ca="1">IFERROR(__xludf.DUMMYFUNCTION("""COMPUTED_VALUE"""),"Personae")</f>
        <v>Personae</v>
      </c>
      <c r="D147" s="4" t="s">
        <v>349</v>
      </c>
      <c r="E147" s="5">
        <v>43169.473611111112</v>
      </c>
      <c r="F147" s="5">
        <v>44295.105393518519</v>
      </c>
      <c r="G147" s="13">
        <f t="shared" si="12"/>
        <v>1125.6317824074067</v>
      </c>
      <c r="H147" s="6" t="b">
        <v>0</v>
      </c>
      <c r="I147" s="6" t="b">
        <v>0</v>
      </c>
      <c r="J147" s="8">
        <v>1144</v>
      </c>
      <c r="K147" s="8">
        <v>128</v>
      </c>
      <c r="L147" s="8">
        <v>322</v>
      </c>
      <c r="M147" s="8">
        <v>0</v>
      </c>
      <c r="N147" s="8">
        <v>1</v>
      </c>
      <c r="O147" s="8">
        <v>2</v>
      </c>
      <c r="P147" s="8">
        <v>9</v>
      </c>
      <c r="Q147" s="8">
        <v>0</v>
      </c>
      <c r="R147" s="8">
        <v>23</v>
      </c>
      <c r="S147" s="8">
        <v>8</v>
      </c>
      <c r="T147" s="3" t="s">
        <v>72</v>
      </c>
      <c r="U147" s="10">
        <v>2303</v>
      </c>
      <c r="V147" s="32">
        <v>30</v>
      </c>
      <c r="W147" s="27">
        <v>1.3026487190620929E-2</v>
      </c>
      <c r="X147" s="34">
        <v>0</v>
      </c>
      <c r="Y147" s="27">
        <v>0</v>
      </c>
      <c r="Z147" s="27">
        <v>0</v>
      </c>
      <c r="AA147" s="35">
        <v>17</v>
      </c>
      <c r="AB147" s="27">
        <v>0.56666666666666665</v>
      </c>
      <c r="AC147" s="27">
        <f t="shared" si="13"/>
        <v>7.3816760746851931E-3</v>
      </c>
      <c r="AD147" s="36">
        <v>13</v>
      </c>
      <c r="AE147" s="27">
        <v>0.43333333333333335</v>
      </c>
      <c r="AF147" s="27">
        <f t="shared" si="14"/>
        <v>5.6448111159357363E-3</v>
      </c>
      <c r="AG147" s="37">
        <v>0</v>
      </c>
      <c r="AH147" s="27">
        <v>0</v>
      </c>
      <c r="AI147" s="27">
        <f t="shared" si="15"/>
        <v>0</v>
      </c>
      <c r="AJ147" s="38">
        <v>0</v>
      </c>
      <c r="AK147" s="27">
        <v>0</v>
      </c>
      <c r="AL147" s="27">
        <f t="shared" si="16"/>
        <v>0</v>
      </c>
      <c r="AM147" s="40">
        <v>0</v>
      </c>
      <c r="AN147" s="27">
        <v>0</v>
      </c>
      <c r="AO147" s="27">
        <f t="shared" si="17"/>
        <v>0</v>
      </c>
      <c r="AP147" s="7" t="b">
        <v>1</v>
      </c>
      <c r="AQ147" s="7" t="b">
        <v>1</v>
      </c>
      <c r="AR147" s="6" t="b">
        <v>0</v>
      </c>
      <c r="AS147" s="6" t="b">
        <v>0</v>
      </c>
      <c r="AT147" s="7" t="b">
        <v>1</v>
      </c>
      <c r="AU147" s="6" t="b">
        <v>0</v>
      </c>
      <c r="AV147" s="6" t="b">
        <v>0</v>
      </c>
      <c r="AW147" s="6" t="b">
        <v>0</v>
      </c>
      <c r="AX147" s="6" t="b">
        <v>0</v>
      </c>
      <c r="AY147" s="6" t="b">
        <v>0</v>
      </c>
      <c r="AZ147" s="6" t="b">
        <v>0</v>
      </c>
      <c r="BA147" s="6" t="b">
        <v>0</v>
      </c>
      <c r="BB147" s="6" t="b">
        <v>0</v>
      </c>
    </row>
    <row r="148" spans="1:54" ht="15" x14ac:dyDescent="0.25">
      <c r="A148" s="3" t="s">
        <v>350</v>
      </c>
      <c r="B148" s="3" t="str">
        <f ca="1">IFERROR(__xludf.DUMMYFUNCTION("SPLIT(A148,""/"")"),"cesium-ml")</f>
        <v>cesium-ml</v>
      </c>
      <c r="C148" s="3" t="str">
        <f ca="1">IFERROR(__xludf.DUMMYFUNCTION("""COMPUTED_VALUE"""),"cesium")</f>
        <v>cesium</v>
      </c>
      <c r="D148" s="4" t="s">
        <v>351</v>
      </c>
      <c r="E148" s="5">
        <v>41941.666689814818</v>
      </c>
      <c r="F148" s="5">
        <v>44292.787534722222</v>
      </c>
      <c r="G148" s="13">
        <f t="shared" si="12"/>
        <v>2351.1208449074038</v>
      </c>
      <c r="H148" s="6" t="b">
        <v>0</v>
      </c>
      <c r="I148" s="7" t="b">
        <v>1</v>
      </c>
      <c r="J148" s="8">
        <v>530</v>
      </c>
      <c r="K148" s="8">
        <v>38</v>
      </c>
      <c r="L148" s="8">
        <v>74</v>
      </c>
      <c r="M148" s="8">
        <v>0</v>
      </c>
      <c r="N148" s="8">
        <v>6</v>
      </c>
      <c r="O148" s="8">
        <v>9</v>
      </c>
      <c r="P148" s="8">
        <v>192</v>
      </c>
      <c r="Q148" s="8">
        <v>5</v>
      </c>
      <c r="R148" s="8">
        <v>102</v>
      </c>
      <c r="S148" s="8">
        <v>23</v>
      </c>
      <c r="T148" s="3" t="s">
        <v>92</v>
      </c>
      <c r="U148" s="10">
        <v>2639</v>
      </c>
      <c r="V148" s="32">
        <v>4</v>
      </c>
      <c r="W148" s="27">
        <v>1.5157256536566881E-3</v>
      </c>
      <c r="X148" s="34">
        <v>0</v>
      </c>
      <c r="Y148" s="27">
        <v>0</v>
      </c>
      <c r="Z148" s="27">
        <v>0</v>
      </c>
      <c r="AA148" s="35">
        <v>0</v>
      </c>
      <c r="AB148" s="27">
        <v>0</v>
      </c>
      <c r="AC148" s="27">
        <f t="shared" si="13"/>
        <v>0</v>
      </c>
      <c r="AD148" s="36">
        <v>4</v>
      </c>
      <c r="AE148" s="27">
        <v>1</v>
      </c>
      <c r="AF148" s="27">
        <f t="shared" si="14"/>
        <v>1.5157256536566881E-3</v>
      </c>
      <c r="AG148" s="37">
        <v>0</v>
      </c>
      <c r="AH148" s="27">
        <v>0</v>
      </c>
      <c r="AI148" s="27">
        <f t="shared" si="15"/>
        <v>0</v>
      </c>
      <c r="AJ148" s="38">
        <v>0</v>
      </c>
      <c r="AK148" s="27">
        <v>0</v>
      </c>
      <c r="AL148" s="27">
        <f t="shared" si="16"/>
        <v>0</v>
      </c>
      <c r="AM148" s="40">
        <v>0</v>
      </c>
      <c r="AN148" s="27">
        <v>0</v>
      </c>
      <c r="AO148" s="27">
        <f t="shared" si="17"/>
        <v>0</v>
      </c>
      <c r="AP148" s="7" t="b">
        <v>1</v>
      </c>
      <c r="AQ148" s="6" t="b">
        <v>0</v>
      </c>
      <c r="AR148" s="6" t="b">
        <v>0</v>
      </c>
      <c r="AS148" s="6" t="b">
        <v>0</v>
      </c>
      <c r="AT148" s="7" t="b">
        <v>1</v>
      </c>
      <c r="AU148" s="6" t="b">
        <v>0</v>
      </c>
      <c r="AV148" s="6" t="b">
        <v>0</v>
      </c>
      <c r="AW148" s="6" t="b">
        <v>0</v>
      </c>
      <c r="AX148" s="6" t="b">
        <v>0</v>
      </c>
      <c r="AY148" s="6" t="b">
        <v>0</v>
      </c>
      <c r="AZ148" s="6" t="b">
        <v>0</v>
      </c>
      <c r="BA148" s="6" t="b">
        <v>0</v>
      </c>
      <c r="BB148" s="6" t="b">
        <v>0</v>
      </c>
    </row>
    <row r="149" spans="1:54" ht="15" x14ac:dyDescent="0.25">
      <c r="A149" s="3" t="s">
        <v>352</v>
      </c>
      <c r="B149" s="3" t="str">
        <f ca="1">IFERROR(__xludf.DUMMYFUNCTION("SPLIT(A149,""/"")"),"cevoaustralia")</f>
        <v>cevoaustralia</v>
      </c>
      <c r="C149" s="3" t="str">
        <f ca="1">IFERROR(__xludf.DUMMYFUNCTION("""COMPUTED_VALUE"""),"aws-google-auth")</f>
        <v>aws-google-auth</v>
      </c>
      <c r="D149" s="4" t="s">
        <v>353</v>
      </c>
      <c r="E149" s="5">
        <v>42899.396168981482</v>
      </c>
      <c r="F149" s="5">
        <v>44294.818749999999</v>
      </c>
      <c r="G149" s="13">
        <f t="shared" si="12"/>
        <v>1395.4225810185162</v>
      </c>
      <c r="H149" s="6" t="b">
        <v>0</v>
      </c>
      <c r="I149" s="7" t="b">
        <v>1</v>
      </c>
      <c r="J149" s="8">
        <v>434</v>
      </c>
      <c r="K149" s="8">
        <v>20</v>
      </c>
      <c r="L149" s="8">
        <v>117</v>
      </c>
      <c r="M149" s="8">
        <v>8</v>
      </c>
      <c r="N149" s="8">
        <v>0</v>
      </c>
      <c r="O149" s="8">
        <v>34</v>
      </c>
      <c r="P149" s="8">
        <v>109</v>
      </c>
      <c r="Q149" s="8">
        <v>17</v>
      </c>
      <c r="R149" s="8">
        <v>119</v>
      </c>
      <c r="S149" s="8">
        <v>44</v>
      </c>
      <c r="T149" s="3" t="s">
        <v>72</v>
      </c>
      <c r="U149" s="10">
        <v>2316</v>
      </c>
      <c r="V149" s="32">
        <v>25</v>
      </c>
      <c r="W149" s="27">
        <v>1.079447322970639E-2</v>
      </c>
      <c r="X149" s="34">
        <v>5</v>
      </c>
      <c r="Y149" s="27">
        <v>0.2</v>
      </c>
      <c r="Z149" s="27">
        <v>2.1588946459412781E-3</v>
      </c>
      <c r="AA149" s="35">
        <v>4</v>
      </c>
      <c r="AB149" s="27">
        <v>0.16</v>
      </c>
      <c r="AC149" s="27">
        <f t="shared" si="13"/>
        <v>1.7271157167530224E-3</v>
      </c>
      <c r="AD149" s="36">
        <v>0</v>
      </c>
      <c r="AE149" s="27">
        <v>0</v>
      </c>
      <c r="AF149" s="27">
        <f t="shared" si="14"/>
        <v>0</v>
      </c>
      <c r="AG149" s="37">
        <v>13</v>
      </c>
      <c r="AH149" s="27">
        <v>0.52</v>
      </c>
      <c r="AI149" s="27">
        <f t="shared" si="15"/>
        <v>5.6131260794473233E-3</v>
      </c>
      <c r="AJ149" s="38">
        <v>3</v>
      </c>
      <c r="AK149" s="27">
        <v>0.12</v>
      </c>
      <c r="AL149" s="27">
        <f t="shared" si="16"/>
        <v>1.2953367875647669E-3</v>
      </c>
      <c r="AM149" s="40">
        <v>0</v>
      </c>
      <c r="AN149" s="27">
        <v>0</v>
      </c>
      <c r="AO149" s="27">
        <f t="shared" si="17"/>
        <v>0</v>
      </c>
      <c r="AP149" s="7" t="b">
        <v>1</v>
      </c>
      <c r="AQ149" s="6" t="b">
        <v>0</v>
      </c>
      <c r="AR149" s="6" t="b">
        <v>0</v>
      </c>
      <c r="AS149" s="6" t="b">
        <v>0</v>
      </c>
      <c r="AT149" s="7" t="b">
        <v>1</v>
      </c>
      <c r="AU149" s="6" t="b">
        <v>0</v>
      </c>
      <c r="AV149" s="6" t="b">
        <v>0</v>
      </c>
      <c r="AW149" s="6" t="b">
        <v>0</v>
      </c>
      <c r="AX149" s="6" t="b">
        <v>0</v>
      </c>
      <c r="AY149" s="6" t="b">
        <v>0</v>
      </c>
      <c r="AZ149" s="6" t="b">
        <v>0</v>
      </c>
      <c r="BA149" s="6" t="b">
        <v>0</v>
      </c>
      <c r="BB149" s="6" t="b">
        <v>0</v>
      </c>
    </row>
    <row r="150" spans="1:54" ht="15" x14ac:dyDescent="0.25">
      <c r="A150" s="3" t="s">
        <v>354</v>
      </c>
      <c r="B150" s="3" t="str">
        <f ca="1">IFERROR(__xludf.DUMMYFUNCTION("SPLIT(A150,""/"")"),"cgre-aachen")</f>
        <v>cgre-aachen</v>
      </c>
      <c r="C150" s="3" t="str">
        <f ca="1">IFERROR(__xludf.DUMMYFUNCTION("""COMPUTED_VALUE"""),"gempy")</f>
        <v>gempy</v>
      </c>
      <c r="D150" s="4" t="s">
        <v>355</v>
      </c>
      <c r="E150" s="5">
        <v>42920.480694444443</v>
      </c>
      <c r="F150" s="5">
        <v>44294.853564814817</v>
      </c>
      <c r="G150" s="13">
        <f t="shared" si="12"/>
        <v>1374.3728703703746</v>
      </c>
      <c r="H150" s="6" t="b">
        <v>0</v>
      </c>
      <c r="I150" s="7" t="b">
        <v>1</v>
      </c>
      <c r="J150" s="8">
        <v>404</v>
      </c>
      <c r="K150" s="8">
        <v>33</v>
      </c>
      <c r="L150" s="8">
        <v>126</v>
      </c>
      <c r="M150" s="8">
        <v>17</v>
      </c>
      <c r="N150" s="8">
        <v>7</v>
      </c>
      <c r="O150" s="8">
        <v>22</v>
      </c>
      <c r="P150" s="8">
        <v>161</v>
      </c>
      <c r="Q150" s="8">
        <v>10</v>
      </c>
      <c r="R150" s="8">
        <v>407</v>
      </c>
      <c r="S150" s="8">
        <v>96</v>
      </c>
      <c r="T150" s="3" t="s">
        <v>160</v>
      </c>
      <c r="U150" s="10">
        <v>21363</v>
      </c>
      <c r="V150" s="32">
        <v>40</v>
      </c>
      <c r="W150" s="27">
        <v>1.872396199035716E-3</v>
      </c>
      <c r="X150" s="34">
        <v>0</v>
      </c>
      <c r="Y150" s="27">
        <v>0</v>
      </c>
      <c r="Z150" s="27">
        <v>0</v>
      </c>
      <c r="AA150" s="35">
        <v>0</v>
      </c>
      <c r="AB150" s="27">
        <v>0</v>
      </c>
      <c r="AC150" s="27">
        <f t="shared" si="13"/>
        <v>0</v>
      </c>
      <c r="AD150" s="36">
        <v>40</v>
      </c>
      <c r="AE150" s="27">
        <v>1</v>
      </c>
      <c r="AF150" s="27">
        <f t="shared" si="14"/>
        <v>1.872396199035716E-3</v>
      </c>
      <c r="AG150" s="37">
        <v>0</v>
      </c>
      <c r="AH150" s="27">
        <v>0</v>
      </c>
      <c r="AI150" s="27">
        <f t="shared" si="15"/>
        <v>0</v>
      </c>
      <c r="AJ150" s="38">
        <v>0</v>
      </c>
      <c r="AK150" s="27">
        <v>0</v>
      </c>
      <c r="AL150" s="27">
        <f t="shared" si="16"/>
        <v>0</v>
      </c>
      <c r="AM150" s="40">
        <v>0</v>
      </c>
      <c r="AN150" s="27">
        <v>0</v>
      </c>
      <c r="AO150" s="27">
        <f t="shared" si="17"/>
        <v>0</v>
      </c>
      <c r="AP150" s="7" t="b">
        <v>1</v>
      </c>
      <c r="AQ150" s="6" t="b">
        <v>0</v>
      </c>
      <c r="AR150" s="6" t="b">
        <v>0</v>
      </c>
      <c r="AS150" s="6" t="b">
        <v>0</v>
      </c>
      <c r="AT150" s="7" t="b">
        <v>1</v>
      </c>
      <c r="AU150" s="6" t="b">
        <v>0</v>
      </c>
      <c r="AV150" s="6" t="b">
        <v>0</v>
      </c>
      <c r="AW150" s="6" t="b">
        <v>0</v>
      </c>
      <c r="AX150" s="6" t="b">
        <v>0</v>
      </c>
      <c r="AY150" s="6" t="b">
        <v>0</v>
      </c>
      <c r="AZ150" s="6" t="b">
        <v>0</v>
      </c>
      <c r="BA150" s="6" t="b">
        <v>0</v>
      </c>
      <c r="BB150" s="6" t="b">
        <v>0</v>
      </c>
    </row>
    <row r="151" spans="1:54" ht="15" x14ac:dyDescent="0.25">
      <c r="A151" s="3" t="s">
        <v>356</v>
      </c>
      <c r="B151" s="3" t="str">
        <f ca="1">IFERROR(__xludf.DUMMYFUNCTION("SPLIT(A151,""/"")"),"chainer")</f>
        <v>chainer</v>
      </c>
      <c r="C151" s="3" t="str">
        <f ca="1">IFERROR(__xludf.DUMMYFUNCTION("""COMPUTED_VALUE"""),"chainer-chemistry")</f>
        <v>chainer-chemistry</v>
      </c>
      <c r="D151" s="4" t="s">
        <v>357</v>
      </c>
      <c r="E151" s="5">
        <v>43067.441076388888</v>
      </c>
      <c r="F151" s="5">
        <v>44277.786296296297</v>
      </c>
      <c r="G151" s="13">
        <f t="shared" si="12"/>
        <v>1210.345219907409</v>
      </c>
      <c r="H151" s="6" t="b">
        <v>0</v>
      </c>
      <c r="I151" s="7" t="b">
        <v>1</v>
      </c>
      <c r="J151" s="8">
        <v>463</v>
      </c>
      <c r="K151" s="8">
        <v>54</v>
      </c>
      <c r="L151" s="8">
        <v>114</v>
      </c>
      <c r="M151" s="8">
        <v>8</v>
      </c>
      <c r="N151" s="8">
        <v>0</v>
      </c>
      <c r="O151" s="8">
        <v>21</v>
      </c>
      <c r="P151" s="8">
        <v>334</v>
      </c>
      <c r="Q151" s="8">
        <v>3</v>
      </c>
      <c r="R151" s="8">
        <v>92</v>
      </c>
      <c r="S151" s="8">
        <v>26</v>
      </c>
      <c r="T151" s="3" t="s">
        <v>72</v>
      </c>
      <c r="U151" s="10">
        <v>16242</v>
      </c>
      <c r="V151" s="32">
        <v>58</v>
      </c>
      <c r="W151" s="27">
        <v>3.570988794483438E-3</v>
      </c>
      <c r="X151" s="34">
        <v>3</v>
      </c>
      <c r="Y151" s="27">
        <v>5.1724137931034482E-2</v>
      </c>
      <c r="Z151" s="27">
        <v>1.8470631695603989E-4</v>
      </c>
      <c r="AA151" s="35">
        <v>10</v>
      </c>
      <c r="AB151" s="27">
        <v>0.17241379310344829</v>
      </c>
      <c r="AC151" s="27">
        <f t="shared" si="13"/>
        <v>6.1568772318679969E-4</v>
      </c>
      <c r="AD151" s="36">
        <v>41</v>
      </c>
      <c r="AE151" s="27">
        <v>0.7068965517241379</v>
      </c>
      <c r="AF151" s="27">
        <f t="shared" si="14"/>
        <v>2.5243196650658788E-3</v>
      </c>
      <c r="AG151" s="37">
        <v>2</v>
      </c>
      <c r="AH151" s="27">
        <v>3.4482758620689655E-2</v>
      </c>
      <c r="AI151" s="27">
        <f t="shared" si="15"/>
        <v>1.2313754463735992E-4</v>
      </c>
      <c r="AJ151" s="38">
        <v>0</v>
      </c>
      <c r="AK151" s="27">
        <v>0</v>
      </c>
      <c r="AL151" s="27">
        <f t="shared" si="16"/>
        <v>0</v>
      </c>
      <c r="AM151" s="40">
        <v>1</v>
      </c>
      <c r="AN151" s="27">
        <v>1.7241379310344827E-2</v>
      </c>
      <c r="AO151" s="27">
        <f t="shared" si="17"/>
        <v>6.156877231867996E-5</v>
      </c>
      <c r="AP151" s="7" t="b">
        <v>1</v>
      </c>
      <c r="AQ151" s="6" t="b">
        <v>0</v>
      </c>
      <c r="AR151" s="6" t="b">
        <v>0</v>
      </c>
      <c r="AS151" s="6" t="b">
        <v>0</v>
      </c>
      <c r="AT151" s="7" t="b">
        <v>1</v>
      </c>
      <c r="AU151" s="6" t="b">
        <v>0</v>
      </c>
      <c r="AV151" s="6" t="b">
        <v>0</v>
      </c>
      <c r="AW151" s="6" t="b">
        <v>0</v>
      </c>
      <c r="AX151" s="6" t="b">
        <v>0</v>
      </c>
      <c r="AY151" s="6" t="b">
        <v>0</v>
      </c>
      <c r="AZ151" s="6" t="b">
        <v>0</v>
      </c>
      <c r="BA151" s="6" t="b">
        <v>0</v>
      </c>
      <c r="BB151" s="6" t="b">
        <v>0</v>
      </c>
    </row>
    <row r="152" spans="1:54" ht="15" x14ac:dyDescent="0.25">
      <c r="A152" s="3" t="s">
        <v>358</v>
      </c>
      <c r="B152" s="3" t="str">
        <f ca="1">IFERROR(__xludf.DUMMYFUNCTION("SPLIT(A152,""/"")"),"Chaosthebot")</f>
        <v>Chaosthebot</v>
      </c>
      <c r="C152" s="3" t="str">
        <f ca="1">IFERROR(__xludf.DUMMYFUNCTION("""COMPUTED_VALUE"""),"Chaos")</f>
        <v>Chaos</v>
      </c>
      <c r="D152" s="4" t="s">
        <v>359</v>
      </c>
      <c r="E152" s="5">
        <v>42877.812349537038</v>
      </c>
      <c r="F152" s="5">
        <v>44270.624513888892</v>
      </c>
      <c r="G152" s="13">
        <f t="shared" si="12"/>
        <v>1392.8121643518534</v>
      </c>
      <c r="H152" s="6" t="b">
        <v>0</v>
      </c>
      <c r="I152" s="7" t="b">
        <v>1</v>
      </c>
      <c r="J152" s="8">
        <v>2475</v>
      </c>
      <c r="K152" s="8">
        <v>106</v>
      </c>
      <c r="L152" s="8">
        <v>221</v>
      </c>
      <c r="M152" s="8">
        <v>0</v>
      </c>
      <c r="N152" s="8">
        <v>11</v>
      </c>
      <c r="O152" s="8">
        <v>82</v>
      </c>
      <c r="P152" s="8">
        <v>437</v>
      </c>
      <c r="Q152" s="8">
        <v>3</v>
      </c>
      <c r="R152" s="8">
        <v>137</v>
      </c>
      <c r="S152" s="8">
        <v>22</v>
      </c>
      <c r="T152" s="3" t="s">
        <v>72</v>
      </c>
      <c r="U152" s="10">
        <v>1686</v>
      </c>
      <c r="V152" s="32">
        <v>35</v>
      </c>
      <c r="W152" s="27">
        <v>2.0759193357058125E-2</v>
      </c>
      <c r="X152" s="34">
        <v>2</v>
      </c>
      <c r="Y152" s="27">
        <v>5.7142857142857141E-2</v>
      </c>
      <c r="Z152" s="27">
        <v>1.1862396204033216E-3</v>
      </c>
      <c r="AA152" s="35">
        <v>23</v>
      </c>
      <c r="AB152" s="27">
        <v>0.65714285714285714</v>
      </c>
      <c r="AC152" s="27">
        <f t="shared" si="13"/>
        <v>1.3641755634638196E-2</v>
      </c>
      <c r="AD152" s="36">
        <v>1</v>
      </c>
      <c r="AE152" s="27">
        <v>2.8571428571428571E-2</v>
      </c>
      <c r="AF152" s="27">
        <f t="shared" si="14"/>
        <v>5.9311981020166078E-4</v>
      </c>
      <c r="AG152" s="37">
        <v>9</v>
      </c>
      <c r="AH152" s="27">
        <v>0.25714285714285712</v>
      </c>
      <c r="AI152" s="27">
        <f t="shared" si="15"/>
        <v>5.3380782918149468E-3</v>
      </c>
      <c r="AJ152" s="38">
        <v>0</v>
      </c>
      <c r="AK152" s="27">
        <v>0</v>
      </c>
      <c r="AL152" s="27">
        <f t="shared" si="16"/>
        <v>0</v>
      </c>
      <c r="AM152" s="40">
        <v>0</v>
      </c>
      <c r="AN152" s="27">
        <v>0</v>
      </c>
      <c r="AO152" s="27">
        <f t="shared" si="17"/>
        <v>0</v>
      </c>
      <c r="AP152" s="7" t="b">
        <v>1</v>
      </c>
      <c r="AQ152" s="7" t="b">
        <v>1</v>
      </c>
      <c r="AR152" s="6" t="b">
        <v>0</v>
      </c>
      <c r="AS152" s="6" t="b">
        <v>0</v>
      </c>
      <c r="AT152" s="7" t="b">
        <v>1</v>
      </c>
      <c r="AU152" s="6" t="b">
        <v>0</v>
      </c>
      <c r="AV152" s="6" t="b">
        <v>0</v>
      </c>
      <c r="AW152" s="6" t="b">
        <v>0</v>
      </c>
      <c r="AX152" s="6" t="b">
        <v>0</v>
      </c>
      <c r="AY152" s="6" t="b">
        <v>0</v>
      </c>
      <c r="AZ152" s="6" t="b">
        <v>0</v>
      </c>
      <c r="BA152" s="6" t="b">
        <v>0</v>
      </c>
      <c r="BB152" s="6" t="b">
        <v>0</v>
      </c>
    </row>
    <row r="153" spans="1:54" ht="15" x14ac:dyDescent="0.25">
      <c r="A153" s="3" t="s">
        <v>360</v>
      </c>
      <c r="B153" s="3" t="str">
        <f ca="1">IFERROR(__xludf.DUMMYFUNCTION("SPLIT(A153,""/"")"),"chaostoolkit")</f>
        <v>chaostoolkit</v>
      </c>
      <c r="C153" s="3" t="str">
        <f ca="1">IFERROR(__xludf.DUMMYFUNCTION("""COMPUTED_VALUE"""),"chaostoolkit")</f>
        <v>chaostoolkit</v>
      </c>
      <c r="D153" s="4" t="s">
        <v>361</v>
      </c>
      <c r="E153" s="5">
        <v>43002.659085648149</v>
      </c>
      <c r="F153" s="5">
        <v>44294.569594907407</v>
      </c>
      <c r="G153" s="13">
        <f t="shared" si="12"/>
        <v>1291.9105092592581</v>
      </c>
      <c r="H153" s="6" t="b">
        <v>0</v>
      </c>
      <c r="I153" s="7" t="b">
        <v>1</v>
      </c>
      <c r="J153" s="8">
        <v>1221</v>
      </c>
      <c r="K153" s="8">
        <v>39</v>
      </c>
      <c r="L153" s="8">
        <v>114</v>
      </c>
      <c r="M153" s="8">
        <v>39</v>
      </c>
      <c r="N153" s="8">
        <v>0</v>
      </c>
      <c r="O153" s="8">
        <v>11</v>
      </c>
      <c r="P153" s="8">
        <v>62</v>
      </c>
      <c r="Q153" s="8">
        <v>4</v>
      </c>
      <c r="R153" s="8">
        <v>141</v>
      </c>
      <c r="S153" s="8">
        <v>65</v>
      </c>
      <c r="T153" s="3" t="s">
        <v>69</v>
      </c>
      <c r="U153" s="10">
        <v>861</v>
      </c>
      <c r="V153" s="32">
        <v>17</v>
      </c>
      <c r="W153" s="27">
        <v>1.9744483159117306E-2</v>
      </c>
      <c r="X153" s="34">
        <v>4</v>
      </c>
      <c r="Y153" s="27">
        <v>0.23529411764705882</v>
      </c>
      <c r="Z153" s="27">
        <v>4.6457607433217189E-3</v>
      </c>
      <c r="AA153" s="35">
        <v>2</v>
      </c>
      <c r="AB153" s="27">
        <v>0.11764705882352941</v>
      </c>
      <c r="AC153" s="27">
        <f t="shared" si="13"/>
        <v>2.3228803716608595E-3</v>
      </c>
      <c r="AD153" s="36">
        <v>2</v>
      </c>
      <c r="AE153" s="27">
        <v>0.11764705882352941</v>
      </c>
      <c r="AF153" s="27">
        <f t="shared" si="14"/>
        <v>2.3228803716608595E-3</v>
      </c>
      <c r="AG153" s="37">
        <v>4</v>
      </c>
      <c r="AH153" s="27">
        <v>0.23529411764705882</v>
      </c>
      <c r="AI153" s="27">
        <f t="shared" si="15"/>
        <v>4.6457607433217189E-3</v>
      </c>
      <c r="AJ153" s="38">
        <v>1</v>
      </c>
      <c r="AK153" s="27">
        <v>5.8823529411764705E-2</v>
      </c>
      <c r="AL153" s="27">
        <f t="shared" si="16"/>
        <v>1.1614401858304297E-3</v>
      </c>
      <c r="AM153" s="40">
        <v>0</v>
      </c>
      <c r="AN153" s="27">
        <v>0</v>
      </c>
      <c r="AO153" s="27">
        <f t="shared" si="17"/>
        <v>0</v>
      </c>
      <c r="AP153" s="7" t="b">
        <v>1</v>
      </c>
      <c r="AQ153" s="6" t="b">
        <v>0</v>
      </c>
      <c r="AR153" s="6" t="b">
        <v>0</v>
      </c>
      <c r="AS153" s="6" t="b">
        <v>0</v>
      </c>
      <c r="AT153" s="7" t="b">
        <v>1</v>
      </c>
      <c r="AU153" s="6" t="b">
        <v>0</v>
      </c>
      <c r="AV153" s="6" t="b">
        <v>0</v>
      </c>
      <c r="AW153" s="6" t="b">
        <v>0</v>
      </c>
      <c r="AX153" s="6" t="b">
        <v>0</v>
      </c>
      <c r="AY153" s="7" t="b">
        <v>1</v>
      </c>
      <c r="AZ153" s="6" t="b">
        <v>0</v>
      </c>
      <c r="BA153" s="6" t="b">
        <v>0</v>
      </c>
      <c r="BB153" s="6" t="b">
        <v>0</v>
      </c>
    </row>
    <row r="154" spans="1:54" ht="15" x14ac:dyDescent="0.25">
      <c r="A154" s="3" t="s">
        <v>362</v>
      </c>
      <c r="B154" s="3" t="str">
        <f ca="1">IFERROR(__xludf.DUMMYFUNCTION("SPLIT(A154,""/"")"),"Charcoal-SE")</f>
        <v>Charcoal-SE</v>
      </c>
      <c r="C154" s="3" t="str">
        <f ca="1">IFERROR(__xludf.DUMMYFUNCTION("""COMPUTED_VALUE"""),"SmokeDetector")</f>
        <v>SmokeDetector</v>
      </c>
      <c r="D154" s="4" t="s">
        <v>363</v>
      </c>
      <c r="E154" s="5">
        <v>41669.853900462964</v>
      </c>
      <c r="F154" s="5">
        <v>44295.161261574074</v>
      </c>
      <c r="G154" s="13">
        <f t="shared" si="12"/>
        <v>2625.3073611111104</v>
      </c>
      <c r="H154" s="6" t="b">
        <v>0</v>
      </c>
      <c r="I154" s="7" t="b">
        <v>1</v>
      </c>
      <c r="J154" s="8">
        <v>380</v>
      </c>
      <c r="K154" s="8">
        <v>22</v>
      </c>
      <c r="L154" s="8">
        <v>147</v>
      </c>
      <c r="M154" s="8">
        <v>0</v>
      </c>
      <c r="N154" s="8">
        <v>132</v>
      </c>
      <c r="O154" s="8">
        <v>90</v>
      </c>
      <c r="P154" s="8">
        <v>5867</v>
      </c>
      <c r="Q154" s="8">
        <v>13</v>
      </c>
      <c r="R154" s="8">
        <v>349</v>
      </c>
      <c r="S154" s="8">
        <v>17</v>
      </c>
      <c r="T154" s="3" t="s">
        <v>92</v>
      </c>
      <c r="U154" s="10">
        <v>7581</v>
      </c>
      <c r="V154" s="32">
        <v>3</v>
      </c>
      <c r="W154" s="27">
        <v>3.9572615749901069E-4</v>
      </c>
      <c r="X154" s="34">
        <v>0</v>
      </c>
      <c r="Y154" s="27">
        <v>0</v>
      </c>
      <c r="Z154" s="27">
        <v>0</v>
      </c>
      <c r="AA154" s="35">
        <v>1</v>
      </c>
      <c r="AB154" s="27">
        <v>0.33333333333333331</v>
      </c>
      <c r="AC154" s="27">
        <f t="shared" si="13"/>
        <v>1.3190871916633689E-4</v>
      </c>
      <c r="AD154" s="36">
        <v>1</v>
      </c>
      <c r="AE154" s="27">
        <v>0.33333333333333331</v>
      </c>
      <c r="AF154" s="27">
        <f t="shared" si="14"/>
        <v>1.3190871916633689E-4</v>
      </c>
      <c r="AG154" s="37">
        <v>1</v>
      </c>
      <c r="AH154" s="27">
        <v>0.33333333333333331</v>
      </c>
      <c r="AI154" s="27">
        <f t="shared" si="15"/>
        <v>1.3190871916633689E-4</v>
      </c>
      <c r="AJ154" s="38">
        <v>0</v>
      </c>
      <c r="AK154" s="27">
        <v>0</v>
      </c>
      <c r="AL154" s="27">
        <f t="shared" si="16"/>
        <v>0</v>
      </c>
      <c r="AM154" s="40">
        <v>0</v>
      </c>
      <c r="AN154" s="27">
        <v>0</v>
      </c>
      <c r="AO154" s="27">
        <f t="shared" si="17"/>
        <v>0</v>
      </c>
      <c r="AP154" s="7" t="b">
        <v>1</v>
      </c>
      <c r="AQ154" s="7" t="b">
        <v>1</v>
      </c>
      <c r="AR154" s="6" t="b">
        <v>0</v>
      </c>
      <c r="AS154" s="6" t="b">
        <v>0</v>
      </c>
      <c r="AT154" s="7" t="b">
        <v>1</v>
      </c>
      <c r="AU154" s="6" t="b">
        <v>0</v>
      </c>
      <c r="AV154" s="6" t="b">
        <v>0</v>
      </c>
      <c r="AW154" s="6" t="b">
        <v>0</v>
      </c>
      <c r="AX154" s="6" t="b">
        <v>0</v>
      </c>
      <c r="AY154" s="6" t="b">
        <v>0</v>
      </c>
      <c r="AZ154" s="6" t="b">
        <v>0</v>
      </c>
      <c r="BA154" s="6" t="b">
        <v>0</v>
      </c>
      <c r="BB154" s="6" t="b">
        <v>0</v>
      </c>
    </row>
    <row r="155" spans="1:54" ht="15" x14ac:dyDescent="0.25">
      <c r="A155" s="3" t="s">
        <v>364</v>
      </c>
      <c r="B155" s="3" t="str">
        <f ca="1">IFERROR(__xludf.DUMMYFUNCTION("SPLIT(A155,""/"")"),"chdsbd")</f>
        <v>chdsbd</v>
      </c>
      <c r="C155" s="3" t="str">
        <f ca="1">IFERROR(__xludf.DUMMYFUNCTION("""COMPUTED_VALUE"""),"kodiak")</f>
        <v>kodiak</v>
      </c>
      <c r="D155" s="4" t="s">
        <v>365</v>
      </c>
      <c r="E155" s="5">
        <v>43573.673726851855</v>
      </c>
      <c r="F155" s="5">
        <v>44292.657465277778</v>
      </c>
      <c r="G155" s="13">
        <f t="shared" si="12"/>
        <v>718.98373842592264</v>
      </c>
      <c r="H155" s="6" t="b">
        <v>0</v>
      </c>
      <c r="I155" s="6" t="b">
        <v>0</v>
      </c>
      <c r="J155" s="8">
        <v>659</v>
      </c>
      <c r="K155" s="8">
        <v>5</v>
      </c>
      <c r="L155" s="8">
        <v>34</v>
      </c>
      <c r="M155" s="8">
        <v>41</v>
      </c>
      <c r="N155" s="8">
        <v>4</v>
      </c>
      <c r="O155" s="8">
        <v>20</v>
      </c>
      <c r="P155" s="8">
        <v>511</v>
      </c>
      <c r="Q155" s="8">
        <v>4</v>
      </c>
      <c r="R155" s="8">
        <v>134</v>
      </c>
      <c r="S155" s="8">
        <v>19</v>
      </c>
      <c r="T155" s="3" t="s">
        <v>366</v>
      </c>
      <c r="U155" s="10">
        <v>8572</v>
      </c>
      <c r="V155" s="32">
        <v>116</v>
      </c>
      <c r="W155" s="27">
        <v>1.3532431171255249E-2</v>
      </c>
      <c r="X155" s="34">
        <v>0</v>
      </c>
      <c r="Y155" s="27">
        <v>0</v>
      </c>
      <c r="Z155" s="27">
        <v>0</v>
      </c>
      <c r="AA155" s="35">
        <v>65</v>
      </c>
      <c r="AB155" s="27">
        <v>0.56034482758620685</v>
      </c>
      <c r="AC155" s="27">
        <f t="shared" si="13"/>
        <v>7.5828278114792348E-3</v>
      </c>
      <c r="AD155" s="36">
        <v>33</v>
      </c>
      <c r="AE155" s="27">
        <v>0.28448275862068967</v>
      </c>
      <c r="AF155" s="27">
        <f t="shared" si="14"/>
        <v>3.8497433504433038E-3</v>
      </c>
      <c r="AG155" s="37">
        <v>18</v>
      </c>
      <c r="AH155" s="27">
        <v>0.15517241379310345</v>
      </c>
      <c r="AI155" s="27">
        <f t="shared" si="15"/>
        <v>2.0998600093327111E-3</v>
      </c>
      <c r="AJ155" s="38">
        <v>0</v>
      </c>
      <c r="AK155" s="27">
        <v>0</v>
      </c>
      <c r="AL155" s="27">
        <f t="shared" si="16"/>
        <v>0</v>
      </c>
      <c r="AM155" s="40">
        <v>0</v>
      </c>
      <c r="AN155" s="27">
        <v>0</v>
      </c>
      <c r="AO155" s="27">
        <f t="shared" si="17"/>
        <v>0</v>
      </c>
      <c r="AP155" s="7" t="b">
        <v>1</v>
      </c>
      <c r="AQ155" s="7" t="b">
        <v>1</v>
      </c>
      <c r="AR155" s="6" t="b">
        <v>0</v>
      </c>
      <c r="AS155" s="6" t="b">
        <v>0</v>
      </c>
      <c r="AT155" s="7" t="b">
        <v>1</v>
      </c>
      <c r="AU155" s="6" t="b">
        <v>0</v>
      </c>
      <c r="AV155" s="6" t="b">
        <v>0</v>
      </c>
      <c r="AW155" s="6" t="b">
        <v>0</v>
      </c>
      <c r="AX155" s="6" t="b">
        <v>0</v>
      </c>
      <c r="AY155" s="6" t="b">
        <v>0</v>
      </c>
      <c r="AZ155" s="6" t="b">
        <v>0</v>
      </c>
      <c r="BA155" s="7" t="b">
        <v>1</v>
      </c>
      <c r="BB155" s="6" t="b">
        <v>0</v>
      </c>
    </row>
    <row r="156" spans="1:54" ht="15" x14ac:dyDescent="0.25">
      <c r="A156" s="3" t="s">
        <v>367</v>
      </c>
      <c r="B156" s="3" t="str">
        <f ca="1">IFERROR(__xludf.DUMMYFUNCTION("SPLIT(A156,""/"")"),"cheind")</f>
        <v>cheind</v>
      </c>
      <c r="C156" s="3" t="str">
        <f ca="1">IFERROR(__xludf.DUMMYFUNCTION("""COMPUTED_VALUE"""),"py-motmetrics")</f>
        <v>py-motmetrics</v>
      </c>
      <c r="D156" s="4" t="s">
        <v>368</v>
      </c>
      <c r="E156" s="5">
        <v>42832.636793981481</v>
      </c>
      <c r="F156" s="5">
        <v>44294.884895833333</v>
      </c>
      <c r="G156" s="13">
        <f t="shared" si="12"/>
        <v>1462.248101851852</v>
      </c>
      <c r="H156" s="6" t="b">
        <v>0</v>
      </c>
      <c r="I156" s="6" t="b">
        <v>0</v>
      </c>
      <c r="J156" s="8">
        <v>781</v>
      </c>
      <c r="K156" s="8">
        <v>19</v>
      </c>
      <c r="L156" s="8">
        <v>188</v>
      </c>
      <c r="M156" s="8">
        <v>0</v>
      </c>
      <c r="N156" s="8">
        <v>3</v>
      </c>
      <c r="O156" s="8">
        <v>10</v>
      </c>
      <c r="P156" s="8">
        <v>32</v>
      </c>
      <c r="Q156" s="8">
        <v>5</v>
      </c>
      <c r="R156" s="8">
        <v>111</v>
      </c>
      <c r="S156" s="8">
        <v>22</v>
      </c>
      <c r="T156" s="3" t="s">
        <v>72</v>
      </c>
      <c r="U156" s="10">
        <v>2200</v>
      </c>
      <c r="V156" s="32">
        <v>35</v>
      </c>
      <c r="W156" s="27">
        <v>1.5909090909090907E-2</v>
      </c>
      <c r="X156" s="34">
        <v>0</v>
      </c>
      <c r="Y156" s="27">
        <v>0</v>
      </c>
      <c r="Z156" s="27">
        <v>0</v>
      </c>
      <c r="AA156" s="35">
        <v>26</v>
      </c>
      <c r="AB156" s="27">
        <v>0.74285714285714288</v>
      </c>
      <c r="AC156" s="27">
        <f t="shared" si="13"/>
        <v>1.1818181818181818E-2</v>
      </c>
      <c r="AD156" s="36">
        <v>7</v>
      </c>
      <c r="AE156" s="27">
        <v>0.2</v>
      </c>
      <c r="AF156" s="27">
        <f t="shared" si="14"/>
        <v>3.1818181818181819E-3</v>
      </c>
      <c r="AG156" s="37">
        <v>2</v>
      </c>
      <c r="AH156" s="27">
        <v>5.7142857142857141E-2</v>
      </c>
      <c r="AI156" s="27">
        <f t="shared" si="15"/>
        <v>9.0909090909090909E-4</v>
      </c>
      <c r="AJ156" s="38">
        <v>0</v>
      </c>
      <c r="AK156" s="27">
        <v>0</v>
      </c>
      <c r="AL156" s="27">
        <f t="shared" si="16"/>
        <v>0</v>
      </c>
      <c r="AM156" s="40">
        <v>0</v>
      </c>
      <c r="AN156" s="27">
        <v>0</v>
      </c>
      <c r="AO156" s="27">
        <f t="shared" si="17"/>
        <v>0</v>
      </c>
      <c r="AP156" s="7" t="b">
        <v>1</v>
      </c>
      <c r="AQ156" s="6" t="b">
        <v>0</v>
      </c>
      <c r="AR156" s="6" t="b">
        <v>0</v>
      </c>
      <c r="AS156" s="6" t="b">
        <v>0</v>
      </c>
      <c r="AT156" s="7" t="b">
        <v>1</v>
      </c>
      <c r="AU156" s="6" t="b">
        <v>0</v>
      </c>
      <c r="AV156" s="6" t="b">
        <v>0</v>
      </c>
      <c r="AW156" s="6" t="b">
        <v>0</v>
      </c>
      <c r="AX156" s="6" t="b">
        <v>0</v>
      </c>
      <c r="AY156" s="6" t="b">
        <v>0</v>
      </c>
      <c r="AZ156" s="6" t="b">
        <v>0</v>
      </c>
      <c r="BA156" s="6" t="b">
        <v>0</v>
      </c>
      <c r="BB156" s="6" t="b">
        <v>0</v>
      </c>
    </row>
    <row r="157" spans="1:54" ht="15" x14ac:dyDescent="0.25">
      <c r="A157" s="3" t="s">
        <v>369</v>
      </c>
      <c r="B157" s="3" t="str">
        <f ca="1">IFERROR(__xludf.DUMMYFUNCTION("SPLIT(A157,""/"")"),"chemprop")</f>
        <v>chemprop</v>
      </c>
      <c r="C157" s="3" t="str">
        <f ca="1">IFERROR(__xludf.DUMMYFUNCTION("""COMPUTED_VALUE"""),"chemprop")</f>
        <v>chemprop</v>
      </c>
      <c r="D157" s="4" t="s">
        <v>370</v>
      </c>
      <c r="E157" s="5">
        <v>43490.981504629628</v>
      </c>
      <c r="F157" s="5">
        <v>44291.902928240743</v>
      </c>
      <c r="G157" s="13">
        <f t="shared" si="12"/>
        <v>800.92142361111473</v>
      </c>
      <c r="H157" s="6" t="b">
        <v>0</v>
      </c>
      <c r="I157" s="7" t="b">
        <v>1</v>
      </c>
      <c r="J157" s="8">
        <v>509</v>
      </c>
      <c r="K157" s="8">
        <v>29</v>
      </c>
      <c r="L157" s="8">
        <v>211</v>
      </c>
      <c r="M157" s="8">
        <v>6</v>
      </c>
      <c r="N157" s="8">
        <v>2</v>
      </c>
      <c r="O157" s="8">
        <v>21</v>
      </c>
      <c r="P157" s="8">
        <v>62</v>
      </c>
      <c r="Q157" s="8">
        <v>7</v>
      </c>
      <c r="R157" s="8">
        <v>97</v>
      </c>
      <c r="S157" s="8">
        <v>15</v>
      </c>
      <c r="T157" s="3" t="s">
        <v>72</v>
      </c>
      <c r="U157" s="10">
        <v>5044</v>
      </c>
      <c r="V157" s="32">
        <v>12</v>
      </c>
      <c r="W157" s="27">
        <v>2.3790642347343376E-3</v>
      </c>
      <c r="X157" s="34">
        <v>5</v>
      </c>
      <c r="Y157" s="27">
        <v>0.41666666666666669</v>
      </c>
      <c r="Z157" s="27">
        <v>9.9127676447264071E-4</v>
      </c>
      <c r="AA157" s="35">
        <v>7</v>
      </c>
      <c r="AB157" s="27">
        <v>0.58333333333333337</v>
      </c>
      <c r="AC157" s="27">
        <f t="shared" si="13"/>
        <v>1.3877874702616971E-3</v>
      </c>
      <c r="AD157" s="36">
        <v>0</v>
      </c>
      <c r="AE157" s="27">
        <v>0</v>
      </c>
      <c r="AF157" s="27">
        <f t="shared" si="14"/>
        <v>0</v>
      </c>
      <c r="AG157" s="37">
        <v>0</v>
      </c>
      <c r="AH157" s="27">
        <v>0</v>
      </c>
      <c r="AI157" s="27">
        <f t="shared" si="15"/>
        <v>0</v>
      </c>
      <c r="AJ157" s="38">
        <v>0</v>
      </c>
      <c r="AK157" s="27">
        <v>0</v>
      </c>
      <c r="AL157" s="27">
        <f t="shared" si="16"/>
        <v>0</v>
      </c>
      <c r="AM157" s="40">
        <v>0</v>
      </c>
      <c r="AN157" s="27">
        <v>0</v>
      </c>
      <c r="AO157" s="27">
        <f t="shared" si="17"/>
        <v>0</v>
      </c>
      <c r="AP157" s="7" t="b">
        <v>1</v>
      </c>
      <c r="AQ157" s="6" t="b">
        <v>0</v>
      </c>
      <c r="AR157" s="6" t="b">
        <v>0</v>
      </c>
      <c r="AS157" s="6" t="b">
        <v>0</v>
      </c>
      <c r="AT157" s="7" t="b">
        <v>1</v>
      </c>
      <c r="AU157" s="6" t="b">
        <v>0</v>
      </c>
      <c r="AV157" s="6" t="b">
        <v>0</v>
      </c>
      <c r="AW157" s="6" t="b">
        <v>0</v>
      </c>
      <c r="AX157" s="6" t="b">
        <v>0</v>
      </c>
      <c r="AY157" s="6" t="b">
        <v>0</v>
      </c>
      <c r="AZ157" s="6" t="b">
        <v>0</v>
      </c>
      <c r="BA157" s="6" t="b">
        <v>0</v>
      </c>
      <c r="BB157" s="6" t="b">
        <v>0</v>
      </c>
    </row>
    <row r="158" spans="1:54" ht="15" x14ac:dyDescent="0.25">
      <c r="A158" s="3" t="s">
        <v>371</v>
      </c>
      <c r="B158" s="3" t="str">
        <f ca="1">IFERROR(__xludf.DUMMYFUNCTION("SPLIT(A158,""/"")"),"chengyumeng")</f>
        <v>chengyumeng</v>
      </c>
      <c r="C158" s="3" t="str">
        <f ca="1">IFERROR(__xludf.DUMMYFUNCTION("""COMPUTED_VALUE"""),"spider163")</f>
        <v>spider163</v>
      </c>
      <c r="D158" s="4" t="s">
        <v>372</v>
      </c>
      <c r="E158" s="5">
        <v>42816.164803240739</v>
      </c>
      <c r="F158" s="5">
        <v>44294.463854166665</v>
      </c>
      <c r="G158" s="13">
        <f t="shared" si="12"/>
        <v>1478.2990509259253</v>
      </c>
      <c r="H158" s="6" t="b">
        <v>0</v>
      </c>
      <c r="I158" s="6" t="b">
        <v>0</v>
      </c>
      <c r="J158" s="8">
        <v>568</v>
      </c>
      <c r="K158" s="8">
        <v>41</v>
      </c>
      <c r="L158" s="8">
        <v>167</v>
      </c>
      <c r="M158" s="8">
        <v>2</v>
      </c>
      <c r="N158" s="8">
        <v>1</v>
      </c>
      <c r="O158" s="8">
        <v>3</v>
      </c>
      <c r="P158" s="8">
        <v>22</v>
      </c>
      <c r="Q158" s="8">
        <v>2</v>
      </c>
      <c r="R158" s="8">
        <v>34</v>
      </c>
      <c r="S158" s="8">
        <v>10</v>
      </c>
      <c r="T158" s="3" t="s">
        <v>72</v>
      </c>
      <c r="U158" s="10">
        <v>1479</v>
      </c>
      <c r="V158" s="32">
        <v>15</v>
      </c>
      <c r="W158" s="27">
        <v>1.0141987829614604E-2</v>
      </c>
      <c r="X158" s="34">
        <v>0</v>
      </c>
      <c r="Y158" s="27">
        <v>0</v>
      </c>
      <c r="Z158" s="27">
        <v>0</v>
      </c>
      <c r="AA158" s="35">
        <v>2</v>
      </c>
      <c r="AB158" s="27">
        <v>0.13333333333333333</v>
      </c>
      <c r="AC158" s="27">
        <f t="shared" si="13"/>
        <v>1.3522650439486139E-3</v>
      </c>
      <c r="AD158" s="36">
        <v>5</v>
      </c>
      <c r="AE158" s="27">
        <v>0.33333333333333331</v>
      </c>
      <c r="AF158" s="27">
        <f t="shared" si="14"/>
        <v>3.3806626098715348E-3</v>
      </c>
      <c r="AG158" s="37">
        <v>7</v>
      </c>
      <c r="AH158" s="27">
        <v>0.46666666666666667</v>
      </c>
      <c r="AI158" s="27">
        <f t="shared" si="15"/>
        <v>4.7329276538201487E-3</v>
      </c>
      <c r="AJ158" s="38">
        <v>0</v>
      </c>
      <c r="AK158" s="27">
        <v>0</v>
      </c>
      <c r="AL158" s="27">
        <f t="shared" si="16"/>
        <v>0</v>
      </c>
      <c r="AM158" s="40">
        <v>1</v>
      </c>
      <c r="AN158" s="27">
        <v>6.6666666666666666E-2</v>
      </c>
      <c r="AO158" s="27">
        <f t="shared" si="17"/>
        <v>6.7613252197430695E-4</v>
      </c>
      <c r="AP158" s="7" t="b">
        <v>1</v>
      </c>
      <c r="AQ158" s="7" t="b">
        <v>1</v>
      </c>
      <c r="AR158" s="6" t="b">
        <v>0</v>
      </c>
      <c r="AS158" s="6" t="b">
        <v>0</v>
      </c>
      <c r="AT158" s="7" t="b">
        <v>1</v>
      </c>
      <c r="AU158" s="6" t="b">
        <v>0</v>
      </c>
      <c r="AV158" s="6" t="b">
        <v>0</v>
      </c>
      <c r="AW158" s="7" t="b">
        <v>1</v>
      </c>
      <c r="AX158" s="6" t="b">
        <v>0</v>
      </c>
      <c r="AY158" s="6" t="b">
        <v>0</v>
      </c>
      <c r="AZ158" s="6" t="b">
        <v>0</v>
      </c>
      <c r="BA158" s="6" t="b">
        <v>0</v>
      </c>
      <c r="BB158" s="6" t="b">
        <v>0</v>
      </c>
    </row>
    <row r="159" spans="1:54" ht="15" x14ac:dyDescent="0.25">
      <c r="A159" s="3" t="s">
        <v>373</v>
      </c>
      <c r="B159" s="3" t="str">
        <f ca="1">IFERROR(__xludf.DUMMYFUNCTION("SPLIT(A159,""/"")"),"ChenRocks")</f>
        <v>ChenRocks</v>
      </c>
      <c r="C159" s="3" t="str">
        <f ca="1">IFERROR(__xludf.DUMMYFUNCTION("""COMPUTED_VALUE"""),"UNITER")</f>
        <v>UNITER</v>
      </c>
      <c r="D159" s="4" t="s">
        <v>374</v>
      </c>
      <c r="E159" s="5">
        <v>43858.006932870368</v>
      </c>
      <c r="F159" s="5">
        <v>44294.284837962965</v>
      </c>
      <c r="G159" s="13">
        <f t="shared" si="12"/>
        <v>436.27790509259648</v>
      </c>
      <c r="H159" s="6" t="b">
        <v>0</v>
      </c>
      <c r="I159" s="6" t="b">
        <v>0</v>
      </c>
      <c r="J159" s="8">
        <v>372</v>
      </c>
      <c r="K159" s="8">
        <v>17</v>
      </c>
      <c r="L159" s="8">
        <v>49</v>
      </c>
      <c r="M159" s="8">
        <v>0</v>
      </c>
      <c r="N159" s="8">
        <v>0</v>
      </c>
      <c r="O159" s="9">
        <v>0</v>
      </c>
      <c r="P159" s="8">
        <v>1</v>
      </c>
      <c r="Q159" s="8">
        <v>0</v>
      </c>
      <c r="R159" s="8">
        <v>72</v>
      </c>
      <c r="S159" s="8">
        <v>28</v>
      </c>
      <c r="T159" s="11" t="s">
        <v>52</v>
      </c>
      <c r="U159" s="10">
        <v>6788</v>
      </c>
      <c r="V159" s="32">
        <v>181</v>
      </c>
      <c r="W159" s="27">
        <v>2.6664702416028287E-2</v>
      </c>
      <c r="X159" s="34">
        <v>0</v>
      </c>
      <c r="Y159" s="27">
        <v>0</v>
      </c>
      <c r="Z159" s="27">
        <v>0</v>
      </c>
      <c r="AA159" s="35">
        <v>178</v>
      </c>
      <c r="AB159" s="27">
        <v>0.98342541436464093</v>
      </c>
      <c r="AC159" s="27">
        <f t="shared" si="13"/>
        <v>2.6222746022392458E-2</v>
      </c>
      <c r="AD159" s="36">
        <v>2</v>
      </c>
      <c r="AE159" s="27">
        <v>1.1049723756906077E-2</v>
      </c>
      <c r="AF159" s="27">
        <f t="shared" si="14"/>
        <v>2.9463759575721861E-4</v>
      </c>
      <c r="AG159" s="37">
        <v>0</v>
      </c>
      <c r="AH159" s="27">
        <v>0</v>
      </c>
      <c r="AI159" s="27">
        <f t="shared" si="15"/>
        <v>0</v>
      </c>
      <c r="AJ159" s="38">
        <v>0</v>
      </c>
      <c r="AK159" s="27">
        <v>0</v>
      </c>
      <c r="AL159" s="27">
        <f t="shared" si="16"/>
        <v>0</v>
      </c>
      <c r="AM159" s="40">
        <v>0</v>
      </c>
      <c r="AN159" s="27">
        <v>0</v>
      </c>
      <c r="AO159" s="27">
        <f t="shared" si="17"/>
        <v>0</v>
      </c>
      <c r="AP159" s="7" t="b">
        <v>1</v>
      </c>
      <c r="AQ159" s="6" t="b">
        <v>0</v>
      </c>
      <c r="AR159" s="6" t="b">
        <v>0</v>
      </c>
      <c r="AS159" s="6" t="b">
        <v>0</v>
      </c>
      <c r="AT159" s="7" t="b">
        <v>1</v>
      </c>
      <c r="AU159" s="6" t="b">
        <v>0</v>
      </c>
      <c r="AV159" s="6" t="b">
        <v>0</v>
      </c>
      <c r="AW159" s="6" t="b">
        <v>0</v>
      </c>
      <c r="AX159" s="6" t="b">
        <v>0</v>
      </c>
      <c r="AY159" s="6" t="b">
        <v>0</v>
      </c>
      <c r="AZ159" s="6" t="b">
        <v>0</v>
      </c>
      <c r="BA159" s="6" t="b">
        <v>0</v>
      </c>
      <c r="BB159" s="6" t="b">
        <v>0</v>
      </c>
    </row>
    <row r="160" spans="1:54" ht="15" x14ac:dyDescent="0.25">
      <c r="A160" s="3" t="s">
        <v>375</v>
      </c>
      <c r="B160" s="3" t="str">
        <f ca="1">IFERROR(__xludf.DUMMYFUNCTION("SPLIT(A160,""/"")"),"cholcombe973")</f>
        <v>cholcombe973</v>
      </c>
      <c r="C160" s="3" t="str">
        <f ca="1">IFERROR(__xludf.DUMMYFUNCTION("""COMPUTED_VALUE"""),"autodock")</f>
        <v>autodock</v>
      </c>
      <c r="D160" s="4" t="s">
        <v>376</v>
      </c>
      <c r="E160" s="5">
        <v>41588.817766203705</v>
      </c>
      <c r="F160" s="5">
        <v>44213.360578703701</v>
      </c>
      <c r="G160" s="13">
        <f t="shared" si="12"/>
        <v>2624.5428124999962</v>
      </c>
      <c r="H160" s="6" t="b">
        <v>0</v>
      </c>
      <c r="I160" s="6" t="b">
        <v>0</v>
      </c>
      <c r="J160" s="8">
        <v>372</v>
      </c>
      <c r="K160" s="8">
        <v>21</v>
      </c>
      <c r="L160" s="8">
        <v>37</v>
      </c>
      <c r="M160" s="8">
        <v>0</v>
      </c>
      <c r="N160" s="8">
        <v>0</v>
      </c>
      <c r="O160" s="9">
        <v>0</v>
      </c>
      <c r="P160" s="8">
        <v>0</v>
      </c>
      <c r="Q160" s="8">
        <v>0</v>
      </c>
      <c r="R160" s="8">
        <v>2</v>
      </c>
      <c r="S160" s="8">
        <v>0</v>
      </c>
      <c r="T160" s="3" t="s">
        <v>72</v>
      </c>
      <c r="U160" s="10">
        <v>721</v>
      </c>
      <c r="V160" s="32">
        <v>67</v>
      </c>
      <c r="W160" s="27">
        <v>9.2926490984743412E-2</v>
      </c>
      <c r="X160" s="34">
        <v>17</v>
      </c>
      <c r="Y160" s="27">
        <v>0.2537313432835821</v>
      </c>
      <c r="Z160" s="27">
        <v>2.3578363384188627E-2</v>
      </c>
      <c r="AA160" s="35">
        <v>35</v>
      </c>
      <c r="AB160" s="27">
        <v>0.52238805970149249</v>
      </c>
      <c r="AC160" s="27">
        <f t="shared" si="13"/>
        <v>4.8543689320388349E-2</v>
      </c>
      <c r="AD160" s="36">
        <v>0</v>
      </c>
      <c r="AE160" s="27">
        <v>0</v>
      </c>
      <c r="AF160" s="27">
        <f t="shared" si="14"/>
        <v>0</v>
      </c>
      <c r="AG160" s="37">
        <v>15</v>
      </c>
      <c r="AH160" s="27">
        <v>0.22388059701492538</v>
      </c>
      <c r="AI160" s="27">
        <f t="shared" si="15"/>
        <v>2.0804438280166437E-2</v>
      </c>
      <c r="AJ160" s="38">
        <v>0</v>
      </c>
      <c r="AK160" s="27">
        <v>0</v>
      </c>
      <c r="AL160" s="27">
        <f t="shared" si="16"/>
        <v>0</v>
      </c>
      <c r="AM160" s="40">
        <v>0</v>
      </c>
      <c r="AN160" s="27">
        <v>0</v>
      </c>
      <c r="AO160" s="27">
        <f t="shared" si="17"/>
        <v>0</v>
      </c>
      <c r="AP160" s="7" t="b">
        <v>1</v>
      </c>
      <c r="AQ160" s="6" t="b">
        <v>0</v>
      </c>
      <c r="AR160" s="6" t="b">
        <v>0</v>
      </c>
      <c r="AS160" s="6" t="b">
        <v>0</v>
      </c>
      <c r="AT160" s="7" t="b">
        <v>1</v>
      </c>
      <c r="AU160" s="6" t="b">
        <v>0</v>
      </c>
      <c r="AV160" s="6" t="b">
        <v>0</v>
      </c>
      <c r="AW160" s="6" t="b">
        <v>0</v>
      </c>
      <c r="AX160" s="6" t="b">
        <v>0</v>
      </c>
      <c r="AY160" s="6" t="b">
        <v>0</v>
      </c>
      <c r="AZ160" s="6" t="b">
        <v>0</v>
      </c>
      <c r="BA160" s="6" t="b">
        <v>0</v>
      </c>
      <c r="BB160" s="6" t="b">
        <v>0</v>
      </c>
    </row>
    <row r="161" spans="1:54" ht="15" x14ac:dyDescent="0.25">
      <c r="A161" s="3" t="s">
        <v>377</v>
      </c>
      <c r="B161" s="3" t="str">
        <f ca="1">IFERROR(__xludf.DUMMYFUNCTION("SPLIT(A161,""/"")"),"chubin")</f>
        <v>chubin</v>
      </c>
      <c r="C161" s="4" t="str">
        <f ca="1">IFERROR(__xludf.DUMMYFUNCTION("""COMPUTED_VALUE"""),"cheat.sh")</f>
        <v>cheat.sh</v>
      </c>
      <c r="D161" s="4" t="s">
        <v>378</v>
      </c>
      <c r="E161" s="5">
        <v>42862.903425925928</v>
      </c>
      <c r="F161" s="5">
        <v>44294.929629629631</v>
      </c>
      <c r="G161" s="13">
        <f t="shared" si="12"/>
        <v>1432.0262037037028</v>
      </c>
      <c r="H161" s="6" t="b">
        <v>0</v>
      </c>
      <c r="I161" s="6" t="b">
        <v>0</v>
      </c>
      <c r="J161" s="8">
        <v>23931</v>
      </c>
      <c r="K161" s="8">
        <v>528</v>
      </c>
      <c r="L161" s="8">
        <v>1182</v>
      </c>
      <c r="M161" s="8">
        <v>0</v>
      </c>
      <c r="N161" s="8">
        <v>21</v>
      </c>
      <c r="O161" s="8">
        <v>46</v>
      </c>
      <c r="P161" s="8">
        <v>125</v>
      </c>
      <c r="Q161" s="8">
        <v>4</v>
      </c>
      <c r="R161" s="8">
        <v>166</v>
      </c>
      <c r="S161" s="8">
        <v>79</v>
      </c>
      <c r="T161" s="3" t="s">
        <v>72</v>
      </c>
      <c r="U161" s="10">
        <v>3412</v>
      </c>
      <c r="V161" s="32">
        <v>3</v>
      </c>
      <c r="W161" s="27">
        <v>8.7924970691676441E-4</v>
      </c>
      <c r="X161" s="34">
        <v>0</v>
      </c>
      <c r="Y161" s="27">
        <v>0</v>
      </c>
      <c r="Z161" s="27">
        <v>0</v>
      </c>
      <c r="AA161" s="35">
        <v>2</v>
      </c>
      <c r="AB161" s="27">
        <v>0.66666666666666663</v>
      </c>
      <c r="AC161" s="27">
        <f t="shared" si="13"/>
        <v>5.8616647127784287E-4</v>
      </c>
      <c r="AD161" s="36">
        <v>0</v>
      </c>
      <c r="AE161" s="27">
        <v>0</v>
      </c>
      <c r="AF161" s="27">
        <f t="shared" si="14"/>
        <v>0</v>
      </c>
      <c r="AG161" s="37">
        <v>1</v>
      </c>
      <c r="AH161" s="27">
        <v>0.33333333333333331</v>
      </c>
      <c r="AI161" s="27">
        <f t="shared" si="15"/>
        <v>2.9308323563892143E-4</v>
      </c>
      <c r="AJ161" s="38">
        <v>0</v>
      </c>
      <c r="AK161" s="27">
        <v>0</v>
      </c>
      <c r="AL161" s="27">
        <f t="shared" si="16"/>
        <v>0</v>
      </c>
      <c r="AM161" s="40">
        <v>0</v>
      </c>
      <c r="AN161" s="27">
        <v>0</v>
      </c>
      <c r="AO161" s="27">
        <f t="shared" si="17"/>
        <v>0</v>
      </c>
      <c r="AP161" s="7" t="b">
        <v>1</v>
      </c>
      <c r="AQ161" s="7" t="b">
        <v>1</v>
      </c>
      <c r="AR161" s="6" t="b">
        <v>0</v>
      </c>
      <c r="AS161" s="6" t="b">
        <v>0</v>
      </c>
      <c r="AT161" s="7" t="b">
        <v>1</v>
      </c>
      <c r="AU161" s="6" t="b">
        <v>0</v>
      </c>
      <c r="AV161" s="6" t="b">
        <v>0</v>
      </c>
      <c r="AW161" s="6" t="b">
        <v>0</v>
      </c>
      <c r="AX161" s="6" t="b">
        <v>0</v>
      </c>
      <c r="AY161" s="6" t="b">
        <v>0</v>
      </c>
      <c r="AZ161" s="6" t="b">
        <v>0</v>
      </c>
      <c r="BA161" s="6" t="b">
        <v>0</v>
      </c>
      <c r="BB161" s="6" t="b">
        <v>0</v>
      </c>
    </row>
    <row r="162" spans="1:54" ht="15" x14ac:dyDescent="0.25">
      <c r="A162" s="3" t="s">
        <v>379</v>
      </c>
      <c r="B162" s="3" t="str">
        <f ca="1">IFERROR(__xludf.DUMMYFUNCTION("SPLIT(A162,""/"")"),"chubin")</f>
        <v>chubin</v>
      </c>
      <c r="C162" s="4" t="str">
        <f ca="1">IFERROR(__xludf.DUMMYFUNCTION("""COMPUTED_VALUE"""),"wttr.in")</f>
        <v>wttr.in</v>
      </c>
      <c r="D162" s="4" t="s">
        <v>380</v>
      </c>
      <c r="E162" s="5">
        <v>42364.877581018518</v>
      </c>
      <c r="F162" s="5">
        <v>44294.814305555556</v>
      </c>
      <c r="G162" s="13">
        <f t="shared" si="12"/>
        <v>1929.9367245370377</v>
      </c>
      <c r="H162" s="6" t="b">
        <v>0</v>
      </c>
      <c r="I162" s="6" t="b">
        <v>0</v>
      </c>
      <c r="J162" s="8">
        <v>14127</v>
      </c>
      <c r="K162" s="8">
        <v>203</v>
      </c>
      <c r="L162" s="8">
        <v>681</v>
      </c>
      <c r="M162" s="8">
        <v>0</v>
      </c>
      <c r="N162" s="8">
        <v>10</v>
      </c>
      <c r="O162" s="8">
        <v>118</v>
      </c>
      <c r="P162" s="8">
        <v>208</v>
      </c>
      <c r="Q162" s="8">
        <v>0</v>
      </c>
      <c r="R162" s="8">
        <v>380</v>
      </c>
      <c r="S162" s="8">
        <v>142</v>
      </c>
      <c r="T162" s="3" t="s">
        <v>69</v>
      </c>
      <c r="U162" s="10">
        <v>2500</v>
      </c>
      <c r="V162" s="32">
        <v>25</v>
      </c>
      <c r="W162" s="27">
        <v>0.01</v>
      </c>
      <c r="X162" s="34">
        <v>17</v>
      </c>
      <c r="Y162" s="27">
        <v>0.68</v>
      </c>
      <c r="Z162" s="27">
        <v>6.7999999999999996E-3</v>
      </c>
      <c r="AA162" s="35">
        <v>1</v>
      </c>
      <c r="AB162" s="27">
        <v>0.04</v>
      </c>
      <c r="AC162" s="27">
        <f t="shared" si="13"/>
        <v>4.0000000000000002E-4</v>
      </c>
      <c r="AD162" s="36">
        <v>0</v>
      </c>
      <c r="AE162" s="27">
        <v>0</v>
      </c>
      <c r="AF162" s="27">
        <f t="shared" si="14"/>
        <v>0</v>
      </c>
      <c r="AG162" s="37">
        <v>6</v>
      </c>
      <c r="AH162" s="27">
        <v>0.24</v>
      </c>
      <c r="AI162" s="27">
        <f t="shared" si="15"/>
        <v>2.3999999999999998E-3</v>
      </c>
      <c r="AJ162" s="38">
        <v>0</v>
      </c>
      <c r="AK162" s="27">
        <v>0</v>
      </c>
      <c r="AL162" s="27">
        <f t="shared" si="16"/>
        <v>0</v>
      </c>
      <c r="AM162" s="40">
        <v>1</v>
      </c>
      <c r="AN162" s="27">
        <v>0.04</v>
      </c>
      <c r="AO162" s="27">
        <f t="shared" si="17"/>
        <v>4.0000000000000002E-4</v>
      </c>
      <c r="AP162" s="7" t="b">
        <v>1</v>
      </c>
      <c r="AQ162" s="6" t="b">
        <v>0</v>
      </c>
      <c r="AR162" s="6" t="b">
        <v>0</v>
      </c>
      <c r="AS162" s="6" t="b">
        <v>0</v>
      </c>
      <c r="AT162" s="7" t="b">
        <v>1</v>
      </c>
      <c r="AU162" s="6" t="b">
        <v>0</v>
      </c>
      <c r="AV162" s="6" t="b">
        <v>0</v>
      </c>
      <c r="AW162" s="6" t="b">
        <v>0</v>
      </c>
      <c r="AX162" s="6" t="b">
        <v>0</v>
      </c>
      <c r="AY162" s="6" t="b">
        <v>0</v>
      </c>
      <c r="AZ162" s="6" t="b">
        <v>0</v>
      </c>
      <c r="BA162" s="6" t="b">
        <v>0</v>
      </c>
      <c r="BB162" s="6" t="b">
        <v>0</v>
      </c>
    </row>
    <row r="163" spans="1:54" ht="15" x14ac:dyDescent="0.25">
      <c r="A163" s="3" t="s">
        <v>381</v>
      </c>
      <c r="B163" s="3" t="str">
        <f ca="1">IFERROR(__xludf.DUMMYFUNCTION("SPLIT(A163,""/"")"),"CIRCL")</f>
        <v>CIRCL</v>
      </c>
      <c r="C163" s="3" t="str">
        <f ca="1">IFERROR(__xludf.DUMMYFUNCTION("""COMPUTED_VALUE"""),"AIL-framework")</f>
        <v>AIL-framework</v>
      </c>
      <c r="D163" s="4" t="s">
        <v>382</v>
      </c>
      <c r="E163" s="5">
        <v>41856.512754629628</v>
      </c>
      <c r="F163" s="5">
        <v>44295.108842592592</v>
      </c>
      <c r="G163" s="13">
        <f t="shared" si="12"/>
        <v>2438.5960879629638</v>
      </c>
      <c r="H163" s="6" t="b">
        <v>0</v>
      </c>
      <c r="I163" s="7" t="b">
        <v>1</v>
      </c>
      <c r="J163" s="8">
        <v>1098</v>
      </c>
      <c r="K163" s="8">
        <v>90</v>
      </c>
      <c r="L163" s="8">
        <v>234</v>
      </c>
      <c r="M163" s="8">
        <v>22</v>
      </c>
      <c r="N163" s="8">
        <v>6</v>
      </c>
      <c r="O163" s="8">
        <v>41</v>
      </c>
      <c r="P163" s="8">
        <v>189</v>
      </c>
      <c r="Q163" s="8">
        <v>6</v>
      </c>
      <c r="R163" s="8">
        <v>363</v>
      </c>
      <c r="S163" s="8">
        <v>180</v>
      </c>
      <c r="T163" s="3" t="s">
        <v>366</v>
      </c>
      <c r="U163" s="10">
        <v>19812</v>
      </c>
      <c r="V163" s="32">
        <v>158</v>
      </c>
      <c r="W163" s="27">
        <v>7.9749646678780543E-3</v>
      </c>
      <c r="X163" s="34">
        <v>52</v>
      </c>
      <c r="Y163" s="27">
        <v>0.32911392405063289</v>
      </c>
      <c r="Z163" s="27">
        <v>2.6246719160104987E-3</v>
      </c>
      <c r="AA163" s="35">
        <v>55</v>
      </c>
      <c r="AB163" s="27">
        <v>0.34810126582278483</v>
      </c>
      <c r="AC163" s="27">
        <f t="shared" si="13"/>
        <v>2.7760952957803352E-3</v>
      </c>
      <c r="AD163" s="36">
        <v>38</v>
      </c>
      <c r="AE163" s="27">
        <v>0.24050632911392406</v>
      </c>
      <c r="AF163" s="27">
        <f t="shared" si="14"/>
        <v>1.9180294770845953E-3</v>
      </c>
      <c r="AG163" s="37">
        <v>13</v>
      </c>
      <c r="AH163" s="27">
        <v>8.2278481012658222E-2</v>
      </c>
      <c r="AI163" s="27">
        <f t="shared" si="15"/>
        <v>6.5616797900262466E-4</v>
      </c>
      <c r="AJ163" s="38">
        <v>0</v>
      </c>
      <c r="AK163" s="27">
        <v>0</v>
      </c>
      <c r="AL163" s="27">
        <f t="shared" si="16"/>
        <v>0</v>
      </c>
      <c r="AM163" s="40">
        <v>0</v>
      </c>
      <c r="AN163" s="27">
        <v>0</v>
      </c>
      <c r="AO163" s="27">
        <f t="shared" si="17"/>
        <v>0</v>
      </c>
      <c r="AP163" s="7" t="b">
        <v>1</v>
      </c>
      <c r="AQ163" s="7" t="b">
        <v>1</v>
      </c>
      <c r="AR163" s="6" t="b">
        <v>0</v>
      </c>
      <c r="AS163" s="6" t="b">
        <v>0</v>
      </c>
      <c r="AT163" s="7" t="b">
        <v>1</v>
      </c>
      <c r="AU163" s="6" t="b">
        <v>0</v>
      </c>
      <c r="AV163" s="6" t="b">
        <v>0</v>
      </c>
      <c r="AW163" s="6" t="b">
        <v>0</v>
      </c>
      <c r="AX163" s="6" t="b">
        <v>0</v>
      </c>
      <c r="AY163" s="6" t="b">
        <v>0</v>
      </c>
      <c r="AZ163" s="6" t="b">
        <v>0</v>
      </c>
      <c r="BA163" s="6" t="b">
        <v>0</v>
      </c>
      <c r="BB163" s="6" t="b">
        <v>0</v>
      </c>
    </row>
    <row r="164" spans="1:54" ht="15" x14ac:dyDescent="0.25">
      <c r="A164" s="3" t="s">
        <v>383</v>
      </c>
      <c r="B164" s="3" t="str">
        <f ca="1">IFERROR(__xludf.DUMMYFUNCTION("SPLIT(A164,""/"")"),"cisagov")</f>
        <v>cisagov</v>
      </c>
      <c r="C164" s="3" t="str">
        <f ca="1">IFERROR(__xludf.DUMMYFUNCTION("""COMPUTED_VALUE"""),"Malcolm")</f>
        <v>Malcolm</v>
      </c>
      <c r="D164" s="4" t="s">
        <v>384</v>
      </c>
      <c r="E164" s="5">
        <v>43598.774895833332</v>
      </c>
      <c r="F164" s="5">
        <v>44294.920497685183</v>
      </c>
      <c r="G164" s="13">
        <f t="shared" si="12"/>
        <v>696.1456018518511</v>
      </c>
      <c r="H164" s="6" t="b">
        <v>0</v>
      </c>
      <c r="I164" s="7" t="b">
        <v>1</v>
      </c>
      <c r="J164" s="8">
        <v>704</v>
      </c>
      <c r="K164" s="8">
        <v>20</v>
      </c>
      <c r="L164" s="8">
        <v>105</v>
      </c>
      <c r="M164" s="8">
        <v>37</v>
      </c>
      <c r="N164" s="8">
        <v>0</v>
      </c>
      <c r="O164" s="8">
        <v>6</v>
      </c>
      <c r="P164" s="8">
        <v>62</v>
      </c>
      <c r="Q164" s="8">
        <v>1</v>
      </c>
      <c r="R164" s="8">
        <v>101</v>
      </c>
      <c r="S164" s="8">
        <v>0</v>
      </c>
      <c r="T164" s="3" t="s">
        <v>92</v>
      </c>
      <c r="U164" s="10">
        <v>10814</v>
      </c>
      <c r="V164" s="32">
        <v>0</v>
      </c>
      <c r="W164" s="27">
        <v>0</v>
      </c>
      <c r="X164" s="34">
        <v>0</v>
      </c>
      <c r="Y164" s="27">
        <v>0</v>
      </c>
      <c r="Z164" s="27">
        <v>0</v>
      </c>
      <c r="AA164" s="35">
        <v>0</v>
      </c>
      <c r="AB164" s="27">
        <v>0</v>
      </c>
      <c r="AC164" s="27">
        <f t="shared" si="13"/>
        <v>0</v>
      </c>
      <c r="AD164" s="36">
        <v>0</v>
      </c>
      <c r="AE164" s="27">
        <v>0</v>
      </c>
      <c r="AF164" s="27">
        <f t="shared" si="14"/>
        <v>0</v>
      </c>
      <c r="AG164" s="37">
        <v>0</v>
      </c>
      <c r="AH164" s="27">
        <v>0</v>
      </c>
      <c r="AI164" s="27">
        <f t="shared" si="15"/>
        <v>0</v>
      </c>
      <c r="AJ164" s="38">
        <v>0</v>
      </c>
      <c r="AK164" s="27">
        <v>0</v>
      </c>
      <c r="AL164" s="27">
        <f t="shared" si="16"/>
        <v>0</v>
      </c>
      <c r="AM164" s="40">
        <v>0</v>
      </c>
      <c r="AN164" s="27">
        <v>0</v>
      </c>
      <c r="AO164" s="27">
        <f t="shared" si="17"/>
        <v>0</v>
      </c>
      <c r="AP164" s="7" t="b">
        <v>1</v>
      </c>
      <c r="AQ164" s="7" t="b">
        <v>1</v>
      </c>
      <c r="AR164" s="6" t="b">
        <v>0</v>
      </c>
      <c r="AS164" s="6" t="b">
        <v>0</v>
      </c>
      <c r="AT164" s="7" t="b">
        <v>1</v>
      </c>
      <c r="AU164" s="6" t="b">
        <v>0</v>
      </c>
      <c r="AV164" s="6" t="b">
        <v>0</v>
      </c>
      <c r="AW164" s="6" t="b">
        <v>0</v>
      </c>
      <c r="AX164" s="6" t="b">
        <v>0</v>
      </c>
      <c r="AY164" s="6" t="b">
        <v>0</v>
      </c>
      <c r="AZ164" s="6" t="b">
        <v>0</v>
      </c>
      <c r="BA164" s="6" t="b">
        <v>0</v>
      </c>
      <c r="BB164" s="6" t="b">
        <v>0</v>
      </c>
    </row>
    <row r="165" spans="1:54" ht="15" x14ac:dyDescent="0.25">
      <c r="A165" s="3" t="s">
        <v>385</v>
      </c>
      <c r="B165" s="3" t="str">
        <f ca="1">IFERROR(__xludf.DUMMYFUNCTION("SPLIT(A165,""/"")"),"cisagov")</f>
        <v>cisagov</v>
      </c>
      <c r="C165" s="3" t="str">
        <f ca="1">IFERROR(__xludf.DUMMYFUNCTION("""COMPUTED_VALUE"""),"pshtt")</f>
        <v>pshtt</v>
      </c>
      <c r="D165" s="4" t="s">
        <v>386</v>
      </c>
      <c r="E165" s="5">
        <v>42556.709930555553</v>
      </c>
      <c r="F165" s="5">
        <v>44295.071284722224</v>
      </c>
      <c r="G165" s="13">
        <f t="shared" si="12"/>
        <v>1738.3613541666709</v>
      </c>
      <c r="H165" s="6" t="b">
        <v>0</v>
      </c>
      <c r="I165" s="7" t="b">
        <v>1</v>
      </c>
      <c r="J165" s="8">
        <v>612</v>
      </c>
      <c r="K165" s="8">
        <v>45</v>
      </c>
      <c r="L165" s="8">
        <v>67</v>
      </c>
      <c r="M165" s="8">
        <v>4</v>
      </c>
      <c r="N165" s="8">
        <v>9</v>
      </c>
      <c r="O165" s="8">
        <v>22</v>
      </c>
      <c r="P165" s="8">
        <v>135</v>
      </c>
      <c r="Q165" s="8">
        <v>3</v>
      </c>
      <c r="R165" s="8">
        <v>83</v>
      </c>
      <c r="S165" s="8">
        <v>30</v>
      </c>
      <c r="T165" s="3" t="s">
        <v>387</v>
      </c>
      <c r="U165" s="10">
        <v>1246</v>
      </c>
      <c r="V165" s="32">
        <v>82</v>
      </c>
      <c r="W165" s="27">
        <v>6.5810593900481537E-2</v>
      </c>
      <c r="X165" s="34">
        <v>40</v>
      </c>
      <c r="Y165" s="27">
        <v>0.48780487804878048</v>
      </c>
      <c r="Z165" s="27">
        <v>3.2102728731942212E-2</v>
      </c>
      <c r="AA165" s="35">
        <v>0</v>
      </c>
      <c r="AB165" s="27">
        <v>0</v>
      </c>
      <c r="AC165" s="27">
        <f t="shared" si="13"/>
        <v>0</v>
      </c>
      <c r="AD165" s="36">
        <v>11</v>
      </c>
      <c r="AE165" s="27">
        <v>0.13414634146341464</v>
      </c>
      <c r="AF165" s="27">
        <f t="shared" si="14"/>
        <v>8.8282504012841094E-3</v>
      </c>
      <c r="AG165" s="37">
        <v>31</v>
      </c>
      <c r="AH165" s="27">
        <v>0.37804878048780488</v>
      </c>
      <c r="AI165" s="27">
        <f t="shared" si="15"/>
        <v>2.4879614767255216E-2</v>
      </c>
      <c r="AJ165" s="38">
        <v>0</v>
      </c>
      <c r="AK165" s="27">
        <v>0</v>
      </c>
      <c r="AL165" s="27">
        <f t="shared" si="16"/>
        <v>0</v>
      </c>
      <c r="AM165" s="40">
        <v>0</v>
      </c>
      <c r="AN165" s="27">
        <v>0</v>
      </c>
      <c r="AO165" s="27">
        <f t="shared" si="17"/>
        <v>0</v>
      </c>
      <c r="AP165" s="7" t="b">
        <v>1</v>
      </c>
      <c r="AQ165" s="6" t="b">
        <v>0</v>
      </c>
      <c r="AR165" s="6" t="b">
        <v>0</v>
      </c>
      <c r="AS165" s="6" t="b">
        <v>0</v>
      </c>
      <c r="AT165" s="7" t="b">
        <v>1</v>
      </c>
      <c r="AU165" s="6" t="b">
        <v>0</v>
      </c>
      <c r="AV165" s="6" t="b">
        <v>0</v>
      </c>
      <c r="AW165" s="6" t="b">
        <v>0</v>
      </c>
      <c r="AX165" s="6" t="b">
        <v>0</v>
      </c>
      <c r="AY165" s="6" t="b">
        <v>0</v>
      </c>
      <c r="AZ165" s="6" t="b">
        <v>0</v>
      </c>
      <c r="BA165" s="6" t="b">
        <v>0</v>
      </c>
      <c r="BB165" s="6" t="b">
        <v>0</v>
      </c>
    </row>
    <row r="166" spans="1:54" ht="15" x14ac:dyDescent="0.25">
      <c r="A166" s="3" t="s">
        <v>388</v>
      </c>
      <c r="B166" s="3" t="str">
        <f ca="1">IFERROR(__xludf.DUMMYFUNCTION("SPLIT(A166,""/"")"),"cisco")</f>
        <v>cisco</v>
      </c>
      <c r="C166" s="3" t="str">
        <f ca="1">IFERROR(__xludf.DUMMYFUNCTION("""COMPUTED_VALUE"""),"mindmeld")</f>
        <v>mindmeld</v>
      </c>
      <c r="D166" s="4" t="s">
        <v>389</v>
      </c>
      <c r="E166" s="5">
        <v>43548.545138888891</v>
      </c>
      <c r="F166" s="5">
        <v>44293.239351851851</v>
      </c>
      <c r="G166" s="13">
        <f t="shared" si="12"/>
        <v>744.69421296296059</v>
      </c>
      <c r="H166" s="6" t="b">
        <v>0</v>
      </c>
      <c r="I166" s="7" t="b">
        <v>1</v>
      </c>
      <c r="J166" s="8">
        <v>451</v>
      </c>
      <c r="K166" s="8">
        <v>34</v>
      </c>
      <c r="L166" s="8">
        <v>118</v>
      </c>
      <c r="M166" s="8">
        <v>0</v>
      </c>
      <c r="N166" s="8">
        <v>0</v>
      </c>
      <c r="O166" s="8">
        <v>32</v>
      </c>
      <c r="P166" s="8">
        <v>217</v>
      </c>
      <c r="Q166" s="8">
        <v>11</v>
      </c>
      <c r="R166" s="8">
        <v>73</v>
      </c>
      <c r="S166" s="8">
        <v>18</v>
      </c>
      <c r="T166" s="3" t="s">
        <v>69</v>
      </c>
      <c r="U166" s="10">
        <v>17157</v>
      </c>
      <c r="V166" s="32">
        <v>292</v>
      </c>
      <c r="W166" s="27">
        <v>1.7019292417089233E-2</v>
      </c>
      <c r="X166" s="34">
        <v>41</v>
      </c>
      <c r="Y166" s="27">
        <v>0.1404109589041096</v>
      </c>
      <c r="Z166" s="27">
        <v>2.3896951681529406E-3</v>
      </c>
      <c r="AA166" s="35">
        <v>100</v>
      </c>
      <c r="AB166" s="27">
        <v>0.34246575342465752</v>
      </c>
      <c r="AC166" s="27">
        <f t="shared" si="13"/>
        <v>5.8285248003730255E-3</v>
      </c>
      <c r="AD166" s="36">
        <v>67</v>
      </c>
      <c r="AE166" s="27">
        <v>0.22945205479452055</v>
      </c>
      <c r="AF166" s="27">
        <f t="shared" si="14"/>
        <v>3.9051116162499271E-3</v>
      </c>
      <c r="AG166" s="37">
        <v>79</v>
      </c>
      <c r="AH166" s="27">
        <v>0.27054794520547948</v>
      </c>
      <c r="AI166" s="27">
        <f t="shared" si="15"/>
        <v>4.6045345922946903E-3</v>
      </c>
      <c r="AJ166" s="38">
        <v>0</v>
      </c>
      <c r="AK166" s="27">
        <v>0</v>
      </c>
      <c r="AL166" s="27">
        <f t="shared" si="16"/>
        <v>0</v>
      </c>
      <c r="AM166" s="40">
        <v>0</v>
      </c>
      <c r="AN166" s="27">
        <v>0</v>
      </c>
      <c r="AO166" s="27">
        <f t="shared" si="17"/>
        <v>0</v>
      </c>
      <c r="AP166" s="7" t="b">
        <v>1</v>
      </c>
      <c r="AQ166" s="6" t="b">
        <v>0</v>
      </c>
      <c r="AR166" s="6" t="b">
        <v>0</v>
      </c>
      <c r="AS166" s="6" t="b">
        <v>0</v>
      </c>
      <c r="AT166" s="7" t="b">
        <v>1</v>
      </c>
      <c r="AU166" s="6" t="b">
        <v>0</v>
      </c>
      <c r="AV166" s="6" t="b">
        <v>0</v>
      </c>
      <c r="AW166" s="6" t="b">
        <v>0</v>
      </c>
      <c r="AX166" s="6" t="b">
        <v>0</v>
      </c>
      <c r="AY166" s="6" t="b">
        <v>0</v>
      </c>
      <c r="AZ166" s="6" t="b">
        <v>0</v>
      </c>
      <c r="BA166" s="6" t="b">
        <v>0</v>
      </c>
      <c r="BB166" s="6" t="b">
        <v>0</v>
      </c>
    </row>
    <row r="167" spans="1:54" ht="15" x14ac:dyDescent="0.25">
      <c r="A167" s="3" t="s">
        <v>390</v>
      </c>
      <c r="B167" s="3" t="str">
        <f ca="1">IFERROR(__xludf.DUMMYFUNCTION("SPLIT(A167,""/"")"),"citusdata")</f>
        <v>citusdata</v>
      </c>
      <c r="C167" s="3" t="str">
        <f ca="1">IFERROR(__xludf.DUMMYFUNCTION("""COMPUTED_VALUE"""),"django-multitenant")</f>
        <v>django-multitenant</v>
      </c>
      <c r="D167" s="4" t="s">
        <v>391</v>
      </c>
      <c r="E167" s="5">
        <v>42874.224768518521</v>
      </c>
      <c r="F167" s="5">
        <v>44292.903495370374</v>
      </c>
      <c r="G167" s="13">
        <f t="shared" si="12"/>
        <v>1418.6787268518528</v>
      </c>
      <c r="H167" s="6" t="b">
        <v>0</v>
      </c>
      <c r="I167" s="7" t="b">
        <v>1</v>
      </c>
      <c r="J167" s="8">
        <v>395</v>
      </c>
      <c r="K167" s="8">
        <v>27</v>
      </c>
      <c r="L167" s="8">
        <v>52</v>
      </c>
      <c r="M167" s="8">
        <v>8</v>
      </c>
      <c r="N167" s="8">
        <v>0</v>
      </c>
      <c r="O167" s="8">
        <v>10</v>
      </c>
      <c r="P167" s="8">
        <v>46</v>
      </c>
      <c r="Q167" s="8">
        <v>3</v>
      </c>
      <c r="R167" s="8">
        <v>55</v>
      </c>
      <c r="S167" s="8">
        <v>16</v>
      </c>
      <c r="T167" s="3" t="s">
        <v>72</v>
      </c>
      <c r="U167" s="10">
        <v>1410</v>
      </c>
      <c r="V167" s="32">
        <v>2</v>
      </c>
      <c r="W167" s="27">
        <v>1.4184397163120568E-3</v>
      </c>
      <c r="X167" s="34">
        <v>0</v>
      </c>
      <c r="Y167" s="27">
        <v>0</v>
      </c>
      <c r="Z167" s="27">
        <v>0</v>
      </c>
      <c r="AA167" s="35">
        <v>0</v>
      </c>
      <c r="AB167" s="27">
        <v>0</v>
      </c>
      <c r="AC167" s="27">
        <f t="shared" si="13"/>
        <v>0</v>
      </c>
      <c r="AD167" s="36">
        <v>2</v>
      </c>
      <c r="AE167" s="27">
        <v>1</v>
      </c>
      <c r="AF167" s="27">
        <f t="shared" si="14"/>
        <v>1.4184397163120568E-3</v>
      </c>
      <c r="AG167" s="37">
        <v>0</v>
      </c>
      <c r="AH167" s="27">
        <v>0</v>
      </c>
      <c r="AI167" s="27">
        <f t="shared" si="15"/>
        <v>0</v>
      </c>
      <c r="AJ167" s="38">
        <v>0</v>
      </c>
      <c r="AK167" s="27">
        <v>0</v>
      </c>
      <c r="AL167" s="27">
        <f t="shared" si="16"/>
        <v>0</v>
      </c>
      <c r="AM167" s="40">
        <v>0</v>
      </c>
      <c r="AN167" s="27">
        <v>0</v>
      </c>
      <c r="AO167" s="27">
        <f t="shared" si="17"/>
        <v>0</v>
      </c>
      <c r="AP167" s="6" t="b">
        <v>0</v>
      </c>
      <c r="AQ167" s="7" t="b">
        <v>1</v>
      </c>
      <c r="AR167" s="6" t="b">
        <v>0</v>
      </c>
      <c r="AS167" s="6" t="b">
        <v>0</v>
      </c>
      <c r="AT167" s="7" t="b">
        <v>1</v>
      </c>
      <c r="AU167" s="6" t="b">
        <v>0</v>
      </c>
      <c r="AV167" s="6" t="b">
        <v>0</v>
      </c>
      <c r="AW167" s="6" t="b">
        <v>0</v>
      </c>
      <c r="AX167" s="6" t="b">
        <v>0</v>
      </c>
      <c r="AY167" s="6" t="b">
        <v>0</v>
      </c>
      <c r="AZ167" s="6" t="b">
        <v>0</v>
      </c>
      <c r="BA167" s="6" t="b">
        <v>0</v>
      </c>
      <c r="BB167" s="6" t="b">
        <v>0</v>
      </c>
    </row>
    <row r="168" spans="1:54" ht="15" x14ac:dyDescent="0.25">
      <c r="A168" s="3" t="s">
        <v>392</v>
      </c>
      <c r="B168" s="3" t="str">
        <f ca="1">IFERROR(__xludf.DUMMYFUNCTION("SPLIT(A168,""/"")"),"ciur")</f>
        <v>ciur</v>
      </c>
      <c r="C168" s="3" t="str">
        <f ca="1">IFERROR(__xludf.DUMMYFUNCTION("""COMPUTED_VALUE"""),"papermerge")</f>
        <v>papermerge</v>
      </c>
      <c r="D168" s="4" t="s">
        <v>393</v>
      </c>
      <c r="E168" s="5">
        <v>43836.732118055559</v>
      </c>
      <c r="F168" s="5">
        <v>44294.94127314815</v>
      </c>
      <c r="G168" s="13">
        <f t="shared" si="12"/>
        <v>458.20915509259066</v>
      </c>
      <c r="H168" s="6" t="b">
        <v>0</v>
      </c>
      <c r="I168" s="6" t="b">
        <v>0</v>
      </c>
      <c r="J168" s="8">
        <v>1209</v>
      </c>
      <c r="K168" s="8">
        <v>53</v>
      </c>
      <c r="L168" s="8">
        <v>131</v>
      </c>
      <c r="M168" s="8">
        <v>24</v>
      </c>
      <c r="N168" s="8">
        <v>7</v>
      </c>
      <c r="O168" s="8">
        <v>21</v>
      </c>
      <c r="P168" s="8">
        <v>56</v>
      </c>
      <c r="Q168" s="8">
        <v>1</v>
      </c>
      <c r="R168" s="8">
        <v>286</v>
      </c>
      <c r="S168" s="8">
        <v>70</v>
      </c>
      <c r="T168" s="3" t="s">
        <v>69</v>
      </c>
      <c r="U168" s="10">
        <v>3608</v>
      </c>
      <c r="V168" s="32">
        <v>6</v>
      </c>
      <c r="W168" s="27">
        <v>1.6629711751662971E-3</v>
      </c>
      <c r="X168" s="34">
        <v>1</v>
      </c>
      <c r="Y168" s="27">
        <v>0.16666666666666666</v>
      </c>
      <c r="Z168" s="27">
        <v>2.7716186252771619E-4</v>
      </c>
      <c r="AA168" s="35">
        <v>0</v>
      </c>
      <c r="AB168" s="27">
        <v>0</v>
      </c>
      <c r="AC168" s="27">
        <f t="shared" si="13"/>
        <v>0</v>
      </c>
      <c r="AD168" s="36">
        <v>2</v>
      </c>
      <c r="AE168" s="27">
        <v>0.33333333333333331</v>
      </c>
      <c r="AF168" s="27">
        <f t="shared" si="14"/>
        <v>5.5432372505543237E-4</v>
      </c>
      <c r="AG168" s="37">
        <v>3</v>
      </c>
      <c r="AH168" s="27">
        <v>0.5</v>
      </c>
      <c r="AI168" s="27">
        <f t="shared" si="15"/>
        <v>8.3148558758314856E-4</v>
      </c>
      <c r="AJ168" s="38">
        <v>0</v>
      </c>
      <c r="AK168" s="27">
        <v>0</v>
      </c>
      <c r="AL168" s="27">
        <f t="shared" si="16"/>
        <v>0</v>
      </c>
      <c r="AM168" s="40">
        <v>0</v>
      </c>
      <c r="AN168" s="27">
        <v>0</v>
      </c>
      <c r="AO168" s="27">
        <f t="shared" si="17"/>
        <v>0</v>
      </c>
      <c r="AP168" s="6" t="b">
        <v>0</v>
      </c>
      <c r="AQ168" s="7" t="b">
        <v>1</v>
      </c>
      <c r="AR168" s="6" t="b">
        <v>0</v>
      </c>
      <c r="AS168" s="6" t="b">
        <v>0</v>
      </c>
      <c r="AT168" s="7" t="b">
        <v>1</v>
      </c>
      <c r="AU168" s="6" t="b">
        <v>0</v>
      </c>
      <c r="AV168" s="6" t="b">
        <v>0</v>
      </c>
      <c r="AW168" s="6" t="b">
        <v>0</v>
      </c>
      <c r="AX168" s="6" t="b">
        <v>0</v>
      </c>
      <c r="AY168" s="6" t="b">
        <v>0</v>
      </c>
      <c r="AZ168" s="6" t="b">
        <v>0</v>
      </c>
      <c r="BA168" s="6" t="b">
        <v>0</v>
      </c>
      <c r="BB168" s="6" t="b">
        <v>0</v>
      </c>
    </row>
    <row r="169" spans="1:54" ht="15" x14ac:dyDescent="0.25">
      <c r="A169" s="3" t="s">
        <v>394</v>
      </c>
      <c r="B169" s="3" t="str">
        <f ca="1">IFERROR(__xludf.DUMMYFUNCTION("SPLIT(A169,""/"")"),"ckan")</f>
        <v>ckan</v>
      </c>
      <c r="C169" s="3" t="str">
        <f ca="1">IFERROR(__xludf.DUMMYFUNCTION("""COMPUTED_VALUE"""),"ckan")</f>
        <v>ckan</v>
      </c>
      <c r="D169" s="4" t="s">
        <v>395</v>
      </c>
      <c r="E169" s="5">
        <v>40857.779363425929</v>
      </c>
      <c r="F169" s="5">
        <v>44293.594409722224</v>
      </c>
      <c r="G169" s="13">
        <f t="shared" si="12"/>
        <v>3435.8150462962949</v>
      </c>
      <c r="H169" s="6" t="b">
        <v>0</v>
      </c>
      <c r="I169" s="7" t="b">
        <v>1</v>
      </c>
      <c r="J169" s="8">
        <v>2932</v>
      </c>
      <c r="K169" s="8">
        <v>201</v>
      </c>
      <c r="L169" s="8">
        <v>1385</v>
      </c>
      <c r="M169" s="8">
        <v>0</v>
      </c>
      <c r="N169" s="8">
        <v>412</v>
      </c>
      <c r="O169" s="8">
        <v>267</v>
      </c>
      <c r="P169" s="8">
        <v>3334</v>
      </c>
      <c r="Q169" s="8">
        <v>130</v>
      </c>
      <c r="R169" s="8">
        <v>2658</v>
      </c>
      <c r="S169" s="8">
        <v>398</v>
      </c>
      <c r="T169" s="3" t="s">
        <v>92</v>
      </c>
      <c r="U169" s="10">
        <v>58366</v>
      </c>
      <c r="V169" s="32">
        <v>195</v>
      </c>
      <c r="W169" s="27">
        <v>3.3409861905904122E-3</v>
      </c>
      <c r="X169" s="34">
        <v>63</v>
      </c>
      <c r="Y169" s="27">
        <v>0.32307692307692309</v>
      </c>
      <c r="Z169" s="27">
        <v>1.0793955384984409E-3</v>
      </c>
      <c r="AA169" s="35">
        <v>67</v>
      </c>
      <c r="AB169" s="27">
        <v>0.34358974358974359</v>
      </c>
      <c r="AC169" s="27">
        <f t="shared" si="13"/>
        <v>1.1479285885618339E-3</v>
      </c>
      <c r="AD169" s="36">
        <v>29</v>
      </c>
      <c r="AE169" s="27">
        <v>0.14871794871794872</v>
      </c>
      <c r="AF169" s="27">
        <f t="shared" si="14"/>
        <v>4.9686461295959982E-4</v>
      </c>
      <c r="AG169" s="37">
        <v>22</v>
      </c>
      <c r="AH169" s="27">
        <v>0.11282051282051282</v>
      </c>
      <c r="AI169" s="27">
        <f t="shared" si="15"/>
        <v>3.769317753486619E-4</v>
      </c>
      <c r="AJ169" s="38">
        <v>7</v>
      </c>
      <c r="AK169" s="27">
        <v>3.5897435897435895E-2</v>
      </c>
      <c r="AL169" s="27">
        <f t="shared" si="16"/>
        <v>1.1993283761093787E-4</v>
      </c>
      <c r="AM169" s="40">
        <v>0</v>
      </c>
      <c r="AN169" s="27">
        <v>0</v>
      </c>
      <c r="AO169" s="27">
        <f t="shared" si="17"/>
        <v>0</v>
      </c>
      <c r="AP169" s="7" t="b">
        <v>1</v>
      </c>
      <c r="AQ169" s="7" t="b">
        <v>1</v>
      </c>
      <c r="AR169" s="6" t="b">
        <v>0</v>
      </c>
      <c r="AS169" s="6" t="b">
        <v>0</v>
      </c>
      <c r="AT169" s="7" t="b">
        <v>1</v>
      </c>
      <c r="AU169" s="6" t="b">
        <v>0</v>
      </c>
      <c r="AV169" s="6" t="b">
        <v>0</v>
      </c>
      <c r="AW169" s="6" t="b">
        <v>0</v>
      </c>
      <c r="AX169" s="6" t="b">
        <v>0</v>
      </c>
      <c r="AY169" s="6" t="b">
        <v>0</v>
      </c>
      <c r="AZ169" s="6" t="b">
        <v>0</v>
      </c>
      <c r="BA169" s="6" t="b">
        <v>0</v>
      </c>
      <c r="BB169" s="6" t="b">
        <v>0</v>
      </c>
    </row>
    <row r="170" spans="1:54" ht="15" x14ac:dyDescent="0.25">
      <c r="A170" s="3" t="s">
        <v>396</v>
      </c>
      <c r="B170" s="3" t="str">
        <f ca="1">IFERROR(__xludf.DUMMYFUNCTION("SPLIT(A170,""/"")"),"Cl0udG0d")</f>
        <v>Cl0udG0d</v>
      </c>
      <c r="C170" s="3" t="str">
        <f ca="1">IFERROR(__xludf.DUMMYFUNCTION("""COMPUTED_VALUE"""),"SZhe_Scan")</f>
        <v>SZhe_Scan</v>
      </c>
      <c r="D170" s="4" t="s">
        <v>397</v>
      </c>
      <c r="E170" s="5">
        <v>43920.634618055556</v>
      </c>
      <c r="F170" s="5">
        <v>44293.396979166668</v>
      </c>
      <c r="G170" s="13">
        <f t="shared" si="12"/>
        <v>372.76236111111211</v>
      </c>
      <c r="H170" s="6" t="b">
        <v>0</v>
      </c>
      <c r="I170" s="6" t="b">
        <v>0</v>
      </c>
      <c r="J170" s="8">
        <v>457</v>
      </c>
      <c r="K170" s="8">
        <v>9</v>
      </c>
      <c r="L170" s="8">
        <v>99</v>
      </c>
      <c r="M170" s="8">
        <v>0</v>
      </c>
      <c r="N170" s="8">
        <v>0</v>
      </c>
      <c r="O170" s="8">
        <v>4</v>
      </c>
      <c r="P170" s="8">
        <v>6</v>
      </c>
      <c r="Q170" s="8">
        <v>2</v>
      </c>
      <c r="R170" s="8">
        <v>20</v>
      </c>
      <c r="S170" s="8">
        <v>13</v>
      </c>
      <c r="T170" s="11" t="s">
        <v>52</v>
      </c>
      <c r="U170" s="10">
        <v>11592</v>
      </c>
      <c r="V170" s="32">
        <v>0</v>
      </c>
      <c r="W170" s="27">
        <v>0</v>
      </c>
      <c r="X170" s="34">
        <v>0</v>
      </c>
      <c r="Y170" s="27">
        <v>0</v>
      </c>
      <c r="Z170" s="27">
        <v>0</v>
      </c>
      <c r="AA170" s="35">
        <v>0</v>
      </c>
      <c r="AB170" s="27">
        <v>0</v>
      </c>
      <c r="AC170" s="27">
        <f t="shared" si="13"/>
        <v>0</v>
      </c>
      <c r="AD170" s="36">
        <v>0</v>
      </c>
      <c r="AE170" s="27">
        <v>0</v>
      </c>
      <c r="AF170" s="27">
        <f t="shared" si="14"/>
        <v>0</v>
      </c>
      <c r="AG170" s="37">
        <v>0</v>
      </c>
      <c r="AH170" s="27">
        <v>0</v>
      </c>
      <c r="AI170" s="27">
        <f t="shared" si="15"/>
        <v>0</v>
      </c>
      <c r="AJ170" s="38">
        <v>0</v>
      </c>
      <c r="AK170" s="27">
        <v>0</v>
      </c>
      <c r="AL170" s="27">
        <f t="shared" si="16"/>
        <v>0</v>
      </c>
      <c r="AM170" s="40">
        <v>0</v>
      </c>
      <c r="AN170" s="27">
        <v>0</v>
      </c>
      <c r="AO170" s="27">
        <f t="shared" si="17"/>
        <v>0</v>
      </c>
      <c r="AP170" s="7" t="b">
        <v>1</v>
      </c>
      <c r="AQ170" s="7" t="b">
        <v>1</v>
      </c>
      <c r="AR170" s="6" t="b">
        <v>0</v>
      </c>
      <c r="AS170" s="6" t="b">
        <v>0</v>
      </c>
      <c r="AT170" s="7" t="b">
        <v>1</v>
      </c>
      <c r="AU170" s="6" t="b">
        <v>0</v>
      </c>
      <c r="AV170" s="6" t="b">
        <v>0</v>
      </c>
      <c r="AW170" s="6" t="b">
        <v>0</v>
      </c>
      <c r="AX170" s="6" t="b">
        <v>0</v>
      </c>
      <c r="AY170" s="6" t="b">
        <v>0</v>
      </c>
      <c r="AZ170" s="6" t="b">
        <v>0</v>
      </c>
      <c r="BA170" s="6" t="b">
        <v>0</v>
      </c>
      <c r="BB170" s="6" t="b">
        <v>0</v>
      </c>
    </row>
    <row r="171" spans="1:54" ht="15" x14ac:dyDescent="0.25">
      <c r="A171" s="3" t="s">
        <v>398</v>
      </c>
      <c r="B171" s="3" t="str">
        <f ca="1">IFERROR(__xludf.DUMMYFUNCTION("SPLIT(A171,""/"")"),"ClaudiuGeorgiu")</f>
        <v>ClaudiuGeorgiu</v>
      </c>
      <c r="C171" s="3" t="str">
        <f ca="1">IFERROR(__xludf.DUMMYFUNCTION("""COMPUTED_VALUE"""),"Obfuscapk")</f>
        <v>Obfuscapk</v>
      </c>
      <c r="D171" s="4" t="s">
        <v>399</v>
      </c>
      <c r="E171" s="5">
        <v>43692.509363425925</v>
      </c>
      <c r="F171" s="5">
        <v>44292.385937500003</v>
      </c>
      <c r="G171" s="13">
        <f t="shared" si="12"/>
        <v>599.87657407407823</v>
      </c>
      <c r="H171" s="6" t="b">
        <v>0</v>
      </c>
      <c r="I171" s="6" t="b">
        <v>0</v>
      </c>
      <c r="J171" s="8">
        <v>469</v>
      </c>
      <c r="K171" s="8">
        <v>30</v>
      </c>
      <c r="L171" s="8">
        <v>129</v>
      </c>
      <c r="M171" s="8">
        <v>4</v>
      </c>
      <c r="N171" s="8">
        <v>0</v>
      </c>
      <c r="O171" s="8">
        <v>4</v>
      </c>
      <c r="P171" s="8">
        <v>6</v>
      </c>
      <c r="Q171" s="8">
        <v>0</v>
      </c>
      <c r="R171" s="8">
        <v>72</v>
      </c>
      <c r="S171" s="8">
        <v>24</v>
      </c>
      <c r="T171" s="3" t="s">
        <v>72</v>
      </c>
      <c r="U171" s="10">
        <v>3061</v>
      </c>
      <c r="V171" s="32">
        <v>102</v>
      </c>
      <c r="W171" s="27">
        <v>3.3322443645867367E-2</v>
      </c>
      <c r="X171" s="34">
        <v>23</v>
      </c>
      <c r="Y171" s="27">
        <v>0.22549019607843138</v>
      </c>
      <c r="Z171" s="27">
        <v>7.5138843515191117E-3</v>
      </c>
      <c r="AA171" s="35">
        <v>30</v>
      </c>
      <c r="AB171" s="27">
        <v>0.29411764705882354</v>
      </c>
      <c r="AC171" s="27">
        <f t="shared" si="13"/>
        <v>9.800718719372754E-3</v>
      </c>
      <c r="AD171" s="36">
        <v>1</v>
      </c>
      <c r="AE171" s="27">
        <v>9.8039215686274508E-3</v>
      </c>
      <c r="AF171" s="27">
        <f t="shared" si="14"/>
        <v>3.2669062397909179E-4</v>
      </c>
      <c r="AG171" s="37">
        <v>46</v>
      </c>
      <c r="AH171" s="27">
        <v>0.45098039215686275</v>
      </c>
      <c r="AI171" s="27">
        <f t="shared" si="15"/>
        <v>1.5027768703038223E-2</v>
      </c>
      <c r="AJ171" s="38">
        <v>2</v>
      </c>
      <c r="AK171" s="27">
        <v>1.9607843137254902E-2</v>
      </c>
      <c r="AL171" s="27">
        <f t="shared" si="16"/>
        <v>6.5338124795818358E-4</v>
      </c>
      <c r="AM171" s="40">
        <v>0</v>
      </c>
      <c r="AN171" s="27">
        <v>0</v>
      </c>
      <c r="AO171" s="27">
        <f t="shared" si="17"/>
        <v>0</v>
      </c>
      <c r="AP171" s="7" t="b">
        <v>1</v>
      </c>
      <c r="AQ171" s="6" t="b">
        <v>0</v>
      </c>
      <c r="AR171" s="6" t="b">
        <v>0</v>
      </c>
      <c r="AS171" s="6" t="b">
        <v>0</v>
      </c>
      <c r="AT171" s="7" t="b">
        <v>1</v>
      </c>
      <c r="AU171" s="6" t="b">
        <v>0</v>
      </c>
      <c r="AV171" s="6" t="b">
        <v>0</v>
      </c>
      <c r="AW171" s="6" t="b">
        <v>0</v>
      </c>
      <c r="AX171" s="6" t="b">
        <v>0</v>
      </c>
      <c r="AY171" s="6" t="b">
        <v>0</v>
      </c>
      <c r="AZ171" s="6" t="b">
        <v>0</v>
      </c>
      <c r="BA171" s="6" t="b">
        <v>0</v>
      </c>
      <c r="BB171" s="6" t="b">
        <v>0</v>
      </c>
    </row>
    <row r="172" spans="1:54" ht="15" x14ac:dyDescent="0.25">
      <c r="A172" s="3" t="s">
        <v>400</v>
      </c>
      <c r="B172" s="3" t="str">
        <f ca="1">IFERROR(__xludf.DUMMYFUNCTION("SPLIT(A172,""/"")"),"ClaudiuGeorgiu")</f>
        <v>ClaudiuGeorgiu</v>
      </c>
      <c r="C172" s="3" t="str">
        <f ca="1">IFERROR(__xludf.DUMMYFUNCTION("""COMPUTED_VALUE"""),"PlaystoreDownloader")</f>
        <v>PlaystoreDownloader</v>
      </c>
      <c r="D172" s="4" t="s">
        <v>401</v>
      </c>
      <c r="E172" s="5">
        <v>42960.932372685187</v>
      </c>
      <c r="F172" s="5">
        <v>44294.278807870367</v>
      </c>
      <c r="G172" s="13">
        <f t="shared" si="12"/>
        <v>1333.3464351851799</v>
      </c>
      <c r="H172" s="6" t="b">
        <v>0</v>
      </c>
      <c r="I172" s="6" t="b">
        <v>0</v>
      </c>
      <c r="J172" s="8">
        <v>678</v>
      </c>
      <c r="K172" s="8">
        <v>36</v>
      </c>
      <c r="L172" s="8">
        <v>112</v>
      </c>
      <c r="M172" s="8">
        <v>5</v>
      </c>
      <c r="N172" s="8">
        <v>0</v>
      </c>
      <c r="O172" s="8">
        <v>6</v>
      </c>
      <c r="P172" s="8">
        <v>6</v>
      </c>
      <c r="Q172" s="8">
        <v>0</v>
      </c>
      <c r="R172" s="8">
        <v>48</v>
      </c>
      <c r="S172" s="8">
        <v>10</v>
      </c>
      <c r="T172" s="3" t="s">
        <v>72</v>
      </c>
      <c r="U172" s="10">
        <v>1921</v>
      </c>
      <c r="V172" s="32">
        <v>29</v>
      </c>
      <c r="W172" s="27">
        <v>1.5096304008328995E-2</v>
      </c>
      <c r="X172" s="34">
        <v>2</v>
      </c>
      <c r="Y172" s="27">
        <v>6.8965517241379309E-2</v>
      </c>
      <c r="Z172" s="27">
        <v>1.0411244143675169E-3</v>
      </c>
      <c r="AA172" s="35">
        <v>1</v>
      </c>
      <c r="AB172" s="27">
        <v>3.4482758620689655E-2</v>
      </c>
      <c r="AC172" s="27">
        <f t="shared" si="13"/>
        <v>5.2056220718375845E-4</v>
      </c>
      <c r="AD172" s="36">
        <v>3</v>
      </c>
      <c r="AE172" s="27">
        <v>0.10344827586206896</v>
      </c>
      <c r="AF172" s="27">
        <f t="shared" si="14"/>
        <v>1.5616866215512754E-3</v>
      </c>
      <c r="AG172" s="37">
        <v>16</v>
      </c>
      <c r="AH172" s="27">
        <v>0.55172413793103448</v>
      </c>
      <c r="AI172" s="27">
        <f t="shared" si="15"/>
        <v>8.3289953149401352E-3</v>
      </c>
      <c r="AJ172" s="38">
        <v>7</v>
      </c>
      <c r="AK172" s="27">
        <v>0.2413793103448276</v>
      </c>
      <c r="AL172" s="27">
        <f t="shared" si="16"/>
        <v>3.6439354502863092E-3</v>
      </c>
      <c r="AM172" s="40">
        <v>0</v>
      </c>
      <c r="AN172" s="27">
        <v>0</v>
      </c>
      <c r="AO172" s="27">
        <f t="shared" si="17"/>
        <v>0</v>
      </c>
      <c r="AP172" s="7" t="b">
        <v>1</v>
      </c>
      <c r="AQ172" s="6" t="b">
        <v>0</v>
      </c>
      <c r="AR172" s="6" t="b">
        <v>0</v>
      </c>
      <c r="AS172" s="6" t="b">
        <v>0</v>
      </c>
      <c r="AT172" s="7" t="b">
        <v>1</v>
      </c>
      <c r="AU172" s="6" t="b">
        <v>0</v>
      </c>
      <c r="AV172" s="6" t="b">
        <v>0</v>
      </c>
      <c r="AW172" s="6" t="b">
        <v>0</v>
      </c>
      <c r="AX172" s="6" t="b">
        <v>0</v>
      </c>
      <c r="AY172" s="6" t="b">
        <v>0</v>
      </c>
      <c r="AZ172" s="6" t="b">
        <v>0</v>
      </c>
      <c r="BA172" s="6" t="b">
        <v>0</v>
      </c>
      <c r="BB172" s="6" t="b">
        <v>0</v>
      </c>
    </row>
    <row r="173" spans="1:54" ht="15" x14ac:dyDescent="0.25">
      <c r="A173" s="3" t="s">
        <v>402</v>
      </c>
      <c r="B173" s="3" t="str">
        <f ca="1">IFERROR(__xludf.DUMMYFUNCTION("SPLIT(A173,""/"")"),"cleardusk")</f>
        <v>cleardusk</v>
      </c>
      <c r="C173" s="3" t="str">
        <f ca="1">IFERROR(__xludf.DUMMYFUNCTION("""COMPUTED_VALUE"""),"3DDFA")</f>
        <v>3DDFA</v>
      </c>
      <c r="D173" s="4" t="s">
        <v>403</v>
      </c>
      <c r="E173" s="5">
        <v>43280.596770833334</v>
      </c>
      <c r="F173" s="5">
        <v>44294.540995370371</v>
      </c>
      <c r="G173" s="13">
        <f t="shared" si="12"/>
        <v>1013.9442245370374</v>
      </c>
      <c r="H173" s="6" t="b">
        <v>0</v>
      </c>
      <c r="I173" s="6" t="b">
        <v>0</v>
      </c>
      <c r="J173" s="8">
        <v>2965</v>
      </c>
      <c r="K173" s="8">
        <v>122</v>
      </c>
      <c r="L173" s="8">
        <v>565</v>
      </c>
      <c r="M173" s="8">
        <v>1</v>
      </c>
      <c r="N173" s="8">
        <v>0</v>
      </c>
      <c r="O173" s="8">
        <v>7</v>
      </c>
      <c r="P173" s="8">
        <v>11</v>
      </c>
      <c r="Q173" s="8">
        <v>1</v>
      </c>
      <c r="R173" s="8">
        <v>189</v>
      </c>
      <c r="S173" s="8">
        <v>41</v>
      </c>
      <c r="T173" s="3" t="s">
        <v>72</v>
      </c>
      <c r="U173" s="10">
        <v>2129</v>
      </c>
      <c r="V173" s="32">
        <v>10</v>
      </c>
      <c r="W173" s="27">
        <v>4.6970408642555191E-3</v>
      </c>
      <c r="X173" s="34">
        <v>0</v>
      </c>
      <c r="Y173" s="27">
        <v>0</v>
      </c>
      <c r="Z173" s="27">
        <v>0</v>
      </c>
      <c r="AA173" s="35">
        <v>9</v>
      </c>
      <c r="AB173" s="27">
        <v>0.9</v>
      </c>
      <c r="AC173" s="27">
        <f t="shared" si="13"/>
        <v>4.227336777829967E-3</v>
      </c>
      <c r="AD173" s="36">
        <v>0</v>
      </c>
      <c r="AE173" s="27">
        <v>0</v>
      </c>
      <c r="AF173" s="27">
        <f t="shared" si="14"/>
        <v>0</v>
      </c>
      <c r="AG173" s="37">
        <v>0</v>
      </c>
      <c r="AH173" s="27">
        <v>0</v>
      </c>
      <c r="AI173" s="27">
        <f t="shared" si="15"/>
        <v>0</v>
      </c>
      <c r="AJ173" s="38">
        <v>0</v>
      </c>
      <c r="AK173" s="27">
        <v>0</v>
      </c>
      <c r="AL173" s="27">
        <f t="shared" si="16"/>
        <v>0</v>
      </c>
      <c r="AM173" s="40">
        <v>0</v>
      </c>
      <c r="AN173" s="27">
        <v>0</v>
      </c>
      <c r="AO173" s="27">
        <f t="shared" si="17"/>
        <v>0</v>
      </c>
      <c r="AP173" s="7" t="b">
        <v>1</v>
      </c>
      <c r="AQ173" s="7" t="b">
        <v>1</v>
      </c>
      <c r="AR173" s="6" t="b">
        <v>0</v>
      </c>
      <c r="AS173" s="6" t="b">
        <v>0</v>
      </c>
      <c r="AT173" s="7" t="b">
        <v>1</v>
      </c>
      <c r="AU173" s="6" t="b">
        <v>0</v>
      </c>
      <c r="AV173" s="6" t="b">
        <v>0</v>
      </c>
      <c r="AW173" s="6" t="b">
        <v>0</v>
      </c>
      <c r="AX173" s="6" t="b">
        <v>0</v>
      </c>
      <c r="AY173" s="6" t="b">
        <v>0</v>
      </c>
      <c r="AZ173" s="6" t="b">
        <v>0</v>
      </c>
      <c r="BA173" s="6" t="b">
        <v>0</v>
      </c>
      <c r="BB173" s="6" t="b">
        <v>0</v>
      </c>
    </row>
    <row r="174" spans="1:54" ht="15" x14ac:dyDescent="0.25">
      <c r="A174" s="3" t="s">
        <v>404</v>
      </c>
      <c r="B174" s="3" t="str">
        <f ca="1">IFERROR(__xludf.DUMMYFUNCTION("SPLIT(A174,""/"")"),"closeio")</f>
        <v>closeio</v>
      </c>
      <c r="C174" s="3" t="str">
        <f ca="1">IFERROR(__xludf.DUMMYFUNCTION("""COMPUTED_VALUE"""),"tasktiger")</f>
        <v>tasktiger</v>
      </c>
      <c r="D174" s="4" t="s">
        <v>405</v>
      </c>
      <c r="E174" s="5">
        <v>42138.018425925926</v>
      </c>
      <c r="F174" s="5">
        <v>44291.035254629627</v>
      </c>
      <c r="G174" s="13">
        <f t="shared" si="12"/>
        <v>2153.0168287037013</v>
      </c>
      <c r="H174" s="6" t="b">
        <v>0</v>
      </c>
      <c r="I174" s="7" t="b">
        <v>1</v>
      </c>
      <c r="J174" s="8">
        <v>1061</v>
      </c>
      <c r="K174" s="8">
        <v>42</v>
      </c>
      <c r="L174" s="8">
        <v>56</v>
      </c>
      <c r="M174" s="8">
        <v>4</v>
      </c>
      <c r="N174" s="8">
        <v>20</v>
      </c>
      <c r="O174" s="8">
        <v>20</v>
      </c>
      <c r="P174" s="8">
        <v>134</v>
      </c>
      <c r="Q174" s="8">
        <v>12</v>
      </c>
      <c r="R174" s="8">
        <v>56</v>
      </c>
      <c r="S174" s="8">
        <v>25</v>
      </c>
      <c r="T174" s="3" t="s">
        <v>72</v>
      </c>
      <c r="U174" s="10">
        <v>3560</v>
      </c>
      <c r="V174" s="32">
        <v>36</v>
      </c>
      <c r="W174" s="27">
        <v>1.0112359550561797E-2</v>
      </c>
      <c r="X174" s="34">
        <v>10</v>
      </c>
      <c r="Y174" s="27">
        <v>0.27777777777777779</v>
      </c>
      <c r="Z174" s="27">
        <v>2.8089887640449437E-3</v>
      </c>
      <c r="AA174" s="35">
        <v>10</v>
      </c>
      <c r="AB174" s="27">
        <v>0.27777777777777779</v>
      </c>
      <c r="AC174" s="27">
        <f t="shared" si="13"/>
        <v>2.8089887640449437E-3</v>
      </c>
      <c r="AD174" s="36">
        <v>4</v>
      </c>
      <c r="AE174" s="27">
        <v>0.1111111111111111</v>
      </c>
      <c r="AF174" s="27">
        <f t="shared" si="14"/>
        <v>1.1235955056179776E-3</v>
      </c>
      <c r="AG174" s="37">
        <v>12</v>
      </c>
      <c r="AH174" s="27">
        <v>0.33333333333333331</v>
      </c>
      <c r="AI174" s="27">
        <f t="shared" si="15"/>
        <v>3.3707865168539327E-3</v>
      </c>
      <c r="AJ174" s="38">
        <v>0</v>
      </c>
      <c r="AK174" s="27">
        <v>0</v>
      </c>
      <c r="AL174" s="27">
        <f t="shared" si="16"/>
        <v>0</v>
      </c>
      <c r="AM174" s="40">
        <v>0</v>
      </c>
      <c r="AN174" s="27">
        <v>0</v>
      </c>
      <c r="AO174" s="27">
        <f t="shared" si="17"/>
        <v>0</v>
      </c>
      <c r="AP174" s="7" t="b">
        <v>1</v>
      </c>
      <c r="AQ174" s="7" t="b">
        <v>1</v>
      </c>
      <c r="AR174" s="6" t="b">
        <v>0</v>
      </c>
      <c r="AS174" s="6" t="b">
        <v>0</v>
      </c>
      <c r="AT174" s="7" t="b">
        <v>1</v>
      </c>
      <c r="AU174" s="6" t="b">
        <v>0</v>
      </c>
      <c r="AV174" s="6" t="b">
        <v>0</v>
      </c>
      <c r="AW174" s="6" t="b">
        <v>0</v>
      </c>
      <c r="AX174" s="6" t="b">
        <v>0</v>
      </c>
      <c r="AY174" s="6" t="b">
        <v>0</v>
      </c>
      <c r="AZ174" s="6" t="b">
        <v>0</v>
      </c>
      <c r="BA174" s="7" t="b">
        <v>1</v>
      </c>
      <c r="BB174" s="6" t="b">
        <v>0</v>
      </c>
    </row>
    <row r="175" spans="1:54" ht="15" x14ac:dyDescent="0.25">
      <c r="A175" s="3" t="s">
        <v>406</v>
      </c>
      <c r="B175" s="3" t="str">
        <f ca="1">IFERROR(__xludf.DUMMYFUNCTION("SPLIT(A175,""/"")"),"cloud-custodian")</f>
        <v>cloud-custodian</v>
      </c>
      <c r="C175" s="3" t="str">
        <f ca="1">IFERROR(__xludf.DUMMYFUNCTION("""COMPUTED_VALUE"""),"cloud-custodian")</f>
        <v>cloud-custodian</v>
      </c>
      <c r="D175" s="4" t="s">
        <v>407</v>
      </c>
      <c r="E175" s="5">
        <v>42430.049537037034</v>
      </c>
      <c r="F175" s="5">
        <v>44294.727638888886</v>
      </c>
      <c r="G175" s="13">
        <f t="shared" si="12"/>
        <v>1864.6781018518523</v>
      </c>
      <c r="H175" s="6" t="b">
        <v>0</v>
      </c>
      <c r="I175" s="7" t="b">
        <v>1</v>
      </c>
      <c r="J175" s="8">
        <v>3522</v>
      </c>
      <c r="K175" s="8">
        <v>160</v>
      </c>
      <c r="L175" s="8">
        <v>960</v>
      </c>
      <c r="M175" s="8">
        <v>44</v>
      </c>
      <c r="N175" s="8">
        <v>19</v>
      </c>
      <c r="O175" s="8">
        <v>297</v>
      </c>
      <c r="P175" s="8">
        <v>3559</v>
      </c>
      <c r="Q175" s="8">
        <v>135</v>
      </c>
      <c r="R175" s="8">
        <v>3055</v>
      </c>
      <c r="S175" s="8">
        <v>880</v>
      </c>
      <c r="T175" s="3" t="s">
        <v>69</v>
      </c>
      <c r="U175" s="10">
        <v>77895</v>
      </c>
      <c r="V175" s="32">
        <v>928</v>
      </c>
      <c r="W175" s="27">
        <v>1.1913473265293023E-2</v>
      </c>
      <c r="X175" s="34">
        <v>233</v>
      </c>
      <c r="Y175" s="27">
        <v>0.25107758620689657</v>
      </c>
      <c r="Z175" s="27">
        <v>2.9912061107901663E-3</v>
      </c>
      <c r="AA175" s="35">
        <v>287</v>
      </c>
      <c r="AB175" s="27">
        <v>0.30926724137931033</v>
      </c>
      <c r="AC175" s="27">
        <f t="shared" si="13"/>
        <v>3.684447012003338E-3</v>
      </c>
      <c r="AD175" s="36">
        <v>200</v>
      </c>
      <c r="AE175" s="27">
        <v>0.21551724137931033</v>
      </c>
      <c r="AF175" s="27">
        <f t="shared" si="14"/>
        <v>2.5675588933821171E-3</v>
      </c>
      <c r="AG175" s="37">
        <v>201</v>
      </c>
      <c r="AH175" s="27">
        <v>0.21659482758620691</v>
      </c>
      <c r="AI175" s="27">
        <f t="shared" si="15"/>
        <v>2.5803966878490277E-3</v>
      </c>
      <c r="AJ175" s="38">
        <v>0</v>
      </c>
      <c r="AK175" s="27">
        <v>0</v>
      </c>
      <c r="AL175" s="27">
        <f t="shared" si="16"/>
        <v>0</v>
      </c>
      <c r="AM175" s="40">
        <v>1</v>
      </c>
      <c r="AN175" s="27">
        <v>1.0775862068965517E-3</v>
      </c>
      <c r="AO175" s="27">
        <f t="shared" si="17"/>
        <v>1.2837794466910584E-5</v>
      </c>
      <c r="AP175" s="7" t="b">
        <v>1</v>
      </c>
      <c r="AQ175" s="6" t="b">
        <v>0</v>
      </c>
      <c r="AR175" s="6" t="b">
        <v>0</v>
      </c>
      <c r="AS175" s="6" t="b">
        <v>0</v>
      </c>
      <c r="AT175" s="7" t="b">
        <v>1</v>
      </c>
      <c r="AU175" s="6" t="b">
        <v>0</v>
      </c>
      <c r="AV175" s="6" t="b">
        <v>0</v>
      </c>
      <c r="AW175" s="6" t="b">
        <v>0</v>
      </c>
      <c r="AX175" s="6" t="b">
        <v>0</v>
      </c>
      <c r="AY175" s="6" t="b">
        <v>0</v>
      </c>
      <c r="AZ175" s="6" t="b">
        <v>0</v>
      </c>
      <c r="BA175" s="6" t="b">
        <v>0</v>
      </c>
      <c r="BB175" s="6" t="b">
        <v>0</v>
      </c>
    </row>
    <row r="176" spans="1:54" ht="15" x14ac:dyDescent="0.25">
      <c r="A176" s="3" t="s">
        <v>408</v>
      </c>
      <c r="B176" s="3" t="str">
        <f ca="1">IFERROR(__xludf.DUMMYFUNCTION("SPLIT(A176,""/"")"),"Cloud-CV")</f>
        <v>Cloud-CV</v>
      </c>
      <c r="C176" s="3" t="str">
        <f ca="1">IFERROR(__xludf.DUMMYFUNCTION("""COMPUTED_VALUE"""),"EvalAI")</f>
        <v>EvalAI</v>
      </c>
      <c r="D176" s="4" t="s">
        <v>409</v>
      </c>
      <c r="E176" s="5">
        <v>42664.035937499997</v>
      </c>
      <c r="F176" s="5">
        <v>44294.407118055555</v>
      </c>
      <c r="G176" s="13">
        <f t="shared" si="12"/>
        <v>1630.3711805555577</v>
      </c>
      <c r="H176" s="6" t="b">
        <v>0</v>
      </c>
      <c r="I176" s="7" t="b">
        <v>1</v>
      </c>
      <c r="J176" s="8">
        <v>1102</v>
      </c>
      <c r="K176" s="8">
        <v>50</v>
      </c>
      <c r="L176" s="8">
        <v>538</v>
      </c>
      <c r="M176" s="8">
        <v>2</v>
      </c>
      <c r="N176" s="8">
        <v>29</v>
      </c>
      <c r="O176" s="8">
        <v>131</v>
      </c>
      <c r="P176" s="8">
        <v>2312</v>
      </c>
      <c r="Q176" s="8">
        <v>76</v>
      </c>
      <c r="R176" s="8">
        <v>1068</v>
      </c>
      <c r="S176" s="8">
        <v>114</v>
      </c>
      <c r="T176" s="3" t="s">
        <v>92</v>
      </c>
      <c r="U176" s="10">
        <v>14984</v>
      </c>
      <c r="V176" s="32">
        <v>127</v>
      </c>
      <c r="W176" s="27">
        <v>8.475707421249333E-3</v>
      </c>
      <c r="X176" s="34">
        <v>0</v>
      </c>
      <c r="Y176" s="27">
        <v>0</v>
      </c>
      <c r="Z176" s="27">
        <v>0</v>
      </c>
      <c r="AA176" s="35">
        <v>49</v>
      </c>
      <c r="AB176" s="27">
        <v>0.38582677165354329</v>
      </c>
      <c r="AC176" s="27">
        <f t="shared" si="13"/>
        <v>3.2701548318206089E-3</v>
      </c>
      <c r="AD176" s="36">
        <v>3</v>
      </c>
      <c r="AE176" s="27">
        <v>2.3622047244094488E-2</v>
      </c>
      <c r="AF176" s="27">
        <f t="shared" si="14"/>
        <v>2.0021356113187399E-4</v>
      </c>
      <c r="AG176" s="37">
        <v>51</v>
      </c>
      <c r="AH176" s="27">
        <v>0.40157480314960631</v>
      </c>
      <c r="AI176" s="27">
        <f t="shared" si="15"/>
        <v>3.4036305392418581E-3</v>
      </c>
      <c r="AJ176" s="38">
        <v>2</v>
      </c>
      <c r="AK176" s="27">
        <v>1.5748031496062992E-2</v>
      </c>
      <c r="AL176" s="27">
        <f t="shared" si="16"/>
        <v>1.3347570742124932E-4</v>
      </c>
      <c r="AM176" s="40">
        <v>0</v>
      </c>
      <c r="AN176" s="27">
        <v>0</v>
      </c>
      <c r="AO176" s="27">
        <f t="shared" si="17"/>
        <v>0</v>
      </c>
      <c r="AP176" s="7" t="b">
        <v>1</v>
      </c>
      <c r="AQ176" s="7" t="b">
        <v>1</v>
      </c>
      <c r="AR176" s="6" t="b">
        <v>0</v>
      </c>
      <c r="AS176" s="6" t="b">
        <v>0</v>
      </c>
      <c r="AT176" s="7" t="b">
        <v>1</v>
      </c>
      <c r="AU176" s="6" t="b">
        <v>0</v>
      </c>
      <c r="AV176" s="6" t="b">
        <v>0</v>
      </c>
      <c r="AW176" s="6" t="b">
        <v>0</v>
      </c>
      <c r="AX176" s="6" t="b">
        <v>0</v>
      </c>
      <c r="AY176" s="6" t="b">
        <v>0</v>
      </c>
      <c r="AZ176" s="6" t="b">
        <v>0</v>
      </c>
      <c r="BA176" s="6" t="b">
        <v>0</v>
      </c>
      <c r="BB176" s="6" t="b">
        <v>0</v>
      </c>
    </row>
    <row r="177" spans="1:54" ht="15" x14ac:dyDescent="0.25">
      <c r="A177" s="3" t="s">
        <v>410</v>
      </c>
      <c r="B177" s="3" t="str">
        <f ca="1">IFERROR(__xludf.DUMMYFUNCTION("SPLIT(A177,""/"")"),"cloudtools")</f>
        <v>cloudtools</v>
      </c>
      <c r="C177" s="3" t="str">
        <f ca="1">IFERROR(__xludf.DUMMYFUNCTION("""COMPUTED_VALUE"""),"stacker")</f>
        <v>stacker</v>
      </c>
      <c r="D177" s="4" t="s">
        <v>411</v>
      </c>
      <c r="E177" s="5">
        <v>42010.907002314816</v>
      </c>
      <c r="F177" s="5">
        <v>44288.595127314817</v>
      </c>
      <c r="G177" s="13">
        <f t="shared" si="12"/>
        <v>2277.6881250000006</v>
      </c>
      <c r="H177" s="6" t="b">
        <v>0</v>
      </c>
      <c r="I177" s="7" t="b">
        <v>1</v>
      </c>
      <c r="J177" s="8">
        <v>658</v>
      </c>
      <c r="K177" s="8">
        <v>76</v>
      </c>
      <c r="L177" s="8">
        <v>157</v>
      </c>
      <c r="M177" s="8">
        <v>38</v>
      </c>
      <c r="N177" s="8">
        <v>6</v>
      </c>
      <c r="O177" s="8">
        <v>53</v>
      </c>
      <c r="P177" s="8">
        <v>516</v>
      </c>
      <c r="Q177" s="8">
        <v>12</v>
      </c>
      <c r="R177" s="8">
        <v>252</v>
      </c>
      <c r="S177" s="8">
        <v>64</v>
      </c>
      <c r="T177" s="3" t="s">
        <v>153</v>
      </c>
      <c r="U177" s="10">
        <v>9049</v>
      </c>
      <c r="V177" s="32">
        <v>159</v>
      </c>
      <c r="W177" s="27">
        <v>1.7571002320698421E-2</v>
      </c>
      <c r="X177" s="34">
        <v>91</v>
      </c>
      <c r="Y177" s="27">
        <v>0.57232704402515722</v>
      </c>
      <c r="Z177" s="27">
        <v>1.0056359818764505E-2</v>
      </c>
      <c r="AA177" s="35">
        <v>35</v>
      </c>
      <c r="AB177" s="27">
        <v>0.22012578616352202</v>
      </c>
      <c r="AC177" s="27">
        <f t="shared" si="13"/>
        <v>3.8678306995248092E-3</v>
      </c>
      <c r="AD177" s="36">
        <v>15</v>
      </c>
      <c r="AE177" s="27">
        <v>9.4339622641509441E-2</v>
      </c>
      <c r="AF177" s="27">
        <f t="shared" si="14"/>
        <v>1.6576417283677754E-3</v>
      </c>
      <c r="AG177" s="37">
        <v>14</v>
      </c>
      <c r="AH177" s="27">
        <v>8.8050314465408799E-2</v>
      </c>
      <c r="AI177" s="27">
        <f t="shared" si="15"/>
        <v>1.5471322798099238E-3</v>
      </c>
      <c r="AJ177" s="38">
        <v>0</v>
      </c>
      <c r="AK177" s="27">
        <v>0</v>
      </c>
      <c r="AL177" s="27">
        <f t="shared" si="16"/>
        <v>0</v>
      </c>
      <c r="AM177" s="40">
        <v>3</v>
      </c>
      <c r="AN177" s="27">
        <v>1.8867924528301886E-2</v>
      </c>
      <c r="AO177" s="27">
        <f t="shared" si="17"/>
        <v>3.3152834567355509E-4</v>
      </c>
      <c r="AP177" s="7" t="b">
        <v>1</v>
      </c>
      <c r="AQ177" s="6" t="b">
        <v>0</v>
      </c>
      <c r="AR177" s="6" t="b">
        <v>0</v>
      </c>
      <c r="AS177" s="6" t="b">
        <v>0</v>
      </c>
      <c r="AT177" s="7" t="b">
        <v>1</v>
      </c>
      <c r="AU177" s="6" t="b">
        <v>0</v>
      </c>
      <c r="AV177" s="6" t="b">
        <v>0</v>
      </c>
      <c r="AW177" s="6" t="b">
        <v>0</v>
      </c>
      <c r="AX177" s="6" t="b">
        <v>0</v>
      </c>
      <c r="AY177" s="6" t="b">
        <v>0</v>
      </c>
      <c r="AZ177" s="6" t="b">
        <v>0</v>
      </c>
      <c r="BA177" s="6" t="b">
        <v>0</v>
      </c>
      <c r="BB177" s="6" t="b">
        <v>0</v>
      </c>
    </row>
    <row r="178" spans="1:54" ht="15" x14ac:dyDescent="0.25">
      <c r="A178" s="3" t="s">
        <v>412</v>
      </c>
      <c r="B178" s="3" t="str">
        <f ca="1">IFERROR(__xludf.DUMMYFUNCTION("SPLIT(A178,""/"")"),"ClusterHQ")</f>
        <v>ClusterHQ</v>
      </c>
      <c r="C178" s="3" t="str">
        <f ca="1">IFERROR(__xludf.DUMMYFUNCTION("""COMPUTED_VALUE"""),"flocker")</f>
        <v>flocker</v>
      </c>
      <c r="D178" s="4" t="s">
        <v>413</v>
      </c>
      <c r="E178" s="5">
        <v>41757.751550925925</v>
      </c>
      <c r="F178" s="5">
        <v>44293.220381944448</v>
      </c>
      <c r="G178" s="13">
        <f t="shared" si="12"/>
        <v>2535.4688310185229</v>
      </c>
      <c r="H178" s="6" t="b">
        <v>0</v>
      </c>
      <c r="I178" s="7" t="b">
        <v>1</v>
      </c>
      <c r="J178" s="8">
        <v>3305</v>
      </c>
      <c r="K178" s="8">
        <v>175</v>
      </c>
      <c r="L178" s="8">
        <v>277</v>
      </c>
      <c r="M178" s="8">
        <v>0</v>
      </c>
      <c r="N178" s="8">
        <v>174</v>
      </c>
      <c r="O178" s="8">
        <v>37</v>
      </c>
      <c r="P178" s="8">
        <v>2189</v>
      </c>
      <c r="Q178" s="8">
        <v>20</v>
      </c>
      <c r="R178" s="8">
        <v>828</v>
      </c>
      <c r="S178" s="8">
        <v>62</v>
      </c>
      <c r="T178" s="3" t="s">
        <v>69</v>
      </c>
      <c r="U178" s="10">
        <v>44346</v>
      </c>
      <c r="V178" s="32">
        <v>23</v>
      </c>
      <c r="W178" s="27">
        <v>5.1864880710774362E-4</v>
      </c>
      <c r="X178" s="34">
        <v>0</v>
      </c>
      <c r="Y178" s="27">
        <v>0</v>
      </c>
      <c r="Z178" s="27">
        <v>0</v>
      </c>
      <c r="AA178" s="35">
        <v>3</v>
      </c>
      <c r="AB178" s="27">
        <v>0.13043478260869565</v>
      </c>
      <c r="AC178" s="27">
        <f t="shared" si="13"/>
        <v>6.7649844405357867E-5</v>
      </c>
      <c r="AD178" s="36">
        <v>0</v>
      </c>
      <c r="AE178" s="27">
        <v>0</v>
      </c>
      <c r="AF178" s="27">
        <f t="shared" si="14"/>
        <v>0</v>
      </c>
      <c r="AG178" s="37">
        <v>5</v>
      </c>
      <c r="AH178" s="27">
        <v>0.21739130434782608</v>
      </c>
      <c r="AI178" s="27">
        <f t="shared" si="15"/>
        <v>1.1274974067559645E-4</v>
      </c>
      <c r="AJ178" s="38">
        <v>0</v>
      </c>
      <c r="AK178" s="27">
        <v>0</v>
      </c>
      <c r="AL178" s="27">
        <f t="shared" si="16"/>
        <v>0</v>
      </c>
      <c r="AM178" s="40">
        <v>15</v>
      </c>
      <c r="AN178" s="27">
        <v>0.65217391304347827</v>
      </c>
      <c r="AO178" s="27">
        <f t="shared" si="17"/>
        <v>3.3824922202678936E-4</v>
      </c>
      <c r="AP178" s="7" t="b">
        <v>1</v>
      </c>
      <c r="AQ178" s="6" t="b">
        <v>0</v>
      </c>
      <c r="AR178" s="6" t="b">
        <v>0</v>
      </c>
      <c r="AS178" s="6" t="b">
        <v>0</v>
      </c>
      <c r="AT178" s="7" t="b">
        <v>1</v>
      </c>
      <c r="AU178" s="6" t="b">
        <v>0</v>
      </c>
      <c r="AV178" s="7" t="b">
        <v>1</v>
      </c>
      <c r="AW178" s="6" t="b">
        <v>0</v>
      </c>
      <c r="AX178" s="6" t="b">
        <v>0</v>
      </c>
      <c r="AY178" s="6" t="b">
        <v>0</v>
      </c>
      <c r="AZ178" s="6" t="b">
        <v>0</v>
      </c>
      <c r="BA178" s="6" t="b">
        <v>0</v>
      </c>
      <c r="BB178" s="6" t="b">
        <v>0</v>
      </c>
    </row>
    <row r="179" spans="1:54" ht="15" x14ac:dyDescent="0.25">
      <c r="A179" s="3" t="s">
        <v>414</v>
      </c>
      <c r="B179" s="3" t="str">
        <f ca="1">IFERROR(__xludf.DUMMYFUNCTION("SPLIT(A179,""/"")"),"cobbler")</f>
        <v>cobbler</v>
      </c>
      <c r="C179" s="3" t="str">
        <f ca="1">IFERROR(__xludf.DUMMYFUNCTION("""COMPUTED_VALUE"""),"cobbler")</f>
        <v>cobbler</v>
      </c>
      <c r="D179" s="4" t="s">
        <v>415</v>
      </c>
      <c r="E179" s="5">
        <v>40855.625694444447</v>
      </c>
      <c r="F179" s="5">
        <v>44293.550763888888</v>
      </c>
      <c r="G179" s="13">
        <f t="shared" si="12"/>
        <v>3437.9250694444418</v>
      </c>
      <c r="H179" s="6" t="b">
        <v>0</v>
      </c>
      <c r="I179" s="7" t="b">
        <v>1</v>
      </c>
      <c r="J179" s="8">
        <v>2074</v>
      </c>
      <c r="K179" s="8">
        <v>137</v>
      </c>
      <c r="L179" s="8">
        <v>566</v>
      </c>
      <c r="M179" s="8">
        <v>34</v>
      </c>
      <c r="N179" s="8">
        <v>74</v>
      </c>
      <c r="O179" s="8">
        <v>208</v>
      </c>
      <c r="P179" s="8">
        <v>1526</v>
      </c>
      <c r="Q179" s="8">
        <v>7</v>
      </c>
      <c r="R179" s="8">
        <v>1060</v>
      </c>
      <c r="S179" s="8">
        <v>173</v>
      </c>
      <c r="T179" s="3" t="s">
        <v>64</v>
      </c>
      <c r="U179" s="10">
        <v>17056</v>
      </c>
      <c r="V179" s="32">
        <v>323</v>
      </c>
      <c r="W179" s="27">
        <v>1.8937617260787992E-2</v>
      </c>
      <c r="X179" s="34">
        <v>55</v>
      </c>
      <c r="Y179" s="27">
        <v>0.17027863777089783</v>
      </c>
      <c r="Z179" s="27">
        <v>3.2246716697936209E-3</v>
      </c>
      <c r="AA179" s="35">
        <v>147</v>
      </c>
      <c r="AB179" s="27">
        <v>0.45510835913312692</v>
      </c>
      <c r="AC179" s="27">
        <f t="shared" si="13"/>
        <v>8.6186679174484054E-3</v>
      </c>
      <c r="AD179" s="36">
        <v>46</v>
      </c>
      <c r="AE179" s="27">
        <v>0.14241486068111456</v>
      </c>
      <c r="AF179" s="27">
        <f t="shared" si="14"/>
        <v>2.6969981238273923E-3</v>
      </c>
      <c r="AG179" s="37">
        <v>39</v>
      </c>
      <c r="AH179" s="27">
        <v>0.12074303405572756</v>
      </c>
      <c r="AI179" s="27">
        <f t="shared" si="15"/>
        <v>2.2865853658536584E-3</v>
      </c>
      <c r="AJ179" s="38">
        <v>1</v>
      </c>
      <c r="AK179" s="27">
        <v>3.0959752321981426E-3</v>
      </c>
      <c r="AL179" s="27">
        <f t="shared" si="16"/>
        <v>5.8630393996247655E-5</v>
      </c>
      <c r="AM179" s="40">
        <v>35</v>
      </c>
      <c r="AN179" s="27">
        <v>0.10835913312693499</v>
      </c>
      <c r="AO179" s="27">
        <f t="shared" si="17"/>
        <v>2.0520637898686681E-3</v>
      </c>
      <c r="AP179" s="6" t="b">
        <v>0</v>
      </c>
      <c r="AQ179" s="7" t="b">
        <v>1</v>
      </c>
      <c r="AR179" s="6" t="b">
        <v>0</v>
      </c>
      <c r="AS179" s="6" t="b">
        <v>0</v>
      </c>
      <c r="AT179" s="7" t="b">
        <v>1</v>
      </c>
      <c r="AU179" s="6" t="b">
        <v>0</v>
      </c>
      <c r="AV179" s="6" t="b">
        <v>0</v>
      </c>
      <c r="AW179" s="6" t="b">
        <v>0</v>
      </c>
      <c r="AX179" s="6" t="b">
        <v>0</v>
      </c>
      <c r="AY179" s="6" t="b">
        <v>0</v>
      </c>
      <c r="AZ179" s="6" t="b">
        <v>0</v>
      </c>
      <c r="BA179" s="6" t="b">
        <v>0</v>
      </c>
      <c r="BB179" s="6" t="b">
        <v>0</v>
      </c>
    </row>
    <row r="180" spans="1:54" ht="15" x14ac:dyDescent="0.25">
      <c r="A180" s="3" t="s">
        <v>416</v>
      </c>
      <c r="B180" s="3" t="str">
        <f ca="1">IFERROR(__xludf.DUMMYFUNCTION("SPLIT(A180,""/"")"),"coddingtonbear")</f>
        <v>coddingtonbear</v>
      </c>
      <c r="C180" s="4" t="str">
        <f ca="1">IFERROR(__xludf.DUMMYFUNCTION("""COMPUTED_VALUE"""),"inthe.am")</f>
        <v>inthe.am</v>
      </c>
      <c r="D180" s="4" t="s">
        <v>417</v>
      </c>
      <c r="E180" s="5">
        <v>41638.264398148145</v>
      </c>
      <c r="F180" s="5">
        <v>44293.512175925927</v>
      </c>
      <c r="G180" s="13">
        <f t="shared" si="12"/>
        <v>2655.2477777777822</v>
      </c>
      <c r="H180" s="6" t="b">
        <v>0</v>
      </c>
      <c r="I180" s="6" t="b">
        <v>0</v>
      </c>
      <c r="J180" s="8">
        <v>443</v>
      </c>
      <c r="K180" s="8">
        <v>23</v>
      </c>
      <c r="L180" s="8">
        <v>44</v>
      </c>
      <c r="M180" s="8">
        <v>0</v>
      </c>
      <c r="N180" s="8">
        <v>5</v>
      </c>
      <c r="O180" s="8">
        <v>13</v>
      </c>
      <c r="P180" s="8">
        <v>20</v>
      </c>
      <c r="Q180" s="8">
        <v>2</v>
      </c>
      <c r="R180" s="8">
        <v>334</v>
      </c>
      <c r="S180" s="8">
        <v>19</v>
      </c>
      <c r="T180" s="3" t="s">
        <v>366</v>
      </c>
      <c r="U180" s="10">
        <v>4712</v>
      </c>
      <c r="V180" s="32">
        <v>70</v>
      </c>
      <c r="W180" s="27">
        <v>1.4855687606112054E-2</v>
      </c>
      <c r="X180" s="34">
        <v>11</v>
      </c>
      <c r="Y180" s="27">
        <v>0.15714285714285714</v>
      </c>
      <c r="Z180" s="27">
        <v>2.3344651952461799E-3</v>
      </c>
      <c r="AA180" s="35">
        <v>14</v>
      </c>
      <c r="AB180" s="27">
        <v>0.2</v>
      </c>
      <c r="AC180" s="27">
        <f t="shared" si="13"/>
        <v>2.9711375212224107E-3</v>
      </c>
      <c r="AD180" s="36">
        <v>21</v>
      </c>
      <c r="AE180" s="27">
        <v>0.3</v>
      </c>
      <c r="AF180" s="27">
        <f t="shared" si="14"/>
        <v>4.4567062818336167E-3</v>
      </c>
      <c r="AG180" s="37">
        <v>23</v>
      </c>
      <c r="AH180" s="27">
        <v>0.32857142857142857</v>
      </c>
      <c r="AI180" s="27">
        <f t="shared" si="15"/>
        <v>4.8811544991511037E-3</v>
      </c>
      <c r="AJ180" s="38">
        <v>0</v>
      </c>
      <c r="AK180" s="27">
        <v>0</v>
      </c>
      <c r="AL180" s="27">
        <f t="shared" si="16"/>
        <v>0</v>
      </c>
      <c r="AM180" s="40">
        <v>0</v>
      </c>
      <c r="AN180" s="27">
        <v>0</v>
      </c>
      <c r="AO180" s="27">
        <f t="shared" si="17"/>
        <v>0</v>
      </c>
      <c r="AP180" s="7" t="b">
        <v>1</v>
      </c>
      <c r="AQ180" s="7" t="b">
        <v>1</v>
      </c>
      <c r="AR180" s="6" t="b">
        <v>0</v>
      </c>
      <c r="AS180" s="6" t="b">
        <v>0</v>
      </c>
      <c r="AT180" s="7" t="b">
        <v>1</v>
      </c>
      <c r="AU180" s="6" t="b">
        <v>0</v>
      </c>
      <c r="AV180" s="6" t="b">
        <v>0</v>
      </c>
      <c r="AW180" s="6" t="b">
        <v>0</v>
      </c>
      <c r="AX180" s="6" t="b">
        <v>0</v>
      </c>
      <c r="AY180" s="6" t="b">
        <v>0</v>
      </c>
      <c r="AZ180" s="6" t="b">
        <v>0</v>
      </c>
      <c r="BA180" s="6" t="b">
        <v>0</v>
      </c>
      <c r="BB180" s="6" t="b">
        <v>0</v>
      </c>
    </row>
    <row r="181" spans="1:54" ht="15" x14ac:dyDescent="0.25">
      <c r="A181" s="3" t="s">
        <v>418</v>
      </c>
      <c r="B181" s="3" t="str">
        <f ca="1">IFERROR(__xludf.DUMMYFUNCTION("SPLIT(A181,""/"")"),"CoinAlpha")</f>
        <v>CoinAlpha</v>
      </c>
      <c r="C181" s="3" t="str">
        <f ca="1">IFERROR(__xludf.DUMMYFUNCTION("""COMPUTED_VALUE"""),"hummingbot")</f>
        <v>hummingbot</v>
      </c>
      <c r="D181" s="4" t="s">
        <v>419</v>
      </c>
      <c r="E181" s="5">
        <v>43557.904074074075</v>
      </c>
      <c r="F181" s="5">
        <v>44295.097569444442</v>
      </c>
      <c r="G181" s="13">
        <f t="shared" si="12"/>
        <v>737.1934953703676</v>
      </c>
      <c r="H181" s="6" t="b">
        <v>0</v>
      </c>
      <c r="I181" s="7" t="b">
        <v>1</v>
      </c>
      <c r="J181" s="8">
        <v>1559</v>
      </c>
      <c r="K181" s="8">
        <v>84</v>
      </c>
      <c r="L181" s="8">
        <v>624</v>
      </c>
      <c r="M181" s="8">
        <v>50</v>
      </c>
      <c r="N181" s="8">
        <v>6</v>
      </c>
      <c r="O181" s="8">
        <v>80</v>
      </c>
      <c r="P181" s="8">
        <v>1966</v>
      </c>
      <c r="Q181" s="8">
        <v>36</v>
      </c>
      <c r="R181" s="8">
        <v>1226</v>
      </c>
      <c r="S181" s="8">
        <v>322</v>
      </c>
      <c r="T181" s="3" t="s">
        <v>69</v>
      </c>
      <c r="U181" s="10">
        <v>50042</v>
      </c>
      <c r="V181" s="32">
        <v>47</v>
      </c>
      <c r="W181" s="27">
        <v>9.3921106270732589E-4</v>
      </c>
      <c r="X181" s="34">
        <v>3</v>
      </c>
      <c r="Y181" s="27">
        <v>6.3829787234042548E-2</v>
      </c>
      <c r="Z181" s="27">
        <v>5.9949642300467605E-5</v>
      </c>
      <c r="AA181" s="35">
        <v>16</v>
      </c>
      <c r="AB181" s="27">
        <v>0.34042553191489361</v>
      </c>
      <c r="AC181" s="27">
        <f t="shared" si="13"/>
        <v>3.1973142560249391E-4</v>
      </c>
      <c r="AD181" s="36">
        <v>1</v>
      </c>
      <c r="AE181" s="27">
        <v>2.1276595744680851E-2</v>
      </c>
      <c r="AF181" s="27">
        <f t="shared" si="14"/>
        <v>1.998321410015587E-5</v>
      </c>
      <c r="AG181" s="37">
        <v>3</v>
      </c>
      <c r="AH181" s="27">
        <v>6.3829787234042548E-2</v>
      </c>
      <c r="AI181" s="27">
        <f t="shared" si="15"/>
        <v>5.9949642300467605E-5</v>
      </c>
      <c r="AJ181" s="38">
        <v>0</v>
      </c>
      <c r="AK181" s="27">
        <v>0</v>
      </c>
      <c r="AL181" s="27">
        <f t="shared" si="16"/>
        <v>0</v>
      </c>
      <c r="AM181" s="40">
        <v>24</v>
      </c>
      <c r="AN181" s="27">
        <v>0.51063829787234039</v>
      </c>
      <c r="AO181" s="27">
        <f t="shared" si="17"/>
        <v>4.7959713840374084E-4</v>
      </c>
      <c r="AP181" s="7" t="b">
        <v>1</v>
      </c>
      <c r="AQ181" s="6" t="b">
        <v>0</v>
      </c>
      <c r="AR181" s="6" t="b">
        <v>0</v>
      </c>
      <c r="AS181" s="6" t="b">
        <v>0</v>
      </c>
      <c r="AT181" s="7" t="b">
        <v>1</v>
      </c>
      <c r="AU181" s="6" t="b">
        <v>0</v>
      </c>
      <c r="AV181" s="6" t="b">
        <v>0</v>
      </c>
      <c r="AW181" s="6" t="b">
        <v>0</v>
      </c>
      <c r="AX181" s="6" t="b">
        <v>0</v>
      </c>
      <c r="AY181" s="6" t="b">
        <v>0</v>
      </c>
      <c r="AZ181" s="6" t="b">
        <v>0</v>
      </c>
      <c r="BA181" s="6" t="b">
        <v>0</v>
      </c>
      <c r="BB181" s="6" t="b">
        <v>0</v>
      </c>
    </row>
    <row r="182" spans="1:54" ht="15" x14ac:dyDescent="0.25">
      <c r="A182" s="3" t="s">
        <v>420</v>
      </c>
      <c r="B182" s="3" t="str">
        <f ca="1">IFERROR(__xludf.DUMMYFUNCTION("SPLIT(A182,""/"")"),"ComplianceAsCode")</f>
        <v>ComplianceAsCode</v>
      </c>
      <c r="C182" s="3" t="str">
        <f ca="1">IFERROR(__xludf.DUMMYFUNCTION("""COMPUTED_VALUE"""),"content")</f>
        <v>content</v>
      </c>
      <c r="D182" s="4" t="s">
        <v>421</v>
      </c>
      <c r="E182" s="5">
        <v>41758.605578703704</v>
      </c>
      <c r="F182" s="5">
        <v>44294.770219907405</v>
      </c>
      <c r="G182" s="13">
        <f t="shared" si="12"/>
        <v>2536.1646412037007</v>
      </c>
      <c r="H182" s="6" t="b">
        <v>0</v>
      </c>
      <c r="I182" s="7" t="b">
        <v>1</v>
      </c>
      <c r="J182" s="8">
        <v>1242</v>
      </c>
      <c r="K182" s="8">
        <v>135</v>
      </c>
      <c r="L182" s="8">
        <v>452</v>
      </c>
      <c r="M182" s="8">
        <v>33</v>
      </c>
      <c r="N182" s="8">
        <v>44</v>
      </c>
      <c r="O182" s="8">
        <v>165</v>
      </c>
      <c r="P182" s="8">
        <v>4651</v>
      </c>
      <c r="Q182" s="8">
        <v>22</v>
      </c>
      <c r="R182" s="8">
        <v>2064</v>
      </c>
      <c r="S182" s="8">
        <v>327</v>
      </c>
      <c r="T182" s="3" t="s">
        <v>92</v>
      </c>
      <c r="U182" s="10">
        <v>14777</v>
      </c>
      <c r="V182" s="32">
        <v>95</v>
      </c>
      <c r="W182" s="27">
        <v>6.4289097922447047E-3</v>
      </c>
      <c r="X182" s="34">
        <v>36</v>
      </c>
      <c r="Y182" s="27">
        <v>0.37894736842105264</v>
      </c>
      <c r="Z182" s="27">
        <v>2.4362184475874671E-3</v>
      </c>
      <c r="AA182" s="35">
        <v>19</v>
      </c>
      <c r="AB182" s="27">
        <v>0.2</v>
      </c>
      <c r="AC182" s="27">
        <f t="shared" si="13"/>
        <v>1.2857819584489408E-3</v>
      </c>
      <c r="AD182" s="36">
        <v>10</v>
      </c>
      <c r="AE182" s="27">
        <v>0.10526315789473684</v>
      </c>
      <c r="AF182" s="27">
        <f t="shared" si="14"/>
        <v>6.7672734655207416E-4</v>
      </c>
      <c r="AG182" s="37">
        <v>29</v>
      </c>
      <c r="AH182" s="27">
        <v>0.30526315789473685</v>
      </c>
      <c r="AI182" s="27">
        <f t="shared" si="15"/>
        <v>1.9625093050010152E-3</v>
      </c>
      <c r="AJ182" s="38">
        <v>0</v>
      </c>
      <c r="AK182" s="27">
        <v>0</v>
      </c>
      <c r="AL182" s="27">
        <f t="shared" si="16"/>
        <v>0</v>
      </c>
      <c r="AM182" s="40">
        <v>1</v>
      </c>
      <c r="AN182" s="27">
        <v>1.0526315789473684E-2</v>
      </c>
      <c r="AO182" s="27">
        <f t="shared" si="17"/>
        <v>6.7672734655207422E-5</v>
      </c>
      <c r="AP182" s="7" t="b">
        <v>1</v>
      </c>
      <c r="AQ182" s="6" t="b">
        <v>0</v>
      </c>
      <c r="AR182" s="6" t="b">
        <v>0</v>
      </c>
      <c r="AS182" s="6" t="b">
        <v>0</v>
      </c>
      <c r="AT182" s="7" t="b">
        <v>1</v>
      </c>
      <c r="AU182" s="6" t="b">
        <v>0</v>
      </c>
      <c r="AV182" s="6" t="b">
        <v>0</v>
      </c>
      <c r="AW182" s="6" t="b">
        <v>0</v>
      </c>
      <c r="AX182" s="6" t="b">
        <v>0</v>
      </c>
      <c r="AY182" s="6" t="b">
        <v>0</v>
      </c>
      <c r="AZ182" s="6" t="b">
        <v>0</v>
      </c>
      <c r="BA182" s="6" t="b">
        <v>0</v>
      </c>
      <c r="BB182" s="6" t="b">
        <v>0</v>
      </c>
    </row>
    <row r="183" spans="1:54" ht="15" x14ac:dyDescent="0.25">
      <c r="A183" s="3" t="s">
        <v>422</v>
      </c>
      <c r="B183" s="3" t="str">
        <f ca="1">IFERROR(__xludf.DUMMYFUNCTION("SPLIT(A183,""/"")"),"Conchylicultor")</f>
        <v>Conchylicultor</v>
      </c>
      <c r="C183" s="3" t="str">
        <f ca="1">IFERROR(__xludf.DUMMYFUNCTION("""COMPUTED_VALUE"""),"DeepQA")</f>
        <v>DeepQA</v>
      </c>
      <c r="D183" s="4" t="s">
        <v>423</v>
      </c>
      <c r="E183" s="5">
        <v>42558.720370370371</v>
      </c>
      <c r="F183" s="5">
        <v>44294.446597222224</v>
      </c>
      <c r="G183" s="13">
        <f t="shared" si="12"/>
        <v>1735.7262268518534</v>
      </c>
      <c r="H183" s="6" t="b">
        <v>0</v>
      </c>
      <c r="I183" s="6" t="b">
        <v>0</v>
      </c>
      <c r="J183" s="8">
        <v>2776</v>
      </c>
      <c r="K183" s="8">
        <v>213</v>
      </c>
      <c r="L183" s="8">
        <v>1088</v>
      </c>
      <c r="M183" s="8">
        <v>0</v>
      </c>
      <c r="N183" s="8">
        <v>14</v>
      </c>
      <c r="O183" s="8">
        <v>13</v>
      </c>
      <c r="P183" s="8">
        <v>37</v>
      </c>
      <c r="Q183" s="8">
        <v>4</v>
      </c>
      <c r="R183" s="8">
        <v>180</v>
      </c>
      <c r="S183" s="8">
        <v>90</v>
      </c>
      <c r="T183" s="3" t="s">
        <v>69</v>
      </c>
      <c r="U183" s="10">
        <v>1291</v>
      </c>
      <c r="V183" s="32">
        <v>8</v>
      </c>
      <c r="W183" s="27">
        <v>6.1967467079783118E-3</v>
      </c>
      <c r="X183" s="34">
        <v>0</v>
      </c>
      <c r="Y183" s="27">
        <v>0</v>
      </c>
      <c r="Z183" s="27">
        <v>0</v>
      </c>
      <c r="AA183" s="35">
        <v>5</v>
      </c>
      <c r="AB183" s="27">
        <v>0.625</v>
      </c>
      <c r="AC183" s="27">
        <f t="shared" si="13"/>
        <v>3.8729666924864447E-3</v>
      </c>
      <c r="AD183" s="36">
        <v>0</v>
      </c>
      <c r="AE183" s="27">
        <v>0</v>
      </c>
      <c r="AF183" s="27">
        <f t="shared" si="14"/>
        <v>0</v>
      </c>
      <c r="AG183" s="37">
        <v>3</v>
      </c>
      <c r="AH183" s="27">
        <v>0.375</v>
      </c>
      <c r="AI183" s="27">
        <f t="shared" si="15"/>
        <v>2.3237800154918666E-3</v>
      </c>
      <c r="AJ183" s="38">
        <v>0</v>
      </c>
      <c r="AK183" s="27">
        <v>0</v>
      </c>
      <c r="AL183" s="27">
        <f t="shared" si="16"/>
        <v>0</v>
      </c>
      <c r="AM183" s="40">
        <v>0</v>
      </c>
      <c r="AN183" s="27">
        <v>0</v>
      </c>
      <c r="AO183" s="27">
        <f t="shared" si="17"/>
        <v>0</v>
      </c>
      <c r="AP183" s="7" t="b">
        <v>1</v>
      </c>
      <c r="AQ183" s="6" t="b">
        <v>0</v>
      </c>
      <c r="AR183" s="6" t="b">
        <v>0</v>
      </c>
      <c r="AS183" s="6" t="b">
        <v>0</v>
      </c>
      <c r="AT183" s="7" t="b">
        <v>1</v>
      </c>
      <c r="AU183" s="6" t="b">
        <v>0</v>
      </c>
      <c r="AV183" s="6" t="b">
        <v>0</v>
      </c>
      <c r="AW183" s="6" t="b">
        <v>0</v>
      </c>
      <c r="AX183" s="6" t="b">
        <v>0</v>
      </c>
      <c r="AY183" s="6" t="b">
        <v>0</v>
      </c>
      <c r="AZ183" s="6" t="b">
        <v>0</v>
      </c>
      <c r="BA183" s="6" t="b">
        <v>0</v>
      </c>
      <c r="BB183" s="6" t="b">
        <v>0</v>
      </c>
    </row>
    <row r="184" spans="1:54" ht="15" x14ac:dyDescent="0.25">
      <c r="A184" s="3" t="s">
        <v>424</v>
      </c>
      <c r="B184" s="3" t="str">
        <f ca="1">IFERROR(__xludf.DUMMYFUNCTION("SPLIT(A184,""/"")"),"confluentinc")</f>
        <v>confluentinc</v>
      </c>
      <c r="C184" s="3" t="str">
        <f ca="1">IFERROR(__xludf.DUMMYFUNCTION("""COMPUTED_VALUE"""),"confluent-kafka-python")</f>
        <v>confluent-kafka-python</v>
      </c>
      <c r="D184" s="4" t="s">
        <v>425</v>
      </c>
      <c r="E184" s="5">
        <v>42474.319918981484</v>
      </c>
      <c r="F184" s="5">
        <v>44294.979351851849</v>
      </c>
      <c r="G184" s="13">
        <f t="shared" si="12"/>
        <v>1820.659432870365</v>
      </c>
      <c r="H184" s="6" t="b">
        <v>0</v>
      </c>
      <c r="I184" s="7" t="b">
        <v>1</v>
      </c>
      <c r="J184" s="8">
        <v>2211</v>
      </c>
      <c r="K184" s="8">
        <v>248</v>
      </c>
      <c r="L184" s="8">
        <v>582</v>
      </c>
      <c r="M184" s="8">
        <v>17</v>
      </c>
      <c r="N184" s="8">
        <v>42</v>
      </c>
      <c r="O184" s="8">
        <v>78</v>
      </c>
      <c r="P184" s="8">
        <v>336</v>
      </c>
      <c r="Q184" s="8">
        <v>8</v>
      </c>
      <c r="R184" s="8">
        <v>745</v>
      </c>
      <c r="S184" s="8">
        <v>131</v>
      </c>
      <c r="T184" s="3" t="s">
        <v>69</v>
      </c>
      <c r="U184" s="10">
        <v>8196</v>
      </c>
      <c r="V184" s="32">
        <v>39</v>
      </c>
      <c r="W184" s="27">
        <v>4.7584187408491949E-3</v>
      </c>
      <c r="X184" s="34">
        <v>1</v>
      </c>
      <c r="Y184" s="27">
        <v>2.564102564102564E-2</v>
      </c>
      <c r="Z184" s="27">
        <v>1.2201073694485115E-4</v>
      </c>
      <c r="AA184" s="35">
        <v>15</v>
      </c>
      <c r="AB184" s="27">
        <v>0.38461538461538464</v>
      </c>
      <c r="AC184" s="27">
        <f t="shared" si="13"/>
        <v>1.8301610541727673E-3</v>
      </c>
      <c r="AD184" s="36">
        <v>6</v>
      </c>
      <c r="AE184" s="27">
        <v>0.15384615384615385</v>
      </c>
      <c r="AF184" s="27">
        <f t="shared" si="14"/>
        <v>7.320644216691069E-4</v>
      </c>
      <c r="AG184" s="37">
        <v>15</v>
      </c>
      <c r="AH184" s="27">
        <v>0.38461538461538464</v>
      </c>
      <c r="AI184" s="27">
        <f t="shared" si="15"/>
        <v>1.8301610541727673E-3</v>
      </c>
      <c r="AJ184" s="38">
        <v>2</v>
      </c>
      <c r="AK184" s="27">
        <v>5.128205128205128E-2</v>
      </c>
      <c r="AL184" s="27">
        <f t="shared" si="16"/>
        <v>2.440214738897023E-4</v>
      </c>
      <c r="AM184" s="40">
        <v>0</v>
      </c>
      <c r="AN184" s="27">
        <v>0</v>
      </c>
      <c r="AO184" s="27">
        <f t="shared" si="17"/>
        <v>0</v>
      </c>
      <c r="AP184" s="6" t="b">
        <v>0</v>
      </c>
      <c r="AQ184" s="7" t="b">
        <v>1</v>
      </c>
      <c r="AR184" s="6" t="b">
        <v>0</v>
      </c>
      <c r="AS184" s="6" t="b">
        <v>0</v>
      </c>
      <c r="AT184" s="7" t="b">
        <v>1</v>
      </c>
      <c r="AU184" s="6" t="b">
        <v>0</v>
      </c>
      <c r="AV184" s="6" t="b">
        <v>0</v>
      </c>
      <c r="AW184" s="6" t="b">
        <v>0</v>
      </c>
      <c r="AX184" s="6" t="b">
        <v>0</v>
      </c>
      <c r="AY184" s="6" t="b">
        <v>0</v>
      </c>
      <c r="AZ184" s="6" t="b">
        <v>0</v>
      </c>
      <c r="BA184" s="6" t="b">
        <v>0</v>
      </c>
      <c r="BB184" s="6" t="b">
        <v>0</v>
      </c>
    </row>
    <row r="185" spans="1:54" ht="15" x14ac:dyDescent="0.25">
      <c r="A185" s="3" t="s">
        <v>426</v>
      </c>
      <c r="B185" s="3" t="str">
        <f ca="1">IFERROR(__xludf.DUMMYFUNCTION("SPLIT(A185,""/"")"),"ConsenSys")</f>
        <v>ConsenSys</v>
      </c>
      <c r="C185" s="3" t="str">
        <f ca="1">IFERROR(__xludf.DUMMYFUNCTION("""COMPUTED_VALUE"""),"mythril")</f>
        <v>mythril</v>
      </c>
      <c r="D185" s="4" t="s">
        <v>427</v>
      </c>
      <c r="E185" s="5">
        <v>42996.176620370374</v>
      </c>
      <c r="F185" s="5">
        <v>44294.596539351849</v>
      </c>
      <c r="G185" s="13">
        <f t="shared" si="12"/>
        <v>1298.4199189814753</v>
      </c>
      <c r="H185" s="6" t="b">
        <v>0</v>
      </c>
      <c r="I185" s="7" t="b">
        <v>1</v>
      </c>
      <c r="J185" s="8">
        <v>1587</v>
      </c>
      <c r="K185" s="8">
        <v>59</v>
      </c>
      <c r="L185" s="8">
        <v>339</v>
      </c>
      <c r="M185" s="8">
        <v>76</v>
      </c>
      <c r="N185" s="8">
        <v>4</v>
      </c>
      <c r="O185" s="8">
        <v>58</v>
      </c>
      <c r="P185" s="8">
        <v>787</v>
      </c>
      <c r="Q185" s="8">
        <v>1</v>
      </c>
      <c r="R185" s="8">
        <v>682</v>
      </c>
      <c r="S185" s="8">
        <v>79</v>
      </c>
      <c r="T185" s="3" t="s">
        <v>72</v>
      </c>
      <c r="U185" s="10">
        <v>10168</v>
      </c>
      <c r="V185" s="32">
        <v>129</v>
      </c>
      <c r="W185" s="27">
        <v>1.2686860739575138E-2</v>
      </c>
      <c r="X185" s="34">
        <v>82</v>
      </c>
      <c r="Y185" s="27">
        <v>0.63565891472868219</v>
      </c>
      <c r="Z185" s="27">
        <v>8.0645161290322578E-3</v>
      </c>
      <c r="AA185" s="35">
        <v>37</v>
      </c>
      <c r="AB185" s="27">
        <v>0.2868217054263566</v>
      </c>
      <c r="AC185" s="27">
        <f t="shared" si="13"/>
        <v>3.6388670338316285E-3</v>
      </c>
      <c r="AD185" s="36">
        <v>3</v>
      </c>
      <c r="AE185" s="27">
        <v>2.3255813953488372E-2</v>
      </c>
      <c r="AF185" s="27">
        <f t="shared" si="14"/>
        <v>2.9504327301337529E-4</v>
      </c>
      <c r="AG185" s="37">
        <v>3</v>
      </c>
      <c r="AH185" s="27">
        <v>2.3255813953488372E-2</v>
      </c>
      <c r="AI185" s="27">
        <f t="shared" si="15"/>
        <v>2.9504327301337529E-4</v>
      </c>
      <c r="AJ185" s="38">
        <v>2</v>
      </c>
      <c r="AK185" s="27">
        <v>1.5503875968992248E-2</v>
      </c>
      <c r="AL185" s="27">
        <f t="shared" si="16"/>
        <v>1.966955153422502E-4</v>
      </c>
      <c r="AM185" s="40">
        <v>0</v>
      </c>
      <c r="AN185" s="27">
        <v>0</v>
      </c>
      <c r="AO185" s="27">
        <f t="shared" si="17"/>
        <v>0</v>
      </c>
      <c r="AP185" s="7" t="b">
        <v>1</v>
      </c>
      <c r="AQ185" s="6" t="b">
        <v>0</v>
      </c>
      <c r="AR185" s="6" t="b">
        <v>0</v>
      </c>
      <c r="AS185" s="6" t="b">
        <v>0</v>
      </c>
      <c r="AT185" s="7" t="b">
        <v>1</v>
      </c>
      <c r="AU185" s="6" t="b">
        <v>0</v>
      </c>
      <c r="AV185" s="6" t="b">
        <v>0</v>
      </c>
      <c r="AW185" s="6" t="b">
        <v>0</v>
      </c>
      <c r="AX185" s="6" t="b">
        <v>0</v>
      </c>
      <c r="AY185" s="6" t="b">
        <v>0</v>
      </c>
      <c r="AZ185" s="6" t="b">
        <v>0</v>
      </c>
      <c r="BA185" s="6" t="b">
        <v>0</v>
      </c>
      <c r="BB185" s="6" t="b">
        <v>0</v>
      </c>
    </row>
    <row r="186" spans="1:54" ht="15" x14ac:dyDescent="0.25">
      <c r="A186" s="3" t="s">
        <v>428</v>
      </c>
      <c r="B186" s="3" t="str">
        <f ca="1">IFERROR(__xludf.DUMMYFUNCTION("SPLIT(A186,""/"")"),"controlscanmdr")</f>
        <v>controlscanmdr</v>
      </c>
      <c r="C186" s="3" t="str">
        <f ca="1">IFERROR(__xludf.DUMMYFUNCTION("""COMPUTED_VALUE"""),"cyphon")</f>
        <v>cyphon</v>
      </c>
      <c r="D186" s="4" t="s">
        <v>429</v>
      </c>
      <c r="E186" s="5">
        <v>42814.763622685183</v>
      </c>
      <c r="F186" s="5">
        <v>44292.736018518517</v>
      </c>
      <c r="G186" s="13">
        <f t="shared" si="12"/>
        <v>1477.9723958333343</v>
      </c>
      <c r="H186" s="6" t="b">
        <v>0</v>
      </c>
      <c r="I186" s="7" t="b">
        <v>1</v>
      </c>
      <c r="J186" s="8">
        <v>546</v>
      </c>
      <c r="K186" s="8">
        <v>52</v>
      </c>
      <c r="L186" s="8">
        <v>104</v>
      </c>
      <c r="M186" s="8">
        <v>25</v>
      </c>
      <c r="N186" s="8">
        <v>0</v>
      </c>
      <c r="O186" s="8">
        <v>8</v>
      </c>
      <c r="P186" s="8">
        <v>634</v>
      </c>
      <c r="Q186" s="8">
        <v>19</v>
      </c>
      <c r="R186" s="8">
        <v>87</v>
      </c>
      <c r="S186" s="8">
        <v>2</v>
      </c>
      <c r="T186" s="3" t="s">
        <v>92</v>
      </c>
      <c r="U186" s="10">
        <v>26002</v>
      </c>
      <c r="V186" s="32">
        <v>82</v>
      </c>
      <c r="W186" s="27">
        <v>3.1536035689562342E-3</v>
      </c>
      <c r="X186" s="34">
        <v>0</v>
      </c>
      <c r="Y186" s="27">
        <v>0</v>
      </c>
      <c r="Z186" s="27">
        <v>0</v>
      </c>
      <c r="AA186" s="35">
        <v>3</v>
      </c>
      <c r="AB186" s="27">
        <v>3.6585365853658534E-2</v>
      </c>
      <c r="AC186" s="27">
        <f t="shared" si="13"/>
        <v>1.153757403276671E-4</v>
      </c>
      <c r="AD186" s="36">
        <v>19</v>
      </c>
      <c r="AE186" s="27">
        <v>0.23170731707317074</v>
      </c>
      <c r="AF186" s="27">
        <f t="shared" si="14"/>
        <v>7.3071302207522503E-4</v>
      </c>
      <c r="AG186" s="37">
        <v>60</v>
      </c>
      <c r="AH186" s="27">
        <v>0.73170731707317072</v>
      </c>
      <c r="AI186" s="27">
        <f t="shared" si="15"/>
        <v>2.307514806553342E-3</v>
      </c>
      <c r="AJ186" s="38">
        <v>0</v>
      </c>
      <c r="AK186" s="27">
        <v>0</v>
      </c>
      <c r="AL186" s="27">
        <f t="shared" si="16"/>
        <v>0</v>
      </c>
      <c r="AM186" s="40">
        <v>0</v>
      </c>
      <c r="AN186" s="27">
        <v>0</v>
      </c>
      <c r="AO186" s="27">
        <f t="shared" si="17"/>
        <v>0</v>
      </c>
      <c r="AP186" s="7" t="b">
        <v>1</v>
      </c>
      <c r="AQ186" s="6" t="b">
        <v>0</v>
      </c>
      <c r="AR186" s="6" t="b">
        <v>0</v>
      </c>
      <c r="AS186" s="6" t="b">
        <v>0</v>
      </c>
      <c r="AT186" s="7" t="b">
        <v>1</v>
      </c>
      <c r="AU186" s="6" t="b">
        <v>0</v>
      </c>
      <c r="AV186" s="6" t="b">
        <v>0</v>
      </c>
      <c r="AW186" s="6" t="b">
        <v>0</v>
      </c>
      <c r="AX186" s="6" t="b">
        <v>0</v>
      </c>
      <c r="AY186" s="6" t="b">
        <v>0</v>
      </c>
      <c r="AZ186" s="6" t="b">
        <v>0</v>
      </c>
      <c r="BA186" s="6" t="b">
        <v>0</v>
      </c>
      <c r="BB186" s="6" t="b">
        <v>0</v>
      </c>
    </row>
    <row r="187" spans="1:54" ht="15" x14ac:dyDescent="0.25">
      <c r="A187" s="3" t="s">
        <v>430</v>
      </c>
      <c r="B187" s="3" t="str">
        <f ca="1">IFERROR(__xludf.DUMMYFUNCTION("SPLIT(A187,""/"")"),"ConvLab")</f>
        <v>ConvLab</v>
      </c>
      <c r="C187" s="3" t="str">
        <f ca="1">IFERROR(__xludf.DUMMYFUNCTION("""COMPUTED_VALUE"""),"ConvLab")</f>
        <v>ConvLab</v>
      </c>
      <c r="D187" s="4" t="s">
        <v>431</v>
      </c>
      <c r="E187" s="5">
        <v>43553.848067129627</v>
      </c>
      <c r="F187" s="5">
        <v>44287.562013888892</v>
      </c>
      <c r="G187" s="13">
        <f t="shared" si="12"/>
        <v>733.71394675926422</v>
      </c>
      <c r="H187" s="6" t="b">
        <v>0</v>
      </c>
      <c r="I187" s="6" t="b">
        <v>0</v>
      </c>
      <c r="J187" s="8">
        <v>344</v>
      </c>
      <c r="K187" s="8">
        <v>25</v>
      </c>
      <c r="L187" s="8">
        <v>107</v>
      </c>
      <c r="M187" s="8">
        <v>1</v>
      </c>
      <c r="N187" s="8">
        <v>2</v>
      </c>
      <c r="O187" s="8">
        <v>16</v>
      </c>
      <c r="P187" s="8">
        <v>77</v>
      </c>
      <c r="Q187" s="8">
        <v>6</v>
      </c>
      <c r="R187" s="8">
        <v>51</v>
      </c>
      <c r="S187" s="8">
        <v>4</v>
      </c>
      <c r="T187" s="3" t="s">
        <v>72</v>
      </c>
      <c r="U187" s="10">
        <v>35498</v>
      </c>
      <c r="V187" s="32">
        <v>308</v>
      </c>
      <c r="W187" s="27">
        <v>8.6765451574736599E-3</v>
      </c>
      <c r="X187" s="34">
        <v>42</v>
      </c>
      <c r="Y187" s="27">
        <v>0.13636363636363635</v>
      </c>
      <c r="Z187" s="27">
        <v>1.1831652487464081E-3</v>
      </c>
      <c r="AA187" s="35">
        <v>255</v>
      </c>
      <c r="AB187" s="27">
        <v>0.82792207792207795</v>
      </c>
      <c r="AC187" s="27">
        <f t="shared" si="13"/>
        <v>7.183503295960336E-3</v>
      </c>
      <c r="AD187" s="36">
        <v>7</v>
      </c>
      <c r="AE187" s="27">
        <v>2.2727272727272728E-2</v>
      </c>
      <c r="AF187" s="27">
        <f t="shared" si="14"/>
        <v>1.9719420812440138E-4</v>
      </c>
      <c r="AG187" s="37">
        <v>2</v>
      </c>
      <c r="AH187" s="27">
        <v>6.4935064935064939E-3</v>
      </c>
      <c r="AI187" s="27">
        <f t="shared" si="15"/>
        <v>5.6341202321257534E-5</v>
      </c>
      <c r="AJ187" s="38">
        <v>0</v>
      </c>
      <c r="AK187" s="27">
        <v>0</v>
      </c>
      <c r="AL187" s="27">
        <f t="shared" si="16"/>
        <v>0</v>
      </c>
      <c r="AM187" s="40">
        <v>0</v>
      </c>
      <c r="AN187" s="27">
        <v>0</v>
      </c>
      <c r="AO187" s="27">
        <f t="shared" si="17"/>
        <v>0</v>
      </c>
      <c r="AP187" s="7" t="b">
        <v>1</v>
      </c>
      <c r="AQ187" s="6" t="b">
        <v>0</v>
      </c>
      <c r="AR187" s="6" t="b">
        <v>0</v>
      </c>
      <c r="AS187" s="6" t="b">
        <v>0</v>
      </c>
      <c r="AT187" s="7" t="b">
        <v>1</v>
      </c>
      <c r="AU187" s="6" t="b">
        <v>0</v>
      </c>
      <c r="AV187" s="6" t="b">
        <v>0</v>
      </c>
      <c r="AW187" s="6" t="b">
        <v>0</v>
      </c>
      <c r="AX187" s="6" t="b">
        <v>0</v>
      </c>
      <c r="AY187" s="6" t="b">
        <v>0</v>
      </c>
      <c r="AZ187" s="6" t="b">
        <v>0</v>
      </c>
      <c r="BA187" s="6" t="b">
        <v>0</v>
      </c>
      <c r="BB187" s="6" t="b">
        <v>0</v>
      </c>
    </row>
    <row r="188" spans="1:54" ht="15" x14ac:dyDescent="0.25">
      <c r="A188" s="3" t="s">
        <v>432</v>
      </c>
      <c r="B188" s="3" t="str">
        <f ca="1">IFERROR(__xludf.DUMMYFUNCTION("SPLIT(A188,""/"")"),"cookiecutter-flask")</f>
        <v>cookiecutter-flask</v>
      </c>
      <c r="C188" s="3" t="str">
        <f ca="1">IFERROR(__xludf.DUMMYFUNCTION("""COMPUTED_VALUE"""),"cookiecutter-flask")</f>
        <v>cookiecutter-flask</v>
      </c>
      <c r="D188" s="4" t="s">
        <v>433</v>
      </c>
      <c r="E188" s="5">
        <v>41502.311053240737</v>
      </c>
      <c r="F188" s="5">
        <v>44294.879583333335</v>
      </c>
      <c r="G188" s="13">
        <f t="shared" si="12"/>
        <v>2792.5685300925979</v>
      </c>
      <c r="H188" s="6" t="b">
        <v>0</v>
      </c>
      <c r="I188" s="7" t="b">
        <v>1</v>
      </c>
      <c r="J188" s="8">
        <v>3704</v>
      </c>
      <c r="K188" s="8">
        <v>99</v>
      </c>
      <c r="L188" s="8">
        <v>643</v>
      </c>
      <c r="M188" s="8">
        <v>0</v>
      </c>
      <c r="N188" s="8">
        <v>6</v>
      </c>
      <c r="O188" s="8">
        <v>59</v>
      </c>
      <c r="P188" s="8">
        <v>898</v>
      </c>
      <c r="Q188" s="8">
        <v>3</v>
      </c>
      <c r="R188" s="8">
        <v>159</v>
      </c>
      <c r="S188" s="8">
        <v>5</v>
      </c>
      <c r="T188" s="3" t="s">
        <v>72</v>
      </c>
      <c r="U188" s="10">
        <v>771</v>
      </c>
      <c r="V188" s="32">
        <v>5</v>
      </c>
      <c r="W188" s="27">
        <v>6.4850843060959796E-3</v>
      </c>
      <c r="X188" s="34">
        <v>0</v>
      </c>
      <c r="Y188" s="27">
        <v>0</v>
      </c>
      <c r="Z188" s="27">
        <v>0</v>
      </c>
      <c r="AA188" s="35">
        <v>1</v>
      </c>
      <c r="AB188" s="27">
        <v>0.2</v>
      </c>
      <c r="AC188" s="27">
        <f t="shared" si="13"/>
        <v>1.2970168612191958E-3</v>
      </c>
      <c r="AD188" s="36">
        <v>4</v>
      </c>
      <c r="AE188" s="27">
        <v>0.8</v>
      </c>
      <c r="AF188" s="27">
        <f t="shared" si="14"/>
        <v>5.1880674448767832E-3</v>
      </c>
      <c r="AG188" s="37">
        <v>0</v>
      </c>
      <c r="AH188" s="27">
        <v>0</v>
      </c>
      <c r="AI188" s="27">
        <f t="shared" si="15"/>
        <v>0</v>
      </c>
      <c r="AJ188" s="38">
        <v>0</v>
      </c>
      <c r="AK188" s="27">
        <v>0</v>
      </c>
      <c r="AL188" s="27">
        <f t="shared" si="16"/>
        <v>0</v>
      </c>
      <c r="AM188" s="40">
        <v>0</v>
      </c>
      <c r="AN188" s="27">
        <v>0</v>
      </c>
      <c r="AO188" s="27">
        <f t="shared" si="17"/>
        <v>0</v>
      </c>
      <c r="AP188" s="7" t="b">
        <v>1</v>
      </c>
      <c r="AQ188" s="7" t="b">
        <v>1</v>
      </c>
      <c r="AR188" s="6" t="b">
        <v>0</v>
      </c>
      <c r="AS188" s="6" t="b">
        <v>0</v>
      </c>
      <c r="AT188" s="7" t="b">
        <v>1</v>
      </c>
      <c r="AU188" s="6" t="b">
        <v>0</v>
      </c>
      <c r="AV188" s="6" t="b">
        <v>0</v>
      </c>
      <c r="AW188" s="6" t="b">
        <v>0</v>
      </c>
      <c r="AX188" s="6" t="b">
        <v>0</v>
      </c>
      <c r="AY188" s="6" t="b">
        <v>0</v>
      </c>
      <c r="AZ188" s="6" t="b">
        <v>0</v>
      </c>
      <c r="BA188" s="6" t="b">
        <v>0</v>
      </c>
      <c r="BB188" s="6" t="b">
        <v>0</v>
      </c>
    </row>
    <row r="189" spans="1:54" ht="15" x14ac:dyDescent="0.25">
      <c r="A189" s="3" t="s">
        <v>434</v>
      </c>
      <c r="B189" s="3" t="str">
        <f ca="1">IFERROR(__xludf.DUMMYFUNCTION("SPLIT(A189,""/"")"),"CorralPeltzer")</f>
        <v>CorralPeltzer</v>
      </c>
      <c r="C189" s="3" t="str">
        <f ca="1">IFERROR(__xludf.DUMMYFUNCTION("""COMPUTED_VALUE"""),"newTrackon")</f>
        <v>newTrackon</v>
      </c>
      <c r="D189" s="4" t="s">
        <v>435</v>
      </c>
      <c r="E189" s="5">
        <v>42675.523761574077</v>
      </c>
      <c r="F189" s="5">
        <v>44292.517800925925</v>
      </c>
      <c r="G189" s="13">
        <f t="shared" si="12"/>
        <v>1616.9940393518482</v>
      </c>
      <c r="H189" s="6" t="b">
        <v>0</v>
      </c>
      <c r="I189" s="6" t="b">
        <v>0</v>
      </c>
      <c r="J189" s="8">
        <v>326</v>
      </c>
      <c r="K189" s="8">
        <v>21</v>
      </c>
      <c r="L189" s="8">
        <v>37</v>
      </c>
      <c r="M189" s="8">
        <v>0</v>
      </c>
      <c r="N189" s="8">
        <v>1</v>
      </c>
      <c r="O189" s="8">
        <v>16</v>
      </c>
      <c r="P189" s="8">
        <v>84</v>
      </c>
      <c r="Q189" s="8">
        <v>1</v>
      </c>
      <c r="R189" s="8">
        <v>47</v>
      </c>
      <c r="S189" s="8">
        <v>6</v>
      </c>
      <c r="T189" s="3" t="s">
        <v>72</v>
      </c>
      <c r="U189" s="10">
        <v>930</v>
      </c>
      <c r="V189" s="32">
        <v>27</v>
      </c>
      <c r="W189" s="27">
        <v>2.903225806451613E-2</v>
      </c>
      <c r="X189" s="34">
        <v>0</v>
      </c>
      <c r="Y189" s="27">
        <v>0</v>
      </c>
      <c r="Z189" s="27">
        <v>0</v>
      </c>
      <c r="AA189" s="35">
        <v>27</v>
      </c>
      <c r="AB189" s="27">
        <v>1</v>
      </c>
      <c r="AC189" s="27">
        <f t="shared" si="13"/>
        <v>2.903225806451613E-2</v>
      </c>
      <c r="AD189" s="36">
        <v>0</v>
      </c>
      <c r="AE189" s="27">
        <v>0</v>
      </c>
      <c r="AF189" s="27">
        <f t="shared" si="14"/>
        <v>0</v>
      </c>
      <c r="AG189" s="37">
        <v>0</v>
      </c>
      <c r="AH189" s="27">
        <v>0</v>
      </c>
      <c r="AI189" s="27">
        <f t="shared" si="15"/>
        <v>0</v>
      </c>
      <c r="AJ189" s="38">
        <v>0</v>
      </c>
      <c r="AK189" s="27">
        <v>0</v>
      </c>
      <c r="AL189" s="27">
        <f t="shared" si="16"/>
        <v>0</v>
      </c>
      <c r="AM189" s="40">
        <v>0</v>
      </c>
      <c r="AN189" s="27">
        <v>0</v>
      </c>
      <c r="AO189" s="27">
        <f t="shared" si="17"/>
        <v>0</v>
      </c>
      <c r="AP189" s="7" t="b">
        <v>1</v>
      </c>
      <c r="AQ189" s="6" t="b">
        <v>0</v>
      </c>
      <c r="AR189" s="6" t="b">
        <v>0</v>
      </c>
      <c r="AS189" s="6" t="b">
        <v>0</v>
      </c>
      <c r="AT189" s="7" t="b">
        <v>1</v>
      </c>
      <c r="AU189" s="6" t="b">
        <v>0</v>
      </c>
      <c r="AV189" s="6" t="b">
        <v>0</v>
      </c>
      <c r="AW189" s="6" t="b">
        <v>0</v>
      </c>
      <c r="AX189" s="6" t="b">
        <v>0</v>
      </c>
      <c r="AY189" s="6" t="b">
        <v>0</v>
      </c>
      <c r="AZ189" s="6" t="b">
        <v>0</v>
      </c>
      <c r="BA189" s="6" t="b">
        <v>0</v>
      </c>
      <c r="BB189" s="6" t="b">
        <v>0</v>
      </c>
    </row>
    <row r="190" spans="1:54" ht="15" x14ac:dyDescent="0.25">
      <c r="A190" s="3" t="s">
        <v>436</v>
      </c>
      <c r="B190" s="3" t="str">
        <f ca="1">IFERROR(__xludf.DUMMYFUNCTION("SPLIT(A190,""/"")"),"cosmicpython")</f>
        <v>cosmicpython</v>
      </c>
      <c r="C190" s="3" t="str">
        <f ca="1">IFERROR(__xludf.DUMMYFUNCTION("""COMPUTED_VALUE"""),"code")</f>
        <v>code</v>
      </c>
      <c r="D190" s="4" t="s">
        <v>437</v>
      </c>
      <c r="E190" s="5">
        <v>43501.425393518519</v>
      </c>
      <c r="F190" s="5">
        <v>44294.898888888885</v>
      </c>
      <c r="G190" s="13">
        <f t="shared" si="12"/>
        <v>793.47349537036644</v>
      </c>
      <c r="H190" s="6" t="b">
        <v>0</v>
      </c>
      <c r="I190" s="7" t="b">
        <v>1</v>
      </c>
      <c r="J190" s="8">
        <v>476</v>
      </c>
      <c r="K190" s="8">
        <v>31</v>
      </c>
      <c r="L190" s="8">
        <v>223</v>
      </c>
      <c r="M190" s="8">
        <v>0</v>
      </c>
      <c r="N190" s="8">
        <v>0</v>
      </c>
      <c r="O190" s="8">
        <v>3</v>
      </c>
      <c r="P190" s="8">
        <v>12</v>
      </c>
      <c r="Q190" s="8">
        <v>2</v>
      </c>
      <c r="R190" s="8">
        <v>18</v>
      </c>
      <c r="S190" s="8">
        <v>7</v>
      </c>
      <c r="T190" s="3" t="s">
        <v>92</v>
      </c>
      <c r="U190" s="10">
        <v>924</v>
      </c>
      <c r="V190" s="32">
        <v>8</v>
      </c>
      <c r="W190" s="27">
        <v>8.658008658008658E-3</v>
      </c>
      <c r="X190" s="34">
        <v>2</v>
      </c>
      <c r="Y190" s="27">
        <v>0.25</v>
      </c>
      <c r="Z190" s="27">
        <v>2.1645021645021645E-3</v>
      </c>
      <c r="AA190" s="35">
        <v>4</v>
      </c>
      <c r="AB190" s="27">
        <v>0.5</v>
      </c>
      <c r="AC190" s="27">
        <f t="shared" si="13"/>
        <v>4.329004329004329E-3</v>
      </c>
      <c r="AD190" s="36">
        <v>0</v>
      </c>
      <c r="AE190" s="27">
        <v>0</v>
      </c>
      <c r="AF190" s="27">
        <f t="shared" si="14"/>
        <v>0</v>
      </c>
      <c r="AG190" s="37">
        <v>2</v>
      </c>
      <c r="AH190" s="27">
        <v>0.25</v>
      </c>
      <c r="AI190" s="27">
        <f t="shared" si="15"/>
        <v>2.1645021645021645E-3</v>
      </c>
      <c r="AJ190" s="38">
        <v>0</v>
      </c>
      <c r="AK190" s="27">
        <v>0</v>
      </c>
      <c r="AL190" s="27">
        <f t="shared" si="16"/>
        <v>0</v>
      </c>
      <c r="AM190" s="40">
        <v>0</v>
      </c>
      <c r="AN190" s="27">
        <v>0</v>
      </c>
      <c r="AO190" s="27">
        <f t="shared" si="17"/>
        <v>0</v>
      </c>
      <c r="AP190" s="7" t="b">
        <v>1</v>
      </c>
      <c r="AQ190" s="7" t="b">
        <v>1</v>
      </c>
      <c r="AR190" s="6" t="b">
        <v>0</v>
      </c>
      <c r="AS190" s="6" t="b">
        <v>0</v>
      </c>
      <c r="AT190" s="7" t="b">
        <v>1</v>
      </c>
      <c r="AU190" s="6" t="b">
        <v>0</v>
      </c>
      <c r="AV190" s="6" t="b">
        <v>0</v>
      </c>
      <c r="AW190" s="6" t="b">
        <v>0</v>
      </c>
      <c r="AX190" s="6" t="b">
        <v>0</v>
      </c>
      <c r="AY190" s="6" t="b">
        <v>0</v>
      </c>
      <c r="AZ190" s="6" t="b">
        <v>0</v>
      </c>
      <c r="BA190" s="6" t="b">
        <v>0</v>
      </c>
      <c r="BB190" s="6" t="b">
        <v>0</v>
      </c>
    </row>
    <row r="191" spans="1:54" ht="15" x14ac:dyDescent="0.25">
      <c r="A191" s="3" t="s">
        <v>438</v>
      </c>
      <c r="B191" s="3" t="str">
        <f ca="1">IFERROR(__xludf.DUMMYFUNCTION("SPLIT(A191,""/"")"),"coursera-dl")</f>
        <v>coursera-dl</v>
      </c>
      <c r="C191" s="3" t="str">
        <f ca="1">IFERROR(__xludf.DUMMYFUNCTION("""COMPUTED_VALUE"""),"coursera-dl")</f>
        <v>coursera-dl</v>
      </c>
      <c r="D191" s="4" t="s">
        <v>439</v>
      </c>
      <c r="E191" s="5">
        <v>40989.88003472222</v>
      </c>
      <c r="F191" s="5">
        <v>44294.716967592591</v>
      </c>
      <c r="G191" s="13">
        <f t="shared" si="12"/>
        <v>3304.8369328703702</v>
      </c>
      <c r="H191" s="6" t="b">
        <v>0</v>
      </c>
      <c r="I191" s="7" t="b">
        <v>1</v>
      </c>
      <c r="J191" s="8">
        <v>8352</v>
      </c>
      <c r="K191" s="8">
        <v>342</v>
      </c>
      <c r="L191" s="8">
        <v>1710</v>
      </c>
      <c r="M191" s="8">
        <v>0</v>
      </c>
      <c r="N191" s="8">
        <v>55</v>
      </c>
      <c r="O191" s="8">
        <v>77</v>
      </c>
      <c r="P191" s="8">
        <v>205</v>
      </c>
      <c r="Q191" s="8">
        <v>21</v>
      </c>
      <c r="R191" s="8">
        <v>587</v>
      </c>
      <c r="S191" s="8">
        <v>139</v>
      </c>
      <c r="T191" s="3" t="s">
        <v>160</v>
      </c>
      <c r="U191" s="10">
        <v>2988</v>
      </c>
      <c r="V191" s="32">
        <v>131</v>
      </c>
      <c r="W191" s="27">
        <v>4.3842034805890225E-2</v>
      </c>
      <c r="X191" s="34">
        <v>31</v>
      </c>
      <c r="Y191" s="27">
        <v>0.23664122137404581</v>
      </c>
      <c r="Z191" s="27">
        <v>1.0374832663989291E-2</v>
      </c>
      <c r="AA191" s="35">
        <v>53</v>
      </c>
      <c r="AB191" s="27">
        <v>0.40458015267175573</v>
      </c>
      <c r="AC191" s="27">
        <f t="shared" si="13"/>
        <v>1.7737617135207495E-2</v>
      </c>
      <c r="AD191" s="36">
        <v>10</v>
      </c>
      <c r="AE191" s="27">
        <v>7.6335877862595422E-2</v>
      </c>
      <c r="AF191" s="27">
        <f t="shared" si="14"/>
        <v>3.3467202141900937E-3</v>
      </c>
      <c r="AG191" s="37">
        <v>35</v>
      </c>
      <c r="AH191" s="27">
        <v>0.26717557251908397</v>
      </c>
      <c r="AI191" s="27">
        <f t="shared" si="15"/>
        <v>1.1713520749665328E-2</v>
      </c>
      <c r="AJ191" s="38">
        <v>0</v>
      </c>
      <c r="AK191" s="27">
        <v>0</v>
      </c>
      <c r="AL191" s="27">
        <f t="shared" si="16"/>
        <v>0</v>
      </c>
      <c r="AM191" s="40">
        <v>0</v>
      </c>
      <c r="AN191" s="27">
        <v>0</v>
      </c>
      <c r="AO191" s="27">
        <f t="shared" si="17"/>
        <v>0</v>
      </c>
      <c r="AP191" s="7" t="b">
        <v>1</v>
      </c>
      <c r="AQ191" s="6" t="b">
        <v>0</v>
      </c>
      <c r="AR191" s="6" t="b">
        <v>0</v>
      </c>
      <c r="AS191" s="6" t="b">
        <v>0</v>
      </c>
      <c r="AT191" s="7" t="b">
        <v>1</v>
      </c>
      <c r="AU191" s="6" t="b">
        <v>0</v>
      </c>
      <c r="AV191" s="6" t="b">
        <v>0</v>
      </c>
      <c r="AW191" s="6" t="b">
        <v>0</v>
      </c>
      <c r="AX191" s="6" t="b">
        <v>0</v>
      </c>
      <c r="AY191" s="6" t="b">
        <v>0</v>
      </c>
      <c r="AZ191" s="6" t="b">
        <v>0</v>
      </c>
      <c r="BA191" s="6" t="b">
        <v>0</v>
      </c>
      <c r="BB191" s="6" t="b">
        <v>0</v>
      </c>
    </row>
    <row r="192" spans="1:54" ht="15" x14ac:dyDescent="0.25">
      <c r="A192" s="3" t="s">
        <v>440</v>
      </c>
      <c r="B192" s="3" t="str">
        <f ca="1">IFERROR(__xludf.DUMMYFUNCTION("SPLIT(A192,""/"")"),"cr0hn")</f>
        <v>cr0hn</v>
      </c>
      <c r="C192" s="3" t="str">
        <f ca="1">IFERROR(__xludf.DUMMYFUNCTION("""COMPUTED_VALUE"""),"aiotasks")</f>
        <v>aiotasks</v>
      </c>
      <c r="D192" s="4" t="s">
        <v>441</v>
      </c>
      <c r="E192" s="5">
        <v>42752.619409722225</v>
      </c>
      <c r="F192" s="5">
        <v>44286.117199074077</v>
      </c>
      <c r="G192" s="13">
        <f t="shared" si="12"/>
        <v>1533.4977893518517</v>
      </c>
      <c r="H192" s="6" t="b">
        <v>0</v>
      </c>
      <c r="I192" s="6" t="b">
        <v>0</v>
      </c>
      <c r="J192" s="8">
        <v>375</v>
      </c>
      <c r="K192" s="8">
        <v>23</v>
      </c>
      <c r="L192" s="8">
        <v>29</v>
      </c>
      <c r="M192" s="8">
        <v>1</v>
      </c>
      <c r="N192" s="8">
        <v>0</v>
      </c>
      <c r="O192" s="8">
        <v>8</v>
      </c>
      <c r="P192" s="8">
        <v>6</v>
      </c>
      <c r="Q192" s="8">
        <v>0</v>
      </c>
      <c r="R192" s="8">
        <v>8</v>
      </c>
      <c r="S192" s="8">
        <v>5</v>
      </c>
      <c r="T192" s="3" t="s">
        <v>92</v>
      </c>
      <c r="U192" s="10">
        <v>2095</v>
      </c>
      <c r="V192" s="32">
        <v>16</v>
      </c>
      <c r="W192" s="27">
        <v>7.6372315035799524E-3</v>
      </c>
      <c r="X192" s="34">
        <v>3</v>
      </c>
      <c r="Y192" s="27">
        <v>0.1875</v>
      </c>
      <c r="Z192" s="27">
        <v>1.431980906921241E-3</v>
      </c>
      <c r="AA192" s="35">
        <v>0</v>
      </c>
      <c r="AB192" s="27">
        <v>0</v>
      </c>
      <c r="AC192" s="27">
        <f t="shared" si="13"/>
        <v>0</v>
      </c>
      <c r="AD192" s="36">
        <v>3</v>
      </c>
      <c r="AE192" s="27">
        <v>0.1875</v>
      </c>
      <c r="AF192" s="27">
        <f t="shared" si="14"/>
        <v>1.431980906921241E-3</v>
      </c>
      <c r="AG192" s="37">
        <v>9</v>
      </c>
      <c r="AH192" s="27">
        <v>0.5625</v>
      </c>
      <c r="AI192" s="27">
        <f t="shared" si="15"/>
        <v>4.2959427207637235E-3</v>
      </c>
      <c r="AJ192" s="38">
        <v>1</v>
      </c>
      <c r="AK192" s="27">
        <v>6.25E-2</v>
      </c>
      <c r="AL192" s="27">
        <f t="shared" si="16"/>
        <v>4.7732696897374703E-4</v>
      </c>
      <c r="AM192" s="40">
        <v>0</v>
      </c>
      <c r="AN192" s="27">
        <v>0</v>
      </c>
      <c r="AO192" s="27">
        <f t="shared" si="17"/>
        <v>0</v>
      </c>
      <c r="AP192" s="7" t="b">
        <v>1</v>
      </c>
      <c r="AQ192" s="6" t="b">
        <v>0</v>
      </c>
      <c r="AR192" s="6" t="b">
        <v>0</v>
      </c>
      <c r="AS192" s="6" t="b">
        <v>0</v>
      </c>
      <c r="AT192" s="7" t="b">
        <v>1</v>
      </c>
      <c r="AU192" s="6" t="b">
        <v>0</v>
      </c>
      <c r="AV192" s="6" t="b">
        <v>0</v>
      </c>
      <c r="AW192" s="6" t="b">
        <v>0</v>
      </c>
      <c r="AX192" s="6" t="b">
        <v>0</v>
      </c>
      <c r="AY192" s="6" t="b">
        <v>0</v>
      </c>
      <c r="AZ192" s="6" t="b">
        <v>0</v>
      </c>
      <c r="BA192" s="6" t="b">
        <v>0</v>
      </c>
      <c r="BB192" s="6" t="b">
        <v>0</v>
      </c>
    </row>
    <row r="193" spans="1:54" ht="15" x14ac:dyDescent="0.25">
      <c r="A193" s="3" t="s">
        <v>442</v>
      </c>
      <c r="B193" s="3" t="str">
        <f ca="1">IFERROR(__xludf.DUMMYFUNCTION("SPLIT(A193,""/"")"),"crccheck")</f>
        <v>crccheck</v>
      </c>
      <c r="C193" s="3" t="str">
        <f ca="1">IFERROR(__xludf.DUMMYFUNCTION("""COMPUTED_VALUE"""),"django-object-actions")</f>
        <v>django-object-actions</v>
      </c>
      <c r="D193" s="4" t="s">
        <v>443</v>
      </c>
      <c r="E193" s="5">
        <v>41202.788437499999</v>
      </c>
      <c r="F193" s="5">
        <v>44293.253993055558</v>
      </c>
      <c r="G193" s="13">
        <f t="shared" si="12"/>
        <v>3090.4655555555582</v>
      </c>
      <c r="H193" s="6" t="b">
        <v>0</v>
      </c>
      <c r="I193" s="6" t="b">
        <v>0</v>
      </c>
      <c r="J193" s="8">
        <v>375</v>
      </c>
      <c r="K193" s="8">
        <v>19</v>
      </c>
      <c r="L193" s="8">
        <v>58</v>
      </c>
      <c r="M193" s="8">
        <v>17</v>
      </c>
      <c r="N193" s="8">
        <v>1</v>
      </c>
      <c r="O193" s="8">
        <v>21</v>
      </c>
      <c r="P193" s="8">
        <v>69</v>
      </c>
      <c r="Q193" s="8">
        <v>2</v>
      </c>
      <c r="R193" s="8">
        <v>48</v>
      </c>
      <c r="S193" s="8">
        <v>21</v>
      </c>
      <c r="T193" s="3" t="s">
        <v>69</v>
      </c>
      <c r="U193" s="10">
        <v>580</v>
      </c>
      <c r="V193" s="32">
        <v>1</v>
      </c>
      <c r="W193" s="27">
        <v>1.7241379310344827E-3</v>
      </c>
      <c r="X193" s="34">
        <v>0</v>
      </c>
      <c r="Y193" s="27">
        <v>0</v>
      </c>
      <c r="Z193" s="27">
        <v>0</v>
      </c>
      <c r="AA193" s="35">
        <v>1</v>
      </c>
      <c r="AB193" s="27">
        <v>1</v>
      </c>
      <c r="AC193" s="27">
        <f t="shared" si="13"/>
        <v>1.7241379310344827E-3</v>
      </c>
      <c r="AD193" s="36">
        <v>0</v>
      </c>
      <c r="AE193" s="27">
        <v>0</v>
      </c>
      <c r="AF193" s="27">
        <f t="shared" si="14"/>
        <v>0</v>
      </c>
      <c r="AG193" s="37">
        <v>0</v>
      </c>
      <c r="AH193" s="27">
        <v>0</v>
      </c>
      <c r="AI193" s="27">
        <f t="shared" si="15"/>
        <v>0</v>
      </c>
      <c r="AJ193" s="38">
        <v>0</v>
      </c>
      <c r="AK193" s="27">
        <v>0</v>
      </c>
      <c r="AL193" s="27">
        <f t="shared" si="16"/>
        <v>0</v>
      </c>
      <c r="AM193" s="40">
        <v>0</v>
      </c>
      <c r="AN193" s="27">
        <v>0</v>
      </c>
      <c r="AO193" s="27">
        <f t="shared" si="17"/>
        <v>0</v>
      </c>
      <c r="AP193" s="7" t="b">
        <v>1</v>
      </c>
      <c r="AQ193" s="6" t="b">
        <v>0</v>
      </c>
      <c r="AR193" s="6" t="b">
        <v>0</v>
      </c>
      <c r="AS193" s="6" t="b">
        <v>0</v>
      </c>
      <c r="AT193" s="7" t="b">
        <v>1</v>
      </c>
      <c r="AU193" s="6" t="b">
        <v>0</v>
      </c>
      <c r="AV193" s="6" t="b">
        <v>0</v>
      </c>
      <c r="AW193" s="6" t="b">
        <v>0</v>
      </c>
      <c r="AX193" s="6" t="b">
        <v>0</v>
      </c>
      <c r="AY193" s="6" t="b">
        <v>0</v>
      </c>
      <c r="AZ193" s="6" t="b">
        <v>0</v>
      </c>
      <c r="BA193" s="6" t="b">
        <v>0</v>
      </c>
      <c r="BB193" s="6" t="b">
        <v>0</v>
      </c>
    </row>
    <row r="194" spans="1:54" ht="15" x14ac:dyDescent="0.25">
      <c r="A194" s="3" t="s">
        <v>444</v>
      </c>
      <c r="B194" s="3" t="str">
        <f ca="1">IFERROR(__xludf.DUMMYFUNCTION("SPLIT(A194,""/"")"),"CryptoSignal")</f>
        <v>CryptoSignal</v>
      </c>
      <c r="C194" s="3" t="str">
        <f ca="1">IFERROR(__xludf.DUMMYFUNCTION("""COMPUTED_VALUE"""),"Crypto-Signal")</f>
        <v>Crypto-Signal</v>
      </c>
      <c r="D194" s="4" t="s">
        <v>445</v>
      </c>
      <c r="E194" s="5">
        <v>42994.992638888885</v>
      </c>
      <c r="F194" s="5">
        <v>44295.047800925924</v>
      </c>
      <c r="G194" s="13">
        <f t="shared" si="12"/>
        <v>1300.0551620370388</v>
      </c>
      <c r="H194" s="6" t="b">
        <v>0</v>
      </c>
      <c r="I194" s="7" t="b">
        <v>1</v>
      </c>
      <c r="J194" s="8">
        <v>2840</v>
      </c>
      <c r="K194" s="8">
        <v>282</v>
      </c>
      <c r="L194" s="8">
        <v>740</v>
      </c>
      <c r="M194" s="8">
        <v>0</v>
      </c>
      <c r="N194" s="8">
        <v>5</v>
      </c>
      <c r="O194" s="8">
        <v>20</v>
      </c>
      <c r="P194" s="8">
        <v>192</v>
      </c>
      <c r="Q194" s="8">
        <v>5</v>
      </c>
      <c r="R194" s="8">
        <v>228</v>
      </c>
      <c r="S194" s="8">
        <v>36</v>
      </c>
      <c r="T194" s="3" t="s">
        <v>72</v>
      </c>
      <c r="U194" s="10">
        <v>1059</v>
      </c>
      <c r="V194" s="32">
        <v>30</v>
      </c>
      <c r="W194" s="27">
        <v>2.8328611898016998E-2</v>
      </c>
      <c r="X194" s="34">
        <v>5</v>
      </c>
      <c r="Y194" s="27">
        <v>0.16666666666666666</v>
      </c>
      <c r="Z194" s="27">
        <v>4.721435316336166E-3</v>
      </c>
      <c r="AA194" s="35">
        <v>12</v>
      </c>
      <c r="AB194" s="27">
        <v>0.4</v>
      </c>
      <c r="AC194" s="27">
        <f t="shared" si="13"/>
        <v>1.1331444759206799E-2</v>
      </c>
      <c r="AD194" s="36">
        <v>6</v>
      </c>
      <c r="AE194" s="27">
        <v>0.2</v>
      </c>
      <c r="AF194" s="27">
        <f t="shared" si="14"/>
        <v>5.6657223796033997E-3</v>
      </c>
      <c r="AG194" s="37">
        <v>7</v>
      </c>
      <c r="AH194" s="27">
        <v>0.23333333333333334</v>
      </c>
      <c r="AI194" s="27">
        <f t="shared" si="15"/>
        <v>6.6100094428706326E-3</v>
      </c>
      <c r="AJ194" s="38">
        <v>0</v>
      </c>
      <c r="AK194" s="27">
        <v>0</v>
      </c>
      <c r="AL194" s="27">
        <f t="shared" si="16"/>
        <v>0</v>
      </c>
      <c r="AM194" s="40">
        <v>0</v>
      </c>
      <c r="AN194" s="27">
        <v>0</v>
      </c>
      <c r="AO194" s="27">
        <f t="shared" si="17"/>
        <v>0</v>
      </c>
      <c r="AP194" s="7" t="b">
        <v>1</v>
      </c>
      <c r="AQ194" s="7" t="b">
        <v>1</v>
      </c>
      <c r="AR194" s="6" t="b">
        <v>0</v>
      </c>
      <c r="AS194" s="6" t="b">
        <v>0</v>
      </c>
      <c r="AT194" s="7" t="b">
        <v>1</v>
      </c>
      <c r="AU194" s="6" t="b">
        <v>0</v>
      </c>
      <c r="AV194" s="6" t="b">
        <v>0</v>
      </c>
      <c r="AW194" s="6" t="b">
        <v>0</v>
      </c>
      <c r="AX194" s="6" t="b">
        <v>0</v>
      </c>
      <c r="AY194" s="6" t="b">
        <v>0</v>
      </c>
      <c r="AZ194" s="6" t="b">
        <v>0</v>
      </c>
      <c r="BA194" s="7" t="b">
        <v>1</v>
      </c>
      <c r="BB194" s="6" t="b">
        <v>0</v>
      </c>
    </row>
    <row r="195" spans="1:54" ht="15" x14ac:dyDescent="0.25">
      <c r="A195" s="3" t="s">
        <v>446</v>
      </c>
      <c r="B195" s="3" t="str">
        <f ca="1">IFERROR(__xludf.DUMMYFUNCTION("SPLIT(A195,""/"")"),"crytic")</f>
        <v>crytic</v>
      </c>
      <c r="C195" s="3" t="str">
        <f ca="1">IFERROR(__xludf.DUMMYFUNCTION("""COMPUTED_VALUE"""),"slither")</f>
        <v>slither</v>
      </c>
      <c r="D195" s="4" t="s">
        <v>447</v>
      </c>
      <c r="E195" s="5">
        <v>43348.914293981485</v>
      </c>
      <c r="F195" s="5">
        <v>44294.88548611111</v>
      </c>
      <c r="G195" s="13">
        <f t="shared" ref="G195:G258" si="18">F195-E195</f>
        <v>945.97119212962571</v>
      </c>
      <c r="H195" s="6" t="b">
        <v>0</v>
      </c>
      <c r="I195" s="7" t="b">
        <v>1</v>
      </c>
      <c r="J195" s="8">
        <v>788</v>
      </c>
      <c r="K195" s="8">
        <v>35</v>
      </c>
      <c r="L195" s="8">
        <v>178</v>
      </c>
      <c r="M195" s="8">
        <v>25</v>
      </c>
      <c r="N195" s="8">
        <v>1</v>
      </c>
      <c r="O195" s="8">
        <v>51</v>
      </c>
      <c r="P195" s="8">
        <v>410</v>
      </c>
      <c r="Q195" s="8">
        <v>15</v>
      </c>
      <c r="R195" s="8">
        <v>411</v>
      </c>
      <c r="S195" s="8">
        <v>154</v>
      </c>
      <c r="T195" s="3" t="s">
        <v>366</v>
      </c>
      <c r="U195" s="10">
        <v>23662</v>
      </c>
      <c r="V195" s="32">
        <v>158</v>
      </c>
      <c r="W195" s="27">
        <v>6.6773730031273772E-3</v>
      </c>
      <c r="X195" s="34">
        <v>0</v>
      </c>
      <c r="Y195" s="27">
        <v>0</v>
      </c>
      <c r="Z195" s="27">
        <v>0</v>
      </c>
      <c r="AA195" s="35">
        <v>104</v>
      </c>
      <c r="AB195" s="27">
        <v>0.65822784810126578</v>
      </c>
      <c r="AC195" s="27">
        <f t="shared" ref="AC195:AC258" si="19">AA195/U195</f>
        <v>4.3952328628180208E-3</v>
      </c>
      <c r="AD195" s="36">
        <v>1</v>
      </c>
      <c r="AE195" s="27">
        <v>6.3291139240506328E-3</v>
      </c>
      <c r="AF195" s="27">
        <f t="shared" ref="AF195:AF258" si="20">AD195/U195</f>
        <v>4.2261854450173275E-5</v>
      </c>
      <c r="AG195" s="37">
        <v>51</v>
      </c>
      <c r="AH195" s="27">
        <v>0.32278481012658228</v>
      </c>
      <c r="AI195" s="27">
        <f t="shared" ref="AI195:AI258" si="21">AG195/U195</f>
        <v>2.155354576958837E-3</v>
      </c>
      <c r="AJ195" s="38">
        <v>0</v>
      </c>
      <c r="AK195" s="27">
        <v>0</v>
      </c>
      <c r="AL195" s="27">
        <f t="shared" ref="AL195:AL258" si="22">AJ195/U195</f>
        <v>0</v>
      </c>
      <c r="AM195" s="40">
        <v>0</v>
      </c>
      <c r="AN195" s="27">
        <v>0</v>
      </c>
      <c r="AO195" s="27">
        <f t="shared" ref="AO195:AO258" si="23">AM195/U195</f>
        <v>0</v>
      </c>
      <c r="AP195" s="7" t="b">
        <v>1</v>
      </c>
      <c r="AQ195" s="6" t="b">
        <v>0</v>
      </c>
      <c r="AR195" s="6" t="b">
        <v>0</v>
      </c>
      <c r="AS195" s="6" t="b">
        <v>0</v>
      </c>
      <c r="AT195" s="7" t="b">
        <v>1</v>
      </c>
      <c r="AU195" s="6" t="b">
        <v>0</v>
      </c>
      <c r="AV195" s="6" t="b">
        <v>0</v>
      </c>
      <c r="AW195" s="6" t="b">
        <v>0</v>
      </c>
      <c r="AX195" s="6" t="b">
        <v>0</v>
      </c>
      <c r="AY195" s="6" t="b">
        <v>0</v>
      </c>
      <c r="AZ195" s="6" t="b">
        <v>0</v>
      </c>
      <c r="BA195" s="6" t="b">
        <v>0</v>
      </c>
      <c r="BB195" s="6" t="b">
        <v>0</v>
      </c>
    </row>
    <row r="196" spans="1:54" ht="15" x14ac:dyDescent="0.25">
      <c r="A196" s="3" t="s">
        <v>448</v>
      </c>
      <c r="B196" s="3" t="str">
        <f ca="1">IFERROR(__xludf.DUMMYFUNCTION("SPLIT(A196,""/"")"),"csxmli2016")</f>
        <v>csxmli2016</v>
      </c>
      <c r="C196" s="3" t="str">
        <f ca="1">IFERROR(__xludf.DUMMYFUNCTION("""COMPUTED_VALUE"""),"DFDNet")</f>
        <v>DFDNet</v>
      </c>
      <c r="D196" s="4" t="s">
        <v>449</v>
      </c>
      <c r="E196" s="5">
        <v>44018.094039351854</v>
      </c>
      <c r="F196" s="5">
        <v>44295.154664351852</v>
      </c>
      <c r="G196" s="13">
        <f t="shared" si="18"/>
        <v>277.06062499999825</v>
      </c>
      <c r="H196" s="6" t="b">
        <v>0</v>
      </c>
      <c r="I196" s="6" t="b">
        <v>0</v>
      </c>
      <c r="J196" s="8">
        <v>543</v>
      </c>
      <c r="K196" s="8">
        <v>32</v>
      </c>
      <c r="L196" s="8">
        <v>130</v>
      </c>
      <c r="M196" s="8">
        <v>0</v>
      </c>
      <c r="N196" s="8">
        <v>0</v>
      </c>
      <c r="O196" s="8">
        <v>2</v>
      </c>
      <c r="P196" s="8">
        <v>2</v>
      </c>
      <c r="Q196" s="8">
        <v>0</v>
      </c>
      <c r="R196" s="8">
        <v>69</v>
      </c>
      <c r="S196" s="8">
        <v>19</v>
      </c>
      <c r="T196" s="11" t="s">
        <v>52</v>
      </c>
      <c r="U196" s="10">
        <v>3327</v>
      </c>
      <c r="V196" s="32">
        <v>8</v>
      </c>
      <c r="W196" s="27">
        <v>2.4045686804929365E-3</v>
      </c>
      <c r="X196" s="34">
        <v>0</v>
      </c>
      <c r="Y196" s="27">
        <v>0</v>
      </c>
      <c r="Z196" s="27">
        <v>0</v>
      </c>
      <c r="AA196" s="35">
        <v>5</v>
      </c>
      <c r="AB196" s="27">
        <v>0.625</v>
      </c>
      <c r="AC196" s="27">
        <f t="shared" si="19"/>
        <v>1.5028554253080854E-3</v>
      </c>
      <c r="AD196" s="36">
        <v>1</v>
      </c>
      <c r="AE196" s="27">
        <v>0.125</v>
      </c>
      <c r="AF196" s="27">
        <f t="shared" si="20"/>
        <v>3.0057108506161706E-4</v>
      </c>
      <c r="AG196" s="37">
        <v>2</v>
      </c>
      <c r="AH196" s="27">
        <v>0.25</v>
      </c>
      <c r="AI196" s="27">
        <f t="shared" si="21"/>
        <v>6.0114217012323412E-4</v>
      </c>
      <c r="AJ196" s="38">
        <v>0</v>
      </c>
      <c r="AK196" s="27">
        <v>0</v>
      </c>
      <c r="AL196" s="27">
        <f t="shared" si="22"/>
        <v>0</v>
      </c>
      <c r="AM196" s="40">
        <v>0</v>
      </c>
      <c r="AN196" s="27">
        <v>0</v>
      </c>
      <c r="AO196" s="27">
        <f t="shared" si="23"/>
        <v>0</v>
      </c>
      <c r="AP196" s="7" t="b">
        <v>1</v>
      </c>
      <c r="AQ196" s="6" t="b">
        <v>0</v>
      </c>
      <c r="AR196" s="6" t="b">
        <v>0</v>
      </c>
      <c r="AS196" s="6" t="b">
        <v>0</v>
      </c>
      <c r="AT196" s="7" t="b">
        <v>1</v>
      </c>
      <c r="AU196" s="6" t="b">
        <v>0</v>
      </c>
      <c r="AV196" s="6" t="b">
        <v>0</v>
      </c>
      <c r="AW196" s="6" t="b">
        <v>0</v>
      </c>
      <c r="AX196" s="6" t="b">
        <v>0</v>
      </c>
      <c r="AY196" s="6" t="b">
        <v>0</v>
      </c>
      <c r="AZ196" s="6" t="b">
        <v>0</v>
      </c>
      <c r="BA196" s="6" t="b">
        <v>0</v>
      </c>
      <c r="BB196" s="6" t="b">
        <v>0</v>
      </c>
    </row>
    <row r="197" spans="1:54" ht="15" x14ac:dyDescent="0.25">
      <c r="A197" s="3" t="s">
        <v>450</v>
      </c>
      <c r="B197" s="3" t="str">
        <f ca="1">IFERROR(__xludf.DUMMYFUNCTION("SPLIT(A197,""/"")"),"ctf-wiki")</f>
        <v>ctf-wiki</v>
      </c>
      <c r="C197" s="3" t="str">
        <f ca="1">IFERROR(__xludf.DUMMYFUNCTION("""COMPUTED_VALUE"""),"ctf-wiki")</f>
        <v>ctf-wiki</v>
      </c>
      <c r="D197" s="4" t="s">
        <v>451</v>
      </c>
      <c r="E197" s="5">
        <v>42890.64534722222</v>
      </c>
      <c r="F197" s="5">
        <v>44295.074340277781</v>
      </c>
      <c r="G197" s="13">
        <f t="shared" si="18"/>
        <v>1404.4289930555606</v>
      </c>
      <c r="H197" s="6" t="b">
        <v>0</v>
      </c>
      <c r="I197" s="7" t="b">
        <v>1</v>
      </c>
      <c r="J197" s="8">
        <v>4411</v>
      </c>
      <c r="K197" s="8">
        <v>156</v>
      </c>
      <c r="L197" s="8">
        <v>936</v>
      </c>
      <c r="M197" s="8">
        <v>0</v>
      </c>
      <c r="N197" s="8">
        <v>6</v>
      </c>
      <c r="O197" s="8">
        <v>114</v>
      </c>
      <c r="P197" s="8">
        <v>610</v>
      </c>
      <c r="Q197" s="8">
        <v>8</v>
      </c>
      <c r="R197" s="8">
        <v>155</v>
      </c>
      <c r="S197" s="8">
        <v>49</v>
      </c>
      <c r="T197" s="3" t="s">
        <v>92</v>
      </c>
      <c r="U197" s="10">
        <v>399</v>
      </c>
      <c r="V197" s="32">
        <v>6</v>
      </c>
      <c r="W197" s="27">
        <v>1.5037593984962405E-2</v>
      </c>
      <c r="X197" s="34">
        <v>0</v>
      </c>
      <c r="Y197" s="27">
        <v>0</v>
      </c>
      <c r="Z197" s="27">
        <v>0</v>
      </c>
      <c r="AA197" s="35">
        <v>3</v>
      </c>
      <c r="AB197" s="27">
        <v>0.5</v>
      </c>
      <c r="AC197" s="27">
        <f t="shared" si="19"/>
        <v>7.5187969924812026E-3</v>
      </c>
      <c r="AD197" s="36">
        <v>0</v>
      </c>
      <c r="AE197" s="27">
        <v>0</v>
      </c>
      <c r="AF197" s="27">
        <f t="shared" si="20"/>
        <v>0</v>
      </c>
      <c r="AG197" s="37">
        <v>3</v>
      </c>
      <c r="AH197" s="27">
        <v>0.5</v>
      </c>
      <c r="AI197" s="27">
        <f t="shared" si="21"/>
        <v>7.5187969924812026E-3</v>
      </c>
      <c r="AJ197" s="38">
        <v>0</v>
      </c>
      <c r="AK197" s="27">
        <v>0</v>
      </c>
      <c r="AL197" s="27">
        <f t="shared" si="22"/>
        <v>0</v>
      </c>
      <c r="AM197" s="40">
        <v>0</v>
      </c>
      <c r="AN197" s="27">
        <v>0</v>
      </c>
      <c r="AO197" s="27">
        <f t="shared" si="23"/>
        <v>0</v>
      </c>
      <c r="AP197" s="7" t="b">
        <v>1</v>
      </c>
      <c r="AQ197" s="6" t="b">
        <v>0</v>
      </c>
      <c r="AR197" s="6" t="b">
        <v>0</v>
      </c>
      <c r="AS197" s="6" t="b">
        <v>0</v>
      </c>
      <c r="AT197" s="7" t="b">
        <v>1</v>
      </c>
      <c r="AU197" s="6" t="b">
        <v>0</v>
      </c>
      <c r="AV197" s="6" t="b">
        <v>0</v>
      </c>
      <c r="AW197" s="6" t="b">
        <v>0</v>
      </c>
      <c r="AX197" s="6" t="b">
        <v>0</v>
      </c>
      <c r="AY197" s="6" t="b">
        <v>0</v>
      </c>
      <c r="AZ197" s="6" t="b">
        <v>0</v>
      </c>
      <c r="BA197" s="6" t="b">
        <v>0</v>
      </c>
      <c r="BB197" s="6" t="b">
        <v>0</v>
      </c>
    </row>
    <row r="198" spans="1:54" ht="15" x14ac:dyDescent="0.25">
      <c r="A198" s="3" t="s">
        <v>452</v>
      </c>
      <c r="B198" s="3" t="str">
        <f ca="1">IFERROR(__xludf.DUMMYFUNCTION("SPLIT(A198,""/"")"),"CTFd")</f>
        <v>CTFd</v>
      </c>
      <c r="C198" s="3" t="str">
        <f ca="1">IFERROR(__xludf.DUMMYFUNCTION("""COMPUTED_VALUE"""),"CTFd")</f>
        <v>CTFd</v>
      </c>
      <c r="D198" s="4" t="s">
        <v>453</v>
      </c>
      <c r="E198" s="5">
        <v>42005.233969907407</v>
      </c>
      <c r="F198" s="5">
        <v>44295.119363425925</v>
      </c>
      <c r="G198" s="13">
        <f t="shared" si="18"/>
        <v>2289.885393518518</v>
      </c>
      <c r="H198" s="6" t="b">
        <v>0</v>
      </c>
      <c r="I198" s="7" t="b">
        <v>1</v>
      </c>
      <c r="J198" s="8">
        <v>3302</v>
      </c>
      <c r="K198" s="8">
        <v>111</v>
      </c>
      <c r="L198" s="8">
        <v>1134</v>
      </c>
      <c r="M198" s="8">
        <v>46</v>
      </c>
      <c r="N198" s="8">
        <v>16</v>
      </c>
      <c r="O198" s="8">
        <v>83</v>
      </c>
      <c r="P198" s="8">
        <v>954</v>
      </c>
      <c r="Q198" s="8">
        <v>19</v>
      </c>
      <c r="R198" s="8">
        <v>904</v>
      </c>
      <c r="S198" s="8">
        <v>169</v>
      </c>
      <c r="T198" s="3" t="s">
        <v>69</v>
      </c>
      <c r="U198" s="10">
        <v>18310</v>
      </c>
      <c r="V198" s="32">
        <v>2</v>
      </c>
      <c r="W198" s="27">
        <v>1.0922992900054615E-4</v>
      </c>
      <c r="X198" s="34">
        <v>0</v>
      </c>
      <c r="Y198" s="27">
        <v>0</v>
      </c>
      <c r="Z198" s="27">
        <v>0</v>
      </c>
      <c r="AA198" s="35">
        <v>2</v>
      </c>
      <c r="AB198" s="27">
        <v>1</v>
      </c>
      <c r="AC198" s="27">
        <f t="shared" si="19"/>
        <v>1.0922992900054615E-4</v>
      </c>
      <c r="AD198" s="36">
        <v>0</v>
      </c>
      <c r="AE198" s="27">
        <v>0</v>
      </c>
      <c r="AF198" s="27">
        <f t="shared" si="20"/>
        <v>0</v>
      </c>
      <c r="AG198" s="37">
        <v>0</v>
      </c>
      <c r="AH198" s="27">
        <v>0</v>
      </c>
      <c r="AI198" s="27">
        <f t="shared" si="21"/>
        <v>0</v>
      </c>
      <c r="AJ198" s="38">
        <v>0</v>
      </c>
      <c r="AK198" s="27">
        <v>0</v>
      </c>
      <c r="AL198" s="27">
        <f t="shared" si="22"/>
        <v>0</v>
      </c>
      <c r="AM198" s="40">
        <v>0</v>
      </c>
      <c r="AN198" s="27">
        <v>0</v>
      </c>
      <c r="AO198" s="27">
        <f t="shared" si="23"/>
        <v>0</v>
      </c>
      <c r="AP198" s="7" t="b">
        <v>1</v>
      </c>
      <c r="AQ198" s="7" t="b">
        <v>1</v>
      </c>
      <c r="AR198" s="6" t="b">
        <v>0</v>
      </c>
      <c r="AS198" s="6" t="b">
        <v>0</v>
      </c>
      <c r="AT198" s="7" t="b">
        <v>1</v>
      </c>
      <c r="AU198" s="6" t="b">
        <v>0</v>
      </c>
      <c r="AV198" s="6" t="b">
        <v>0</v>
      </c>
      <c r="AW198" s="6" t="b">
        <v>0</v>
      </c>
      <c r="AX198" s="6" t="b">
        <v>0</v>
      </c>
      <c r="AY198" s="6" t="b">
        <v>0</v>
      </c>
      <c r="AZ198" s="6" t="b">
        <v>0</v>
      </c>
      <c r="BA198" s="6" t="b">
        <v>0</v>
      </c>
      <c r="BB198" s="6" t="b">
        <v>0</v>
      </c>
    </row>
    <row r="199" spans="1:54" ht="15" x14ac:dyDescent="0.25">
      <c r="A199" s="3" t="s">
        <v>454</v>
      </c>
      <c r="B199" s="3" t="str">
        <f ca="1">IFERROR(__xludf.DUMMYFUNCTION("SPLIT(A199,""/"")"),"cvg")</f>
        <v>cvg</v>
      </c>
      <c r="C199" s="3" t="str">
        <f ca="1">IFERROR(__xludf.DUMMYFUNCTION("""COMPUTED_VALUE"""),"Hierarchical-Localization")</f>
        <v>Hierarchical-Localization</v>
      </c>
      <c r="D199" s="4" t="s">
        <v>455</v>
      </c>
      <c r="E199" s="5">
        <v>44028.309432870374</v>
      </c>
      <c r="F199" s="5">
        <v>44293.849490740744</v>
      </c>
      <c r="G199" s="13">
        <f t="shared" si="18"/>
        <v>265.54005787037022</v>
      </c>
      <c r="H199" s="6" t="b">
        <v>0</v>
      </c>
      <c r="I199" s="7" t="b">
        <v>1</v>
      </c>
      <c r="J199" s="8">
        <v>1033</v>
      </c>
      <c r="K199" s="8">
        <v>66</v>
      </c>
      <c r="L199" s="8">
        <v>137</v>
      </c>
      <c r="M199" s="8">
        <v>0</v>
      </c>
      <c r="N199" s="8">
        <v>0</v>
      </c>
      <c r="O199" s="8">
        <v>8</v>
      </c>
      <c r="P199" s="8">
        <v>19</v>
      </c>
      <c r="Q199" s="8">
        <v>7</v>
      </c>
      <c r="R199" s="8">
        <v>43</v>
      </c>
      <c r="S199" s="8">
        <v>9</v>
      </c>
      <c r="T199" s="3" t="s">
        <v>69</v>
      </c>
      <c r="U199" s="10">
        <v>1738</v>
      </c>
      <c r="V199" s="32">
        <v>53</v>
      </c>
      <c r="W199" s="27">
        <v>3.0494821634062141E-2</v>
      </c>
      <c r="X199" s="34">
        <v>0</v>
      </c>
      <c r="Y199" s="27">
        <v>0</v>
      </c>
      <c r="Z199" s="27">
        <v>0</v>
      </c>
      <c r="AA199" s="35">
        <v>45</v>
      </c>
      <c r="AB199" s="27">
        <v>0.84905660377358494</v>
      </c>
      <c r="AC199" s="27">
        <f t="shared" si="19"/>
        <v>2.5891829689298044E-2</v>
      </c>
      <c r="AD199" s="36">
        <v>7</v>
      </c>
      <c r="AE199" s="27">
        <v>0.13207547169811321</v>
      </c>
      <c r="AF199" s="27">
        <f t="shared" si="20"/>
        <v>4.0276179516685849E-3</v>
      </c>
      <c r="AG199" s="37">
        <v>1</v>
      </c>
      <c r="AH199" s="27">
        <v>1.8867924528301886E-2</v>
      </c>
      <c r="AI199" s="27">
        <f t="shared" si="21"/>
        <v>5.7537399309551208E-4</v>
      </c>
      <c r="AJ199" s="38">
        <v>0</v>
      </c>
      <c r="AK199" s="27">
        <v>0</v>
      </c>
      <c r="AL199" s="27">
        <f t="shared" si="22"/>
        <v>0</v>
      </c>
      <c r="AM199" s="40">
        <v>0</v>
      </c>
      <c r="AN199" s="27">
        <v>0</v>
      </c>
      <c r="AO199" s="27">
        <f t="shared" si="23"/>
        <v>0</v>
      </c>
      <c r="AP199" s="7" t="b">
        <v>1</v>
      </c>
      <c r="AQ199" s="6" t="b">
        <v>0</v>
      </c>
      <c r="AR199" s="6" t="b">
        <v>0</v>
      </c>
      <c r="AS199" s="6" t="b">
        <v>0</v>
      </c>
      <c r="AT199" s="7" t="b">
        <v>1</v>
      </c>
      <c r="AU199" s="6" t="b">
        <v>0</v>
      </c>
      <c r="AV199" s="6" t="b">
        <v>0</v>
      </c>
      <c r="AW199" s="6" t="b">
        <v>0</v>
      </c>
      <c r="AX199" s="6" t="b">
        <v>0</v>
      </c>
      <c r="AY199" s="6" t="b">
        <v>0</v>
      </c>
      <c r="AZ199" s="6" t="b">
        <v>0</v>
      </c>
      <c r="BA199" s="6" t="b">
        <v>0</v>
      </c>
      <c r="BB199" s="6" t="b">
        <v>0</v>
      </c>
    </row>
    <row r="200" spans="1:54" ht="15" x14ac:dyDescent="0.25">
      <c r="A200" s="3" t="s">
        <v>456</v>
      </c>
      <c r="B200" s="3" t="str">
        <f ca="1">IFERROR(__xludf.DUMMYFUNCTION("SPLIT(A200,""/"")"),"cyrildiagne")</f>
        <v>cyrildiagne</v>
      </c>
      <c r="C200" s="3" t="str">
        <f ca="1">IFERROR(__xludf.DUMMYFUNCTION("""COMPUTED_VALUE"""),"basnet-http")</f>
        <v>basnet-http</v>
      </c>
      <c r="D200" s="4" t="s">
        <v>457</v>
      </c>
      <c r="E200" s="5">
        <v>43952.459722222222</v>
      </c>
      <c r="F200" s="5">
        <v>44294.691296296296</v>
      </c>
      <c r="G200" s="13">
        <f t="shared" si="18"/>
        <v>342.23157407407416</v>
      </c>
      <c r="H200" s="6" t="b">
        <v>0</v>
      </c>
      <c r="I200" s="6" t="b">
        <v>0</v>
      </c>
      <c r="J200" s="8">
        <v>423</v>
      </c>
      <c r="K200" s="8">
        <v>16</v>
      </c>
      <c r="L200" s="8">
        <v>60</v>
      </c>
      <c r="M200" s="8">
        <v>0</v>
      </c>
      <c r="N200" s="8">
        <v>0</v>
      </c>
      <c r="O200" s="8">
        <v>2</v>
      </c>
      <c r="P200" s="8">
        <v>2</v>
      </c>
      <c r="Q200" s="8">
        <v>1</v>
      </c>
      <c r="R200" s="8">
        <v>13</v>
      </c>
      <c r="S200" s="8">
        <v>0</v>
      </c>
      <c r="T200" s="3" t="s">
        <v>72</v>
      </c>
      <c r="U200" s="10">
        <v>106</v>
      </c>
      <c r="V200" s="32">
        <v>1</v>
      </c>
      <c r="W200" s="27">
        <v>9.433962264150943E-3</v>
      </c>
      <c r="X200" s="34">
        <v>0</v>
      </c>
      <c r="Y200" s="27">
        <v>0</v>
      </c>
      <c r="Z200" s="27">
        <v>0</v>
      </c>
      <c r="AA200" s="35">
        <v>1</v>
      </c>
      <c r="AB200" s="27">
        <v>1</v>
      </c>
      <c r="AC200" s="27">
        <f t="shared" si="19"/>
        <v>9.433962264150943E-3</v>
      </c>
      <c r="AD200" s="36">
        <v>0</v>
      </c>
      <c r="AE200" s="27">
        <v>0</v>
      </c>
      <c r="AF200" s="27">
        <f t="shared" si="20"/>
        <v>0</v>
      </c>
      <c r="AG200" s="37">
        <v>0</v>
      </c>
      <c r="AH200" s="27">
        <v>0</v>
      </c>
      <c r="AI200" s="27">
        <f t="shared" si="21"/>
        <v>0</v>
      </c>
      <c r="AJ200" s="38">
        <v>0</v>
      </c>
      <c r="AK200" s="27">
        <v>0</v>
      </c>
      <c r="AL200" s="27">
        <f t="shared" si="22"/>
        <v>0</v>
      </c>
      <c r="AM200" s="40">
        <v>0</v>
      </c>
      <c r="AN200" s="27">
        <v>0</v>
      </c>
      <c r="AO200" s="27">
        <f t="shared" si="23"/>
        <v>0</v>
      </c>
      <c r="AP200" s="7" t="b">
        <v>1</v>
      </c>
      <c r="AQ200" s="6" t="b">
        <v>0</v>
      </c>
      <c r="AR200" s="6" t="b">
        <v>0</v>
      </c>
      <c r="AS200" s="6" t="b">
        <v>0</v>
      </c>
      <c r="AT200" s="7" t="b">
        <v>1</v>
      </c>
      <c r="AU200" s="6" t="b">
        <v>0</v>
      </c>
      <c r="AV200" s="6" t="b">
        <v>0</v>
      </c>
      <c r="AW200" s="6" t="b">
        <v>0</v>
      </c>
      <c r="AX200" s="6" t="b">
        <v>0</v>
      </c>
      <c r="AY200" s="6" t="b">
        <v>0</v>
      </c>
      <c r="AZ200" s="6" t="b">
        <v>0</v>
      </c>
      <c r="BA200" s="6" t="b">
        <v>0</v>
      </c>
      <c r="BB200" s="6" t="b">
        <v>0</v>
      </c>
    </row>
    <row r="201" spans="1:54" ht="15" x14ac:dyDescent="0.25">
      <c r="A201" s="3" t="s">
        <v>458</v>
      </c>
      <c r="B201" s="3" t="str">
        <f ca="1">IFERROR(__xludf.DUMMYFUNCTION("SPLIT(A201,""/"")"),"D0g3-Lab")</f>
        <v>D0g3-Lab</v>
      </c>
      <c r="C201" s="3" t="str">
        <f ca="1">IFERROR(__xludf.DUMMYFUNCTION("""COMPUTED_VALUE"""),"H1ve")</f>
        <v>H1ve</v>
      </c>
      <c r="D201" s="4" t="s">
        <v>459</v>
      </c>
      <c r="E201" s="5">
        <v>43791.157071759262</v>
      </c>
      <c r="F201" s="5">
        <v>44292.541145833333</v>
      </c>
      <c r="G201" s="13">
        <f t="shared" si="18"/>
        <v>501.38407407407067</v>
      </c>
      <c r="H201" s="6" t="b">
        <v>0</v>
      </c>
      <c r="I201" s="7" t="b">
        <v>1</v>
      </c>
      <c r="J201" s="8">
        <v>372</v>
      </c>
      <c r="K201" s="8">
        <v>11</v>
      </c>
      <c r="L201" s="8">
        <v>89</v>
      </c>
      <c r="M201" s="8">
        <v>3</v>
      </c>
      <c r="N201" s="8">
        <v>0</v>
      </c>
      <c r="O201" s="8">
        <v>3</v>
      </c>
      <c r="P201" s="8">
        <v>22</v>
      </c>
      <c r="Q201" s="8">
        <v>11</v>
      </c>
      <c r="R201" s="8">
        <v>47</v>
      </c>
      <c r="S201" s="8">
        <v>38</v>
      </c>
      <c r="T201" s="3" t="s">
        <v>69</v>
      </c>
      <c r="U201" s="10">
        <v>9547</v>
      </c>
      <c r="V201" s="32">
        <v>4</v>
      </c>
      <c r="W201" s="27">
        <v>4.1897978422541111E-4</v>
      </c>
      <c r="X201" s="34">
        <v>0</v>
      </c>
      <c r="Y201" s="27">
        <v>0</v>
      </c>
      <c r="Z201" s="27">
        <v>0</v>
      </c>
      <c r="AA201" s="35">
        <v>2</v>
      </c>
      <c r="AB201" s="27">
        <v>0.5</v>
      </c>
      <c r="AC201" s="27">
        <f t="shared" si="19"/>
        <v>2.0948989211270555E-4</v>
      </c>
      <c r="AD201" s="36">
        <v>0</v>
      </c>
      <c r="AE201" s="27">
        <v>0</v>
      </c>
      <c r="AF201" s="27">
        <f t="shared" si="20"/>
        <v>0</v>
      </c>
      <c r="AG201" s="37">
        <v>0</v>
      </c>
      <c r="AH201" s="27">
        <v>0</v>
      </c>
      <c r="AI201" s="27">
        <f t="shared" si="21"/>
        <v>0</v>
      </c>
      <c r="AJ201" s="38">
        <v>0</v>
      </c>
      <c r="AK201" s="27">
        <v>0</v>
      </c>
      <c r="AL201" s="27">
        <f t="shared" si="22"/>
        <v>0</v>
      </c>
      <c r="AM201" s="40">
        <v>0</v>
      </c>
      <c r="AN201" s="27">
        <v>0</v>
      </c>
      <c r="AO201" s="27">
        <f t="shared" si="23"/>
        <v>0</v>
      </c>
      <c r="AP201" s="7" t="b">
        <v>1</v>
      </c>
      <c r="AQ201" s="7" t="b">
        <v>1</v>
      </c>
      <c r="AR201" s="6" t="b">
        <v>0</v>
      </c>
      <c r="AS201" s="6" t="b">
        <v>0</v>
      </c>
      <c r="AT201" s="7" t="b">
        <v>1</v>
      </c>
      <c r="AU201" s="6" t="b">
        <v>0</v>
      </c>
      <c r="AV201" s="6" t="b">
        <v>0</v>
      </c>
      <c r="AW201" s="6" t="b">
        <v>0</v>
      </c>
      <c r="AX201" s="6" t="b">
        <v>0</v>
      </c>
      <c r="AY201" s="6" t="b">
        <v>0</v>
      </c>
      <c r="AZ201" s="6" t="b">
        <v>0</v>
      </c>
      <c r="BA201" s="6" t="b">
        <v>0</v>
      </c>
      <c r="BB201" s="6" t="b">
        <v>0</v>
      </c>
    </row>
    <row r="202" spans="1:54" ht="15" x14ac:dyDescent="0.25">
      <c r="A202" s="3" t="s">
        <v>460</v>
      </c>
      <c r="B202" s="3" t="str">
        <f ca="1">IFERROR(__xludf.DUMMYFUNCTION("SPLIT(A202,""/"")"),"dagster-io")</f>
        <v>dagster-io</v>
      </c>
      <c r="C202" s="3" t="str">
        <f ca="1">IFERROR(__xludf.DUMMYFUNCTION("""COMPUTED_VALUE"""),"dagster")</f>
        <v>dagster</v>
      </c>
      <c r="D202" s="4" t="s">
        <v>461</v>
      </c>
      <c r="E202" s="5">
        <v>43220.6875462963</v>
      </c>
      <c r="F202" s="5">
        <v>44295.11041666667</v>
      </c>
      <c r="G202" s="13">
        <f t="shared" si="18"/>
        <v>1074.4228703703702</v>
      </c>
      <c r="H202" s="6" t="b">
        <v>0</v>
      </c>
      <c r="I202" s="7" t="b">
        <v>1</v>
      </c>
      <c r="J202" s="8">
        <v>3097</v>
      </c>
      <c r="K202" s="8">
        <v>64</v>
      </c>
      <c r="L202" s="8">
        <v>324</v>
      </c>
      <c r="M202" s="8">
        <v>96</v>
      </c>
      <c r="N202" s="8">
        <v>387</v>
      </c>
      <c r="O202" s="8">
        <v>116</v>
      </c>
      <c r="P202" s="8">
        <v>1152</v>
      </c>
      <c r="Q202" s="8">
        <v>23</v>
      </c>
      <c r="R202" s="8">
        <v>2771</v>
      </c>
      <c r="S202" s="8">
        <v>541</v>
      </c>
      <c r="T202" s="3" t="s">
        <v>69</v>
      </c>
      <c r="U202" s="10">
        <v>96606</v>
      </c>
      <c r="V202" s="32">
        <v>455</v>
      </c>
      <c r="W202" s="27">
        <v>4.7098523901206966E-3</v>
      </c>
      <c r="X202" s="34">
        <v>61</v>
      </c>
      <c r="Y202" s="27">
        <v>0.13406593406593406</v>
      </c>
      <c r="Z202" s="27">
        <v>6.314307599942033E-4</v>
      </c>
      <c r="AA202" s="35">
        <v>268</v>
      </c>
      <c r="AB202" s="27">
        <v>0.58901098901098903</v>
      </c>
      <c r="AC202" s="27">
        <f t="shared" si="19"/>
        <v>2.7741548144007617E-3</v>
      </c>
      <c r="AD202" s="36">
        <v>77</v>
      </c>
      <c r="AE202" s="27">
        <v>0.16923076923076924</v>
      </c>
      <c r="AF202" s="27">
        <f t="shared" si="20"/>
        <v>7.9705194294350248E-4</v>
      </c>
      <c r="AG202" s="37">
        <v>37</v>
      </c>
      <c r="AH202" s="27">
        <v>8.1318681318681321E-2</v>
      </c>
      <c r="AI202" s="27">
        <f t="shared" si="21"/>
        <v>3.8299898557025443E-4</v>
      </c>
      <c r="AJ202" s="38">
        <v>9</v>
      </c>
      <c r="AK202" s="27">
        <v>1.9780219780219779E-2</v>
      </c>
      <c r="AL202" s="27">
        <f t="shared" si="22"/>
        <v>9.3161915408980806E-5</v>
      </c>
      <c r="AM202" s="40">
        <v>3</v>
      </c>
      <c r="AN202" s="27">
        <v>6.5934065934065934E-3</v>
      </c>
      <c r="AO202" s="27">
        <f t="shared" si="23"/>
        <v>3.1053971802993602E-5</v>
      </c>
      <c r="AP202" s="7" t="b">
        <v>1</v>
      </c>
      <c r="AQ202" s="7" t="b">
        <v>1</v>
      </c>
      <c r="AR202" s="6" t="b">
        <v>0</v>
      </c>
      <c r="AS202" s="6" t="b">
        <v>0</v>
      </c>
      <c r="AT202" s="7" t="b">
        <v>1</v>
      </c>
      <c r="AU202" s="6" t="b">
        <v>0</v>
      </c>
      <c r="AV202" s="6" t="b">
        <v>0</v>
      </c>
      <c r="AW202" s="6" t="b">
        <v>0</v>
      </c>
      <c r="AX202" s="6" t="b">
        <v>0</v>
      </c>
      <c r="AY202" s="6" t="b">
        <v>0</v>
      </c>
      <c r="AZ202" s="6" t="b">
        <v>0</v>
      </c>
      <c r="BA202" s="6" t="b">
        <v>0</v>
      </c>
      <c r="BB202" s="6" t="b">
        <v>0</v>
      </c>
    </row>
    <row r="203" spans="1:54" ht="15" x14ac:dyDescent="0.25">
      <c r="A203" s="3" t="s">
        <v>462</v>
      </c>
      <c r="B203" s="3" t="str">
        <f ca="1">IFERROR(__xludf.DUMMYFUNCTION("SPLIT(A203,""/"")"),"damianmoore")</f>
        <v>damianmoore</v>
      </c>
      <c r="C203" s="3" t="str">
        <f ca="1">IFERROR(__xludf.DUMMYFUNCTION("""COMPUTED_VALUE"""),"photonix")</f>
        <v>photonix</v>
      </c>
      <c r="D203" s="4" t="s">
        <v>463</v>
      </c>
      <c r="E203" s="5">
        <v>42801.93787037037</v>
      </c>
      <c r="F203" s="5">
        <v>44294.794259259259</v>
      </c>
      <c r="G203" s="13">
        <f t="shared" si="18"/>
        <v>1492.8563888888893</v>
      </c>
      <c r="H203" s="6" t="b">
        <v>0</v>
      </c>
      <c r="I203" s="6" t="b">
        <v>0</v>
      </c>
      <c r="J203" s="8">
        <v>622</v>
      </c>
      <c r="K203" s="8">
        <v>20</v>
      </c>
      <c r="L203" s="8">
        <v>56</v>
      </c>
      <c r="M203" s="8">
        <v>0</v>
      </c>
      <c r="N203" s="8">
        <v>0</v>
      </c>
      <c r="O203" s="8">
        <v>13</v>
      </c>
      <c r="P203" s="8">
        <v>62</v>
      </c>
      <c r="Q203" s="8">
        <v>7</v>
      </c>
      <c r="R203" s="8">
        <v>159</v>
      </c>
      <c r="S203" s="8">
        <v>73</v>
      </c>
      <c r="T203" s="3" t="s">
        <v>366</v>
      </c>
      <c r="U203" s="10">
        <v>4416</v>
      </c>
      <c r="V203" s="32">
        <v>32</v>
      </c>
      <c r="W203" s="27">
        <v>7.246376811594203E-3</v>
      </c>
      <c r="X203" s="34">
        <v>0</v>
      </c>
      <c r="Y203" s="27">
        <v>0</v>
      </c>
      <c r="Z203" s="27">
        <v>0</v>
      </c>
      <c r="AA203" s="35">
        <v>12</v>
      </c>
      <c r="AB203" s="27">
        <v>0.375</v>
      </c>
      <c r="AC203" s="27">
        <f t="shared" si="19"/>
        <v>2.717391304347826E-3</v>
      </c>
      <c r="AD203" s="36">
        <v>4</v>
      </c>
      <c r="AE203" s="27">
        <v>0.125</v>
      </c>
      <c r="AF203" s="27">
        <f t="shared" si="20"/>
        <v>9.0579710144927537E-4</v>
      </c>
      <c r="AG203" s="37">
        <v>11</v>
      </c>
      <c r="AH203" s="27">
        <v>0.34375</v>
      </c>
      <c r="AI203" s="27">
        <f t="shared" si="21"/>
        <v>2.490942028985507E-3</v>
      </c>
      <c r="AJ203" s="38">
        <v>5</v>
      </c>
      <c r="AK203" s="27">
        <v>0.15625</v>
      </c>
      <c r="AL203" s="27">
        <f t="shared" si="22"/>
        <v>1.1322463768115942E-3</v>
      </c>
      <c r="AM203" s="40">
        <v>0</v>
      </c>
      <c r="AN203" s="27">
        <v>0</v>
      </c>
      <c r="AO203" s="27">
        <f t="shared" si="23"/>
        <v>0</v>
      </c>
      <c r="AP203" s="6" t="b">
        <v>0</v>
      </c>
      <c r="AQ203" s="7" t="b">
        <v>1</v>
      </c>
      <c r="AR203" s="6" t="b">
        <v>0</v>
      </c>
      <c r="AS203" s="6" t="b">
        <v>0</v>
      </c>
      <c r="AT203" s="7" t="b">
        <v>1</v>
      </c>
      <c r="AU203" s="6" t="b">
        <v>0</v>
      </c>
      <c r="AV203" s="6" t="b">
        <v>0</v>
      </c>
      <c r="AW203" s="6" t="b">
        <v>0</v>
      </c>
      <c r="AX203" s="6" t="b">
        <v>0</v>
      </c>
      <c r="AY203" s="6" t="b">
        <v>0</v>
      </c>
      <c r="AZ203" s="6" t="b">
        <v>0</v>
      </c>
      <c r="BA203" s="6" t="b">
        <v>0</v>
      </c>
      <c r="BB203" s="6" t="b">
        <v>0</v>
      </c>
    </row>
    <row r="204" spans="1:54" ht="15" x14ac:dyDescent="0.25">
      <c r="A204" s="3" t="s">
        <v>464</v>
      </c>
      <c r="B204" s="3" t="str">
        <f ca="1">IFERROR(__xludf.DUMMYFUNCTION("SPLIT(A204,""/"")"),"danmacnish")</f>
        <v>danmacnish</v>
      </c>
      <c r="C204" s="3" t="str">
        <f ca="1">IFERROR(__xludf.DUMMYFUNCTION("""COMPUTED_VALUE"""),"cartoonify")</f>
        <v>cartoonify</v>
      </c>
      <c r="D204" s="4" t="s">
        <v>465</v>
      </c>
      <c r="E204" s="5">
        <v>43088.497083333335</v>
      </c>
      <c r="F204" s="5">
        <v>44289.24790509259</v>
      </c>
      <c r="G204" s="13">
        <f t="shared" si="18"/>
        <v>1200.7508217592549</v>
      </c>
      <c r="H204" s="6" t="b">
        <v>0</v>
      </c>
      <c r="I204" s="6" t="b">
        <v>0</v>
      </c>
      <c r="J204" s="8">
        <v>1972</v>
      </c>
      <c r="K204" s="8">
        <v>71</v>
      </c>
      <c r="L204" s="8">
        <v>194</v>
      </c>
      <c r="M204" s="8">
        <v>0</v>
      </c>
      <c r="N204" s="8">
        <v>4</v>
      </c>
      <c r="O204" s="8">
        <v>4</v>
      </c>
      <c r="P204" s="8">
        <v>23</v>
      </c>
      <c r="Q204" s="8">
        <v>8</v>
      </c>
      <c r="R204" s="8">
        <v>20</v>
      </c>
      <c r="S204" s="8">
        <v>15</v>
      </c>
      <c r="T204" s="3" t="s">
        <v>72</v>
      </c>
      <c r="U204" s="10">
        <v>19441</v>
      </c>
      <c r="V204" s="32">
        <v>74</v>
      </c>
      <c r="W204" s="27">
        <v>3.8063885602592461E-3</v>
      </c>
      <c r="X204" s="34">
        <v>0</v>
      </c>
      <c r="Y204" s="27">
        <v>0</v>
      </c>
      <c r="Z204" s="27">
        <v>0</v>
      </c>
      <c r="AA204" s="35">
        <v>57</v>
      </c>
      <c r="AB204" s="27">
        <v>0.77027027027027029</v>
      </c>
      <c r="AC204" s="27">
        <f t="shared" si="19"/>
        <v>2.9319479450645542E-3</v>
      </c>
      <c r="AD204" s="36">
        <v>8</v>
      </c>
      <c r="AE204" s="27">
        <v>0.10810810810810811</v>
      </c>
      <c r="AF204" s="27">
        <f t="shared" si="20"/>
        <v>4.1150146597397256E-4</v>
      </c>
      <c r="AG204" s="37">
        <v>1</v>
      </c>
      <c r="AH204" s="27">
        <v>1.3513513513513514E-2</v>
      </c>
      <c r="AI204" s="27">
        <f t="shared" si="21"/>
        <v>5.143768324674657E-5</v>
      </c>
      <c r="AJ204" s="38">
        <v>1</v>
      </c>
      <c r="AK204" s="27">
        <v>1.3513513513513514E-2</v>
      </c>
      <c r="AL204" s="27">
        <f t="shared" si="22"/>
        <v>5.143768324674657E-5</v>
      </c>
      <c r="AM204" s="40">
        <v>0</v>
      </c>
      <c r="AN204" s="27">
        <v>0</v>
      </c>
      <c r="AO204" s="27">
        <f t="shared" si="23"/>
        <v>0</v>
      </c>
      <c r="AP204" s="7" t="b">
        <v>1</v>
      </c>
      <c r="AQ204" s="6" t="b">
        <v>0</v>
      </c>
      <c r="AR204" s="6" t="b">
        <v>0</v>
      </c>
      <c r="AS204" s="6" t="b">
        <v>0</v>
      </c>
      <c r="AT204" s="7" t="b">
        <v>1</v>
      </c>
      <c r="AU204" s="6" t="b">
        <v>0</v>
      </c>
      <c r="AV204" s="6" t="b">
        <v>0</v>
      </c>
      <c r="AW204" s="6" t="b">
        <v>0</v>
      </c>
      <c r="AX204" s="6" t="b">
        <v>0</v>
      </c>
      <c r="AY204" s="6" t="b">
        <v>0</v>
      </c>
      <c r="AZ204" s="6" t="b">
        <v>0</v>
      </c>
      <c r="BA204" s="6" t="b">
        <v>0</v>
      </c>
      <c r="BB204" s="6" t="b">
        <v>0</v>
      </c>
    </row>
    <row r="205" spans="1:54" ht="15" x14ac:dyDescent="0.25">
      <c r="A205" s="3" t="s">
        <v>466</v>
      </c>
      <c r="B205" s="3" t="str">
        <f ca="1">IFERROR(__xludf.DUMMYFUNCTION("SPLIT(A205,""/"")"),"DarkSecDevelopers")</f>
        <v>DarkSecDevelopers</v>
      </c>
      <c r="C205" s="3" t="str">
        <f ca="1">IFERROR(__xludf.DUMMYFUNCTION("""COMPUTED_VALUE"""),"HiddenEye-Legacy")</f>
        <v>HiddenEye-Legacy</v>
      </c>
      <c r="D205" s="4" t="s">
        <v>467</v>
      </c>
      <c r="E205" s="5">
        <v>43185.592303240737</v>
      </c>
      <c r="F205" s="5">
        <v>44294.863796296297</v>
      </c>
      <c r="G205" s="13">
        <f t="shared" si="18"/>
        <v>1109.2714930555594</v>
      </c>
      <c r="H205" s="6" t="b">
        <v>0</v>
      </c>
      <c r="I205" s="7" t="b">
        <v>1</v>
      </c>
      <c r="J205" s="8">
        <v>2252</v>
      </c>
      <c r="K205" s="8">
        <v>365</v>
      </c>
      <c r="L205" s="8">
        <v>888</v>
      </c>
      <c r="M205" s="8">
        <v>19</v>
      </c>
      <c r="N205" s="8">
        <v>126</v>
      </c>
      <c r="O205" s="8">
        <v>23</v>
      </c>
      <c r="P205" s="8">
        <v>270</v>
      </c>
      <c r="Q205" s="8">
        <v>12</v>
      </c>
      <c r="R205" s="8">
        <v>578</v>
      </c>
      <c r="S205" s="8">
        <v>19</v>
      </c>
      <c r="T205" s="3" t="s">
        <v>49</v>
      </c>
      <c r="U205" s="10">
        <v>107368</v>
      </c>
      <c r="V205" s="32">
        <v>907</v>
      </c>
      <c r="W205" s="27">
        <v>8.4475821473809706E-3</v>
      </c>
      <c r="X205" s="34">
        <v>294</v>
      </c>
      <c r="Y205" s="27">
        <v>0.32414553472987873</v>
      </c>
      <c r="Z205" s="27">
        <v>2.7382460323373816E-3</v>
      </c>
      <c r="AA205" s="35">
        <v>177</v>
      </c>
      <c r="AB205" s="27">
        <v>0.19514884233737598</v>
      </c>
      <c r="AC205" s="27">
        <f t="shared" si="19"/>
        <v>1.6485358766112808E-3</v>
      </c>
      <c r="AD205" s="36">
        <v>351</v>
      </c>
      <c r="AE205" s="27">
        <v>0.38699007717750827</v>
      </c>
      <c r="AF205" s="27">
        <f t="shared" si="20"/>
        <v>3.2691304671783029E-3</v>
      </c>
      <c r="AG205" s="37">
        <v>66</v>
      </c>
      <c r="AH205" s="27">
        <v>7.2767364939360535E-2</v>
      </c>
      <c r="AI205" s="27">
        <f t="shared" si="21"/>
        <v>6.1470829297369798E-4</v>
      </c>
      <c r="AJ205" s="38">
        <v>17</v>
      </c>
      <c r="AK205" s="27">
        <v>1.8743109151047408E-2</v>
      </c>
      <c r="AL205" s="27">
        <f t="shared" si="22"/>
        <v>1.5833395425080099E-4</v>
      </c>
      <c r="AM205" s="40">
        <v>2</v>
      </c>
      <c r="AN205" s="27">
        <v>2.205071664829107E-3</v>
      </c>
      <c r="AO205" s="27">
        <f t="shared" si="23"/>
        <v>1.8627524029505999E-5</v>
      </c>
      <c r="AP205" s="7" t="b">
        <v>1</v>
      </c>
      <c r="AQ205" s="7" t="b">
        <v>1</v>
      </c>
      <c r="AR205" s="6" t="b">
        <v>0</v>
      </c>
      <c r="AS205" s="6" t="b">
        <v>0</v>
      </c>
      <c r="AT205" s="7" t="b">
        <v>1</v>
      </c>
      <c r="AU205" s="6" t="b">
        <v>0</v>
      </c>
      <c r="AV205" s="6" t="b">
        <v>0</v>
      </c>
      <c r="AW205" s="6" t="b">
        <v>0</v>
      </c>
      <c r="AX205" s="6" t="b">
        <v>0</v>
      </c>
      <c r="AY205" s="6" t="b">
        <v>0</v>
      </c>
      <c r="AZ205" s="6" t="b">
        <v>0</v>
      </c>
      <c r="BA205" s="6" t="b">
        <v>0</v>
      </c>
      <c r="BB205" s="6" t="b">
        <v>0</v>
      </c>
    </row>
    <row r="206" spans="1:54" ht="15" x14ac:dyDescent="0.25">
      <c r="A206" s="3" t="s">
        <v>468</v>
      </c>
      <c r="B206" s="3" t="str">
        <f ca="1">IFERROR(__xludf.DUMMYFUNCTION("SPLIT(A206,""/"")"),"dasguptar")</f>
        <v>dasguptar</v>
      </c>
      <c r="C206" s="3" t="str">
        <f ca="1">IFERROR(__xludf.DUMMYFUNCTION("""COMPUTED_VALUE"""),"treelstm.pytorch")</f>
        <v>treelstm.pytorch</v>
      </c>
      <c r="D206" s="4" t="s">
        <v>469</v>
      </c>
      <c r="E206" s="5">
        <v>42832.466585648152</v>
      </c>
      <c r="F206" s="5">
        <v>44287.624976851854</v>
      </c>
      <c r="G206" s="13">
        <f t="shared" si="18"/>
        <v>1455.1583912037022</v>
      </c>
      <c r="H206" s="6" t="b">
        <v>0</v>
      </c>
      <c r="I206" s="6" t="b">
        <v>0</v>
      </c>
      <c r="J206" s="8">
        <v>478</v>
      </c>
      <c r="K206" s="8">
        <v>13</v>
      </c>
      <c r="L206" s="8">
        <v>127</v>
      </c>
      <c r="M206" s="8">
        <v>0</v>
      </c>
      <c r="N206" s="8">
        <v>0</v>
      </c>
      <c r="O206" s="8">
        <v>4</v>
      </c>
      <c r="P206" s="8">
        <v>10</v>
      </c>
      <c r="Q206" s="8">
        <v>2</v>
      </c>
      <c r="R206" s="8">
        <v>29</v>
      </c>
      <c r="S206" s="8">
        <v>16</v>
      </c>
      <c r="T206" s="3" t="s">
        <v>72</v>
      </c>
      <c r="U206" s="10">
        <v>688</v>
      </c>
      <c r="V206" s="32">
        <v>11</v>
      </c>
      <c r="W206" s="27">
        <v>1.5988372093023256E-2</v>
      </c>
      <c r="X206" s="34">
        <v>7</v>
      </c>
      <c r="Y206" s="27">
        <v>0.63636363636363635</v>
      </c>
      <c r="Z206" s="27">
        <v>1.0174418604651164E-2</v>
      </c>
      <c r="AA206" s="35">
        <v>3</v>
      </c>
      <c r="AB206" s="27">
        <v>0.27272727272727271</v>
      </c>
      <c r="AC206" s="27">
        <f t="shared" si="19"/>
        <v>4.3604651162790697E-3</v>
      </c>
      <c r="AD206" s="36">
        <v>0</v>
      </c>
      <c r="AE206" s="27">
        <v>0</v>
      </c>
      <c r="AF206" s="27">
        <f t="shared" si="20"/>
        <v>0</v>
      </c>
      <c r="AG206" s="37">
        <v>1</v>
      </c>
      <c r="AH206" s="27">
        <v>9.0909090909090912E-2</v>
      </c>
      <c r="AI206" s="27">
        <f t="shared" si="21"/>
        <v>1.4534883720930232E-3</v>
      </c>
      <c r="AJ206" s="38">
        <v>0</v>
      </c>
      <c r="AK206" s="27">
        <v>0</v>
      </c>
      <c r="AL206" s="27">
        <f t="shared" si="22"/>
        <v>0</v>
      </c>
      <c r="AM206" s="40">
        <v>0</v>
      </c>
      <c r="AN206" s="27">
        <v>0</v>
      </c>
      <c r="AO206" s="27">
        <f t="shared" si="23"/>
        <v>0</v>
      </c>
      <c r="AP206" s="7" t="b">
        <v>1</v>
      </c>
      <c r="AQ206" s="6" t="b">
        <v>0</v>
      </c>
      <c r="AR206" s="6" t="b">
        <v>0</v>
      </c>
      <c r="AS206" s="6" t="b">
        <v>0</v>
      </c>
      <c r="AT206" s="7" t="b">
        <v>1</v>
      </c>
      <c r="AU206" s="6" t="b">
        <v>0</v>
      </c>
      <c r="AV206" s="6" t="b">
        <v>0</v>
      </c>
      <c r="AW206" s="6" t="b">
        <v>0</v>
      </c>
      <c r="AX206" s="6" t="b">
        <v>0</v>
      </c>
      <c r="AY206" s="6" t="b">
        <v>0</v>
      </c>
      <c r="AZ206" s="6" t="b">
        <v>0</v>
      </c>
      <c r="BA206" s="6" t="b">
        <v>0</v>
      </c>
      <c r="BB206" s="6" t="b">
        <v>0</v>
      </c>
    </row>
    <row r="207" spans="1:54" ht="15" x14ac:dyDescent="0.25">
      <c r="A207" s="3" t="s">
        <v>470</v>
      </c>
      <c r="B207" s="3" t="str">
        <f ca="1">IFERROR(__xludf.DUMMYFUNCTION("SPLIT(A207,""/"")"),"dask")</f>
        <v>dask</v>
      </c>
      <c r="C207" s="3" t="str">
        <f ca="1">IFERROR(__xludf.DUMMYFUNCTION("""COMPUTED_VALUE"""),"dask")</f>
        <v>dask</v>
      </c>
      <c r="D207" s="4" t="s">
        <v>471</v>
      </c>
      <c r="E207" s="5">
        <v>42008.784722222219</v>
      </c>
      <c r="F207" s="5">
        <v>44294.86755787037</v>
      </c>
      <c r="G207" s="13">
        <f t="shared" si="18"/>
        <v>2286.0828356481506</v>
      </c>
      <c r="H207" s="6" t="b">
        <v>0</v>
      </c>
      <c r="I207" s="7" t="b">
        <v>1</v>
      </c>
      <c r="J207" s="8">
        <v>8173</v>
      </c>
      <c r="K207" s="8">
        <v>242</v>
      </c>
      <c r="L207" s="8">
        <v>1230</v>
      </c>
      <c r="M207" s="8">
        <v>0</v>
      </c>
      <c r="N207" s="8">
        <v>106</v>
      </c>
      <c r="O207" s="8">
        <v>425</v>
      </c>
      <c r="P207" s="8">
        <v>3821</v>
      </c>
      <c r="Q207" s="8">
        <v>86</v>
      </c>
      <c r="R207" s="8">
        <v>3616</v>
      </c>
      <c r="S207" s="8">
        <v>646</v>
      </c>
      <c r="T207" s="3" t="s">
        <v>57</v>
      </c>
      <c r="U207" s="10">
        <v>60265</v>
      </c>
      <c r="V207" s="32">
        <v>40</v>
      </c>
      <c r="W207" s="27">
        <v>6.6373516966730271E-4</v>
      </c>
      <c r="X207" s="34">
        <v>0</v>
      </c>
      <c r="Y207" s="27">
        <v>0</v>
      </c>
      <c r="Z207" s="27">
        <v>0</v>
      </c>
      <c r="AA207" s="35">
        <v>6</v>
      </c>
      <c r="AB207" s="27">
        <v>0.15</v>
      </c>
      <c r="AC207" s="27">
        <f t="shared" si="19"/>
        <v>9.9560275450095406E-5</v>
      </c>
      <c r="AD207" s="36">
        <v>33</v>
      </c>
      <c r="AE207" s="27">
        <v>0.82499999999999996</v>
      </c>
      <c r="AF207" s="27">
        <f t="shared" si="20"/>
        <v>5.4758151497552479E-4</v>
      </c>
      <c r="AG207" s="37">
        <v>1</v>
      </c>
      <c r="AH207" s="27">
        <v>2.5000000000000001E-2</v>
      </c>
      <c r="AI207" s="27">
        <f t="shared" si="21"/>
        <v>1.6593379241682568E-5</v>
      </c>
      <c r="AJ207" s="38">
        <v>0</v>
      </c>
      <c r="AK207" s="27">
        <v>0</v>
      </c>
      <c r="AL207" s="27">
        <f t="shared" si="22"/>
        <v>0</v>
      </c>
      <c r="AM207" s="40">
        <v>0</v>
      </c>
      <c r="AN207" s="27">
        <v>0</v>
      </c>
      <c r="AO207" s="27">
        <f t="shared" si="23"/>
        <v>0</v>
      </c>
      <c r="AP207" s="7" t="b">
        <v>1</v>
      </c>
      <c r="AQ207" s="6" t="b">
        <v>0</v>
      </c>
      <c r="AR207" s="6" t="b">
        <v>0</v>
      </c>
      <c r="AS207" s="6" t="b">
        <v>0</v>
      </c>
      <c r="AT207" s="7" t="b">
        <v>1</v>
      </c>
      <c r="AU207" s="6" t="b">
        <v>0</v>
      </c>
      <c r="AV207" s="6" t="b">
        <v>0</v>
      </c>
      <c r="AW207" s="6" t="b">
        <v>0</v>
      </c>
      <c r="AX207" s="6" t="b">
        <v>0</v>
      </c>
      <c r="AY207" s="6" t="b">
        <v>0</v>
      </c>
      <c r="AZ207" s="6" t="b">
        <v>0</v>
      </c>
      <c r="BA207" s="6" t="b">
        <v>0</v>
      </c>
      <c r="BB207" s="6" t="b">
        <v>0</v>
      </c>
    </row>
    <row r="208" spans="1:54" ht="15" x14ac:dyDescent="0.25">
      <c r="A208" s="3" t="s">
        <v>472</v>
      </c>
      <c r="B208" s="3" t="str">
        <f ca="1">IFERROR(__xludf.DUMMYFUNCTION("SPLIT(A208,""/"")"),"DataBiosphere")</f>
        <v>DataBiosphere</v>
      </c>
      <c r="C208" s="3" t="str">
        <f ca="1">IFERROR(__xludf.DUMMYFUNCTION("""COMPUTED_VALUE"""),"toil")</f>
        <v>toil</v>
      </c>
      <c r="D208" s="4" t="s">
        <v>473</v>
      </c>
      <c r="E208" s="5">
        <v>42093.881226851852</v>
      </c>
      <c r="F208" s="5">
        <v>44294.217465277776</v>
      </c>
      <c r="G208" s="13">
        <f t="shared" si="18"/>
        <v>2200.3362384259235</v>
      </c>
      <c r="H208" s="6" t="b">
        <v>0</v>
      </c>
      <c r="I208" s="7" t="b">
        <v>1</v>
      </c>
      <c r="J208" s="8">
        <v>735</v>
      </c>
      <c r="K208" s="8">
        <v>55</v>
      </c>
      <c r="L208" s="8">
        <v>196</v>
      </c>
      <c r="M208" s="8">
        <v>40</v>
      </c>
      <c r="N208" s="8">
        <v>43</v>
      </c>
      <c r="O208" s="8">
        <v>95</v>
      </c>
      <c r="P208" s="8">
        <v>1359</v>
      </c>
      <c r="Q208" s="8">
        <v>14</v>
      </c>
      <c r="R208" s="8">
        <v>2205</v>
      </c>
      <c r="S208" s="8">
        <v>339</v>
      </c>
      <c r="T208" s="3" t="s">
        <v>69</v>
      </c>
      <c r="U208" s="10">
        <v>29178</v>
      </c>
      <c r="V208" s="32">
        <v>926</v>
      </c>
      <c r="W208" s="27">
        <v>3.1736239632599902E-2</v>
      </c>
      <c r="X208" s="34">
        <v>526</v>
      </c>
      <c r="Y208" s="27">
        <v>0.56803455723542118</v>
      </c>
      <c r="Z208" s="27">
        <v>1.8027280828021113E-2</v>
      </c>
      <c r="AA208" s="35">
        <v>182</v>
      </c>
      <c r="AB208" s="27">
        <v>0.19654427645788336</v>
      </c>
      <c r="AC208" s="27">
        <f t="shared" si="19"/>
        <v>6.2375762560833506E-3</v>
      </c>
      <c r="AD208" s="36">
        <v>123</v>
      </c>
      <c r="AE208" s="27">
        <v>0.132829373650108</v>
      </c>
      <c r="AF208" s="27">
        <f t="shared" si="20"/>
        <v>4.2155048324079786E-3</v>
      </c>
      <c r="AG208" s="37">
        <v>56</v>
      </c>
      <c r="AH208" s="27">
        <v>6.0475161987041039E-2</v>
      </c>
      <c r="AI208" s="27">
        <f t="shared" si="21"/>
        <v>1.919254232641031E-3</v>
      </c>
      <c r="AJ208" s="38">
        <v>21</v>
      </c>
      <c r="AK208" s="27">
        <v>2.267818574514039E-2</v>
      </c>
      <c r="AL208" s="27">
        <f t="shared" si="22"/>
        <v>7.1972033724038663E-4</v>
      </c>
      <c r="AM208" s="40">
        <v>17</v>
      </c>
      <c r="AN208" s="27">
        <v>1.8358531317494601E-2</v>
      </c>
      <c r="AO208" s="27">
        <f t="shared" si="23"/>
        <v>5.8263074919459872E-4</v>
      </c>
      <c r="AP208" s="7" t="b">
        <v>1</v>
      </c>
      <c r="AQ208" s="6" t="b">
        <v>0</v>
      </c>
      <c r="AR208" s="6" t="b">
        <v>0</v>
      </c>
      <c r="AS208" s="6" t="b">
        <v>0</v>
      </c>
      <c r="AT208" s="7" t="b">
        <v>1</v>
      </c>
      <c r="AU208" s="6" t="b">
        <v>0</v>
      </c>
      <c r="AV208" s="6" t="b">
        <v>0</v>
      </c>
      <c r="AW208" s="6" t="b">
        <v>0</v>
      </c>
      <c r="AX208" s="6" t="b">
        <v>0</v>
      </c>
      <c r="AY208" s="6" t="b">
        <v>0</v>
      </c>
      <c r="AZ208" s="6" t="b">
        <v>0</v>
      </c>
      <c r="BA208" s="6" t="b">
        <v>0</v>
      </c>
      <c r="BB208" s="6" t="b">
        <v>0</v>
      </c>
    </row>
    <row r="209" spans="1:54" ht="15" x14ac:dyDescent="0.25">
      <c r="A209" s="3" t="s">
        <v>474</v>
      </c>
      <c r="B209" s="3" t="str">
        <f ca="1">IFERROR(__xludf.DUMMYFUNCTION("SPLIT(A209,""/"")"),"DataDog")</f>
        <v>DataDog</v>
      </c>
      <c r="C209" s="3" t="str">
        <f ca="1">IFERROR(__xludf.DUMMYFUNCTION("""COMPUTED_VALUE"""),"integrations-core")</f>
        <v>integrations-core</v>
      </c>
      <c r="D209" s="4" t="s">
        <v>475</v>
      </c>
      <c r="E209" s="5">
        <v>42339.695659722223</v>
      </c>
      <c r="F209" s="5">
        <v>44294.672858796293</v>
      </c>
      <c r="G209" s="13">
        <f t="shared" si="18"/>
        <v>1954.9771990740701</v>
      </c>
      <c r="H209" s="6" t="b">
        <v>0</v>
      </c>
      <c r="I209" s="7" t="b">
        <v>1</v>
      </c>
      <c r="J209" s="8">
        <v>508</v>
      </c>
      <c r="K209" s="8">
        <v>201</v>
      </c>
      <c r="L209" s="8">
        <v>840</v>
      </c>
      <c r="M209" s="8">
        <v>19</v>
      </c>
      <c r="N209" s="8">
        <v>33</v>
      </c>
      <c r="O209" s="8">
        <v>424</v>
      </c>
      <c r="P209" s="8">
        <v>8682</v>
      </c>
      <c r="Q209" s="8">
        <v>194</v>
      </c>
      <c r="R209" s="8">
        <v>396</v>
      </c>
      <c r="S209" s="8">
        <v>38</v>
      </c>
      <c r="T209" s="3" t="s">
        <v>57</v>
      </c>
      <c r="U209" s="10">
        <v>111163</v>
      </c>
      <c r="V209" s="32">
        <v>1541</v>
      </c>
      <c r="W209" s="27">
        <v>1.3862526200264477E-2</v>
      </c>
      <c r="X209" s="34">
        <v>688</v>
      </c>
      <c r="Y209" s="27">
        <v>0.44646333549643091</v>
      </c>
      <c r="Z209" s="27">
        <v>6.1891096857767426E-3</v>
      </c>
      <c r="AA209" s="35">
        <v>112</v>
      </c>
      <c r="AB209" s="27">
        <v>7.2680077871512011E-2</v>
      </c>
      <c r="AC209" s="27">
        <f t="shared" si="19"/>
        <v>1.0075294837310976E-3</v>
      </c>
      <c r="AD209" s="36">
        <v>468</v>
      </c>
      <c r="AE209" s="27">
        <v>0.30369889682024659</v>
      </c>
      <c r="AF209" s="27">
        <f t="shared" si="20"/>
        <v>4.2100339141620865E-3</v>
      </c>
      <c r="AG209" s="37">
        <v>262</v>
      </c>
      <c r="AH209" s="27">
        <v>0.17001946787800129</v>
      </c>
      <c r="AI209" s="27">
        <f t="shared" si="21"/>
        <v>2.3568993280138175E-3</v>
      </c>
      <c r="AJ209" s="38">
        <v>3</v>
      </c>
      <c r="AK209" s="27">
        <v>1.9467878001297859E-3</v>
      </c>
      <c r="AL209" s="27">
        <f t="shared" si="22"/>
        <v>2.6987396885654398E-5</v>
      </c>
      <c r="AM209" s="40">
        <v>2</v>
      </c>
      <c r="AN209" s="27">
        <v>1.2978585334198572E-3</v>
      </c>
      <c r="AO209" s="27">
        <f t="shared" si="23"/>
        <v>1.79915979237696E-5</v>
      </c>
      <c r="AP209" s="7" t="b">
        <v>1</v>
      </c>
      <c r="AQ209" s="7" t="b">
        <v>1</v>
      </c>
      <c r="AR209" s="6" t="b">
        <v>0</v>
      </c>
      <c r="AS209" s="6" t="b">
        <v>0</v>
      </c>
      <c r="AT209" s="7" t="b">
        <v>1</v>
      </c>
      <c r="AU209" s="6" t="b">
        <v>0</v>
      </c>
      <c r="AV209" s="6" t="b">
        <v>0</v>
      </c>
      <c r="AW209" s="6" t="b">
        <v>0</v>
      </c>
      <c r="AX209" s="6" t="b">
        <v>0</v>
      </c>
      <c r="AY209" s="6" t="b">
        <v>0</v>
      </c>
      <c r="AZ209" s="6" t="b">
        <v>0</v>
      </c>
      <c r="BA209" s="6" t="b">
        <v>0</v>
      </c>
      <c r="BB209" s="6" t="b">
        <v>0</v>
      </c>
    </row>
    <row r="210" spans="1:54" ht="15" x14ac:dyDescent="0.25">
      <c r="A210" s="3" t="s">
        <v>476</v>
      </c>
      <c r="B210" s="3" t="str">
        <f ca="1">IFERROR(__xludf.DUMMYFUNCTION("SPLIT(A210,""/"")"),"datafolklabs")</f>
        <v>datafolklabs</v>
      </c>
      <c r="C210" s="3" t="str">
        <f ca="1">IFERROR(__xludf.DUMMYFUNCTION("""COMPUTED_VALUE"""),"cement")</f>
        <v>cement</v>
      </c>
      <c r="D210" s="4" t="s">
        <v>477</v>
      </c>
      <c r="E210" s="5">
        <v>40152.169583333336</v>
      </c>
      <c r="F210" s="5">
        <v>44290.164930555555</v>
      </c>
      <c r="G210" s="13">
        <f t="shared" si="18"/>
        <v>4137.9953472222187</v>
      </c>
      <c r="H210" s="6" t="b">
        <v>0</v>
      </c>
      <c r="I210" s="7" t="b">
        <v>1</v>
      </c>
      <c r="J210" s="8">
        <v>1014</v>
      </c>
      <c r="K210" s="8">
        <v>32</v>
      </c>
      <c r="L210" s="8">
        <v>103</v>
      </c>
      <c r="M210" s="8">
        <v>0</v>
      </c>
      <c r="N210" s="8">
        <v>0</v>
      </c>
      <c r="O210" s="8">
        <v>41</v>
      </c>
      <c r="P210" s="8">
        <v>85</v>
      </c>
      <c r="Q210" s="8">
        <v>4</v>
      </c>
      <c r="R210" s="8">
        <v>518</v>
      </c>
      <c r="S210" s="8">
        <v>65</v>
      </c>
      <c r="T210" s="3" t="s">
        <v>57</v>
      </c>
      <c r="U210" s="10">
        <v>17809</v>
      </c>
      <c r="V210" s="32">
        <v>197</v>
      </c>
      <c r="W210" s="27">
        <v>1.1061822673928912E-2</v>
      </c>
      <c r="X210" s="34">
        <v>135</v>
      </c>
      <c r="Y210" s="27">
        <v>0.68527918781725883</v>
      </c>
      <c r="Z210" s="27">
        <v>7.580436857768544E-3</v>
      </c>
      <c r="AA210" s="35">
        <v>28</v>
      </c>
      <c r="AB210" s="27">
        <v>0.14213197969543148</v>
      </c>
      <c r="AC210" s="27">
        <f t="shared" si="19"/>
        <v>1.5722387556853276E-3</v>
      </c>
      <c r="AD210" s="36">
        <v>12</v>
      </c>
      <c r="AE210" s="27">
        <v>6.0913705583756347E-2</v>
      </c>
      <c r="AF210" s="27">
        <f t="shared" si="20"/>
        <v>6.7381660957942615E-4</v>
      </c>
      <c r="AG210" s="37">
        <v>12</v>
      </c>
      <c r="AH210" s="27">
        <v>6.0913705583756347E-2</v>
      </c>
      <c r="AI210" s="27">
        <f t="shared" si="21"/>
        <v>6.7381660957942615E-4</v>
      </c>
      <c r="AJ210" s="38">
        <v>10</v>
      </c>
      <c r="AK210" s="27">
        <v>5.0761421319796954E-2</v>
      </c>
      <c r="AL210" s="27">
        <f t="shared" si="22"/>
        <v>5.615138413161884E-4</v>
      </c>
      <c r="AM210" s="40">
        <v>0</v>
      </c>
      <c r="AN210" s="27">
        <v>0</v>
      </c>
      <c r="AO210" s="27">
        <f t="shared" si="23"/>
        <v>0</v>
      </c>
      <c r="AP210" s="7" t="b">
        <v>1</v>
      </c>
      <c r="AQ210" s="7" t="b">
        <v>1</v>
      </c>
      <c r="AR210" s="6" t="b">
        <v>0</v>
      </c>
      <c r="AS210" s="6" t="b">
        <v>0</v>
      </c>
      <c r="AT210" s="7" t="b">
        <v>1</v>
      </c>
      <c r="AU210" s="6" t="b">
        <v>0</v>
      </c>
      <c r="AV210" s="6" t="b">
        <v>0</v>
      </c>
      <c r="AW210" s="6" t="b">
        <v>0</v>
      </c>
      <c r="AX210" s="6" t="b">
        <v>0</v>
      </c>
      <c r="AY210" s="6" t="b">
        <v>0</v>
      </c>
      <c r="AZ210" s="6" t="b">
        <v>0</v>
      </c>
      <c r="BA210" s="6" t="b">
        <v>0</v>
      </c>
      <c r="BB210" s="6" t="b">
        <v>0</v>
      </c>
    </row>
    <row r="211" spans="1:54" ht="15" x14ac:dyDescent="0.25">
      <c r="A211" s="3" t="s">
        <v>478</v>
      </c>
      <c r="B211" s="3" t="str">
        <f ca="1">IFERROR(__xludf.DUMMYFUNCTION("SPLIT(A211,""/"")"),"datawire")</f>
        <v>datawire</v>
      </c>
      <c r="C211" s="3" t="str">
        <f ca="1">IFERROR(__xludf.DUMMYFUNCTION("""COMPUTED_VALUE"""),"ambassador")</f>
        <v>ambassador</v>
      </c>
      <c r="D211" s="4" t="s">
        <v>479</v>
      </c>
      <c r="E211" s="5">
        <v>42824.807546296295</v>
      </c>
      <c r="F211" s="5">
        <v>44294.823969907404</v>
      </c>
      <c r="G211" s="13">
        <f t="shared" si="18"/>
        <v>1470.0164236111086</v>
      </c>
      <c r="H211" s="6" t="b">
        <v>0</v>
      </c>
      <c r="I211" s="7" t="b">
        <v>1</v>
      </c>
      <c r="J211" s="8">
        <v>3244</v>
      </c>
      <c r="K211" s="8">
        <v>84</v>
      </c>
      <c r="L211" s="8">
        <v>490</v>
      </c>
      <c r="M211" s="8">
        <v>91</v>
      </c>
      <c r="N211" s="8">
        <v>11</v>
      </c>
      <c r="O211" s="8">
        <v>187</v>
      </c>
      <c r="P211" s="8">
        <v>2075</v>
      </c>
      <c r="Q211" s="8">
        <v>8</v>
      </c>
      <c r="R211" s="8">
        <v>1259</v>
      </c>
      <c r="S211" s="8">
        <v>207</v>
      </c>
      <c r="T211" s="3" t="s">
        <v>69</v>
      </c>
      <c r="U211" s="10">
        <v>20538</v>
      </c>
      <c r="V211" s="32">
        <v>537</v>
      </c>
      <c r="W211" s="27">
        <v>2.6146654981010809E-2</v>
      </c>
      <c r="X211" s="34">
        <v>377</v>
      </c>
      <c r="Y211" s="27">
        <v>0.702048417132216</v>
      </c>
      <c r="Z211" s="27">
        <v>1.835621774272081E-2</v>
      </c>
      <c r="AA211" s="35">
        <v>75</v>
      </c>
      <c r="AB211" s="27">
        <v>0.13966480446927373</v>
      </c>
      <c r="AC211" s="27">
        <f t="shared" si="19"/>
        <v>3.651767455448437E-3</v>
      </c>
      <c r="AD211" s="36">
        <v>16</v>
      </c>
      <c r="AE211" s="27">
        <v>2.9795158286778398E-2</v>
      </c>
      <c r="AF211" s="27">
        <f t="shared" si="20"/>
        <v>7.7904372382899987E-4</v>
      </c>
      <c r="AG211" s="37">
        <v>59</v>
      </c>
      <c r="AH211" s="27">
        <v>0.10986964618249534</v>
      </c>
      <c r="AI211" s="27">
        <f t="shared" si="21"/>
        <v>2.8727237316194371E-3</v>
      </c>
      <c r="AJ211" s="38">
        <v>0</v>
      </c>
      <c r="AK211" s="27">
        <v>0</v>
      </c>
      <c r="AL211" s="27">
        <f t="shared" si="22"/>
        <v>0</v>
      </c>
      <c r="AM211" s="40">
        <v>3</v>
      </c>
      <c r="AN211" s="27">
        <v>5.5865921787709499E-3</v>
      </c>
      <c r="AO211" s="27">
        <f t="shared" si="23"/>
        <v>1.4607069821793748E-4</v>
      </c>
      <c r="AP211" s="7" t="b">
        <v>1</v>
      </c>
      <c r="AQ211" s="7" t="b">
        <v>1</v>
      </c>
      <c r="AR211" s="6" t="b">
        <v>0</v>
      </c>
      <c r="AS211" s="6" t="b">
        <v>0</v>
      </c>
      <c r="AT211" s="7" t="b">
        <v>1</v>
      </c>
      <c r="AU211" s="6" t="b">
        <v>0</v>
      </c>
      <c r="AV211" s="6" t="b">
        <v>0</v>
      </c>
      <c r="AW211" s="6" t="b">
        <v>0</v>
      </c>
      <c r="AX211" s="6" t="b">
        <v>0</v>
      </c>
      <c r="AY211" s="6" t="b">
        <v>0</v>
      </c>
      <c r="AZ211" s="6" t="b">
        <v>0</v>
      </c>
      <c r="BA211" s="6" t="b">
        <v>0</v>
      </c>
      <c r="BB211" s="6" t="b">
        <v>0</v>
      </c>
    </row>
    <row r="212" spans="1:54" ht="15" x14ac:dyDescent="0.25">
      <c r="A212" s="3" t="s">
        <v>480</v>
      </c>
      <c r="B212" s="3" t="str">
        <f ca="1">IFERROR(__xludf.DUMMYFUNCTION("SPLIT(A212,""/"")"),"datawire")</f>
        <v>datawire</v>
      </c>
      <c r="C212" s="3" t="str">
        <f ca="1">IFERROR(__xludf.DUMMYFUNCTION("""COMPUTED_VALUE"""),"forge")</f>
        <v>forge</v>
      </c>
      <c r="D212" s="4" t="s">
        <v>481</v>
      </c>
      <c r="E212" s="5">
        <v>42812.114999999998</v>
      </c>
      <c r="F212" s="5">
        <v>44292.370347222219</v>
      </c>
      <c r="G212" s="13">
        <f t="shared" si="18"/>
        <v>1480.2553472222207</v>
      </c>
      <c r="H212" s="6" t="b">
        <v>0</v>
      </c>
      <c r="I212" s="7" t="b">
        <v>1</v>
      </c>
      <c r="J212" s="8">
        <v>407</v>
      </c>
      <c r="K212" s="8">
        <v>28</v>
      </c>
      <c r="L212" s="8">
        <v>43</v>
      </c>
      <c r="M212" s="8">
        <v>0</v>
      </c>
      <c r="N212" s="8">
        <v>0</v>
      </c>
      <c r="O212" s="8">
        <v>11</v>
      </c>
      <c r="P212" s="8">
        <v>87</v>
      </c>
      <c r="Q212" s="8">
        <v>5</v>
      </c>
      <c r="R212" s="8">
        <v>147</v>
      </c>
      <c r="S212" s="8">
        <v>76</v>
      </c>
      <c r="T212" s="3" t="s">
        <v>69</v>
      </c>
      <c r="U212" s="10">
        <v>5684</v>
      </c>
      <c r="V212" s="32">
        <v>11</v>
      </c>
      <c r="W212" s="27">
        <v>1.9352568613652356E-3</v>
      </c>
      <c r="X212" s="34">
        <v>0</v>
      </c>
      <c r="Y212" s="27">
        <v>0</v>
      </c>
      <c r="Z212" s="27">
        <v>0</v>
      </c>
      <c r="AA212" s="35">
        <v>9</v>
      </c>
      <c r="AB212" s="27">
        <v>0.81818181818181823</v>
      </c>
      <c r="AC212" s="27">
        <f t="shared" si="19"/>
        <v>1.5833919774806474E-3</v>
      </c>
      <c r="AD212" s="36">
        <v>9</v>
      </c>
      <c r="AE212" s="27">
        <v>0.81818181818181823</v>
      </c>
      <c r="AF212" s="27">
        <f t="shared" si="20"/>
        <v>1.5833919774806474E-3</v>
      </c>
      <c r="AG212" s="37">
        <v>1</v>
      </c>
      <c r="AH212" s="27">
        <v>9.0909090909090912E-2</v>
      </c>
      <c r="AI212" s="27">
        <f t="shared" si="21"/>
        <v>1.7593244194229416E-4</v>
      </c>
      <c r="AJ212" s="38">
        <v>0</v>
      </c>
      <c r="AK212" s="27">
        <v>0</v>
      </c>
      <c r="AL212" s="27">
        <f t="shared" si="22"/>
        <v>0</v>
      </c>
      <c r="AM212" s="40">
        <v>1</v>
      </c>
      <c r="AN212" s="27">
        <v>9.0909090909090912E-2</v>
      </c>
      <c r="AO212" s="27">
        <f t="shared" si="23"/>
        <v>1.7593244194229416E-4</v>
      </c>
      <c r="AP212" s="7" t="b">
        <v>1</v>
      </c>
      <c r="AQ212" s="6" t="b">
        <v>0</v>
      </c>
      <c r="AR212" s="6" t="b">
        <v>0</v>
      </c>
      <c r="AS212" s="6" t="b">
        <v>0</v>
      </c>
      <c r="AT212" s="7" t="b">
        <v>1</v>
      </c>
      <c r="AU212" s="6" t="b">
        <v>0</v>
      </c>
      <c r="AV212" s="6" t="b">
        <v>0</v>
      </c>
      <c r="AW212" s="6" t="b">
        <v>0</v>
      </c>
      <c r="AX212" s="6" t="b">
        <v>0</v>
      </c>
      <c r="AY212" s="6" t="b">
        <v>0</v>
      </c>
      <c r="AZ212" s="6" t="b">
        <v>0</v>
      </c>
      <c r="BA212" s="6" t="b">
        <v>0</v>
      </c>
      <c r="BB212" s="6" t="b">
        <v>0</v>
      </c>
    </row>
    <row r="213" spans="1:54" ht="15" x14ac:dyDescent="0.25">
      <c r="A213" s="3" t="s">
        <v>482</v>
      </c>
      <c r="B213" s="3" t="str">
        <f ca="1">IFERROR(__xludf.DUMMYFUNCTION("SPLIT(A213,""/"")"),"datmo")</f>
        <v>datmo</v>
      </c>
      <c r="C213" s="3" t="str">
        <f ca="1">IFERROR(__xludf.DUMMYFUNCTION("""COMPUTED_VALUE"""),"datmo")</f>
        <v>datmo</v>
      </c>
      <c r="D213" s="4" t="s">
        <v>483</v>
      </c>
      <c r="E213" s="5">
        <v>43042.24077546296</v>
      </c>
      <c r="F213" s="5">
        <v>44253.877858796295</v>
      </c>
      <c r="G213" s="13">
        <f t="shared" si="18"/>
        <v>1211.6370833333349</v>
      </c>
      <c r="H213" s="6" t="b">
        <v>0</v>
      </c>
      <c r="I213" s="7" t="b">
        <v>1</v>
      </c>
      <c r="J213" s="8">
        <v>334</v>
      </c>
      <c r="K213" s="8">
        <v>9</v>
      </c>
      <c r="L213" s="8">
        <v>28</v>
      </c>
      <c r="M213" s="8">
        <v>0</v>
      </c>
      <c r="N213" s="8">
        <v>10</v>
      </c>
      <c r="O213" s="8">
        <v>5</v>
      </c>
      <c r="P213" s="8">
        <v>118</v>
      </c>
      <c r="Q213" s="8">
        <v>1</v>
      </c>
      <c r="R213" s="8">
        <v>176</v>
      </c>
      <c r="S213" s="8">
        <v>27</v>
      </c>
      <c r="T213" s="3" t="s">
        <v>72</v>
      </c>
      <c r="U213" s="10">
        <v>14161</v>
      </c>
      <c r="V213" s="32">
        <v>31</v>
      </c>
      <c r="W213" s="27">
        <v>2.1891109384930443E-3</v>
      </c>
      <c r="X213" s="34">
        <v>1</v>
      </c>
      <c r="Y213" s="27">
        <v>3.2258064516129031E-2</v>
      </c>
      <c r="Z213" s="27">
        <v>7.0616481886872395E-5</v>
      </c>
      <c r="AA213" s="35">
        <v>17</v>
      </c>
      <c r="AB213" s="27">
        <v>0.54838709677419351</v>
      </c>
      <c r="AC213" s="27">
        <f t="shared" si="19"/>
        <v>1.2004801920768306E-3</v>
      </c>
      <c r="AD213" s="36">
        <v>9</v>
      </c>
      <c r="AE213" s="27">
        <v>0.29032258064516131</v>
      </c>
      <c r="AF213" s="27">
        <f t="shared" si="20"/>
        <v>6.355483369818516E-4</v>
      </c>
      <c r="AG213" s="37">
        <v>2</v>
      </c>
      <c r="AH213" s="27">
        <v>6.4516129032258063E-2</v>
      </c>
      <c r="AI213" s="27">
        <f t="shared" si="21"/>
        <v>1.4123296377374479E-4</v>
      </c>
      <c r="AJ213" s="38">
        <v>0</v>
      </c>
      <c r="AK213" s="27">
        <v>0</v>
      </c>
      <c r="AL213" s="27">
        <f t="shared" si="22"/>
        <v>0</v>
      </c>
      <c r="AM213" s="40">
        <v>0</v>
      </c>
      <c r="AN213" s="27">
        <v>0</v>
      </c>
      <c r="AO213" s="27">
        <f t="shared" si="23"/>
        <v>0</v>
      </c>
      <c r="AP213" s="7" t="b">
        <v>1</v>
      </c>
      <c r="AQ213" s="6" t="b">
        <v>0</v>
      </c>
      <c r="AR213" s="6" t="b">
        <v>0</v>
      </c>
      <c r="AS213" s="6" t="b">
        <v>0</v>
      </c>
      <c r="AT213" s="7" t="b">
        <v>1</v>
      </c>
      <c r="AU213" s="6" t="b">
        <v>0</v>
      </c>
      <c r="AV213" s="6" t="b">
        <v>0</v>
      </c>
      <c r="AW213" s="6" t="b">
        <v>0</v>
      </c>
      <c r="AX213" s="6" t="b">
        <v>0</v>
      </c>
      <c r="AY213" s="6" t="b">
        <v>0</v>
      </c>
      <c r="AZ213" s="6" t="b">
        <v>0</v>
      </c>
      <c r="BA213" s="6" t="b">
        <v>0</v>
      </c>
      <c r="BB213" s="6" t="b">
        <v>0</v>
      </c>
    </row>
    <row r="214" spans="1:54" ht="15" x14ac:dyDescent="0.25">
      <c r="A214" s="3" t="s">
        <v>484</v>
      </c>
      <c r="B214" s="3" t="str">
        <f ca="1">IFERROR(__xludf.DUMMYFUNCTION("SPLIT(A214,""/"")"),"david8862")</f>
        <v>david8862</v>
      </c>
      <c r="C214" s="3" t="str">
        <f ca="1">IFERROR(__xludf.DUMMYFUNCTION("""COMPUTED_VALUE"""),"keras-YOLOv3-model-set")</f>
        <v>keras-YOLOv3-model-set</v>
      </c>
      <c r="D214" s="4" t="s">
        <v>485</v>
      </c>
      <c r="E214" s="5">
        <v>43695.468611111108</v>
      </c>
      <c r="F214" s="5">
        <v>44294.463368055556</v>
      </c>
      <c r="G214" s="13">
        <f t="shared" si="18"/>
        <v>598.99475694444845</v>
      </c>
      <c r="H214" s="6" t="b">
        <v>0</v>
      </c>
      <c r="I214" s="6" t="b">
        <v>0</v>
      </c>
      <c r="J214" s="8">
        <v>453</v>
      </c>
      <c r="K214" s="8">
        <v>22</v>
      </c>
      <c r="L214" s="8">
        <v>154</v>
      </c>
      <c r="M214" s="8">
        <v>4</v>
      </c>
      <c r="N214" s="8">
        <v>6</v>
      </c>
      <c r="O214" s="8">
        <v>11</v>
      </c>
      <c r="P214" s="8">
        <v>4</v>
      </c>
      <c r="Q214" s="8">
        <v>1</v>
      </c>
      <c r="R214" s="8">
        <v>159</v>
      </c>
      <c r="S214" s="8">
        <v>85</v>
      </c>
      <c r="T214" s="3" t="s">
        <v>72</v>
      </c>
      <c r="U214" s="10">
        <v>12069</v>
      </c>
      <c r="V214" s="32">
        <v>53</v>
      </c>
      <c r="W214" s="27">
        <v>4.3914160245256441E-3</v>
      </c>
      <c r="X214" s="34">
        <v>1</v>
      </c>
      <c r="Y214" s="27">
        <v>1.8867924528301886E-2</v>
      </c>
      <c r="Z214" s="27">
        <v>8.2856906123125366E-5</v>
      </c>
      <c r="AA214" s="35">
        <v>37</v>
      </c>
      <c r="AB214" s="27">
        <v>0.69811320754716977</v>
      </c>
      <c r="AC214" s="27">
        <f t="shared" si="19"/>
        <v>3.0657055265556382E-3</v>
      </c>
      <c r="AD214" s="36">
        <v>8</v>
      </c>
      <c r="AE214" s="27">
        <v>0.15094339622641509</v>
      </c>
      <c r="AF214" s="27">
        <f t="shared" si="20"/>
        <v>6.6285524898500293E-4</v>
      </c>
      <c r="AG214" s="37">
        <v>4</v>
      </c>
      <c r="AH214" s="27">
        <v>7.5471698113207544E-2</v>
      </c>
      <c r="AI214" s="27">
        <f t="shared" si="21"/>
        <v>3.3142762449250146E-4</v>
      </c>
      <c r="AJ214" s="38">
        <v>0</v>
      </c>
      <c r="AK214" s="27">
        <v>0</v>
      </c>
      <c r="AL214" s="27">
        <f t="shared" si="22"/>
        <v>0</v>
      </c>
      <c r="AM214" s="40">
        <v>0</v>
      </c>
      <c r="AN214" s="27">
        <v>0</v>
      </c>
      <c r="AO214" s="27">
        <f t="shared" si="23"/>
        <v>0</v>
      </c>
      <c r="AP214" s="7" t="b">
        <v>1</v>
      </c>
      <c r="AQ214" s="6" t="b">
        <v>0</v>
      </c>
      <c r="AR214" s="6" t="b">
        <v>0</v>
      </c>
      <c r="AS214" s="6" t="b">
        <v>0</v>
      </c>
      <c r="AT214" s="7" t="b">
        <v>1</v>
      </c>
      <c r="AU214" s="6" t="b">
        <v>0</v>
      </c>
      <c r="AV214" s="6" t="b">
        <v>0</v>
      </c>
      <c r="AW214" s="6" t="b">
        <v>0</v>
      </c>
      <c r="AX214" s="6" t="b">
        <v>0</v>
      </c>
      <c r="AY214" s="6" t="b">
        <v>0</v>
      </c>
      <c r="AZ214" s="6" t="b">
        <v>0</v>
      </c>
      <c r="BA214" s="6" t="b">
        <v>0</v>
      </c>
      <c r="BB214" s="6" t="b">
        <v>0</v>
      </c>
    </row>
    <row r="215" spans="1:54" ht="15" x14ac:dyDescent="0.25">
      <c r="A215" s="3" t="s">
        <v>486</v>
      </c>
      <c r="B215" s="3" t="str">
        <f ca="1">IFERROR(__xludf.DUMMYFUNCTION("SPLIT(A215,""/"")"),"davidteather")</f>
        <v>davidteather</v>
      </c>
      <c r="C215" s="3" t="str">
        <f ca="1">IFERROR(__xludf.DUMMYFUNCTION("""COMPUTED_VALUE"""),"TikTok-Api")</f>
        <v>TikTok-Api</v>
      </c>
      <c r="D215" s="4" t="s">
        <v>487</v>
      </c>
      <c r="E215" s="5">
        <v>43611.712604166663</v>
      </c>
      <c r="F215" s="5">
        <v>44293.302083333336</v>
      </c>
      <c r="G215" s="13">
        <f t="shared" si="18"/>
        <v>681.58947916667239</v>
      </c>
      <c r="H215" s="6" t="b">
        <v>0</v>
      </c>
      <c r="I215" s="6" t="b">
        <v>0</v>
      </c>
      <c r="J215" s="8">
        <v>981</v>
      </c>
      <c r="K215" s="8">
        <v>47</v>
      </c>
      <c r="L215" s="8">
        <v>274</v>
      </c>
      <c r="M215" s="8">
        <v>89</v>
      </c>
      <c r="N215" s="8">
        <v>1</v>
      </c>
      <c r="O215" s="8">
        <v>19</v>
      </c>
      <c r="P215" s="8">
        <v>167</v>
      </c>
      <c r="Q215" s="8">
        <v>2</v>
      </c>
      <c r="R215" s="8">
        <v>366</v>
      </c>
      <c r="S215" s="8">
        <v>28</v>
      </c>
      <c r="T215" s="3" t="s">
        <v>72</v>
      </c>
      <c r="U215" s="10">
        <v>1314</v>
      </c>
      <c r="V215" s="32">
        <v>25</v>
      </c>
      <c r="W215" s="27">
        <v>1.9025875190258751E-2</v>
      </c>
      <c r="X215" s="34">
        <v>0</v>
      </c>
      <c r="Y215" s="27">
        <v>0</v>
      </c>
      <c r="Z215" s="27">
        <v>0</v>
      </c>
      <c r="AA215" s="35">
        <v>10</v>
      </c>
      <c r="AB215" s="27">
        <v>0.4</v>
      </c>
      <c r="AC215" s="27">
        <f t="shared" si="19"/>
        <v>7.6103500761035003E-3</v>
      </c>
      <c r="AD215" s="36">
        <v>2</v>
      </c>
      <c r="AE215" s="27">
        <v>0.08</v>
      </c>
      <c r="AF215" s="27">
        <f t="shared" si="20"/>
        <v>1.5220700152207001E-3</v>
      </c>
      <c r="AG215" s="37">
        <v>9</v>
      </c>
      <c r="AH215" s="27">
        <v>0.36</v>
      </c>
      <c r="AI215" s="27">
        <f t="shared" si="21"/>
        <v>6.8493150684931503E-3</v>
      </c>
      <c r="AJ215" s="38">
        <v>0</v>
      </c>
      <c r="AK215" s="27">
        <v>0</v>
      </c>
      <c r="AL215" s="27">
        <f t="shared" si="22"/>
        <v>0</v>
      </c>
      <c r="AM215" s="40">
        <v>0</v>
      </c>
      <c r="AN215" s="27">
        <v>0</v>
      </c>
      <c r="AO215" s="27">
        <f t="shared" si="23"/>
        <v>0</v>
      </c>
      <c r="AP215" s="7" t="b">
        <v>1</v>
      </c>
      <c r="AQ215" s="6" t="b">
        <v>0</v>
      </c>
      <c r="AR215" s="6" t="b">
        <v>0</v>
      </c>
      <c r="AS215" s="6" t="b">
        <v>0</v>
      </c>
      <c r="AT215" s="7" t="b">
        <v>1</v>
      </c>
      <c r="AU215" s="6" t="b">
        <v>0</v>
      </c>
      <c r="AV215" s="6" t="b">
        <v>0</v>
      </c>
      <c r="AW215" s="6" t="b">
        <v>0</v>
      </c>
      <c r="AX215" s="6" t="b">
        <v>0</v>
      </c>
      <c r="AY215" s="6" t="b">
        <v>0</v>
      </c>
      <c r="AZ215" s="6" t="b">
        <v>0</v>
      </c>
      <c r="BA215" s="6" t="b">
        <v>0</v>
      </c>
      <c r="BB215" s="6" t="b">
        <v>0</v>
      </c>
    </row>
    <row r="216" spans="1:54" ht="15" x14ac:dyDescent="0.25">
      <c r="A216" s="3" t="s">
        <v>488</v>
      </c>
      <c r="B216" s="3" t="str">
        <f ca="1">IFERROR(__xludf.DUMMYFUNCTION("SPLIT(A216,""/"")"),"dbcli")</f>
        <v>dbcli</v>
      </c>
      <c r="C216" s="3" t="str">
        <f ca="1">IFERROR(__xludf.DUMMYFUNCTION("""COMPUTED_VALUE"""),"mssql-cli")</f>
        <v>mssql-cli</v>
      </c>
      <c r="D216" s="4" t="s">
        <v>489</v>
      </c>
      <c r="E216" s="5">
        <v>43021.085925925923</v>
      </c>
      <c r="F216" s="5">
        <v>44294.123356481483</v>
      </c>
      <c r="G216" s="13">
        <f t="shared" si="18"/>
        <v>1273.0374305555597</v>
      </c>
      <c r="H216" s="6" t="b">
        <v>0</v>
      </c>
      <c r="I216" s="7" t="b">
        <v>1</v>
      </c>
      <c r="J216" s="8">
        <v>1072</v>
      </c>
      <c r="K216" s="8">
        <v>58</v>
      </c>
      <c r="L216" s="8">
        <v>123</v>
      </c>
      <c r="M216" s="8">
        <v>9</v>
      </c>
      <c r="N216" s="8">
        <v>3</v>
      </c>
      <c r="O216" s="8">
        <v>22</v>
      </c>
      <c r="P216" s="8">
        <v>231</v>
      </c>
      <c r="Q216" s="8">
        <v>4</v>
      </c>
      <c r="R216" s="8">
        <v>279</v>
      </c>
      <c r="S216" s="8">
        <v>113</v>
      </c>
      <c r="T216" s="3" t="s">
        <v>57</v>
      </c>
      <c r="U216" s="10">
        <v>7514</v>
      </c>
      <c r="V216" s="32">
        <v>58</v>
      </c>
      <c r="W216" s="27">
        <v>7.7189246739419745E-3</v>
      </c>
      <c r="X216" s="34">
        <v>22</v>
      </c>
      <c r="Y216" s="27">
        <v>0.37931034482758619</v>
      </c>
      <c r="Z216" s="27">
        <v>2.9278679797710939E-3</v>
      </c>
      <c r="AA216" s="35">
        <v>27</v>
      </c>
      <c r="AB216" s="27">
        <v>0.46551724137931033</v>
      </c>
      <c r="AC216" s="27">
        <f t="shared" si="19"/>
        <v>3.5932925206281609E-3</v>
      </c>
      <c r="AD216" s="36">
        <v>1</v>
      </c>
      <c r="AE216" s="27">
        <v>1.7241379310344827E-2</v>
      </c>
      <c r="AF216" s="27">
        <f t="shared" si="20"/>
        <v>1.3308490817141337E-4</v>
      </c>
      <c r="AG216" s="37">
        <v>8</v>
      </c>
      <c r="AH216" s="27">
        <v>0.13793103448275862</v>
      </c>
      <c r="AI216" s="27">
        <f t="shared" si="21"/>
        <v>1.064679265371307E-3</v>
      </c>
      <c r="AJ216" s="38">
        <v>0</v>
      </c>
      <c r="AK216" s="27">
        <v>0</v>
      </c>
      <c r="AL216" s="27">
        <f t="shared" si="22"/>
        <v>0</v>
      </c>
      <c r="AM216" s="40">
        <v>0</v>
      </c>
      <c r="AN216" s="27">
        <v>0</v>
      </c>
      <c r="AO216" s="27">
        <f t="shared" si="23"/>
        <v>0</v>
      </c>
      <c r="AP216" s="7" t="b">
        <v>1</v>
      </c>
      <c r="AQ216" s="6" t="b">
        <v>0</v>
      </c>
      <c r="AR216" s="6" t="b">
        <v>0</v>
      </c>
      <c r="AS216" s="6" t="b">
        <v>0</v>
      </c>
      <c r="AT216" s="7" t="b">
        <v>1</v>
      </c>
      <c r="AU216" s="6" t="b">
        <v>0</v>
      </c>
      <c r="AV216" s="6" t="b">
        <v>0</v>
      </c>
      <c r="AW216" s="6" t="b">
        <v>0</v>
      </c>
      <c r="AX216" s="6" t="b">
        <v>0</v>
      </c>
      <c r="AY216" s="6" t="b">
        <v>0</v>
      </c>
      <c r="AZ216" s="6" t="b">
        <v>0</v>
      </c>
      <c r="BA216" s="6" t="b">
        <v>0</v>
      </c>
      <c r="BB216" s="6" t="b">
        <v>0</v>
      </c>
    </row>
    <row r="217" spans="1:54" ht="15" x14ac:dyDescent="0.25">
      <c r="A217" s="3" t="s">
        <v>490</v>
      </c>
      <c r="B217" s="3" t="str">
        <f ca="1">IFERROR(__xludf.DUMMYFUNCTION("SPLIT(A217,""/"")"),"dbcli")</f>
        <v>dbcli</v>
      </c>
      <c r="C217" s="3" t="str">
        <f ca="1">IFERROR(__xludf.DUMMYFUNCTION("""COMPUTED_VALUE"""),"pgcli")</f>
        <v>pgcli</v>
      </c>
      <c r="D217" s="4" t="s">
        <v>491</v>
      </c>
      <c r="E217" s="5">
        <v>41924.730937499997</v>
      </c>
      <c r="F217" s="5">
        <v>44295.066412037035</v>
      </c>
      <c r="G217" s="13">
        <f t="shared" si="18"/>
        <v>2370.335474537038</v>
      </c>
      <c r="H217" s="6" t="b">
        <v>0</v>
      </c>
      <c r="I217" s="7" t="b">
        <v>1</v>
      </c>
      <c r="J217" s="8">
        <v>9497</v>
      </c>
      <c r="K217" s="8">
        <v>140</v>
      </c>
      <c r="L217" s="8">
        <v>423</v>
      </c>
      <c r="M217" s="8">
        <v>0</v>
      </c>
      <c r="N217" s="8">
        <v>15</v>
      </c>
      <c r="O217" s="8">
        <v>135</v>
      </c>
      <c r="P217" s="8">
        <v>671</v>
      </c>
      <c r="Q217" s="8">
        <v>3</v>
      </c>
      <c r="R217" s="8">
        <v>586</v>
      </c>
      <c r="S217" s="8">
        <v>122</v>
      </c>
      <c r="T217" s="3" t="s">
        <v>57</v>
      </c>
      <c r="U217" s="10">
        <v>5538</v>
      </c>
      <c r="V217" s="32">
        <v>63</v>
      </c>
      <c r="W217" s="27">
        <v>1.1375947995666305E-2</v>
      </c>
      <c r="X217" s="34">
        <v>46</v>
      </c>
      <c r="Y217" s="27">
        <v>0.73015873015873012</v>
      </c>
      <c r="Z217" s="27">
        <v>8.3062477428674612E-3</v>
      </c>
      <c r="AA217" s="35">
        <v>4</v>
      </c>
      <c r="AB217" s="27">
        <v>6.3492063492063489E-2</v>
      </c>
      <c r="AC217" s="27">
        <f t="shared" si="19"/>
        <v>7.2228241242325753E-4</v>
      </c>
      <c r="AD217" s="36">
        <v>1</v>
      </c>
      <c r="AE217" s="27">
        <v>1.5873015873015872E-2</v>
      </c>
      <c r="AF217" s="27">
        <f t="shared" si="20"/>
        <v>1.8057060310581438E-4</v>
      </c>
      <c r="AG217" s="37">
        <v>12</v>
      </c>
      <c r="AH217" s="27">
        <v>0.19047619047619047</v>
      </c>
      <c r="AI217" s="27">
        <f t="shared" si="21"/>
        <v>2.1668472372697724E-3</v>
      </c>
      <c r="AJ217" s="38">
        <v>0</v>
      </c>
      <c r="AK217" s="27">
        <v>0</v>
      </c>
      <c r="AL217" s="27">
        <f t="shared" si="22"/>
        <v>0</v>
      </c>
      <c r="AM217" s="40">
        <v>0</v>
      </c>
      <c r="AN217" s="27">
        <v>0</v>
      </c>
      <c r="AO217" s="27">
        <f t="shared" si="23"/>
        <v>0</v>
      </c>
      <c r="AP217" s="7" t="b">
        <v>1</v>
      </c>
      <c r="AQ217" s="6" t="b">
        <v>0</v>
      </c>
      <c r="AR217" s="6" t="b">
        <v>0</v>
      </c>
      <c r="AS217" s="6" t="b">
        <v>0</v>
      </c>
      <c r="AT217" s="7" t="b">
        <v>1</v>
      </c>
      <c r="AU217" s="6" t="b">
        <v>0</v>
      </c>
      <c r="AV217" s="6" t="b">
        <v>0</v>
      </c>
      <c r="AW217" s="6" t="b">
        <v>0</v>
      </c>
      <c r="AX217" s="6" t="b">
        <v>0</v>
      </c>
      <c r="AY217" s="6" t="b">
        <v>0</v>
      </c>
      <c r="AZ217" s="6" t="b">
        <v>0</v>
      </c>
      <c r="BA217" s="6" t="b">
        <v>0</v>
      </c>
      <c r="BB217" s="6" t="b">
        <v>0</v>
      </c>
    </row>
    <row r="218" spans="1:54" ht="15" x14ac:dyDescent="0.25">
      <c r="A218" s="3" t="s">
        <v>492</v>
      </c>
      <c r="B218" s="3" t="str">
        <f ca="1">IFERROR(__xludf.DUMMYFUNCTION("SPLIT(A218,""/"")"),"dcos")</f>
        <v>dcos</v>
      </c>
      <c r="C218" s="3" t="str">
        <f ca="1">IFERROR(__xludf.DUMMYFUNCTION("""COMPUTED_VALUE"""),"dcos")</f>
        <v>dcos</v>
      </c>
      <c r="D218" s="4" t="s">
        <v>493</v>
      </c>
      <c r="E218" s="5">
        <v>42473.855532407404</v>
      </c>
      <c r="F218" s="5">
        <v>44289.356493055559</v>
      </c>
      <c r="G218" s="13">
        <f t="shared" si="18"/>
        <v>1815.5009606481544</v>
      </c>
      <c r="H218" s="6" t="b">
        <v>0</v>
      </c>
      <c r="I218" s="7" t="b">
        <v>1</v>
      </c>
      <c r="J218" s="8">
        <v>2288</v>
      </c>
      <c r="K218" s="8">
        <v>101</v>
      </c>
      <c r="L218" s="8">
        <v>460</v>
      </c>
      <c r="M218" s="8">
        <v>2</v>
      </c>
      <c r="N218" s="8">
        <v>99664</v>
      </c>
      <c r="O218" s="8">
        <v>172</v>
      </c>
      <c r="P218" s="8">
        <v>7882</v>
      </c>
      <c r="Q218" s="8">
        <v>5</v>
      </c>
      <c r="R218" s="8">
        <v>0</v>
      </c>
      <c r="S218" s="8">
        <v>0</v>
      </c>
      <c r="T218" s="3" t="s">
        <v>69</v>
      </c>
      <c r="U218" s="10">
        <v>19817</v>
      </c>
      <c r="V218" s="32">
        <v>427</v>
      </c>
      <c r="W218" s="27">
        <v>2.1547156481808549E-2</v>
      </c>
      <c r="X218" s="34">
        <v>66</v>
      </c>
      <c r="Y218" s="27">
        <v>0.15456674473067916</v>
      </c>
      <c r="Z218" s="27">
        <v>3.3304738355957007E-3</v>
      </c>
      <c r="AA218" s="35">
        <v>272</v>
      </c>
      <c r="AB218" s="27">
        <v>0.63700234192037475</v>
      </c>
      <c r="AC218" s="27">
        <f t="shared" si="19"/>
        <v>1.3725589140636827E-2</v>
      </c>
      <c r="AD218" s="36">
        <v>29</v>
      </c>
      <c r="AE218" s="27">
        <v>6.7915690866510545E-2</v>
      </c>
      <c r="AF218" s="27">
        <f t="shared" si="20"/>
        <v>1.4633900186708383E-3</v>
      </c>
      <c r="AG218" s="37">
        <v>58</v>
      </c>
      <c r="AH218" s="27">
        <v>0.13583138173302109</v>
      </c>
      <c r="AI218" s="27">
        <f t="shared" si="21"/>
        <v>2.9267800373416765E-3</v>
      </c>
      <c r="AJ218" s="38">
        <v>0</v>
      </c>
      <c r="AK218" s="27">
        <v>0</v>
      </c>
      <c r="AL218" s="27">
        <f t="shared" si="22"/>
        <v>0</v>
      </c>
      <c r="AM218" s="40">
        <v>1</v>
      </c>
      <c r="AN218" s="27">
        <v>2.34192037470726E-3</v>
      </c>
      <c r="AO218" s="27">
        <f t="shared" si="23"/>
        <v>5.0461724781753044E-5</v>
      </c>
      <c r="AP218" s="7" t="b">
        <v>1</v>
      </c>
      <c r="AQ218" s="6" t="b">
        <v>0</v>
      </c>
      <c r="AR218" s="6" t="b">
        <v>0</v>
      </c>
      <c r="AS218" s="6" t="b">
        <v>0</v>
      </c>
      <c r="AT218" s="7" t="b">
        <v>1</v>
      </c>
      <c r="AU218" s="6" t="b">
        <v>0</v>
      </c>
      <c r="AV218" s="6" t="b">
        <v>0</v>
      </c>
      <c r="AW218" s="6" t="b">
        <v>0</v>
      </c>
      <c r="AX218" s="6" t="b">
        <v>0</v>
      </c>
      <c r="AY218" s="6" t="b">
        <v>0</v>
      </c>
      <c r="AZ218" s="6" t="b">
        <v>0</v>
      </c>
      <c r="BA218" s="6" t="b">
        <v>0</v>
      </c>
      <c r="BB218" s="6" t="b">
        <v>0</v>
      </c>
    </row>
    <row r="219" spans="1:54" ht="15" x14ac:dyDescent="0.25">
      <c r="A219" s="3" t="s">
        <v>494</v>
      </c>
      <c r="B219" s="3" t="str">
        <f ca="1">IFERROR(__xludf.DUMMYFUNCTION("SPLIT(A219,""/"")"),"dcowden")</f>
        <v>dcowden</v>
      </c>
      <c r="C219" s="3" t="str">
        <f ca="1">IFERROR(__xludf.DUMMYFUNCTION("""COMPUTED_VALUE"""),"cadquery")</f>
        <v>cadquery</v>
      </c>
      <c r="D219" s="4" t="s">
        <v>495</v>
      </c>
      <c r="E219" s="5">
        <v>41378.92628472222</v>
      </c>
      <c r="F219" s="5">
        <v>44254.152499999997</v>
      </c>
      <c r="G219" s="13">
        <f t="shared" si="18"/>
        <v>2875.2262152777766</v>
      </c>
      <c r="H219" s="6" t="b">
        <v>0</v>
      </c>
      <c r="I219" s="6" t="b">
        <v>0</v>
      </c>
      <c r="J219" s="8">
        <v>436</v>
      </c>
      <c r="K219" s="8">
        <v>37</v>
      </c>
      <c r="L219" s="8">
        <v>55</v>
      </c>
      <c r="M219" s="8">
        <v>4</v>
      </c>
      <c r="N219" s="8">
        <v>2</v>
      </c>
      <c r="O219" s="8">
        <v>26</v>
      </c>
      <c r="P219" s="8">
        <v>134</v>
      </c>
      <c r="Q219" s="8">
        <v>0</v>
      </c>
      <c r="R219" s="8">
        <v>177</v>
      </c>
      <c r="S219" s="8">
        <v>1</v>
      </c>
      <c r="T219" s="3" t="s">
        <v>92</v>
      </c>
      <c r="U219" s="10">
        <v>5145</v>
      </c>
      <c r="V219" s="32">
        <v>10</v>
      </c>
      <c r="W219" s="27">
        <v>1.9436345966958211E-3</v>
      </c>
      <c r="X219" s="34">
        <v>2</v>
      </c>
      <c r="Y219" s="27">
        <v>0.2</v>
      </c>
      <c r="Z219" s="27">
        <v>3.8872691933916425E-4</v>
      </c>
      <c r="AA219" s="35">
        <v>3</v>
      </c>
      <c r="AB219" s="27">
        <v>0.3</v>
      </c>
      <c r="AC219" s="27">
        <f t="shared" si="19"/>
        <v>5.8309037900874635E-4</v>
      </c>
      <c r="AD219" s="36">
        <v>3</v>
      </c>
      <c r="AE219" s="27">
        <v>0.3</v>
      </c>
      <c r="AF219" s="27">
        <f t="shared" si="20"/>
        <v>5.8309037900874635E-4</v>
      </c>
      <c r="AG219" s="37">
        <v>2</v>
      </c>
      <c r="AH219" s="27">
        <v>0.2</v>
      </c>
      <c r="AI219" s="27">
        <f t="shared" si="21"/>
        <v>3.8872691933916425E-4</v>
      </c>
      <c r="AJ219" s="38">
        <v>0</v>
      </c>
      <c r="AK219" s="27">
        <v>0</v>
      </c>
      <c r="AL219" s="27">
        <f t="shared" si="22"/>
        <v>0</v>
      </c>
      <c r="AM219" s="40">
        <v>0</v>
      </c>
      <c r="AN219" s="27">
        <v>0</v>
      </c>
      <c r="AO219" s="27">
        <f t="shared" si="23"/>
        <v>0</v>
      </c>
      <c r="AP219" s="7" t="b">
        <v>1</v>
      </c>
      <c r="AQ219" s="6" t="b">
        <v>0</v>
      </c>
      <c r="AR219" s="6" t="b">
        <v>0</v>
      </c>
      <c r="AS219" s="6" t="b">
        <v>0</v>
      </c>
      <c r="AT219" s="7" t="b">
        <v>1</v>
      </c>
      <c r="AU219" s="6" t="b">
        <v>0</v>
      </c>
      <c r="AV219" s="6" t="b">
        <v>0</v>
      </c>
      <c r="AW219" s="6" t="b">
        <v>0</v>
      </c>
      <c r="AX219" s="6" t="b">
        <v>0</v>
      </c>
      <c r="AY219" s="6" t="b">
        <v>0</v>
      </c>
      <c r="AZ219" s="6" t="b">
        <v>0</v>
      </c>
      <c r="BA219" s="6" t="b">
        <v>0</v>
      </c>
      <c r="BB219" s="6" t="b">
        <v>0</v>
      </c>
    </row>
    <row r="220" spans="1:54" ht="15" x14ac:dyDescent="0.25">
      <c r="A220" s="3" t="s">
        <v>496</v>
      </c>
      <c r="B220" s="3" t="str">
        <f ca="1">IFERROR(__xludf.DUMMYFUNCTION("SPLIT(A220,""/"")"),"deepchem")</f>
        <v>deepchem</v>
      </c>
      <c r="C220" s="3" t="str">
        <f ca="1">IFERROR(__xludf.DUMMYFUNCTION("""COMPUTED_VALUE"""),"deepchem")</f>
        <v>deepchem</v>
      </c>
      <c r="D220" s="4" t="s">
        <v>497</v>
      </c>
      <c r="E220" s="5">
        <v>42271.972546296296</v>
      </c>
      <c r="F220" s="5">
        <v>44295.04515046296</v>
      </c>
      <c r="G220" s="13">
        <f t="shared" si="18"/>
        <v>2023.072604166664</v>
      </c>
      <c r="H220" s="6" t="b">
        <v>0</v>
      </c>
      <c r="I220" s="7" t="b">
        <v>1</v>
      </c>
      <c r="J220" s="8">
        <v>2860</v>
      </c>
      <c r="K220" s="8">
        <v>159</v>
      </c>
      <c r="L220" s="8">
        <v>913</v>
      </c>
      <c r="M220" s="8">
        <v>14</v>
      </c>
      <c r="N220" s="8">
        <v>10</v>
      </c>
      <c r="O220" s="8">
        <v>102</v>
      </c>
      <c r="P220" s="8">
        <v>1264</v>
      </c>
      <c r="Q220" s="8">
        <v>32</v>
      </c>
      <c r="R220" s="8">
        <v>1202</v>
      </c>
      <c r="S220" s="8">
        <v>329</v>
      </c>
      <c r="T220" s="3" t="s">
        <v>72</v>
      </c>
      <c r="U220" s="10">
        <v>44380</v>
      </c>
      <c r="V220" s="32">
        <v>344</v>
      </c>
      <c r="W220" s="27">
        <v>7.7512392969806216E-3</v>
      </c>
      <c r="X220" s="34">
        <v>0</v>
      </c>
      <c r="Y220" s="27">
        <v>0</v>
      </c>
      <c r="Z220" s="27">
        <v>0</v>
      </c>
      <c r="AA220" s="35">
        <v>241</v>
      </c>
      <c r="AB220" s="27">
        <v>0.70058139534883723</v>
      </c>
      <c r="AC220" s="27">
        <f t="shared" si="19"/>
        <v>5.4303740423614242E-3</v>
      </c>
      <c r="AD220" s="36">
        <v>97</v>
      </c>
      <c r="AE220" s="27">
        <v>0.28197674418604651</v>
      </c>
      <c r="AF220" s="27">
        <f t="shared" si="20"/>
        <v>2.1856692203695359E-3</v>
      </c>
      <c r="AG220" s="37">
        <v>2</v>
      </c>
      <c r="AH220" s="27">
        <v>5.8139534883720929E-3</v>
      </c>
      <c r="AI220" s="27">
        <f t="shared" si="21"/>
        <v>4.5065344749887339E-5</v>
      </c>
      <c r="AJ220" s="38">
        <v>0</v>
      </c>
      <c r="AK220" s="27">
        <v>0</v>
      </c>
      <c r="AL220" s="27">
        <f t="shared" si="22"/>
        <v>0</v>
      </c>
      <c r="AM220" s="40">
        <v>4</v>
      </c>
      <c r="AN220" s="27">
        <v>1.1627906976744186E-2</v>
      </c>
      <c r="AO220" s="27">
        <f t="shared" si="23"/>
        <v>9.0130689499774678E-5</v>
      </c>
      <c r="AP220" s="7" t="b">
        <v>1</v>
      </c>
      <c r="AQ220" s="6" t="b">
        <v>0</v>
      </c>
      <c r="AR220" s="6" t="b">
        <v>0</v>
      </c>
      <c r="AS220" s="6" t="b">
        <v>0</v>
      </c>
      <c r="AT220" s="7" t="b">
        <v>1</v>
      </c>
      <c r="AU220" s="6" t="b">
        <v>0</v>
      </c>
      <c r="AV220" s="6" t="b">
        <v>0</v>
      </c>
      <c r="AW220" s="6" t="b">
        <v>0</v>
      </c>
      <c r="AX220" s="6" t="b">
        <v>0</v>
      </c>
      <c r="AY220" s="6" t="b">
        <v>0</v>
      </c>
      <c r="AZ220" s="6" t="b">
        <v>0</v>
      </c>
      <c r="BA220" s="6" t="b">
        <v>0</v>
      </c>
      <c r="BB220" s="6" t="b">
        <v>0</v>
      </c>
    </row>
    <row r="221" spans="1:54" ht="15" x14ac:dyDescent="0.25">
      <c r="A221" s="3" t="s">
        <v>498</v>
      </c>
      <c r="B221" s="3" t="str">
        <f ca="1">IFERROR(__xludf.DUMMYFUNCTION("SPLIT(A221,""/"")"),"deepdrive")</f>
        <v>deepdrive</v>
      </c>
      <c r="C221" s="3" t="str">
        <f ca="1">IFERROR(__xludf.DUMMYFUNCTION("""COMPUTED_VALUE"""),"deepdrive")</f>
        <v>deepdrive</v>
      </c>
      <c r="D221" s="4" t="s">
        <v>499</v>
      </c>
      <c r="E221" s="5">
        <v>43060.728298611109</v>
      </c>
      <c r="F221" s="5">
        <v>44293.951018518521</v>
      </c>
      <c r="G221" s="13">
        <f t="shared" si="18"/>
        <v>1233.2227199074114</v>
      </c>
      <c r="H221" s="6" t="b">
        <v>0</v>
      </c>
      <c r="I221" s="7" t="b">
        <v>1</v>
      </c>
      <c r="J221" s="8">
        <v>639</v>
      </c>
      <c r="K221" s="8">
        <v>59</v>
      </c>
      <c r="L221" s="8">
        <v>114</v>
      </c>
      <c r="M221" s="8">
        <v>1</v>
      </c>
      <c r="N221" s="8">
        <v>1</v>
      </c>
      <c r="O221" s="8">
        <v>6</v>
      </c>
      <c r="P221" s="8">
        <v>9</v>
      </c>
      <c r="Q221" s="8">
        <v>1</v>
      </c>
      <c r="R221" s="8">
        <v>59</v>
      </c>
      <c r="S221" s="8">
        <v>31</v>
      </c>
      <c r="T221" s="3" t="s">
        <v>92</v>
      </c>
      <c r="U221" s="10">
        <v>11567</v>
      </c>
      <c r="V221" s="32">
        <v>267</v>
      </c>
      <c r="W221" s="27">
        <v>2.3082908273536786E-2</v>
      </c>
      <c r="X221" s="34">
        <v>97</v>
      </c>
      <c r="Y221" s="27">
        <v>0.36329588014981273</v>
      </c>
      <c r="Z221" s="27">
        <v>8.3859254776519412E-3</v>
      </c>
      <c r="AA221" s="35">
        <v>117</v>
      </c>
      <c r="AB221" s="27">
        <v>0.43820224719101125</v>
      </c>
      <c r="AC221" s="27">
        <f t="shared" si="19"/>
        <v>1.0114982277167804E-2</v>
      </c>
      <c r="AD221" s="36">
        <v>28</v>
      </c>
      <c r="AE221" s="27">
        <v>0.10486891385767791</v>
      </c>
      <c r="AF221" s="27">
        <f t="shared" si="20"/>
        <v>2.4206795193222096E-3</v>
      </c>
      <c r="AG221" s="37">
        <v>23</v>
      </c>
      <c r="AH221" s="27">
        <v>8.6142322097378279E-2</v>
      </c>
      <c r="AI221" s="27">
        <f t="shared" si="21"/>
        <v>1.9884153194432439E-3</v>
      </c>
      <c r="AJ221" s="38">
        <v>0</v>
      </c>
      <c r="AK221" s="27">
        <v>0</v>
      </c>
      <c r="AL221" s="27">
        <f t="shared" si="22"/>
        <v>0</v>
      </c>
      <c r="AM221" s="40">
        <v>1</v>
      </c>
      <c r="AN221" s="27">
        <v>3.7453183520599251E-3</v>
      </c>
      <c r="AO221" s="27">
        <f t="shared" si="23"/>
        <v>8.6452839975793204E-5</v>
      </c>
      <c r="AP221" s="7" t="b">
        <v>1</v>
      </c>
      <c r="AQ221" s="6" t="b">
        <v>0</v>
      </c>
      <c r="AR221" s="6" t="b">
        <v>0</v>
      </c>
      <c r="AS221" s="6" t="b">
        <v>0</v>
      </c>
      <c r="AT221" s="7" t="b">
        <v>1</v>
      </c>
      <c r="AU221" s="6" t="b">
        <v>0</v>
      </c>
      <c r="AV221" s="6" t="b">
        <v>0</v>
      </c>
      <c r="AW221" s="6" t="b">
        <v>0</v>
      </c>
      <c r="AX221" s="7" t="b">
        <v>1</v>
      </c>
      <c r="AY221" s="6" t="b">
        <v>0</v>
      </c>
      <c r="AZ221" s="6" t="b">
        <v>0</v>
      </c>
      <c r="BA221" s="6" t="b">
        <v>0</v>
      </c>
      <c r="BB221" s="6" t="b">
        <v>0</v>
      </c>
    </row>
    <row r="222" spans="1:54" ht="15" x14ac:dyDescent="0.25">
      <c r="A222" s="3" t="s">
        <v>500</v>
      </c>
      <c r="B222" s="3" t="str">
        <f ca="1">IFERROR(__xludf.DUMMYFUNCTION("SPLIT(A222,""/"")"),"DeepPavlov")</f>
        <v>DeepPavlov</v>
      </c>
      <c r="C222" s="3" t="str">
        <f ca="1">IFERROR(__xludf.DUMMYFUNCTION("""COMPUTED_VALUE"""),"convai")</f>
        <v>convai</v>
      </c>
      <c r="D222" s="4" t="s">
        <v>501</v>
      </c>
      <c r="E222" s="5">
        <v>42828.367395833331</v>
      </c>
      <c r="F222" s="5">
        <v>44270.525601851848</v>
      </c>
      <c r="G222" s="13">
        <f t="shared" si="18"/>
        <v>1442.1582060185174</v>
      </c>
      <c r="H222" s="6" t="b">
        <v>0</v>
      </c>
      <c r="I222" s="6" t="b">
        <v>0</v>
      </c>
      <c r="J222" s="8">
        <v>362</v>
      </c>
      <c r="K222" s="8">
        <v>33</v>
      </c>
      <c r="L222" s="8">
        <v>76</v>
      </c>
      <c r="M222" s="8">
        <v>0</v>
      </c>
      <c r="N222" s="8">
        <v>0</v>
      </c>
      <c r="O222" s="8">
        <v>18</v>
      </c>
      <c r="P222" s="8">
        <v>43</v>
      </c>
      <c r="Q222" s="8">
        <v>11</v>
      </c>
      <c r="R222" s="8">
        <v>10</v>
      </c>
      <c r="S222" s="8">
        <v>2</v>
      </c>
      <c r="T222" s="11" t="s">
        <v>52</v>
      </c>
      <c r="U222" s="10">
        <v>48883</v>
      </c>
      <c r="V222" s="32">
        <v>509</v>
      </c>
      <c r="W222" s="27">
        <v>1.0412617883517787E-2</v>
      </c>
      <c r="X222" s="34">
        <v>101</v>
      </c>
      <c r="Y222" s="27">
        <v>0.19842829076620824</v>
      </c>
      <c r="Z222" s="27">
        <v>2.0661579690280873E-3</v>
      </c>
      <c r="AA222" s="35">
        <v>372</v>
      </c>
      <c r="AB222" s="27">
        <v>0.73084479371316302</v>
      </c>
      <c r="AC222" s="27">
        <f t="shared" si="19"/>
        <v>7.6100075690935503E-3</v>
      </c>
      <c r="AD222" s="36">
        <v>18</v>
      </c>
      <c r="AE222" s="27">
        <v>3.536345776031434E-2</v>
      </c>
      <c r="AF222" s="27">
        <f t="shared" si="20"/>
        <v>3.6822617269807501E-4</v>
      </c>
      <c r="AG222" s="37">
        <v>12</v>
      </c>
      <c r="AH222" s="27">
        <v>2.3575638506876228E-2</v>
      </c>
      <c r="AI222" s="27">
        <f t="shared" si="21"/>
        <v>2.4548411513205002E-4</v>
      </c>
      <c r="AJ222" s="38">
        <v>0</v>
      </c>
      <c r="AK222" s="27">
        <v>0</v>
      </c>
      <c r="AL222" s="27">
        <f t="shared" si="22"/>
        <v>0</v>
      </c>
      <c r="AM222" s="40">
        <v>1</v>
      </c>
      <c r="AN222" s="27">
        <v>1.9646365422396855E-3</v>
      </c>
      <c r="AO222" s="27">
        <f t="shared" si="23"/>
        <v>2.0457009594337498E-5</v>
      </c>
      <c r="AP222" s="7" t="b">
        <v>1</v>
      </c>
      <c r="AQ222" s="7" t="b">
        <v>1</v>
      </c>
      <c r="AR222" s="6" t="b">
        <v>0</v>
      </c>
      <c r="AS222" s="6" t="b">
        <v>0</v>
      </c>
      <c r="AT222" s="7" t="b">
        <v>1</v>
      </c>
      <c r="AU222" s="6" t="b">
        <v>0</v>
      </c>
      <c r="AV222" s="6" t="b">
        <v>0</v>
      </c>
      <c r="AW222" s="6" t="b">
        <v>0</v>
      </c>
      <c r="AX222" s="6" t="b">
        <v>0</v>
      </c>
      <c r="AY222" s="6" t="b">
        <v>0</v>
      </c>
      <c r="AZ222" s="6" t="b">
        <v>0</v>
      </c>
      <c r="BA222" s="6" t="b">
        <v>0</v>
      </c>
      <c r="BB222" s="6" t="b">
        <v>0</v>
      </c>
    </row>
    <row r="223" spans="1:54" ht="15" x14ac:dyDescent="0.25">
      <c r="A223" s="3" t="s">
        <v>502</v>
      </c>
      <c r="B223" s="3" t="str">
        <f ca="1">IFERROR(__xludf.DUMMYFUNCTION("SPLIT(A223,""/"")"),"deepset-ai")</f>
        <v>deepset-ai</v>
      </c>
      <c r="C223" s="3" t="str">
        <f ca="1">IFERROR(__xludf.DUMMYFUNCTION("""COMPUTED_VALUE"""),"FARM")</f>
        <v>FARM</v>
      </c>
      <c r="D223" s="4" t="s">
        <v>503</v>
      </c>
      <c r="E223" s="5">
        <v>43663.618888888886</v>
      </c>
      <c r="F223" s="5">
        <v>44294.896874999999</v>
      </c>
      <c r="G223" s="13">
        <f t="shared" si="18"/>
        <v>631.27798611111211</v>
      </c>
      <c r="H223" s="6" t="b">
        <v>0</v>
      </c>
      <c r="I223" s="7" t="b">
        <v>1</v>
      </c>
      <c r="J223" s="8">
        <v>1161</v>
      </c>
      <c r="K223" s="8">
        <v>44</v>
      </c>
      <c r="L223" s="8">
        <v>170</v>
      </c>
      <c r="M223" s="8">
        <v>21</v>
      </c>
      <c r="N223" s="8">
        <v>5</v>
      </c>
      <c r="O223" s="8">
        <v>106</v>
      </c>
      <c r="P223" s="8">
        <v>400</v>
      </c>
      <c r="Q223" s="8">
        <v>3</v>
      </c>
      <c r="R223" s="8">
        <v>348</v>
      </c>
      <c r="S223" s="8">
        <v>35</v>
      </c>
      <c r="T223" s="3" t="s">
        <v>69</v>
      </c>
      <c r="U223" s="10">
        <v>11790</v>
      </c>
      <c r="V223" s="32">
        <v>272</v>
      </c>
      <c r="W223" s="27">
        <v>2.3070398642917728E-2</v>
      </c>
      <c r="X223" s="34">
        <v>2</v>
      </c>
      <c r="Y223" s="27">
        <v>7.3529411764705881E-3</v>
      </c>
      <c r="Z223" s="27">
        <v>1.6963528413910093E-4</v>
      </c>
      <c r="AA223" s="35">
        <v>177</v>
      </c>
      <c r="AB223" s="27">
        <v>0.65073529411764708</v>
      </c>
      <c r="AC223" s="27">
        <f t="shared" si="19"/>
        <v>1.5012722646310433E-2</v>
      </c>
      <c r="AD223" s="36">
        <v>50</v>
      </c>
      <c r="AE223" s="27">
        <v>0.18382352941176472</v>
      </c>
      <c r="AF223" s="27">
        <f t="shared" si="20"/>
        <v>4.2408821034775231E-3</v>
      </c>
      <c r="AG223" s="37">
        <v>42</v>
      </c>
      <c r="AH223" s="27">
        <v>0.15441176470588236</v>
      </c>
      <c r="AI223" s="27">
        <f t="shared" si="21"/>
        <v>3.5623409669211198E-3</v>
      </c>
      <c r="AJ223" s="38">
        <v>0</v>
      </c>
      <c r="AK223" s="27">
        <v>0</v>
      </c>
      <c r="AL223" s="27">
        <f t="shared" si="22"/>
        <v>0</v>
      </c>
      <c r="AM223" s="40">
        <v>0</v>
      </c>
      <c r="AN223" s="27">
        <v>0</v>
      </c>
      <c r="AO223" s="27">
        <f t="shared" si="23"/>
        <v>0</v>
      </c>
      <c r="AP223" s="7" t="b">
        <v>1</v>
      </c>
      <c r="AQ223" s="7" t="b">
        <v>1</v>
      </c>
      <c r="AR223" s="6" t="b">
        <v>0</v>
      </c>
      <c r="AS223" s="6" t="b">
        <v>0</v>
      </c>
      <c r="AT223" s="7" t="b">
        <v>1</v>
      </c>
      <c r="AU223" s="6" t="b">
        <v>0</v>
      </c>
      <c r="AV223" s="6" t="b">
        <v>0</v>
      </c>
      <c r="AW223" s="6" t="b">
        <v>0</v>
      </c>
      <c r="AX223" s="6" t="b">
        <v>0</v>
      </c>
      <c r="AY223" s="6" t="b">
        <v>0</v>
      </c>
      <c r="AZ223" s="6" t="b">
        <v>0</v>
      </c>
      <c r="BA223" s="6" t="b">
        <v>0</v>
      </c>
      <c r="BB223" s="6" t="b">
        <v>0</v>
      </c>
    </row>
    <row r="224" spans="1:54" ht="15" x14ac:dyDescent="0.25">
      <c r="A224" s="3" t="s">
        <v>504</v>
      </c>
      <c r="B224" s="3" t="str">
        <f ca="1">IFERROR(__xludf.DUMMYFUNCTION("SPLIT(A224,""/"")"),"deepset-ai")</f>
        <v>deepset-ai</v>
      </c>
      <c r="C224" s="3" t="str">
        <f ca="1">IFERROR(__xludf.DUMMYFUNCTION("""COMPUTED_VALUE"""),"haystack")</f>
        <v>haystack</v>
      </c>
      <c r="D224" s="4" t="s">
        <v>505</v>
      </c>
      <c r="E224" s="5">
        <v>43783.378796296296</v>
      </c>
      <c r="F224" s="5">
        <v>44294.896851851852</v>
      </c>
      <c r="G224" s="13">
        <f t="shared" si="18"/>
        <v>511.5180555555562</v>
      </c>
      <c r="H224" s="6" t="b">
        <v>0</v>
      </c>
      <c r="I224" s="7" t="b">
        <v>1</v>
      </c>
      <c r="J224" s="8">
        <v>1594</v>
      </c>
      <c r="K224" s="8">
        <v>57</v>
      </c>
      <c r="L224" s="8">
        <v>304</v>
      </c>
      <c r="M224" s="8">
        <v>7</v>
      </c>
      <c r="N224" s="8">
        <v>17</v>
      </c>
      <c r="O224" s="8">
        <v>45</v>
      </c>
      <c r="P224" s="8">
        <v>414</v>
      </c>
      <c r="Q224" s="8">
        <v>7</v>
      </c>
      <c r="R224" s="8">
        <v>540</v>
      </c>
      <c r="S224" s="8">
        <v>74</v>
      </c>
      <c r="T224" s="3" t="s">
        <v>69</v>
      </c>
      <c r="U224" s="10">
        <v>7733</v>
      </c>
      <c r="V224" s="32">
        <v>116</v>
      </c>
      <c r="W224" s="27">
        <v>1.5000646579593949E-2</v>
      </c>
      <c r="X224" s="34">
        <v>13</v>
      </c>
      <c r="Y224" s="27">
        <v>0.11206896551724138</v>
      </c>
      <c r="Z224" s="27">
        <v>1.681106944264839E-3</v>
      </c>
      <c r="AA224" s="35">
        <v>61</v>
      </c>
      <c r="AB224" s="27">
        <v>0.52586206896551724</v>
      </c>
      <c r="AC224" s="27">
        <f t="shared" si="19"/>
        <v>7.8882710461657835E-3</v>
      </c>
      <c r="AD224" s="36">
        <v>31</v>
      </c>
      <c r="AE224" s="27">
        <v>0.26724137931034481</v>
      </c>
      <c r="AF224" s="27">
        <f t="shared" si="20"/>
        <v>4.0087934824776933E-3</v>
      </c>
      <c r="AG224" s="37">
        <v>12</v>
      </c>
      <c r="AH224" s="27">
        <v>0.10344827586206896</v>
      </c>
      <c r="AI224" s="27">
        <f t="shared" si="21"/>
        <v>1.5517910254752359E-3</v>
      </c>
      <c r="AJ224" s="38">
        <v>0</v>
      </c>
      <c r="AK224" s="27">
        <v>0</v>
      </c>
      <c r="AL224" s="27">
        <f t="shared" si="22"/>
        <v>0</v>
      </c>
      <c r="AM224" s="40">
        <v>0</v>
      </c>
      <c r="AN224" s="27">
        <v>0</v>
      </c>
      <c r="AO224" s="27">
        <f t="shared" si="23"/>
        <v>0</v>
      </c>
      <c r="AP224" s="7" t="b">
        <v>1</v>
      </c>
      <c r="AQ224" s="7" t="b">
        <v>1</v>
      </c>
      <c r="AR224" s="6" t="b">
        <v>0</v>
      </c>
      <c r="AS224" s="6" t="b">
        <v>0</v>
      </c>
      <c r="AT224" s="7" t="b">
        <v>1</v>
      </c>
      <c r="AU224" s="6" t="b">
        <v>0</v>
      </c>
      <c r="AV224" s="6" t="b">
        <v>0</v>
      </c>
      <c r="AW224" s="6" t="b">
        <v>0</v>
      </c>
      <c r="AX224" s="6" t="b">
        <v>0</v>
      </c>
      <c r="AY224" s="6" t="b">
        <v>0</v>
      </c>
      <c r="AZ224" s="6" t="b">
        <v>0</v>
      </c>
      <c r="BA224" s="6" t="b">
        <v>0</v>
      </c>
      <c r="BB224" s="6" t="b">
        <v>0</v>
      </c>
    </row>
    <row r="225" spans="1:54" ht="15" x14ac:dyDescent="0.25">
      <c r="A225" s="3" t="s">
        <v>506</v>
      </c>
      <c r="B225" s="3" t="str">
        <f ca="1">IFERROR(__xludf.DUMMYFUNCTION("SPLIT(A225,""/"")"),"deis")</f>
        <v>deis</v>
      </c>
      <c r="C225" s="3" t="str">
        <f ca="1">IFERROR(__xludf.DUMMYFUNCTION("""COMPUTED_VALUE"""),"deis")</f>
        <v>deis</v>
      </c>
      <c r="D225" s="4" t="s">
        <v>507</v>
      </c>
      <c r="E225" s="5">
        <v>41477.79351851852</v>
      </c>
      <c r="F225" s="5">
        <v>44290.947384259256</v>
      </c>
      <c r="G225" s="13">
        <f t="shared" si="18"/>
        <v>2813.1538657407364</v>
      </c>
      <c r="H225" s="6" t="b">
        <v>0</v>
      </c>
      <c r="I225" s="7" t="b">
        <v>1</v>
      </c>
      <c r="J225" s="8">
        <v>6108</v>
      </c>
      <c r="K225" s="8">
        <v>278</v>
      </c>
      <c r="L225" s="8">
        <v>806</v>
      </c>
      <c r="M225" s="8">
        <v>66</v>
      </c>
      <c r="N225" s="8">
        <v>112</v>
      </c>
      <c r="O225" s="8">
        <v>169</v>
      </c>
      <c r="P225" s="8">
        <v>2469</v>
      </c>
      <c r="Q225" s="8">
        <v>0</v>
      </c>
      <c r="R225" s="8">
        <v>2653</v>
      </c>
      <c r="S225" s="8">
        <v>4</v>
      </c>
      <c r="T225" s="3" t="s">
        <v>72</v>
      </c>
      <c r="U225" s="10">
        <v>7156</v>
      </c>
      <c r="V225" s="32">
        <v>34</v>
      </c>
      <c r="W225" s="27">
        <v>4.7512576858580215E-3</v>
      </c>
      <c r="X225" s="34">
        <v>1</v>
      </c>
      <c r="Y225" s="27">
        <v>2.9411764705882353E-2</v>
      </c>
      <c r="Z225" s="27">
        <v>1.3974287311347122E-4</v>
      </c>
      <c r="AA225" s="35">
        <v>22</v>
      </c>
      <c r="AB225" s="27">
        <v>0.6470588235294118</v>
      </c>
      <c r="AC225" s="27">
        <f t="shared" si="19"/>
        <v>3.0743432084963667E-3</v>
      </c>
      <c r="AD225" s="36">
        <v>4</v>
      </c>
      <c r="AE225" s="27">
        <v>0.11764705882352941</v>
      </c>
      <c r="AF225" s="27">
        <f t="shared" si="20"/>
        <v>5.5897149245388487E-4</v>
      </c>
      <c r="AG225" s="37">
        <v>2</v>
      </c>
      <c r="AH225" s="27">
        <v>5.8823529411764705E-2</v>
      </c>
      <c r="AI225" s="27">
        <f t="shared" si="21"/>
        <v>2.7948574622694243E-4</v>
      </c>
      <c r="AJ225" s="38">
        <v>0</v>
      </c>
      <c r="AK225" s="27">
        <v>0</v>
      </c>
      <c r="AL225" s="27">
        <f t="shared" si="22"/>
        <v>0</v>
      </c>
      <c r="AM225" s="40">
        <v>5</v>
      </c>
      <c r="AN225" s="27">
        <v>0.14705882352941177</v>
      </c>
      <c r="AO225" s="27">
        <f t="shared" si="23"/>
        <v>6.9871436556735603E-4</v>
      </c>
      <c r="AP225" s="7" t="b">
        <v>1</v>
      </c>
      <c r="AQ225" s="6" t="b">
        <v>0</v>
      </c>
      <c r="AR225" s="6" t="b">
        <v>0</v>
      </c>
      <c r="AS225" s="6" t="b">
        <v>0</v>
      </c>
      <c r="AT225" s="7" t="b">
        <v>1</v>
      </c>
      <c r="AU225" s="6" t="b">
        <v>0</v>
      </c>
      <c r="AV225" s="6" t="b">
        <v>0</v>
      </c>
      <c r="AW225" s="6" t="b">
        <v>0</v>
      </c>
      <c r="AX225" s="6" t="b">
        <v>0</v>
      </c>
      <c r="AY225" s="6" t="b">
        <v>0</v>
      </c>
      <c r="AZ225" s="6" t="b">
        <v>0</v>
      </c>
      <c r="BA225" s="6" t="b">
        <v>0</v>
      </c>
      <c r="BB225" s="6" t="b">
        <v>0</v>
      </c>
    </row>
    <row r="226" spans="1:54" ht="15" x14ac:dyDescent="0.25">
      <c r="A226" s="3" t="s">
        <v>508</v>
      </c>
      <c r="B226" s="3" t="str">
        <f ca="1">IFERROR(__xludf.DUMMYFUNCTION("SPLIT(A226,""/"")"),"Delta-ML")</f>
        <v>Delta-ML</v>
      </c>
      <c r="C226" s="3" t="str">
        <f ca="1">IFERROR(__xludf.DUMMYFUNCTION("""COMPUTED_VALUE"""),"delta")</f>
        <v>delta</v>
      </c>
      <c r="D226" s="4" t="s">
        <v>509</v>
      </c>
      <c r="E226" s="5">
        <v>43614.356909722221</v>
      </c>
      <c r="F226" s="5">
        <v>44293.932476851849</v>
      </c>
      <c r="G226" s="13">
        <f t="shared" si="18"/>
        <v>679.57556712962833</v>
      </c>
      <c r="H226" s="6" t="b">
        <v>0</v>
      </c>
      <c r="I226" s="7" t="b">
        <v>1</v>
      </c>
      <c r="J226" s="8">
        <v>1398</v>
      </c>
      <c r="K226" s="8">
        <v>63</v>
      </c>
      <c r="L226" s="8">
        <v>285</v>
      </c>
      <c r="M226" s="8">
        <v>4</v>
      </c>
      <c r="N226" s="8">
        <v>8</v>
      </c>
      <c r="O226" s="8">
        <v>15</v>
      </c>
      <c r="P226" s="8">
        <v>186</v>
      </c>
      <c r="Q226" s="8">
        <v>2</v>
      </c>
      <c r="R226" s="8">
        <v>71</v>
      </c>
      <c r="S226" s="8">
        <v>2</v>
      </c>
      <c r="T226" s="3" t="s">
        <v>69</v>
      </c>
      <c r="U226" s="10">
        <v>22725</v>
      </c>
      <c r="V226" s="32">
        <v>788</v>
      </c>
      <c r="W226" s="27">
        <v>3.4675467546754678E-2</v>
      </c>
      <c r="X226" s="34">
        <v>126</v>
      </c>
      <c r="Y226" s="27">
        <v>0.15989847715736041</v>
      </c>
      <c r="Z226" s="27">
        <v>5.5445544554455443E-3</v>
      </c>
      <c r="AA226" s="35">
        <v>573</v>
      </c>
      <c r="AB226" s="27">
        <v>0.72715736040609136</v>
      </c>
      <c r="AC226" s="27">
        <f t="shared" si="19"/>
        <v>2.5214521452145214E-2</v>
      </c>
      <c r="AD226" s="36">
        <v>49</v>
      </c>
      <c r="AE226" s="27">
        <v>6.2182741116751268E-2</v>
      </c>
      <c r="AF226" s="27">
        <f t="shared" si="20"/>
        <v>2.1562156215621563E-3</v>
      </c>
      <c r="AG226" s="37">
        <v>37</v>
      </c>
      <c r="AH226" s="27">
        <v>4.6954314720812185E-2</v>
      </c>
      <c r="AI226" s="27">
        <f t="shared" si="21"/>
        <v>1.6281628162816281E-3</v>
      </c>
      <c r="AJ226" s="38">
        <v>3</v>
      </c>
      <c r="AK226" s="27">
        <v>3.8071065989847717E-3</v>
      </c>
      <c r="AL226" s="27">
        <f t="shared" si="22"/>
        <v>1.32013201320132E-4</v>
      </c>
      <c r="AM226" s="40">
        <v>0</v>
      </c>
      <c r="AN226" s="27">
        <v>0</v>
      </c>
      <c r="AO226" s="27">
        <f t="shared" si="23"/>
        <v>0</v>
      </c>
      <c r="AP226" s="7" t="b">
        <v>1</v>
      </c>
      <c r="AQ226" s="6" t="b">
        <v>0</v>
      </c>
      <c r="AR226" s="6" t="b">
        <v>0</v>
      </c>
      <c r="AS226" s="6" t="b">
        <v>0</v>
      </c>
      <c r="AT226" s="7" t="b">
        <v>1</v>
      </c>
      <c r="AU226" s="6" t="b">
        <v>0</v>
      </c>
      <c r="AV226" s="6" t="b">
        <v>0</v>
      </c>
      <c r="AW226" s="6" t="b">
        <v>0</v>
      </c>
      <c r="AX226" s="6" t="b">
        <v>0</v>
      </c>
      <c r="AY226" s="6" t="b">
        <v>0</v>
      </c>
      <c r="AZ226" s="6" t="b">
        <v>0</v>
      </c>
      <c r="BA226" s="6" t="b">
        <v>0</v>
      </c>
      <c r="BB226" s="6" t="b">
        <v>0</v>
      </c>
    </row>
    <row r="227" spans="1:54" ht="15" x14ac:dyDescent="0.25">
      <c r="A227" s="3" t="s">
        <v>510</v>
      </c>
      <c r="B227" s="3" t="str">
        <f ca="1">IFERROR(__xludf.DUMMYFUNCTION("SPLIT(A227,""/"")"),"Dentosal")</f>
        <v>Dentosal</v>
      </c>
      <c r="C227" s="3" t="str">
        <f ca="1">IFERROR(__xludf.DUMMYFUNCTION("""COMPUTED_VALUE"""),"python-sc2")</f>
        <v>python-sc2</v>
      </c>
      <c r="D227" s="4" t="s">
        <v>511</v>
      </c>
      <c r="E227" s="5">
        <v>42961.853703703702</v>
      </c>
      <c r="F227" s="5">
        <v>44293.557488425926</v>
      </c>
      <c r="G227" s="13">
        <f t="shared" si="18"/>
        <v>1331.7037847222236</v>
      </c>
      <c r="H227" s="6" t="b">
        <v>0</v>
      </c>
      <c r="I227" s="6" t="b">
        <v>0</v>
      </c>
      <c r="J227" s="8">
        <v>565</v>
      </c>
      <c r="K227" s="8">
        <v>42</v>
      </c>
      <c r="L227" s="8">
        <v>173</v>
      </c>
      <c r="M227" s="8">
        <v>0</v>
      </c>
      <c r="N227" s="8">
        <v>16</v>
      </c>
      <c r="O227" s="8">
        <v>24</v>
      </c>
      <c r="P227" s="8">
        <v>150</v>
      </c>
      <c r="Q227" s="8">
        <v>11</v>
      </c>
      <c r="R227" s="8">
        <v>162</v>
      </c>
      <c r="S227" s="8">
        <v>56</v>
      </c>
      <c r="T227" s="3" t="s">
        <v>72</v>
      </c>
      <c r="U227" s="10">
        <v>8940</v>
      </c>
      <c r="V227" s="32">
        <v>43</v>
      </c>
      <c r="W227" s="27">
        <v>4.8098434004474272E-3</v>
      </c>
      <c r="X227" s="34">
        <v>13</v>
      </c>
      <c r="Y227" s="27">
        <v>0.30232558139534882</v>
      </c>
      <c r="Z227" s="27">
        <v>1.4541387024608501E-3</v>
      </c>
      <c r="AA227" s="35">
        <v>11</v>
      </c>
      <c r="AB227" s="27">
        <v>0.2558139534883721</v>
      </c>
      <c r="AC227" s="27">
        <f t="shared" si="19"/>
        <v>1.2304250559284117E-3</v>
      </c>
      <c r="AD227" s="36">
        <v>5</v>
      </c>
      <c r="AE227" s="27">
        <v>0.11627906976744186</v>
      </c>
      <c r="AF227" s="27">
        <f t="shared" si="20"/>
        <v>5.5928411633109618E-4</v>
      </c>
      <c r="AG227" s="37">
        <v>9</v>
      </c>
      <c r="AH227" s="27">
        <v>0.20930232558139536</v>
      </c>
      <c r="AI227" s="27">
        <f t="shared" si="21"/>
        <v>1.0067114093959733E-3</v>
      </c>
      <c r="AJ227" s="38">
        <v>5</v>
      </c>
      <c r="AK227" s="27">
        <v>0.11627906976744186</v>
      </c>
      <c r="AL227" s="27">
        <f t="shared" si="22"/>
        <v>5.5928411633109618E-4</v>
      </c>
      <c r="AM227" s="40">
        <v>0</v>
      </c>
      <c r="AN227" s="27">
        <v>0</v>
      </c>
      <c r="AO227" s="27">
        <f t="shared" si="23"/>
        <v>0</v>
      </c>
      <c r="AP227" s="7" t="b">
        <v>1</v>
      </c>
      <c r="AQ227" s="6" t="b">
        <v>0</v>
      </c>
      <c r="AR227" s="6" t="b">
        <v>0</v>
      </c>
      <c r="AS227" s="6" t="b">
        <v>0</v>
      </c>
      <c r="AT227" s="7" t="b">
        <v>1</v>
      </c>
      <c r="AU227" s="6" t="b">
        <v>0</v>
      </c>
      <c r="AV227" s="6" t="b">
        <v>0</v>
      </c>
      <c r="AW227" s="6" t="b">
        <v>0</v>
      </c>
      <c r="AX227" s="6" t="b">
        <v>0</v>
      </c>
      <c r="AY227" s="6" t="b">
        <v>0</v>
      </c>
      <c r="AZ227" s="6" t="b">
        <v>0</v>
      </c>
      <c r="BA227" s="6" t="b">
        <v>0</v>
      </c>
      <c r="BB227" s="6" t="b">
        <v>0</v>
      </c>
    </row>
    <row r="228" spans="1:54" ht="15" x14ac:dyDescent="0.25">
      <c r="A228" s="3" t="s">
        <v>512</v>
      </c>
      <c r="B228" s="3" t="str">
        <f ca="1">IFERROR(__xludf.DUMMYFUNCTION("SPLIT(A228,""/"")"),"deoplete-plugins")</f>
        <v>deoplete-plugins</v>
      </c>
      <c r="C228" s="3" t="str">
        <f ca="1">IFERROR(__xludf.DUMMYFUNCTION("""COMPUTED_VALUE"""),"deoplete-jedi")</f>
        <v>deoplete-jedi</v>
      </c>
      <c r="D228" s="4" t="s">
        <v>513</v>
      </c>
      <c r="E228" s="5">
        <v>42392.996122685188</v>
      </c>
      <c r="F228" s="5">
        <v>44288.65625</v>
      </c>
      <c r="G228" s="13">
        <f t="shared" si="18"/>
        <v>1895.6601273148117</v>
      </c>
      <c r="H228" s="6" t="b">
        <v>0</v>
      </c>
      <c r="I228" s="7" t="b">
        <v>1</v>
      </c>
      <c r="J228" s="8">
        <v>561</v>
      </c>
      <c r="K228" s="8">
        <v>18</v>
      </c>
      <c r="L228" s="8">
        <v>42</v>
      </c>
      <c r="M228" s="8">
        <v>0</v>
      </c>
      <c r="N228" s="8">
        <v>6</v>
      </c>
      <c r="O228" s="8">
        <v>22</v>
      </c>
      <c r="P228" s="8">
        <v>147</v>
      </c>
      <c r="Q228" s="8">
        <v>2</v>
      </c>
      <c r="R228" s="8">
        <v>123</v>
      </c>
      <c r="S228" s="8">
        <v>6</v>
      </c>
      <c r="T228" s="3" t="s">
        <v>72</v>
      </c>
      <c r="U228" s="10">
        <v>338</v>
      </c>
      <c r="V228" s="32">
        <v>3</v>
      </c>
      <c r="W228" s="27">
        <v>8.8757396449704144E-3</v>
      </c>
      <c r="X228" s="34">
        <v>2</v>
      </c>
      <c r="Y228" s="27">
        <v>0.66666666666666663</v>
      </c>
      <c r="Z228" s="27">
        <v>5.9171597633136093E-3</v>
      </c>
      <c r="AA228" s="35">
        <v>1</v>
      </c>
      <c r="AB228" s="27">
        <v>0.33333333333333331</v>
      </c>
      <c r="AC228" s="27">
        <f t="shared" si="19"/>
        <v>2.9585798816568047E-3</v>
      </c>
      <c r="AD228" s="36">
        <v>0</v>
      </c>
      <c r="AE228" s="27">
        <v>0</v>
      </c>
      <c r="AF228" s="27">
        <f t="shared" si="20"/>
        <v>0</v>
      </c>
      <c r="AG228" s="37">
        <v>0</v>
      </c>
      <c r="AH228" s="27">
        <v>0</v>
      </c>
      <c r="AI228" s="27">
        <f t="shared" si="21"/>
        <v>0</v>
      </c>
      <c r="AJ228" s="38">
        <v>0</v>
      </c>
      <c r="AK228" s="27">
        <v>0</v>
      </c>
      <c r="AL228" s="27">
        <f t="shared" si="22"/>
        <v>0</v>
      </c>
      <c r="AM228" s="40">
        <v>0</v>
      </c>
      <c r="AN228" s="27">
        <v>0</v>
      </c>
      <c r="AO228" s="27">
        <f t="shared" si="23"/>
        <v>0</v>
      </c>
      <c r="AP228" s="7" t="b">
        <v>1</v>
      </c>
      <c r="AQ228" s="6" t="b">
        <v>0</v>
      </c>
      <c r="AR228" s="6" t="b">
        <v>0</v>
      </c>
      <c r="AS228" s="6" t="b">
        <v>0</v>
      </c>
      <c r="AT228" s="7" t="b">
        <v>1</v>
      </c>
      <c r="AU228" s="6" t="b">
        <v>0</v>
      </c>
      <c r="AV228" s="6" t="b">
        <v>0</v>
      </c>
      <c r="AW228" s="6" t="b">
        <v>0</v>
      </c>
      <c r="AX228" s="6" t="b">
        <v>0</v>
      </c>
      <c r="AY228" s="6" t="b">
        <v>0</v>
      </c>
      <c r="AZ228" s="6" t="b">
        <v>0</v>
      </c>
      <c r="BA228" s="6" t="b">
        <v>0</v>
      </c>
      <c r="BB228" s="6" t="b">
        <v>0</v>
      </c>
    </row>
    <row r="229" spans="1:54" ht="15" x14ac:dyDescent="0.25">
      <c r="A229" s="3" t="s">
        <v>514</v>
      </c>
      <c r="B229" s="3" t="str">
        <f ca="1">IFERROR(__xludf.DUMMYFUNCTION("SPLIT(A229,""/"")"),"DexterInd")</f>
        <v>DexterInd</v>
      </c>
      <c r="C229" s="3" t="str">
        <f ca="1">IFERROR(__xludf.DUMMYFUNCTION("""COMPUTED_VALUE"""),"GrovePi")</f>
        <v>GrovePi</v>
      </c>
      <c r="D229" s="4" t="s">
        <v>515</v>
      </c>
      <c r="E229" s="5">
        <v>41551.383680555555</v>
      </c>
      <c r="F229" s="5">
        <v>44274.14880787037</v>
      </c>
      <c r="G229" s="13">
        <f t="shared" si="18"/>
        <v>2722.7651273148149</v>
      </c>
      <c r="H229" s="6" t="b">
        <v>0</v>
      </c>
      <c r="I229" s="7" t="b">
        <v>1</v>
      </c>
      <c r="J229" s="8">
        <v>436</v>
      </c>
      <c r="K229" s="8">
        <v>78</v>
      </c>
      <c r="L229" s="8">
        <v>412</v>
      </c>
      <c r="M229" s="8">
        <v>0</v>
      </c>
      <c r="N229" s="8">
        <v>7</v>
      </c>
      <c r="O229" s="8">
        <v>64</v>
      </c>
      <c r="P229" s="8">
        <v>366</v>
      </c>
      <c r="Q229" s="8">
        <v>6</v>
      </c>
      <c r="R229" s="8">
        <v>135</v>
      </c>
      <c r="S229" s="8">
        <v>36</v>
      </c>
      <c r="T229" s="3" t="s">
        <v>92</v>
      </c>
      <c r="U229" s="10">
        <v>11780</v>
      </c>
      <c r="V229" s="32">
        <v>29</v>
      </c>
      <c r="W229" s="27">
        <v>2.4617996604414261E-3</v>
      </c>
      <c r="X229" s="34">
        <v>16</v>
      </c>
      <c r="Y229" s="27">
        <v>0.55172413793103448</v>
      </c>
      <c r="Z229" s="27">
        <v>1.3582342954159593E-3</v>
      </c>
      <c r="AA229" s="35">
        <v>4</v>
      </c>
      <c r="AB229" s="27">
        <v>0.13793103448275862</v>
      </c>
      <c r="AC229" s="27">
        <f t="shared" si="19"/>
        <v>3.3955857385398983E-4</v>
      </c>
      <c r="AD229" s="36">
        <v>7</v>
      </c>
      <c r="AE229" s="27">
        <v>0.2413793103448276</v>
      </c>
      <c r="AF229" s="27">
        <f t="shared" si="20"/>
        <v>5.9422750424448212E-4</v>
      </c>
      <c r="AG229" s="37">
        <v>2</v>
      </c>
      <c r="AH229" s="27">
        <v>6.8965517241379309E-2</v>
      </c>
      <c r="AI229" s="27">
        <f t="shared" si="21"/>
        <v>1.6977928692699492E-4</v>
      </c>
      <c r="AJ229" s="38">
        <v>0</v>
      </c>
      <c r="AK229" s="27">
        <v>0</v>
      </c>
      <c r="AL229" s="27">
        <f t="shared" si="22"/>
        <v>0</v>
      </c>
      <c r="AM229" s="40">
        <v>0</v>
      </c>
      <c r="AN229" s="27">
        <v>0</v>
      </c>
      <c r="AO229" s="27">
        <f t="shared" si="23"/>
        <v>0</v>
      </c>
      <c r="AP229" s="7" t="b">
        <v>1</v>
      </c>
      <c r="AQ229" s="6" t="b">
        <v>0</v>
      </c>
      <c r="AR229" s="6" t="b">
        <v>0</v>
      </c>
      <c r="AS229" s="6" t="b">
        <v>0</v>
      </c>
      <c r="AT229" s="7" t="b">
        <v>1</v>
      </c>
      <c r="AU229" s="6" t="b">
        <v>0</v>
      </c>
      <c r="AV229" s="6" t="b">
        <v>0</v>
      </c>
      <c r="AW229" s="6" t="b">
        <v>0</v>
      </c>
      <c r="AX229" s="6" t="b">
        <v>0</v>
      </c>
      <c r="AY229" s="6" t="b">
        <v>0</v>
      </c>
      <c r="AZ229" s="6" t="b">
        <v>0</v>
      </c>
      <c r="BA229" s="6" t="b">
        <v>0</v>
      </c>
      <c r="BB229" s="6" t="b">
        <v>0</v>
      </c>
    </row>
    <row r="230" spans="1:54" ht="15" x14ac:dyDescent="0.25">
      <c r="A230" s="3" t="s">
        <v>516</v>
      </c>
      <c r="B230" s="3" t="str">
        <f ca="1">IFERROR(__xludf.DUMMYFUNCTION("SPLIT(A230,""/"")"),"Diaoul")</f>
        <v>Diaoul</v>
      </c>
      <c r="C230" s="3" t="str">
        <f ca="1">IFERROR(__xludf.DUMMYFUNCTION("""COMPUTED_VALUE"""),"subliminal")</f>
        <v>subliminal</v>
      </c>
      <c r="D230" s="4" t="s">
        <v>517</v>
      </c>
      <c r="E230" s="5">
        <v>40729.016932870371</v>
      </c>
      <c r="F230" s="5">
        <v>44294.783703703702</v>
      </c>
      <c r="G230" s="13">
        <f t="shared" si="18"/>
        <v>3565.766770833332</v>
      </c>
      <c r="H230" s="6" t="b">
        <v>0</v>
      </c>
      <c r="I230" s="6" t="b">
        <v>0</v>
      </c>
      <c r="J230" s="8">
        <v>2078</v>
      </c>
      <c r="K230" s="8">
        <v>65</v>
      </c>
      <c r="L230" s="8">
        <v>295</v>
      </c>
      <c r="M230" s="8">
        <v>12</v>
      </c>
      <c r="N230" s="8">
        <v>59</v>
      </c>
      <c r="O230" s="8">
        <v>29</v>
      </c>
      <c r="P230" s="8">
        <v>231</v>
      </c>
      <c r="Q230" s="8">
        <v>20</v>
      </c>
      <c r="R230" s="8">
        <v>797</v>
      </c>
      <c r="S230" s="8">
        <v>93</v>
      </c>
      <c r="T230" s="3" t="s">
        <v>72</v>
      </c>
      <c r="U230" s="10">
        <v>5804</v>
      </c>
      <c r="V230" s="32">
        <v>207</v>
      </c>
      <c r="W230" s="27">
        <v>3.5665058580289455E-2</v>
      </c>
      <c r="X230" s="34">
        <v>106</v>
      </c>
      <c r="Y230" s="27">
        <v>0.51207729468599039</v>
      </c>
      <c r="Z230" s="27">
        <v>1.826326671261199E-2</v>
      </c>
      <c r="AA230" s="35">
        <v>59</v>
      </c>
      <c r="AB230" s="27">
        <v>0.28502415458937197</v>
      </c>
      <c r="AC230" s="27">
        <f t="shared" si="19"/>
        <v>1.0165403170227429E-2</v>
      </c>
      <c r="AD230" s="36">
        <v>19</v>
      </c>
      <c r="AE230" s="27">
        <v>9.1787439613526575E-2</v>
      </c>
      <c r="AF230" s="27">
        <f t="shared" si="20"/>
        <v>3.2736044107512059E-3</v>
      </c>
      <c r="AG230" s="37">
        <v>23</v>
      </c>
      <c r="AH230" s="27">
        <v>0.1111111111111111</v>
      </c>
      <c r="AI230" s="27">
        <f t="shared" si="21"/>
        <v>3.9627842866988283E-3</v>
      </c>
      <c r="AJ230" s="38">
        <v>0</v>
      </c>
      <c r="AK230" s="27">
        <v>0</v>
      </c>
      <c r="AL230" s="27">
        <f t="shared" si="22"/>
        <v>0</v>
      </c>
      <c r="AM230" s="40">
        <v>0</v>
      </c>
      <c r="AN230" s="27">
        <v>0</v>
      </c>
      <c r="AO230" s="27">
        <f t="shared" si="23"/>
        <v>0</v>
      </c>
      <c r="AP230" s="7" t="b">
        <v>1</v>
      </c>
      <c r="AQ230" s="6" t="b">
        <v>0</v>
      </c>
      <c r="AR230" s="6" t="b">
        <v>0</v>
      </c>
      <c r="AS230" s="6" t="b">
        <v>0</v>
      </c>
      <c r="AT230" s="7" t="b">
        <v>1</v>
      </c>
      <c r="AU230" s="6" t="b">
        <v>0</v>
      </c>
      <c r="AV230" s="6" t="b">
        <v>0</v>
      </c>
      <c r="AW230" s="6" t="b">
        <v>0</v>
      </c>
      <c r="AX230" s="6" t="b">
        <v>0</v>
      </c>
      <c r="AY230" s="6" t="b">
        <v>0</v>
      </c>
      <c r="AZ230" s="6" t="b">
        <v>0</v>
      </c>
      <c r="BA230" s="6" t="b">
        <v>0</v>
      </c>
      <c r="BB230" s="6" t="b">
        <v>0</v>
      </c>
    </row>
    <row r="231" spans="1:54" ht="15" x14ac:dyDescent="0.25">
      <c r="A231" s="3" t="s">
        <v>518</v>
      </c>
      <c r="B231" s="3" t="str">
        <f ca="1">IFERROR(__xludf.DUMMYFUNCTION("SPLIT(A231,""/"")"),"DIGITALCRIMINAL")</f>
        <v>DIGITALCRIMINAL</v>
      </c>
      <c r="C231" s="3" t="str">
        <f ca="1">IFERROR(__xludf.DUMMYFUNCTION("""COMPUTED_VALUE"""),"OnlyFans")</f>
        <v>OnlyFans</v>
      </c>
      <c r="D231" s="4" t="s">
        <v>519</v>
      </c>
      <c r="E231" s="5">
        <v>43640.595254629632</v>
      </c>
      <c r="F231" s="5">
        <v>44294.968414351853</v>
      </c>
      <c r="G231" s="13">
        <f t="shared" si="18"/>
        <v>654.37315972222132</v>
      </c>
      <c r="H231" s="6" t="b">
        <v>0</v>
      </c>
      <c r="I231" s="6" t="b">
        <v>0</v>
      </c>
      <c r="J231" s="8">
        <v>779</v>
      </c>
      <c r="K231" s="8">
        <v>88</v>
      </c>
      <c r="L231" s="8">
        <v>168</v>
      </c>
      <c r="M231" s="8">
        <v>56</v>
      </c>
      <c r="N231" s="8">
        <v>9</v>
      </c>
      <c r="O231" s="8">
        <v>20</v>
      </c>
      <c r="P231" s="8">
        <v>51</v>
      </c>
      <c r="Q231" s="8">
        <v>1</v>
      </c>
      <c r="R231" s="8">
        <v>804</v>
      </c>
      <c r="S231" s="8">
        <v>17</v>
      </c>
      <c r="T231" s="3" t="s">
        <v>49</v>
      </c>
      <c r="U231" s="10">
        <v>6799</v>
      </c>
      <c r="V231" s="32">
        <v>8</v>
      </c>
      <c r="W231" s="27">
        <v>1.1766436240623621E-3</v>
      </c>
      <c r="X231" s="34">
        <v>0</v>
      </c>
      <c r="Y231" s="27">
        <v>0</v>
      </c>
      <c r="Z231" s="27">
        <v>0</v>
      </c>
      <c r="AA231" s="35">
        <v>8</v>
      </c>
      <c r="AB231" s="27">
        <v>1</v>
      </c>
      <c r="AC231" s="27">
        <f t="shared" si="19"/>
        <v>1.1766436240623621E-3</v>
      </c>
      <c r="AD231" s="36">
        <v>0</v>
      </c>
      <c r="AE231" s="27">
        <v>0</v>
      </c>
      <c r="AF231" s="27">
        <f t="shared" si="20"/>
        <v>0</v>
      </c>
      <c r="AG231" s="37">
        <v>0</v>
      </c>
      <c r="AH231" s="27">
        <v>0</v>
      </c>
      <c r="AI231" s="27">
        <f t="shared" si="21"/>
        <v>0</v>
      </c>
      <c r="AJ231" s="38">
        <v>0</v>
      </c>
      <c r="AK231" s="27">
        <v>0</v>
      </c>
      <c r="AL231" s="27">
        <f t="shared" si="22"/>
        <v>0</v>
      </c>
      <c r="AM231" s="40">
        <v>0</v>
      </c>
      <c r="AN231" s="27">
        <v>0</v>
      </c>
      <c r="AO231" s="27">
        <f t="shared" si="23"/>
        <v>0</v>
      </c>
      <c r="AP231" s="7" t="b">
        <v>1</v>
      </c>
      <c r="AQ231" s="6" t="b">
        <v>0</v>
      </c>
      <c r="AR231" s="6" t="b">
        <v>0</v>
      </c>
      <c r="AS231" s="6" t="b">
        <v>0</v>
      </c>
      <c r="AT231" s="7" t="b">
        <v>1</v>
      </c>
      <c r="AU231" s="6" t="b">
        <v>0</v>
      </c>
      <c r="AV231" s="6" t="b">
        <v>0</v>
      </c>
      <c r="AW231" s="6" t="b">
        <v>0</v>
      </c>
      <c r="AX231" s="6" t="b">
        <v>0</v>
      </c>
      <c r="AY231" s="6" t="b">
        <v>0</v>
      </c>
      <c r="AZ231" s="6" t="b">
        <v>0</v>
      </c>
      <c r="BA231" s="6" t="b">
        <v>0</v>
      </c>
      <c r="BB231" s="6" t="b">
        <v>0</v>
      </c>
    </row>
    <row r="232" spans="1:54" ht="15" x14ac:dyDescent="0.25">
      <c r="A232" s="3" t="s">
        <v>520</v>
      </c>
      <c r="B232" s="3" t="str">
        <f ca="1">IFERROR(__xludf.DUMMYFUNCTION("SPLIT(A232,""/"")"),"dimagi")</f>
        <v>dimagi</v>
      </c>
      <c r="C232" s="3" t="str">
        <f ca="1">IFERROR(__xludf.DUMMYFUNCTION("""COMPUTED_VALUE"""),"commcare-hq")</f>
        <v>commcare-hq</v>
      </c>
      <c r="D232" s="4" t="s">
        <v>521</v>
      </c>
      <c r="E232" s="5">
        <v>40003.708414351851</v>
      </c>
      <c r="F232" s="5">
        <v>44295.004861111112</v>
      </c>
      <c r="G232" s="13">
        <f t="shared" si="18"/>
        <v>4291.296446759261</v>
      </c>
      <c r="H232" s="6" t="b">
        <v>0</v>
      </c>
      <c r="I232" s="7" t="b">
        <v>1</v>
      </c>
      <c r="J232" s="8">
        <v>432</v>
      </c>
      <c r="K232" s="8">
        <v>53</v>
      </c>
      <c r="L232" s="8">
        <v>179</v>
      </c>
      <c r="M232" s="8">
        <v>13</v>
      </c>
      <c r="N232" s="8">
        <v>3495</v>
      </c>
      <c r="O232" s="8">
        <v>131</v>
      </c>
      <c r="P232" s="8">
        <v>29419</v>
      </c>
      <c r="Q232" s="8">
        <v>192</v>
      </c>
      <c r="R232" s="8">
        <v>81</v>
      </c>
      <c r="S232" s="8">
        <v>13</v>
      </c>
      <c r="T232" s="3" t="s">
        <v>57</v>
      </c>
      <c r="U232" s="10">
        <v>288884</v>
      </c>
      <c r="V232" s="32">
        <v>866</v>
      </c>
      <c r="W232" s="27">
        <v>2.9977430387283475E-3</v>
      </c>
      <c r="X232" s="34">
        <v>72</v>
      </c>
      <c r="Y232" s="27">
        <v>8.3140877598152418E-2</v>
      </c>
      <c r="Z232" s="27">
        <v>2.4923498705362707E-4</v>
      </c>
      <c r="AA232" s="35">
        <v>297</v>
      </c>
      <c r="AB232" s="27">
        <v>0.34295612009237875</v>
      </c>
      <c r="AC232" s="27">
        <f t="shared" si="19"/>
        <v>1.0280943215962117E-3</v>
      </c>
      <c r="AD232" s="36">
        <v>122</v>
      </c>
      <c r="AE232" s="27">
        <v>0.14087759815242495</v>
      </c>
      <c r="AF232" s="27">
        <f t="shared" si="20"/>
        <v>4.223148391742014E-4</v>
      </c>
      <c r="AG232" s="37">
        <v>360</v>
      </c>
      <c r="AH232" s="27">
        <v>0.41570438799076215</v>
      </c>
      <c r="AI232" s="27">
        <f t="shared" si="21"/>
        <v>1.2461749352681354E-3</v>
      </c>
      <c r="AJ232" s="38">
        <v>0</v>
      </c>
      <c r="AK232" s="27">
        <v>0</v>
      </c>
      <c r="AL232" s="27">
        <f t="shared" si="22"/>
        <v>0</v>
      </c>
      <c r="AM232" s="40">
        <v>11</v>
      </c>
      <c r="AN232" s="27">
        <v>1.2702078521939953E-2</v>
      </c>
      <c r="AO232" s="27">
        <f t="shared" si="23"/>
        <v>3.807756746652636E-5</v>
      </c>
      <c r="AP232" s="7" t="b">
        <v>1</v>
      </c>
      <c r="AQ232" s="6" t="b">
        <v>0</v>
      </c>
      <c r="AR232" s="6" t="b">
        <v>0</v>
      </c>
      <c r="AS232" s="6" t="b">
        <v>0</v>
      </c>
      <c r="AT232" s="7" t="b">
        <v>1</v>
      </c>
      <c r="AU232" s="6" t="b">
        <v>0</v>
      </c>
      <c r="AV232" s="6" t="b">
        <v>0</v>
      </c>
      <c r="AW232" s="6" t="b">
        <v>0</v>
      </c>
      <c r="AX232" s="6" t="b">
        <v>0</v>
      </c>
      <c r="AY232" s="6" t="b">
        <v>0</v>
      </c>
      <c r="AZ232" s="6" t="b">
        <v>0</v>
      </c>
      <c r="BA232" s="6" t="b">
        <v>0</v>
      </c>
      <c r="BB232" s="6" t="b">
        <v>0</v>
      </c>
    </row>
    <row r="233" spans="1:54" ht="15" x14ac:dyDescent="0.25">
      <c r="A233" s="3" t="s">
        <v>522</v>
      </c>
      <c r="B233" s="3" t="str">
        <f ca="1">IFERROR(__xludf.DUMMYFUNCTION("SPLIT(A233,""/"")"),"DinoTools")</f>
        <v>DinoTools</v>
      </c>
      <c r="C233" s="3" t="str">
        <f ca="1">IFERROR(__xludf.DUMMYFUNCTION("""COMPUTED_VALUE"""),"dionaea")</f>
        <v>dionaea</v>
      </c>
      <c r="D233" s="4" t="s">
        <v>523</v>
      </c>
      <c r="E233" s="5">
        <v>42359.842951388891</v>
      </c>
      <c r="F233" s="5">
        <v>44292.397962962961</v>
      </c>
      <c r="G233" s="13">
        <f t="shared" si="18"/>
        <v>1932.5550115740698</v>
      </c>
      <c r="H233" s="6" t="b">
        <v>0</v>
      </c>
      <c r="I233" s="7" t="b">
        <v>1</v>
      </c>
      <c r="J233" s="8">
        <v>493</v>
      </c>
      <c r="K233" s="8">
        <v>39</v>
      </c>
      <c r="L233" s="8">
        <v>128</v>
      </c>
      <c r="M233" s="8">
        <v>0</v>
      </c>
      <c r="N233" s="8">
        <v>0</v>
      </c>
      <c r="O233" s="8">
        <v>20</v>
      </c>
      <c r="P233" s="8">
        <v>145</v>
      </c>
      <c r="Q233" s="8">
        <v>3</v>
      </c>
      <c r="R233" s="8">
        <v>179</v>
      </c>
      <c r="S233" s="8">
        <v>48</v>
      </c>
      <c r="T233" s="3" t="s">
        <v>64</v>
      </c>
      <c r="U233" s="10">
        <v>17546</v>
      </c>
      <c r="V233" s="32">
        <v>699</v>
      </c>
      <c r="W233" s="27">
        <v>3.9838139746950871E-2</v>
      </c>
      <c r="X233" s="34">
        <v>354</v>
      </c>
      <c r="Y233" s="27">
        <v>0.50643776824034337</v>
      </c>
      <c r="Z233" s="27">
        <v>2.0175538584292715E-2</v>
      </c>
      <c r="AA233" s="35">
        <v>164</v>
      </c>
      <c r="AB233" s="27">
        <v>0.23462088698140202</v>
      </c>
      <c r="AC233" s="27">
        <f t="shared" si="19"/>
        <v>9.3468596831186596E-3</v>
      </c>
      <c r="AD233" s="36">
        <v>145</v>
      </c>
      <c r="AE233" s="27">
        <v>0.20743919885550788</v>
      </c>
      <c r="AF233" s="27">
        <f t="shared" si="20"/>
        <v>8.2639917930012532E-3</v>
      </c>
      <c r="AG233" s="37">
        <v>27</v>
      </c>
      <c r="AH233" s="27">
        <v>3.8626609442060089E-2</v>
      </c>
      <c r="AI233" s="27">
        <f t="shared" si="21"/>
        <v>1.5388122649036818E-3</v>
      </c>
      <c r="AJ233" s="38">
        <v>2</v>
      </c>
      <c r="AK233" s="27">
        <v>2.8612303290414878E-3</v>
      </c>
      <c r="AL233" s="27">
        <f t="shared" si="22"/>
        <v>1.1398609369656902E-4</v>
      </c>
      <c r="AM233" s="40">
        <v>0</v>
      </c>
      <c r="AN233" s="27">
        <v>0</v>
      </c>
      <c r="AO233" s="27">
        <f t="shared" si="23"/>
        <v>0</v>
      </c>
      <c r="AP233" s="7" t="b">
        <v>1</v>
      </c>
      <c r="AQ233" s="7" t="b">
        <v>1</v>
      </c>
      <c r="AR233" s="6" t="b">
        <v>0</v>
      </c>
      <c r="AS233" s="6" t="b">
        <v>0</v>
      </c>
      <c r="AT233" s="7" t="b">
        <v>1</v>
      </c>
      <c r="AU233" s="6" t="b">
        <v>0</v>
      </c>
      <c r="AV233" s="6" t="b">
        <v>0</v>
      </c>
      <c r="AW233" s="6" t="b">
        <v>0</v>
      </c>
      <c r="AX233" s="6" t="b">
        <v>0</v>
      </c>
      <c r="AY233" s="6" t="b">
        <v>0</v>
      </c>
      <c r="AZ233" s="6" t="b">
        <v>0</v>
      </c>
      <c r="BA233" s="6" t="b">
        <v>0</v>
      </c>
      <c r="BB233" s="6" t="b">
        <v>0</v>
      </c>
    </row>
    <row r="234" spans="1:54" ht="15" x14ac:dyDescent="0.25">
      <c r="A234" s="3" t="s">
        <v>524</v>
      </c>
      <c r="B234" s="3" t="str">
        <f ca="1">IFERROR(__xludf.DUMMYFUNCTION("SPLIT(A234,""/"")"),"django-import-export")</f>
        <v>django-import-export</v>
      </c>
      <c r="C234" s="3" t="str">
        <f ca="1">IFERROR(__xludf.DUMMYFUNCTION("""COMPUTED_VALUE"""),"django-import-export")</f>
        <v>django-import-export</v>
      </c>
      <c r="D234" s="4" t="s">
        <v>525</v>
      </c>
      <c r="E234" s="5">
        <v>41228.550254629627</v>
      </c>
      <c r="F234" s="5">
        <v>44293.10224537037</v>
      </c>
      <c r="G234" s="13">
        <f t="shared" si="18"/>
        <v>3064.5519907407433</v>
      </c>
      <c r="H234" s="6" t="b">
        <v>0</v>
      </c>
      <c r="I234" s="7" t="b">
        <v>1</v>
      </c>
      <c r="J234" s="8">
        <v>2078</v>
      </c>
      <c r="K234" s="8">
        <v>67</v>
      </c>
      <c r="L234" s="8">
        <v>596</v>
      </c>
      <c r="M234" s="8">
        <v>0</v>
      </c>
      <c r="N234" s="8">
        <v>13</v>
      </c>
      <c r="O234" s="8">
        <v>154</v>
      </c>
      <c r="P234" s="8">
        <v>520</v>
      </c>
      <c r="Q234" s="8">
        <v>25</v>
      </c>
      <c r="R234" s="8">
        <v>741</v>
      </c>
      <c r="S234" s="8">
        <v>79</v>
      </c>
      <c r="T234" s="3" t="s">
        <v>153</v>
      </c>
      <c r="U234" s="10">
        <v>4113</v>
      </c>
      <c r="V234" s="32">
        <v>8</v>
      </c>
      <c r="W234" s="27">
        <v>1.9450522732798443E-3</v>
      </c>
      <c r="X234" s="34">
        <v>4</v>
      </c>
      <c r="Y234" s="27">
        <v>0.5</v>
      </c>
      <c r="Z234" s="27">
        <v>9.7252613663992217E-4</v>
      </c>
      <c r="AA234" s="35">
        <v>0</v>
      </c>
      <c r="AB234" s="27">
        <v>0</v>
      </c>
      <c r="AC234" s="27">
        <f t="shared" si="19"/>
        <v>0</v>
      </c>
      <c r="AD234" s="36">
        <v>1</v>
      </c>
      <c r="AE234" s="27">
        <v>0.125</v>
      </c>
      <c r="AF234" s="27">
        <f t="shared" si="20"/>
        <v>2.4313153415998054E-4</v>
      </c>
      <c r="AG234" s="37">
        <v>0</v>
      </c>
      <c r="AH234" s="27">
        <v>0</v>
      </c>
      <c r="AI234" s="27">
        <f t="shared" si="21"/>
        <v>0</v>
      </c>
      <c r="AJ234" s="38">
        <v>0</v>
      </c>
      <c r="AK234" s="27">
        <v>0</v>
      </c>
      <c r="AL234" s="27">
        <f t="shared" si="22"/>
        <v>0</v>
      </c>
      <c r="AM234" s="40">
        <v>0</v>
      </c>
      <c r="AN234" s="27">
        <v>0</v>
      </c>
      <c r="AO234" s="27">
        <f t="shared" si="23"/>
        <v>0</v>
      </c>
      <c r="AP234" s="6" t="b">
        <v>0</v>
      </c>
      <c r="AQ234" s="7" t="b">
        <v>1</v>
      </c>
      <c r="AR234" s="6" t="b">
        <v>0</v>
      </c>
      <c r="AS234" s="6" t="b">
        <v>0</v>
      </c>
      <c r="AT234" s="7" t="b">
        <v>1</v>
      </c>
      <c r="AU234" s="6" t="b">
        <v>0</v>
      </c>
      <c r="AV234" s="6" t="b">
        <v>0</v>
      </c>
      <c r="AW234" s="6" t="b">
        <v>0</v>
      </c>
      <c r="AX234" s="6" t="b">
        <v>0</v>
      </c>
      <c r="AY234" s="6" t="b">
        <v>0</v>
      </c>
      <c r="AZ234" s="6" t="b">
        <v>0</v>
      </c>
      <c r="BA234" s="6" t="b">
        <v>0</v>
      </c>
      <c r="BB234" s="6" t="b">
        <v>0</v>
      </c>
    </row>
    <row r="235" spans="1:54" ht="15" x14ac:dyDescent="0.25">
      <c r="A235" s="3" t="s">
        <v>526</v>
      </c>
      <c r="B235" s="3" t="str">
        <f ca="1">IFERROR(__xludf.DUMMYFUNCTION("SPLIT(A235,""/"")"),"django-oscar")</f>
        <v>django-oscar</v>
      </c>
      <c r="C235" s="3" t="str">
        <f ca="1">IFERROR(__xludf.DUMMYFUNCTION("""COMPUTED_VALUE"""),"django-oscar")</f>
        <v>django-oscar</v>
      </c>
      <c r="D235" s="4" t="s">
        <v>527</v>
      </c>
      <c r="E235" s="5">
        <v>40520.896203703705</v>
      </c>
      <c r="F235" s="5">
        <v>44294.914988425924</v>
      </c>
      <c r="G235" s="13">
        <f t="shared" si="18"/>
        <v>3774.0187847222187</v>
      </c>
      <c r="H235" s="6" t="b">
        <v>0</v>
      </c>
      <c r="I235" s="7" t="b">
        <v>1</v>
      </c>
      <c r="J235" s="8">
        <v>4843</v>
      </c>
      <c r="K235" s="8">
        <v>284</v>
      </c>
      <c r="L235" s="8">
        <v>1730</v>
      </c>
      <c r="M235" s="8">
        <v>3</v>
      </c>
      <c r="N235" s="8">
        <v>410</v>
      </c>
      <c r="O235" s="8">
        <v>252</v>
      </c>
      <c r="P235" s="8">
        <v>2338</v>
      </c>
      <c r="Q235" s="8">
        <v>13</v>
      </c>
      <c r="R235" s="8">
        <v>1341</v>
      </c>
      <c r="S235" s="8">
        <v>105</v>
      </c>
      <c r="T235" s="3" t="s">
        <v>92</v>
      </c>
      <c r="U235" s="10">
        <v>31334</v>
      </c>
      <c r="V235" s="32">
        <v>143</v>
      </c>
      <c r="W235" s="27">
        <v>4.5637326865385847E-3</v>
      </c>
      <c r="X235" s="34">
        <v>1</v>
      </c>
      <c r="Y235" s="27">
        <v>6.993006993006993E-3</v>
      </c>
      <c r="Z235" s="27">
        <v>3.1914214591178912E-5</v>
      </c>
      <c r="AA235" s="35">
        <v>48</v>
      </c>
      <c r="AB235" s="27">
        <v>0.33566433566433568</v>
      </c>
      <c r="AC235" s="27">
        <f t="shared" si="19"/>
        <v>1.5318823003765878E-3</v>
      </c>
      <c r="AD235" s="36">
        <v>29</v>
      </c>
      <c r="AE235" s="27">
        <v>0.20279720279720279</v>
      </c>
      <c r="AF235" s="27">
        <f t="shared" si="20"/>
        <v>9.2551222314418843E-4</v>
      </c>
      <c r="AG235" s="37">
        <v>64</v>
      </c>
      <c r="AH235" s="27">
        <v>0.44755244755244755</v>
      </c>
      <c r="AI235" s="27">
        <f t="shared" si="21"/>
        <v>2.0425097338354504E-3</v>
      </c>
      <c r="AJ235" s="38">
        <v>0</v>
      </c>
      <c r="AK235" s="27">
        <v>0</v>
      </c>
      <c r="AL235" s="27">
        <f t="shared" si="22"/>
        <v>0</v>
      </c>
      <c r="AM235" s="40">
        <v>0</v>
      </c>
      <c r="AN235" s="27">
        <v>0</v>
      </c>
      <c r="AO235" s="27">
        <f t="shared" si="23"/>
        <v>0</v>
      </c>
      <c r="AP235" s="7" t="b">
        <v>1</v>
      </c>
      <c r="AQ235" s="6" t="b">
        <v>0</v>
      </c>
      <c r="AR235" s="6" t="b">
        <v>0</v>
      </c>
      <c r="AS235" s="6" t="b">
        <v>0</v>
      </c>
      <c r="AT235" s="7" t="b">
        <v>1</v>
      </c>
      <c r="AU235" s="6" t="b">
        <v>0</v>
      </c>
      <c r="AV235" s="6" t="b">
        <v>0</v>
      </c>
      <c r="AW235" s="6" t="b">
        <v>0</v>
      </c>
      <c r="AX235" s="6" t="b">
        <v>0</v>
      </c>
      <c r="AY235" s="6" t="b">
        <v>0</v>
      </c>
      <c r="AZ235" s="6" t="b">
        <v>0</v>
      </c>
      <c r="BA235" s="6" t="b">
        <v>0</v>
      </c>
      <c r="BB235" s="6" t="b">
        <v>0</v>
      </c>
    </row>
    <row r="236" spans="1:54" ht="15" x14ac:dyDescent="0.25">
      <c r="A236" s="3" t="s">
        <v>528</v>
      </c>
      <c r="B236" s="3" t="str">
        <f ca="1">IFERROR(__xludf.DUMMYFUNCTION("SPLIT(A236,""/"")"),"django-tenants")</f>
        <v>django-tenants</v>
      </c>
      <c r="C236" s="3" t="str">
        <f ca="1">IFERROR(__xludf.DUMMYFUNCTION("""COMPUTED_VALUE"""),"django-tenants")</f>
        <v>django-tenants</v>
      </c>
      <c r="D236" s="4" t="s">
        <v>529</v>
      </c>
      <c r="E236" s="5">
        <v>42164.825682870367</v>
      </c>
      <c r="F236" s="5">
        <v>44295.143275462964</v>
      </c>
      <c r="G236" s="13">
        <f t="shared" si="18"/>
        <v>2130.3175925925971</v>
      </c>
      <c r="H236" s="6" t="b">
        <v>0</v>
      </c>
      <c r="I236" s="7" t="b">
        <v>1</v>
      </c>
      <c r="J236" s="8">
        <v>666</v>
      </c>
      <c r="K236" s="8">
        <v>47</v>
      </c>
      <c r="L236" s="8">
        <v>161</v>
      </c>
      <c r="M236" s="8">
        <v>31</v>
      </c>
      <c r="N236" s="8">
        <v>23</v>
      </c>
      <c r="O236" s="8">
        <v>59</v>
      </c>
      <c r="P236" s="8">
        <v>183</v>
      </c>
      <c r="Q236" s="8">
        <v>2</v>
      </c>
      <c r="R236" s="8">
        <v>376</v>
      </c>
      <c r="S236" s="8">
        <v>92</v>
      </c>
      <c r="T236" s="3" t="s">
        <v>72</v>
      </c>
      <c r="U236" s="10">
        <v>3660</v>
      </c>
      <c r="V236" s="32">
        <v>4</v>
      </c>
      <c r="W236" s="27">
        <v>1.092896174863388E-3</v>
      </c>
      <c r="X236" s="34">
        <v>0</v>
      </c>
      <c r="Y236" s="27">
        <v>0</v>
      </c>
      <c r="Z236" s="27">
        <v>0</v>
      </c>
      <c r="AA236" s="35">
        <v>0</v>
      </c>
      <c r="AB236" s="27">
        <v>0</v>
      </c>
      <c r="AC236" s="27">
        <f t="shared" si="19"/>
        <v>0</v>
      </c>
      <c r="AD236" s="36">
        <v>4</v>
      </c>
      <c r="AE236" s="27">
        <v>1</v>
      </c>
      <c r="AF236" s="27">
        <f t="shared" si="20"/>
        <v>1.092896174863388E-3</v>
      </c>
      <c r="AG236" s="37">
        <v>0</v>
      </c>
      <c r="AH236" s="27">
        <v>0</v>
      </c>
      <c r="AI236" s="27">
        <f t="shared" si="21"/>
        <v>0</v>
      </c>
      <c r="AJ236" s="38">
        <v>0</v>
      </c>
      <c r="AK236" s="27">
        <v>0</v>
      </c>
      <c r="AL236" s="27">
        <f t="shared" si="22"/>
        <v>0</v>
      </c>
      <c r="AM236" s="40">
        <v>0</v>
      </c>
      <c r="AN236" s="27">
        <v>0</v>
      </c>
      <c r="AO236" s="27">
        <f t="shared" si="23"/>
        <v>0</v>
      </c>
      <c r="AP236" s="7" t="b">
        <v>1</v>
      </c>
      <c r="AQ236" s="7" t="b">
        <v>1</v>
      </c>
      <c r="AR236" s="6" t="b">
        <v>0</v>
      </c>
      <c r="AS236" s="6" t="b">
        <v>0</v>
      </c>
      <c r="AT236" s="7" t="b">
        <v>1</v>
      </c>
      <c r="AU236" s="6" t="b">
        <v>0</v>
      </c>
      <c r="AV236" s="6" t="b">
        <v>0</v>
      </c>
      <c r="AW236" s="6" t="b">
        <v>0</v>
      </c>
      <c r="AX236" s="6" t="b">
        <v>0</v>
      </c>
      <c r="AY236" s="6" t="b">
        <v>0</v>
      </c>
      <c r="AZ236" s="6" t="b">
        <v>0</v>
      </c>
      <c r="BA236" s="6" t="b">
        <v>0</v>
      </c>
      <c r="BB236" s="6" t="b">
        <v>0</v>
      </c>
    </row>
    <row r="237" spans="1:54" ht="15" x14ac:dyDescent="0.25">
      <c r="A237" s="3" t="s">
        <v>530</v>
      </c>
      <c r="B237" s="3" t="str">
        <f ca="1">IFERROR(__xludf.DUMMYFUNCTION("SPLIT(A237,""/"")"),"djangopackages")</f>
        <v>djangopackages</v>
      </c>
      <c r="C237" s="3" t="str">
        <f ca="1">IFERROR(__xludf.DUMMYFUNCTION("""COMPUTED_VALUE"""),"djangopackages")</f>
        <v>djangopackages</v>
      </c>
      <c r="D237" s="4" t="s">
        <v>531</v>
      </c>
      <c r="E237" s="5">
        <v>40794.891909722224</v>
      </c>
      <c r="F237" s="5">
        <v>44293.598414351851</v>
      </c>
      <c r="G237" s="13">
        <f t="shared" si="18"/>
        <v>3498.7065046296266</v>
      </c>
      <c r="H237" s="6" t="b">
        <v>0</v>
      </c>
      <c r="I237" s="7" t="b">
        <v>1</v>
      </c>
      <c r="J237" s="8">
        <v>507</v>
      </c>
      <c r="K237" s="8">
        <v>18</v>
      </c>
      <c r="L237" s="8">
        <v>134</v>
      </c>
      <c r="M237" s="8">
        <v>0</v>
      </c>
      <c r="N237" s="8">
        <v>7</v>
      </c>
      <c r="O237" s="8">
        <v>75</v>
      </c>
      <c r="P237" s="8">
        <v>246</v>
      </c>
      <c r="Q237" s="8">
        <v>7</v>
      </c>
      <c r="R237" s="8">
        <v>364</v>
      </c>
      <c r="S237" s="8">
        <v>40</v>
      </c>
      <c r="T237" s="3" t="s">
        <v>92</v>
      </c>
      <c r="U237" s="10">
        <v>4145</v>
      </c>
      <c r="V237" s="32">
        <v>3</v>
      </c>
      <c r="W237" s="27">
        <v>7.2376357056694817E-4</v>
      </c>
      <c r="X237" s="34">
        <v>0</v>
      </c>
      <c r="Y237" s="27">
        <v>0</v>
      </c>
      <c r="Z237" s="27">
        <v>0</v>
      </c>
      <c r="AA237" s="35">
        <v>0</v>
      </c>
      <c r="AB237" s="27">
        <v>0</v>
      </c>
      <c r="AC237" s="27">
        <f t="shared" si="19"/>
        <v>0</v>
      </c>
      <c r="AD237" s="36">
        <v>0</v>
      </c>
      <c r="AE237" s="27">
        <v>0</v>
      </c>
      <c r="AF237" s="27">
        <f t="shared" si="20"/>
        <v>0</v>
      </c>
      <c r="AG237" s="37">
        <v>2</v>
      </c>
      <c r="AH237" s="27">
        <v>0.66666666666666663</v>
      </c>
      <c r="AI237" s="27">
        <f t="shared" si="21"/>
        <v>4.8250904704463208E-4</v>
      </c>
      <c r="AJ237" s="38">
        <v>1</v>
      </c>
      <c r="AK237" s="27">
        <v>0.33333333333333331</v>
      </c>
      <c r="AL237" s="27">
        <f t="shared" si="22"/>
        <v>2.4125452352231604E-4</v>
      </c>
      <c r="AM237" s="40">
        <v>0</v>
      </c>
      <c r="AN237" s="27">
        <v>0</v>
      </c>
      <c r="AO237" s="27">
        <f t="shared" si="23"/>
        <v>0</v>
      </c>
      <c r="AP237" s="7" t="b">
        <v>1</v>
      </c>
      <c r="AQ237" s="7" t="b">
        <v>1</v>
      </c>
      <c r="AR237" s="6" t="b">
        <v>0</v>
      </c>
      <c r="AS237" s="6" t="b">
        <v>0</v>
      </c>
      <c r="AT237" s="7" t="b">
        <v>1</v>
      </c>
      <c r="AU237" s="6" t="b">
        <v>0</v>
      </c>
      <c r="AV237" s="6" t="b">
        <v>0</v>
      </c>
      <c r="AW237" s="6" t="b">
        <v>0</v>
      </c>
      <c r="AX237" s="6" t="b">
        <v>0</v>
      </c>
      <c r="AY237" s="6" t="b">
        <v>0</v>
      </c>
      <c r="AZ237" s="6" t="b">
        <v>0</v>
      </c>
      <c r="BA237" s="6" t="b">
        <v>0</v>
      </c>
      <c r="BB237" s="6" t="b">
        <v>0</v>
      </c>
    </row>
    <row r="238" spans="1:54" ht="15" x14ac:dyDescent="0.25">
      <c r="A238" s="3" t="s">
        <v>532</v>
      </c>
      <c r="B238" s="3" t="str">
        <f ca="1">IFERROR(__xludf.DUMMYFUNCTION("SPLIT(A238,""/"")"),"dlapiduz")</f>
        <v>dlapiduz</v>
      </c>
      <c r="C238" s="3" t="str">
        <f ca="1">IFERROR(__xludf.DUMMYFUNCTION("""COMPUTED_VALUE"""),"certbot-s3front")</f>
        <v>certbot-s3front</v>
      </c>
      <c r="D238" s="4" t="s">
        <v>533</v>
      </c>
      <c r="E238" s="5">
        <v>42343.737060185187</v>
      </c>
      <c r="F238" s="5">
        <v>44290.966736111113</v>
      </c>
      <c r="G238" s="13">
        <f t="shared" si="18"/>
        <v>1947.2296759259261</v>
      </c>
      <c r="H238" s="6" t="b">
        <v>0</v>
      </c>
      <c r="I238" s="6" t="b">
        <v>0</v>
      </c>
      <c r="J238" s="8">
        <v>584</v>
      </c>
      <c r="K238" s="8">
        <v>12</v>
      </c>
      <c r="L238" s="8">
        <v>60</v>
      </c>
      <c r="M238" s="8">
        <v>0</v>
      </c>
      <c r="N238" s="8">
        <v>0</v>
      </c>
      <c r="O238" s="8">
        <v>17</v>
      </c>
      <c r="P238" s="8">
        <v>26</v>
      </c>
      <c r="Q238" s="8">
        <v>0</v>
      </c>
      <c r="R238" s="8">
        <v>61</v>
      </c>
      <c r="S238" s="8">
        <v>12</v>
      </c>
      <c r="T238" s="3" t="s">
        <v>72</v>
      </c>
      <c r="U238" s="10">
        <v>165</v>
      </c>
      <c r="V238" s="32">
        <v>3</v>
      </c>
      <c r="W238" s="27">
        <v>1.8181818181818181E-2</v>
      </c>
      <c r="X238" s="34">
        <v>0</v>
      </c>
      <c r="Y238" s="27">
        <v>0</v>
      </c>
      <c r="Z238" s="27">
        <v>0</v>
      </c>
      <c r="AA238" s="35">
        <v>0</v>
      </c>
      <c r="AB238" s="27">
        <v>0</v>
      </c>
      <c r="AC238" s="27">
        <f t="shared" si="19"/>
        <v>0</v>
      </c>
      <c r="AD238" s="36">
        <v>0</v>
      </c>
      <c r="AE238" s="27">
        <v>0</v>
      </c>
      <c r="AF238" s="27">
        <f t="shared" si="20"/>
        <v>0</v>
      </c>
      <c r="AG238" s="37">
        <v>2</v>
      </c>
      <c r="AH238" s="27">
        <v>0.66666666666666663</v>
      </c>
      <c r="AI238" s="27">
        <f t="shared" si="21"/>
        <v>1.2121212121212121E-2</v>
      </c>
      <c r="AJ238" s="38">
        <v>0</v>
      </c>
      <c r="AK238" s="27">
        <v>0</v>
      </c>
      <c r="AL238" s="27">
        <f t="shared" si="22"/>
        <v>0</v>
      </c>
      <c r="AM238" s="40">
        <v>0</v>
      </c>
      <c r="AN238" s="27">
        <v>0</v>
      </c>
      <c r="AO238" s="27">
        <f t="shared" si="23"/>
        <v>0</v>
      </c>
      <c r="AP238" s="7" t="b">
        <v>1</v>
      </c>
      <c r="AQ238" s="6" t="b">
        <v>0</v>
      </c>
      <c r="AR238" s="6" t="b">
        <v>0</v>
      </c>
      <c r="AS238" s="6" t="b">
        <v>0</v>
      </c>
      <c r="AT238" s="7" t="b">
        <v>1</v>
      </c>
      <c r="AU238" s="6" t="b">
        <v>0</v>
      </c>
      <c r="AV238" s="6" t="b">
        <v>0</v>
      </c>
      <c r="AW238" s="6" t="b">
        <v>0</v>
      </c>
      <c r="AX238" s="6" t="b">
        <v>0</v>
      </c>
      <c r="AY238" s="6" t="b">
        <v>0</v>
      </c>
      <c r="AZ238" s="6" t="b">
        <v>0</v>
      </c>
      <c r="BA238" s="6" t="b">
        <v>0</v>
      </c>
      <c r="BB238" s="6" t="b">
        <v>0</v>
      </c>
    </row>
    <row r="239" spans="1:54" ht="15" x14ac:dyDescent="0.25">
      <c r="A239" s="3" t="s">
        <v>534</v>
      </c>
      <c r="B239" s="3" t="str">
        <f ca="1">IFERROR(__xludf.DUMMYFUNCTION("SPLIT(A239,""/"")"),"DLLXW")</f>
        <v>DLLXW</v>
      </c>
      <c r="C239" s="3" t="str">
        <f ca="1">IFERROR(__xludf.DUMMYFUNCTION("""COMPUTED_VALUE"""),"data-science-competition")</f>
        <v>data-science-competition</v>
      </c>
      <c r="D239" s="4" t="s">
        <v>535</v>
      </c>
      <c r="E239" s="5">
        <v>44119.10260416667</v>
      </c>
      <c r="F239" s="5">
        <v>44294.486527777779</v>
      </c>
      <c r="G239" s="13">
        <f t="shared" si="18"/>
        <v>175.38392361110891</v>
      </c>
      <c r="H239" s="6" t="b">
        <v>0</v>
      </c>
      <c r="I239" s="6" t="b">
        <v>0</v>
      </c>
      <c r="J239" s="8">
        <v>517</v>
      </c>
      <c r="K239" s="8">
        <v>13</v>
      </c>
      <c r="L239" s="8">
        <v>197</v>
      </c>
      <c r="M239" s="8">
        <v>0</v>
      </c>
      <c r="N239" s="8">
        <v>0</v>
      </c>
      <c r="O239" s="9">
        <v>0</v>
      </c>
      <c r="P239" s="8">
        <v>0</v>
      </c>
      <c r="Q239" s="8">
        <v>0</v>
      </c>
      <c r="R239" s="8">
        <v>21</v>
      </c>
      <c r="S239" s="8">
        <v>13</v>
      </c>
      <c r="T239" s="11" t="s">
        <v>52</v>
      </c>
      <c r="U239" s="10">
        <v>31319</v>
      </c>
      <c r="V239" s="32">
        <v>119</v>
      </c>
      <c r="W239" s="27">
        <v>3.7996104601040904E-3</v>
      </c>
      <c r="X239" s="34">
        <v>0</v>
      </c>
      <c r="Y239" s="27">
        <v>0</v>
      </c>
      <c r="Z239" s="27">
        <v>0</v>
      </c>
      <c r="AA239" s="35">
        <v>111</v>
      </c>
      <c r="AB239" s="27">
        <v>0.9327731092436975</v>
      </c>
      <c r="AC239" s="27">
        <f t="shared" si="19"/>
        <v>3.5441744627861681E-3</v>
      </c>
      <c r="AD239" s="36">
        <v>2</v>
      </c>
      <c r="AE239" s="27">
        <v>1.680672268907563E-2</v>
      </c>
      <c r="AF239" s="27">
        <f t="shared" si="20"/>
        <v>6.3858999329480506E-5</v>
      </c>
      <c r="AG239" s="37">
        <v>6</v>
      </c>
      <c r="AH239" s="27">
        <v>5.0420168067226892E-2</v>
      </c>
      <c r="AI239" s="27">
        <f t="shared" si="21"/>
        <v>1.9157699798844153E-4</v>
      </c>
      <c r="AJ239" s="38">
        <v>0</v>
      </c>
      <c r="AK239" s="27">
        <v>0</v>
      </c>
      <c r="AL239" s="27">
        <f t="shared" si="22"/>
        <v>0</v>
      </c>
      <c r="AM239" s="40">
        <v>0</v>
      </c>
      <c r="AN239" s="27">
        <v>0</v>
      </c>
      <c r="AO239" s="27">
        <f t="shared" si="23"/>
        <v>0</v>
      </c>
      <c r="AP239" s="7" t="b">
        <v>1</v>
      </c>
      <c r="AQ239" s="6" t="b">
        <v>0</v>
      </c>
      <c r="AR239" s="6" t="b">
        <v>0</v>
      </c>
      <c r="AS239" s="6" t="b">
        <v>0</v>
      </c>
      <c r="AT239" s="7" t="b">
        <v>1</v>
      </c>
      <c r="AU239" s="6" t="b">
        <v>0</v>
      </c>
      <c r="AV239" s="6" t="b">
        <v>0</v>
      </c>
      <c r="AW239" s="6" t="b">
        <v>0</v>
      </c>
      <c r="AX239" s="6" t="b">
        <v>0</v>
      </c>
      <c r="AY239" s="6" t="b">
        <v>0</v>
      </c>
      <c r="AZ239" s="6" t="b">
        <v>0</v>
      </c>
      <c r="BA239" s="6" t="b">
        <v>0</v>
      </c>
      <c r="BB239" s="6" t="b">
        <v>0</v>
      </c>
    </row>
    <row r="240" spans="1:54" ht="15" x14ac:dyDescent="0.25">
      <c r="A240" s="3" t="s">
        <v>536</v>
      </c>
      <c r="B240" s="3" t="str">
        <f ca="1">IFERROR(__xludf.DUMMYFUNCTION("SPLIT(A240,""/"")"),"dmlc")</f>
        <v>dmlc</v>
      </c>
      <c r="C240" s="3" t="str">
        <f ca="1">IFERROR(__xludf.DUMMYFUNCTION("""COMPUTED_VALUE"""),"gluon-cv")</f>
        <v>gluon-cv</v>
      </c>
      <c r="D240" s="4" t="s">
        <v>537</v>
      </c>
      <c r="E240" s="5">
        <v>43157.064826388887</v>
      </c>
      <c r="F240" s="5">
        <v>44295.128391203703</v>
      </c>
      <c r="G240" s="13">
        <f t="shared" si="18"/>
        <v>1138.0635648148163</v>
      </c>
      <c r="H240" s="6" t="b">
        <v>0</v>
      </c>
      <c r="I240" s="7" t="b">
        <v>1</v>
      </c>
      <c r="J240" s="8">
        <v>4659</v>
      </c>
      <c r="K240" s="8">
        <v>162</v>
      </c>
      <c r="L240" s="8">
        <v>1053</v>
      </c>
      <c r="M240" s="8">
        <v>10</v>
      </c>
      <c r="N240" s="8">
        <v>17</v>
      </c>
      <c r="O240" s="8">
        <v>110</v>
      </c>
      <c r="P240" s="8">
        <v>898</v>
      </c>
      <c r="Q240" s="8">
        <v>13</v>
      </c>
      <c r="R240" s="8">
        <v>750</v>
      </c>
      <c r="S240" s="8">
        <v>370</v>
      </c>
      <c r="T240" s="3" t="s">
        <v>69</v>
      </c>
      <c r="U240" s="10">
        <v>52946</v>
      </c>
      <c r="V240" s="32">
        <v>426</v>
      </c>
      <c r="W240" s="27">
        <v>8.0459335927171079E-3</v>
      </c>
      <c r="X240" s="34">
        <v>16</v>
      </c>
      <c r="Y240" s="27">
        <v>3.7558685446009391E-2</v>
      </c>
      <c r="Z240" s="27">
        <v>3.021946889283421E-4</v>
      </c>
      <c r="AA240" s="35">
        <v>318</v>
      </c>
      <c r="AB240" s="27">
        <v>0.74647887323943662</v>
      </c>
      <c r="AC240" s="27">
        <f t="shared" si="19"/>
        <v>6.006119442450799E-3</v>
      </c>
      <c r="AD240" s="36">
        <v>88</v>
      </c>
      <c r="AE240" s="27">
        <v>0.20657276995305165</v>
      </c>
      <c r="AF240" s="27">
        <f t="shared" si="20"/>
        <v>1.6620707891058814E-3</v>
      </c>
      <c r="AG240" s="37">
        <v>3</v>
      </c>
      <c r="AH240" s="27">
        <v>7.0422535211267607E-3</v>
      </c>
      <c r="AI240" s="27">
        <f t="shared" si="21"/>
        <v>5.6661504174064143E-5</v>
      </c>
      <c r="AJ240" s="38">
        <v>0</v>
      </c>
      <c r="AK240" s="27">
        <v>0</v>
      </c>
      <c r="AL240" s="27">
        <f t="shared" si="22"/>
        <v>0</v>
      </c>
      <c r="AM240" s="40">
        <v>2</v>
      </c>
      <c r="AN240" s="27">
        <v>4.6948356807511738E-3</v>
      </c>
      <c r="AO240" s="27">
        <f t="shared" si="23"/>
        <v>3.7774336116042762E-5</v>
      </c>
      <c r="AP240" s="7" t="b">
        <v>1</v>
      </c>
      <c r="AQ240" s="6" t="b">
        <v>0</v>
      </c>
      <c r="AR240" s="6" t="b">
        <v>0</v>
      </c>
      <c r="AS240" s="6" t="b">
        <v>0</v>
      </c>
      <c r="AT240" s="7" t="b">
        <v>1</v>
      </c>
      <c r="AU240" s="6" t="b">
        <v>0</v>
      </c>
      <c r="AV240" s="6" t="b">
        <v>0</v>
      </c>
      <c r="AW240" s="6" t="b">
        <v>0</v>
      </c>
      <c r="AX240" s="6" t="b">
        <v>0</v>
      </c>
      <c r="AY240" s="6" t="b">
        <v>0</v>
      </c>
      <c r="AZ240" s="6" t="b">
        <v>0</v>
      </c>
      <c r="BA240" s="6" t="b">
        <v>0</v>
      </c>
      <c r="BB240" s="6" t="b">
        <v>0</v>
      </c>
    </row>
    <row r="241" spans="1:54" ht="15" x14ac:dyDescent="0.25">
      <c r="A241" s="3" t="s">
        <v>538</v>
      </c>
      <c r="B241" s="3" t="str">
        <f ca="1">IFERROR(__xludf.DUMMYFUNCTION("SPLIT(A241,""/"")"),"dmlc")</f>
        <v>dmlc</v>
      </c>
      <c r="C241" s="3" t="str">
        <f ca="1">IFERROR(__xludf.DUMMYFUNCTION("""COMPUTED_VALUE"""),"minpy")</f>
        <v>minpy</v>
      </c>
      <c r="D241" s="4" t="s">
        <v>539</v>
      </c>
      <c r="E241" s="5">
        <v>42313.1325</v>
      </c>
      <c r="F241" s="5">
        <v>44272.634305555555</v>
      </c>
      <c r="G241" s="13">
        <f t="shared" si="18"/>
        <v>1959.5018055555556</v>
      </c>
      <c r="H241" s="6" t="b">
        <v>0</v>
      </c>
      <c r="I241" s="7" t="b">
        <v>1</v>
      </c>
      <c r="J241" s="8">
        <v>1119</v>
      </c>
      <c r="K241" s="8">
        <v>64</v>
      </c>
      <c r="L241" s="8">
        <v>111</v>
      </c>
      <c r="M241" s="8">
        <v>0</v>
      </c>
      <c r="N241" s="8">
        <v>17</v>
      </c>
      <c r="O241" s="8">
        <v>11</v>
      </c>
      <c r="P241" s="8">
        <v>94</v>
      </c>
      <c r="Q241" s="8">
        <v>2</v>
      </c>
      <c r="R241" s="8">
        <v>96</v>
      </c>
      <c r="S241" s="8">
        <v>26</v>
      </c>
      <c r="T241" s="3" t="s">
        <v>92</v>
      </c>
      <c r="U241" s="10">
        <v>9222</v>
      </c>
      <c r="V241" s="32">
        <v>37</v>
      </c>
      <c r="W241" s="27">
        <v>4.0121448709607458E-3</v>
      </c>
      <c r="X241" s="34">
        <v>19</v>
      </c>
      <c r="Y241" s="27">
        <v>0.51351351351351349</v>
      </c>
      <c r="Z241" s="27">
        <v>2.0602906094122752E-3</v>
      </c>
      <c r="AA241" s="35">
        <v>14</v>
      </c>
      <c r="AB241" s="27">
        <v>0.3783783783783784</v>
      </c>
      <c r="AC241" s="27">
        <f t="shared" si="19"/>
        <v>1.5181088700932553E-3</v>
      </c>
      <c r="AD241" s="36">
        <v>2</v>
      </c>
      <c r="AE241" s="27">
        <v>5.4054054054054057E-2</v>
      </c>
      <c r="AF241" s="27">
        <f t="shared" si="20"/>
        <v>2.1687269572760788E-4</v>
      </c>
      <c r="AG241" s="37">
        <v>1</v>
      </c>
      <c r="AH241" s="27">
        <v>2.7027027027027029E-2</v>
      </c>
      <c r="AI241" s="27">
        <f t="shared" si="21"/>
        <v>1.0843634786380394E-4</v>
      </c>
      <c r="AJ241" s="38">
        <v>1</v>
      </c>
      <c r="AK241" s="27">
        <v>2.7027027027027029E-2</v>
      </c>
      <c r="AL241" s="27">
        <f t="shared" si="22"/>
        <v>1.0843634786380394E-4</v>
      </c>
      <c r="AM241" s="40">
        <v>0</v>
      </c>
      <c r="AN241" s="27">
        <v>0</v>
      </c>
      <c r="AO241" s="27">
        <f t="shared" si="23"/>
        <v>0</v>
      </c>
      <c r="AP241" s="7" t="b">
        <v>1</v>
      </c>
      <c r="AQ241" s="6" t="b">
        <v>0</v>
      </c>
      <c r="AR241" s="6" t="b">
        <v>0</v>
      </c>
      <c r="AS241" s="6" t="b">
        <v>0</v>
      </c>
      <c r="AT241" s="7" t="b">
        <v>1</v>
      </c>
      <c r="AU241" s="6" t="b">
        <v>0</v>
      </c>
      <c r="AV241" s="6" t="b">
        <v>0</v>
      </c>
      <c r="AW241" s="6" t="b">
        <v>0</v>
      </c>
      <c r="AX241" s="6" t="b">
        <v>0</v>
      </c>
      <c r="AY241" s="6" t="b">
        <v>0</v>
      </c>
      <c r="AZ241" s="6" t="b">
        <v>0</v>
      </c>
      <c r="BA241" s="6" t="b">
        <v>0</v>
      </c>
      <c r="BB241" s="6" t="b">
        <v>0</v>
      </c>
    </row>
    <row r="242" spans="1:54" ht="15" x14ac:dyDescent="0.25">
      <c r="A242" s="3" t="s">
        <v>540</v>
      </c>
      <c r="B242" s="3" t="str">
        <f ca="1">IFERROR(__xludf.DUMMYFUNCTION("SPLIT(A242,""/"")"),"DMOJ")</f>
        <v>DMOJ</v>
      </c>
      <c r="C242" s="3" t="str">
        <f ca="1">IFERROR(__xludf.DUMMYFUNCTION("""COMPUTED_VALUE"""),"judge-server")</f>
        <v>judge-server</v>
      </c>
      <c r="D242" s="4" t="s">
        <v>541</v>
      </c>
      <c r="E242" s="5">
        <v>41712.634837962964</v>
      </c>
      <c r="F242" s="5">
        <v>44294.20076388889</v>
      </c>
      <c r="G242" s="13">
        <f t="shared" si="18"/>
        <v>2581.5659259259264</v>
      </c>
      <c r="H242" s="6" t="b">
        <v>0</v>
      </c>
      <c r="I242" s="7" t="b">
        <v>1</v>
      </c>
      <c r="J242" s="8">
        <v>655</v>
      </c>
      <c r="K242" s="8">
        <v>25</v>
      </c>
      <c r="L242" s="8">
        <v>139</v>
      </c>
      <c r="M242" s="8">
        <v>9</v>
      </c>
      <c r="N242" s="8">
        <v>236</v>
      </c>
      <c r="O242" s="8">
        <v>24</v>
      </c>
      <c r="P242" s="8">
        <v>435</v>
      </c>
      <c r="Q242" s="8">
        <v>7</v>
      </c>
      <c r="R242" s="8">
        <v>401</v>
      </c>
      <c r="S242" s="8">
        <v>38</v>
      </c>
      <c r="T242" s="3" t="s">
        <v>366</v>
      </c>
      <c r="U242" s="10">
        <v>6328</v>
      </c>
      <c r="V242" s="32">
        <v>67</v>
      </c>
      <c r="W242" s="27">
        <v>1.0587863463969659E-2</v>
      </c>
      <c r="X242" s="34">
        <v>13</v>
      </c>
      <c r="Y242" s="27">
        <v>0.19402985074626866</v>
      </c>
      <c r="Z242" s="27">
        <v>2.0543615676359038E-3</v>
      </c>
      <c r="AA242" s="35">
        <v>16</v>
      </c>
      <c r="AB242" s="27">
        <v>0.23880597014925373</v>
      </c>
      <c r="AC242" s="27">
        <f t="shared" si="19"/>
        <v>2.5284450063211127E-3</v>
      </c>
      <c r="AD242" s="36">
        <v>15</v>
      </c>
      <c r="AE242" s="27">
        <v>0.22388059701492538</v>
      </c>
      <c r="AF242" s="27">
        <f t="shared" si="20"/>
        <v>2.3704171934260431E-3</v>
      </c>
      <c r="AG242" s="37">
        <v>23</v>
      </c>
      <c r="AH242" s="27">
        <v>0.34328358208955223</v>
      </c>
      <c r="AI242" s="27">
        <f t="shared" si="21"/>
        <v>3.6346396965865994E-3</v>
      </c>
      <c r="AJ242" s="38">
        <v>0</v>
      </c>
      <c r="AK242" s="27">
        <v>0</v>
      </c>
      <c r="AL242" s="27">
        <f t="shared" si="22"/>
        <v>0</v>
      </c>
      <c r="AM242" s="40">
        <v>0</v>
      </c>
      <c r="AN242" s="27">
        <v>0</v>
      </c>
      <c r="AO242" s="27">
        <f t="shared" si="23"/>
        <v>0</v>
      </c>
      <c r="AP242" s="7" t="b">
        <v>1</v>
      </c>
      <c r="AQ242" s="6" t="b">
        <v>0</v>
      </c>
      <c r="AR242" s="6" t="b">
        <v>0</v>
      </c>
      <c r="AS242" s="6" t="b">
        <v>0</v>
      </c>
      <c r="AT242" s="7" t="b">
        <v>1</v>
      </c>
      <c r="AU242" s="6" t="b">
        <v>0</v>
      </c>
      <c r="AV242" s="6" t="b">
        <v>0</v>
      </c>
      <c r="AW242" s="6" t="b">
        <v>0</v>
      </c>
      <c r="AX242" s="6" t="b">
        <v>0</v>
      </c>
      <c r="AY242" s="6" t="b">
        <v>0</v>
      </c>
      <c r="AZ242" s="6" t="b">
        <v>0</v>
      </c>
      <c r="BA242" s="6" t="b">
        <v>0</v>
      </c>
      <c r="BB242" s="6" t="b">
        <v>0</v>
      </c>
    </row>
    <row r="243" spans="1:54" ht="15" x14ac:dyDescent="0.25">
      <c r="A243" s="3" t="s">
        <v>542</v>
      </c>
      <c r="B243" s="3" t="str">
        <f ca="1">IFERROR(__xludf.DUMMYFUNCTION("SPLIT(A243,""/"")"),"dnsviz")</f>
        <v>dnsviz</v>
      </c>
      <c r="C243" s="3" t="str">
        <f ca="1">IFERROR(__xludf.DUMMYFUNCTION("""COMPUTED_VALUE"""),"dnsviz")</f>
        <v>dnsviz</v>
      </c>
      <c r="D243" s="4" t="s">
        <v>543</v>
      </c>
      <c r="E243" s="5">
        <v>41935.644675925927</v>
      </c>
      <c r="F243" s="5">
        <v>44292.657048611109</v>
      </c>
      <c r="G243" s="13">
        <f t="shared" si="18"/>
        <v>2357.0123726851816</v>
      </c>
      <c r="H243" s="6" t="b">
        <v>0</v>
      </c>
      <c r="I243" s="7" t="b">
        <v>1</v>
      </c>
      <c r="J243" s="8">
        <v>553</v>
      </c>
      <c r="K243" s="8">
        <v>32</v>
      </c>
      <c r="L243" s="8">
        <v>81</v>
      </c>
      <c r="M243" s="8">
        <v>24</v>
      </c>
      <c r="N243" s="8">
        <v>7</v>
      </c>
      <c r="O243" s="8">
        <v>6</v>
      </c>
      <c r="P243" s="8">
        <v>21</v>
      </c>
      <c r="Q243" s="8">
        <v>2</v>
      </c>
      <c r="R243" s="8">
        <v>52</v>
      </c>
      <c r="S243" s="8">
        <v>4</v>
      </c>
      <c r="T243" s="3" t="s">
        <v>92</v>
      </c>
      <c r="U243" s="10">
        <v>18246</v>
      </c>
      <c r="V243" s="32">
        <v>83</v>
      </c>
      <c r="W243" s="27">
        <v>4.5489422339142823E-3</v>
      </c>
      <c r="X243" s="34">
        <v>29</v>
      </c>
      <c r="Y243" s="27">
        <v>0.3493975903614458</v>
      </c>
      <c r="Z243" s="27">
        <v>1.5893894552230627E-3</v>
      </c>
      <c r="AA243" s="35">
        <v>5</v>
      </c>
      <c r="AB243" s="27">
        <v>6.0240963855421686E-2</v>
      </c>
      <c r="AC243" s="27">
        <f t="shared" si="19"/>
        <v>2.7403266469363147E-4</v>
      </c>
      <c r="AD243" s="36">
        <v>3</v>
      </c>
      <c r="AE243" s="27">
        <v>3.614457831325301E-2</v>
      </c>
      <c r="AF243" s="27">
        <f t="shared" si="20"/>
        <v>1.6441959881617889E-4</v>
      </c>
      <c r="AG243" s="37">
        <v>41</v>
      </c>
      <c r="AH243" s="27">
        <v>0.49397590361445781</v>
      </c>
      <c r="AI243" s="27">
        <f t="shared" si="21"/>
        <v>2.247067850487778E-3</v>
      </c>
      <c r="AJ243" s="38">
        <v>0</v>
      </c>
      <c r="AK243" s="27">
        <v>0</v>
      </c>
      <c r="AL243" s="27">
        <f t="shared" si="22"/>
        <v>0</v>
      </c>
      <c r="AM243" s="40">
        <v>0</v>
      </c>
      <c r="AN243" s="27">
        <v>0</v>
      </c>
      <c r="AO243" s="27">
        <f t="shared" si="23"/>
        <v>0</v>
      </c>
      <c r="AP243" s="7" t="b">
        <v>1</v>
      </c>
      <c r="AQ243" s="6" t="b">
        <v>0</v>
      </c>
      <c r="AR243" s="6" t="b">
        <v>0</v>
      </c>
      <c r="AS243" s="6" t="b">
        <v>0</v>
      </c>
      <c r="AT243" s="7" t="b">
        <v>1</v>
      </c>
      <c r="AU243" s="6" t="b">
        <v>0</v>
      </c>
      <c r="AV243" s="6" t="b">
        <v>0</v>
      </c>
      <c r="AW243" s="6" t="b">
        <v>0</v>
      </c>
      <c r="AX243" s="6" t="b">
        <v>0</v>
      </c>
      <c r="AY243" s="6" t="b">
        <v>0</v>
      </c>
      <c r="AZ243" s="6" t="b">
        <v>0</v>
      </c>
      <c r="BA243" s="6" t="b">
        <v>0</v>
      </c>
      <c r="BB243" s="6" t="b">
        <v>0</v>
      </c>
    </row>
    <row r="244" spans="1:54" ht="15" x14ac:dyDescent="0.25">
      <c r="A244" s="3" t="s">
        <v>544</v>
      </c>
      <c r="B244" s="3" t="str">
        <f ca="1">IFERROR(__xludf.DUMMYFUNCTION("SPLIT(A244,""/"")"),"doccano")</f>
        <v>doccano</v>
      </c>
      <c r="C244" s="3" t="str">
        <f ca="1">IFERROR(__xludf.DUMMYFUNCTION("""COMPUTED_VALUE"""),"doccano")</f>
        <v>doccano</v>
      </c>
      <c r="D244" s="4" t="s">
        <v>545</v>
      </c>
      <c r="E244" s="5">
        <v>43229.257002314815</v>
      </c>
      <c r="F244" s="5">
        <v>44295.145196759258</v>
      </c>
      <c r="G244" s="13">
        <f t="shared" si="18"/>
        <v>1065.8881944444438</v>
      </c>
      <c r="H244" s="6" t="b">
        <v>0</v>
      </c>
      <c r="I244" s="7" t="b">
        <v>1</v>
      </c>
      <c r="J244" s="8">
        <v>4596</v>
      </c>
      <c r="K244" s="8">
        <v>105</v>
      </c>
      <c r="L244" s="8">
        <v>944</v>
      </c>
      <c r="M244" s="8">
        <v>13</v>
      </c>
      <c r="N244" s="8">
        <v>14</v>
      </c>
      <c r="O244" s="8">
        <v>56</v>
      </c>
      <c r="P244" s="8">
        <v>417</v>
      </c>
      <c r="Q244" s="8">
        <v>11</v>
      </c>
      <c r="R244" s="8">
        <v>862</v>
      </c>
      <c r="S244" s="8">
        <v>117</v>
      </c>
      <c r="T244" s="3" t="s">
        <v>72</v>
      </c>
      <c r="U244" s="10">
        <v>4074</v>
      </c>
      <c r="V244" s="32">
        <v>1</v>
      </c>
      <c r="W244" s="27">
        <v>2.4545900834560628E-4</v>
      </c>
      <c r="X244" s="34">
        <v>0</v>
      </c>
      <c r="Y244" s="27">
        <v>0</v>
      </c>
      <c r="Z244" s="27">
        <v>0</v>
      </c>
      <c r="AA244" s="35">
        <v>1</v>
      </c>
      <c r="AB244" s="27">
        <v>1</v>
      </c>
      <c r="AC244" s="27">
        <f t="shared" si="19"/>
        <v>2.4545900834560628E-4</v>
      </c>
      <c r="AD244" s="36">
        <v>0</v>
      </c>
      <c r="AE244" s="27">
        <v>0</v>
      </c>
      <c r="AF244" s="27">
        <f t="shared" si="20"/>
        <v>0</v>
      </c>
      <c r="AG244" s="37">
        <v>0</v>
      </c>
      <c r="AH244" s="27">
        <v>0</v>
      </c>
      <c r="AI244" s="27">
        <f t="shared" si="21"/>
        <v>0</v>
      </c>
      <c r="AJ244" s="38">
        <v>0</v>
      </c>
      <c r="AK244" s="27">
        <v>0</v>
      </c>
      <c r="AL244" s="27">
        <f t="shared" si="22"/>
        <v>0</v>
      </c>
      <c r="AM244" s="40">
        <v>0</v>
      </c>
      <c r="AN244" s="27">
        <v>0</v>
      </c>
      <c r="AO244" s="27">
        <f t="shared" si="23"/>
        <v>0</v>
      </c>
      <c r="AP244" s="7" t="b">
        <v>1</v>
      </c>
      <c r="AQ244" s="6" t="b">
        <v>0</v>
      </c>
      <c r="AR244" s="6" t="b">
        <v>0</v>
      </c>
      <c r="AS244" s="6" t="b">
        <v>0</v>
      </c>
      <c r="AT244" s="7" t="b">
        <v>1</v>
      </c>
      <c r="AU244" s="6" t="b">
        <v>0</v>
      </c>
      <c r="AV244" s="6" t="b">
        <v>0</v>
      </c>
      <c r="AW244" s="6" t="b">
        <v>0</v>
      </c>
      <c r="AX244" s="6" t="b">
        <v>0</v>
      </c>
      <c r="AY244" s="6" t="b">
        <v>0</v>
      </c>
      <c r="AZ244" s="6" t="b">
        <v>0</v>
      </c>
      <c r="BA244" s="6" t="b">
        <v>0</v>
      </c>
      <c r="BB244" s="6" t="b">
        <v>0</v>
      </c>
    </row>
    <row r="245" spans="1:54" ht="15" x14ac:dyDescent="0.25">
      <c r="A245" s="3" t="s">
        <v>546</v>
      </c>
      <c r="B245" s="3" t="str">
        <f ca="1">IFERROR(__xludf.DUMMYFUNCTION("SPLIT(A245,""/"")"),"docker-archive")</f>
        <v>docker-archive</v>
      </c>
      <c r="C245" s="3" t="str">
        <f ca="1">IFERROR(__xludf.DUMMYFUNCTION("""COMPUTED_VALUE"""),"docker-registry")</f>
        <v>docker-registry</v>
      </c>
      <c r="D245" s="4" t="s">
        <v>547</v>
      </c>
      <c r="E245" s="5">
        <v>41380.045069444444</v>
      </c>
      <c r="F245" s="5">
        <v>44294.251134259262</v>
      </c>
      <c r="G245" s="13">
        <f t="shared" si="18"/>
        <v>2914.2060648148181</v>
      </c>
      <c r="H245" s="6" t="b">
        <v>0</v>
      </c>
      <c r="I245" s="7" t="b">
        <v>1</v>
      </c>
      <c r="J245" s="8">
        <v>2882</v>
      </c>
      <c r="K245" s="8">
        <v>193</v>
      </c>
      <c r="L245" s="8">
        <v>834</v>
      </c>
      <c r="M245" s="8">
        <v>0</v>
      </c>
      <c r="N245" s="8">
        <v>14</v>
      </c>
      <c r="O245" s="8">
        <v>116</v>
      </c>
      <c r="P245" s="8">
        <v>457</v>
      </c>
      <c r="Q245" s="8">
        <v>11</v>
      </c>
      <c r="R245" s="8">
        <v>646</v>
      </c>
      <c r="S245" s="8">
        <v>179</v>
      </c>
      <c r="T245" s="3" t="s">
        <v>92</v>
      </c>
      <c r="U245" s="10">
        <v>4866</v>
      </c>
      <c r="V245" s="32">
        <v>105</v>
      </c>
      <c r="W245" s="27">
        <v>2.1578298397040691E-2</v>
      </c>
      <c r="X245" s="34">
        <v>55</v>
      </c>
      <c r="Y245" s="27">
        <v>0.52380952380952384</v>
      </c>
      <c r="Z245" s="27">
        <v>1.1302918207973694E-2</v>
      </c>
      <c r="AA245" s="35">
        <v>25</v>
      </c>
      <c r="AB245" s="27">
        <v>0.23809523809523808</v>
      </c>
      <c r="AC245" s="27">
        <f t="shared" si="19"/>
        <v>5.1376900945334977E-3</v>
      </c>
      <c r="AD245" s="36">
        <v>18</v>
      </c>
      <c r="AE245" s="27">
        <v>0.17142857142857143</v>
      </c>
      <c r="AF245" s="27">
        <f t="shared" si="20"/>
        <v>3.6991368680641184E-3</v>
      </c>
      <c r="AG245" s="37">
        <v>6</v>
      </c>
      <c r="AH245" s="27">
        <v>5.7142857142857141E-2</v>
      </c>
      <c r="AI245" s="27">
        <f t="shared" si="21"/>
        <v>1.2330456226880395E-3</v>
      </c>
      <c r="AJ245" s="38">
        <v>0</v>
      </c>
      <c r="AK245" s="27">
        <v>0</v>
      </c>
      <c r="AL245" s="27">
        <f t="shared" si="22"/>
        <v>0</v>
      </c>
      <c r="AM245" s="40">
        <v>0</v>
      </c>
      <c r="AN245" s="27">
        <v>0</v>
      </c>
      <c r="AO245" s="27">
        <f t="shared" si="23"/>
        <v>0</v>
      </c>
      <c r="AP245" s="7" t="b">
        <v>1</v>
      </c>
      <c r="AQ245" s="6" t="b">
        <v>0</v>
      </c>
      <c r="AR245" s="6" t="b">
        <v>0</v>
      </c>
      <c r="AS245" s="6" t="b">
        <v>0</v>
      </c>
      <c r="AT245" s="7" t="b">
        <v>1</v>
      </c>
      <c r="AU245" s="6" t="b">
        <v>0</v>
      </c>
      <c r="AV245" s="6" t="b">
        <v>0</v>
      </c>
      <c r="AW245" s="6" t="b">
        <v>0</v>
      </c>
      <c r="AX245" s="6" t="b">
        <v>0</v>
      </c>
      <c r="AY245" s="6" t="b">
        <v>0</v>
      </c>
      <c r="AZ245" s="6" t="b">
        <v>0</v>
      </c>
      <c r="BA245" s="6" t="b">
        <v>0</v>
      </c>
      <c r="BB245" s="6" t="b">
        <v>0</v>
      </c>
    </row>
    <row r="246" spans="1:54" ht="15" x14ac:dyDescent="0.25">
      <c r="A246" s="3" t="s">
        <v>548</v>
      </c>
      <c r="B246" s="3" t="str">
        <f ca="1">IFERROR(__xludf.DUMMYFUNCTION("SPLIT(A246,""/"")"),"docker")</f>
        <v>docker</v>
      </c>
      <c r="C246" s="3" t="str">
        <f ca="1">IFERROR(__xludf.DUMMYFUNCTION("""COMPUTED_VALUE"""),"compose")</f>
        <v>compose</v>
      </c>
      <c r="D246" s="4" t="s">
        <v>549</v>
      </c>
      <c r="E246" s="5">
        <v>41617.48678240741</v>
      </c>
      <c r="F246" s="5">
        <v>44295.136296296296</v>
      </c>
      <c r="G246" s="13">
        <f t="shared" si="18"/>
        <v>2677.6495138888858</v>
      </c>
      <c r="H246" s="6" t="b">
        <v>0</v>
      </c>
      <c r="I246" s="7" t="b">
        <v>1</v>
      </c>
      <c r="J246" s="8">
        <v>22299</v>
      </c>
      <c r="K246" s="8">
        <v>694</v>
      </c>
      <c r="L246" s="8">
        <v>3533</v>
      </c>
      <c r="M246" s="8">
        <v>149</v>
      </c>
      <c r="N246" s="8">
        <v>105</v>
      </c>
      <c r="O246" s="8">
        <v>375</v>
      </c>
      <c r="P246" s="8">
        <v>2792</v>
      </c>
      <c r="Q246" s="8">
        <v>77</v>
      </c>
      <c r="R246" s="8">
        <v>5383</v>
      </c>
      <c r="S246" s="8">
        <v>439</v>
      </c>
      <c r="T246" s="3" t="s">
        <v>69</v>
      </c>
      <c r="U246" s="10">
        <v>16458</v>
      </c>
      <c r="V246" s="32">
        <v>98</v>
      </c>
      <c r="W246" s="27">
        <v>5.9545509782476611E-3</v>
      </c>
      <c r="X246" s="34">
        <v>15</v>
      </c>
      <c r="Y246" s="27">
        <v>0.15306122448979592</v>
      </c>
      <c r="Z246" s="27">
        <v>9.1141086401749912E-4</v>
      </c>
      <c r="AA246" s="35">
        <v>25</v>
      </c>
      <c r="AB246" s="27">
        <v>0.25510204081632654</v>
      </c>
      <c r="AC246" s="27">
        <f t="shared" si="19"/>
        <v>1.5190181066958319E-3</v>
      </c>
      <c r="AD246" s="36">
        <v>40</v>
      </c>
      <c r="AE246" s="27">
        <v>0.40816326530612246</v>
      </c>
      <c r="AF246" s="27">
        <f t="shared" si="20"/>
        <v>2.430428970713331E-3</v>
      </c>
      <c r="AG246" s="37">
        <v>18</v>
      </c>
      <c r="AH246" s="27">
        <v>0.18367346938775511</v>
      </c>
      <c r="AI246" s="27">
        <f t="shared" si="21"/>
        <v>1.0936930368209989E-3</v>
      </c>
      <c r="AJ246" s="38">
        <v>0</v>
      </c>
      <c r="AK246" s="27">
        <v>0</v>
      </c>
      <c r="AL246" s="27">
        <f t="shared" si="22"/>
        <v>0</v>
      </c>
      <c r="AM246" s="40">
        <v>0</v>
      </c>
      <c r="AN246" s="27">
        <v>0</v>
      </c>
      <c r="AO246" s="27">
        <f t="shared" si="23"/>
        <v>0</v>
      </c>
      <c r="AP246" s="7" t="b">
        <v>1</v>
      </c>
      <c r="AQ246" s="7" t="b">
        <v>1</v>
      </c>
      <c r="AR246" s="6" t="b">
        <v>0</v>
      </c>
      <c r="AS246" s="6" t="b">
        <v>0</v>
      </c>
      <c r="AT246" s="7" t="b">
        <v>1</v>
      </c>
      <c r="AU246" s="6" t="b">
        <v>0</v>
      </c>
      <c r="AV246" s="6" t="b">
        <v>0</v>
      </c>
      <c r="AW246" s="6" t="b">
        <v>0</v>
      </c>
      <c r="AX246" s="6" t="b">
        <v>0</v>
      </c>
      <c r="AY246" s="6" t="b">
        <v>0</v>
      </c>
      <c r="AZ246" s="6" t="b">
        <v>0</v>
      </c>
      <c r="BA246" s="6" t="b">
        <v>0</v>
      </c>
      <c r="BB246" s="6" t="b">
        <v>0</v>
      </c>
    </row>
    <row r="247" spans="1:54" ht="15" x14ac:dyDescent="0.25">
      <c r="A247" s="3" t="s">
        <v>550</v>
      </c>
      <c r="B247" s="3" t="str">
        <f ca="1">IFERROR(__xludf.DUMMYFUNCTION("SPLIT(A247,""/"")"),"docker")</f>
        <v>docker</v>
      </c>
      <c r="C247" s="3" t="str">
        <f ca="1">IFERROR(__xludf.DUMMYFUNCTION("""COMPUTED_VALUE"""),"docker-py")</f>
        <v>docker-py</v>
      </c>
      <c r="D247" s="4" t="s">
        <v>551</v>
      </c>
      <c r="E247" s="5">
        <v>41417.677164351851</v>
      </c>
      <c r="F247" s="5">
        <v>44294.619166666664</v>
      </c>
      <c r="G247" s="13">
        <f t="shared" si="18"/>
        <v>2876.9420023148123</v>
      </c>
      <c r="H247" s="6" t="b">
        <v>0</v>
      </c>
      <c r="I247" s="7" t="b">
        <v>1</v>
      </c>
      <c r="J247" s="8">
        <v>5196</v>
      </c>
      <c r="K247" s="8">
        <v>189</v>
      </c>
      <c r="L247" s="8">
        <v>1369</v>
      </c>
      <c r="M247" s="8">
        <v>73</v>
      </c>
      <c r="N247" s="8">
        <v>54</v>
      </c>
      <c r="O247" s="8">
        <v>359</v>
      </c>
      <c r="P247" s="8">
        <v>1420</v>
      </c>
      <c r="Q247" s="8">
        <v>81</v>
      </c>
      <c r="R247" s="8">
        <v>1384</v>
      </c>
      <c r="S247" s="8">
        <v>321</v>
      </c>
      <c r="T247" s="3" t="s">
        <v>69</v>
      </c>
      <c r="U247" s="10">
        <v>15264</v>
      </c>
      <c r="V247" s="32">
        <v>37</v>
      </c>
      <c r="W247" s="27">
        <v>2.4240041928721176E-3</v>
      </c>
      <c r="X247" s="34">
        <v>33</v>
      </c>
      <c r="Y247" s="27">
        <v>0.89189189189189189</v>
      </c>
      <c r="Z247" s="27">
        <v>2.1619496855345911E-3</v>
      </c>
      <c r="AA247" s="35">
        <v>1</v>
      </c>
      <c r="AB247" s="27">
        <v>2.7027027027027029E-2</v>
      </c>
      <c r="AC247" s="27">
        <f t="shared" si="19"/>
        <v>6.5513626834381555E-5</v>
      </c>
      <c r="AD247" s="36">
        <v>1</v>
      </c>
      <c r="AE247" s="27">
        <v>2.7027027027027029E-2</v>
      </c>
      <c r="AF247" s="27">
        <f t="shared" si="20"/>
        <v>6.5513626834381555E-5</v>
      </c>
      <c r="AG247" s="37">
        <v>0</v>
      </c>
      <c r="AH247" s="27">
        <v>0</v>
      </c>
      <c r="AI247" s="27">
        <f t="shared" si="21"/>
        <v>0</v>
      </c>
      <c r="AJ247" s="38">
        <v>0</v>
      </c>
      <c r="AK247" s="27">
        <v>0</v>
      </c>
      <c r="AL247" s="27">
        <f t="shared" si="22"/>
        <v>0</v>
      </c>
      <c r="AM247" s="40">
        <v>0</v>
      </c>
      <c r="AN247" s="27">
        <v>0</v>
      </c>
      <c r="AO247" s="27">
        <f t="shared" si="23"/>
        <v>0</v>
      </c>
      <c r="AP247" s="7" t="b">
        <v>1</v>
      </c>
      <c r="AQ247" s="6" t="b">
        <v>0</v>
      </c>
      <c r="AR247" s="6" t="b">
        <v>0</v>
      </c>
      <c r="AS247" s="6" t="b">
        <v>0</v>
      </c>
      <c r="AT247" s="7" t="b">
        <v>1</v>
      </c>
      <c r="AU247" s="6" t="b">
        <v>0</v>
      </c>
      <c r="AV247" s="6" t="b">
        <v>0</v>
      </c>
      <c r="AW247" s="6" t="b">
        <v>0</v>
      </c>
      <c r="AX247" s="6" t="b">
        <v>0</v>
      </c>
      <c r="AY247" s="6" t="b">
        <v>0</v>
      </c>
      <c r="AZ247" s="6" t="b">
        <v>0</v>
      </c>
      <c r="BA247" s="6" t="b">
        <v>0</v>
      </c>
      <c r="BB247" s="6" t="b">
        <v>0</v>
      </c>
    </row>
    <row r="248" spans="1:54" ht="15" x14ac:dyDescent="0.25">
      <c r="A248" s="3" t="s">
        <v>552</v>
      </c>
      <c r="B248" s="3" t="str">
        <f ca="1">IFERROR(__xludf.DUMMYFUNCTION("SPLIT(A248,""/"")"),"dongweiming")</f>
        <v>dongweiming</v>
      </c>
      <c r="C248" s="3" t="str">
        <f ca="1">IFERROR(__xludf.DUMMYFUNCTION("""COMPUTED_VALUE"""),"web_develop")</f>
        <v>web_develop</v>
      </c>
      <c r="D248" s="4" t="s">
        <v>553</v>
      </c>
      <c r="E248" s="5">
        <v>42516.388553240744</v>
      </c>
      <c r="F248" s="5">
        <v>44290.587638888886</v>
      </c>
      <c r="G248" s="13">
        <f t="shared" si="18"/>
        <v>1774.1990856481425</v>
      </c>
      <c r="H248" s="6" t="b">
        <v>0</v>
      </c>
      <c r="I248" s="6" t="b">
        <v>0</v>
      </c>
      <c r="J248" s="8">
        <v>1153</v>
      </c>
      <c r="K248" s="8">
        <v>85</v>
      </c>
      <c r="L248" s="8">
        <v>537</v>
      </c>
      <c r="M248" s="8">
        <v>0</v>
      </c>
      <c r="N248" s="8">
        <v>0</v>
      </c>
      <c r="O248" s="8">
        <v>7</v>
      </c>
      <c r="P248" s="8">
        <v>17</v>
      </c>
      <c r="Q248" s="8">
        <v>2</v>
      </c>
      <c r="R248" s="8">
        <v>69</v>
      </c>
      <c r="S248" s="8">
        <v>3</v>
      </c>
      <c r="T248" s="3" t="s">
        <v>49</v>
      </c>
      <c r="U248" s="10">
        <v>7108</v>
      </c>
      <c r="V248" s="32">
        <v>7</v>
      </c>
      <c r="W248" s="27">
        <v>9.8480585256049513E-4</v>
      </c>
      <c r="X248" s="34">
        <v>0</v>
      </c>
      <c r="Y248" s="27">
        <v>0</v>
      </c>
      <c r="Z248" s="27">
        <v>0</v>
      </c>
      <c r="AA248" s="35">
        <v>2</v>
      </c>
      <c r="AB248" s="27">
        <v>0.2857142857142857</v>
      </c>
      <c r="AC248" s="27">
        <f t="shared" si="19"/>
        <v>2.8137310073157008E-4</v>
      </c>
      <c r="AD248" s="36">
        <v>2</v>
      </c>
      <c r="AE248" s="27">
        <v>0.2857142857142857</v>
      </c>
      <c r="AF248" s="27">
        <f t="shared" si="20"/>
        <v>2.8137310073157008E-4</v>
      </c>
      <c r="AG248" s="37">
        <v>3</v>
      </c>
      <c r="AH248" s="27">
        <v>0.42857142857142855</v>
      </c>
      <c r="AI248" s="27">
        <f t="shared" si="21"/>
        <v>4.2205965109735509E-4</v>
      </c>
      <c r="AJ248" s="38">
        <v>0</v>
      </c>
      <c r="AK248" s="27">
        <v>0</v>
      </c>
      <c r="AL248" s="27">
        <f t="shared" si="22"/>
        <v>0</v>
      </c>
      <c r="AM248" s="40">
        <v>0</v>
      </c>
      <c r="AN248" s="27">
        <v>0</v>
      </c>
      <c r="AO248" s="27">
        <f t="shared" si="23"/>
        <v>0</v>
      </c>
      <c r="AP248" s="7" t="b">
        <v>1</v>
      </c>
      <c r="AQ248" s="6" t="b">
        <v>0</v>
      </c>
      <c r="AR248" s="6" t="b">
        <v>0</v>
      </c>
      <c r="AS248" s="6" t="b">
        <v>0</v>
      </c>
      <c r="AT248" s="7" t="b">
        <v>1</v>
      </c>
      <c r="AU248" s="6" t="b">
        <v>0</v>
      </c>
      <c r="AV248" s="6" t="b">
        <v>0</v>
      </c>
      <c r="AW248" s="6" t="b">
        <v>0</v>
      </c>
      <c r="AX248" s="6" t="b">
        <v>0</v>
      </c>
      <c r="AY248" s="6" t="b">
        <v>0</v>
      </c>
      <c r="AZ248" s="6" t="b">
        <v>0</v>
      </c>
      <c r="BA248" s="6" t="b">
        <v>0</v>
      </c>
      <c r="BB248" s="6" t="b">
        <v>0</v>
      </c>
    </row>
    <row r="249" spans="1:54" ht="15" x14ac:dyDescent="0.25">
      <c r="A249" s="3" t="s">
        <v>554</v>
      </c>
      <c r="B249" s="3" t="str">
        <f ca="1">IFERROR(__xludf.DUMMYFUNCTION("SPLIT(A249,""/"")"),"donnemartin")</f>
        <v>donnemartin</v>
      </c>
      <c r="C249" s="3" t="str">
        <f ca="1">IFERROR(__xludf.DUMMYFUNCTION("""COMPUTED_VALUE"""),"data-science-ipython-notebooks")</f>
        <v>data-science-ipython-notebooks</v>
      </c>
      <c r="D249" s="4" t="s">
        <v>555</v>
      </c>
      <c r="E249" s="5">
        <v>42027.818391203706</v>
      </c>
      <c r="F249" s="5">
        <v>44294.794618055559</v>
      </c>
      <c r="G249" s="13">
        <f t="shared" si="18"/>
        <v>2266.9762268518534</v>
      </c>
      <c r="H249" s="6" t="b">
        <v>0</v>
      </c>
      <c r="I249" s="6" t="b">
        <v>0</v>
      </c>
      <c r="J249" s="8">
        <v>20927</v>
      </c>
      <c r="K249" s="8">
        <v>1636</v>
      </c>
      <c r="L249" s="8">
        <v>6106</v>
      </c>
      <c r="M249" s="8">
        <v>0</v>
      </c>
      <c r="N249" s="8">
        <v>1</v>
      </c>
      <c r="O249" s="8">
        <v>12</v>
      </c>
      <c r="P249" s="8">
        <v>50</v>
      </c>
      <c r="Q249" s="8">
        <v>11</v>
      </c>
      <c r="R249" s="8">
        <v>30</v>
      </c>
      <c r="S249" s="8">
        <v>9</v>
      </c>
      <c r="T249" s="3" t="s">
        <v>92</v>
      </c>
      <c r="U249" s="10">
        <v>3730</v>
      </c>
      <c r="V249" s="32">
        <v>8</v>
      </c>
      <c r="W249" s="27">
        <v>2.1447721179624667E-3</v>
      </c>
      <c r="X249" s="34">
        <v>0</v>
      </c>
      <c r="Y249" s="27">
        <v>0</v>
      </c>
      <c r="Z249" s="27">
        <v>0</v>
      </c>
      <c r="AA249" s="35">
        <v>0</v>
      </c>
      <c r="AB249" s="27">
        <v>0</v>
      </c>
      <c r="AC249" s="27">
        <f t="shared" si="19"/>
        <v>0</v>
      </c>
      <c r="AD249" s="36">
        <v>8</v>
      </c>
      <c r="AE249" s="27">
        <v>1</v>
      </c>
      <c r="AF249" s="27">
        <f t="shared" si="20"/>
        <v>2.1447721179624667E-3</v>
      </c>
      <c r="AG249" s="37">
        <v>0</v>
      </c>
      <c r="AH249" s="27">
        <v>0</v>
      </c>
      <c r="AI249" s="27">
        <f t="shared" si="21"/>
        <v>0</v>
      </c>
      <c r="AJ249" s="38">
        <v>0</v>
      </c>
      <c r="AK249" s="27">
        <v>0</v>
      </c>
      <c r="AL249" s="27">
        <f t="shared" si="22"/>
        <v>0</v>
      </c>
      <c r="AM249" s="40">
        <v>0</v>
      </c>
      <c r="AN249" s="27">
        <v>0</v>
      </c>
      <c r="AO249" s="27">
        <f t="shared" si="23"/>
        <v>0</v>
      </c>
      <c r="AP249" s="7" t="b">
        <v>1</v>
      </c>
      <c r="AQ249" s="6" t="b">
        <v>0</v>
      </c>
      <c r="AR249" s="6" t="b">
        <v>0</v>
      </c>
      <c r="AS249" s="6" t="b">
        <v>0</v>
      </c>
      <c r="AT249" s="7" t="b">
        <v>1</v>
      </c>
      <c r="AU249" s="6" t="b">
        <v>0</v>
      </c>
      <c r="AV249" s="6" t="b">
        <v>0</v>
      </c>
      <c r="AW249" s="6" t="b">
        <v>0</v>
      </c>
      <c r="AX249" s="6" t="b">
        <v>0</v>
      </c>
      <c r="AY249" s="6" t="b">
        <v>0</v>
      </c>
      <c r="AZ249" s="6" t="b">
        <v>0</v>
      </c>
      <c r="BA249" s="6" t="b">
        <v>0</v>
      </c>
      <c r="BB249" s="6" t="b">
        <v>0</v>
      </c>
    </row>
    <row r="250" spans="1:54" ht="15" x14ac:dyDescent="0.25">
      <c r="A250" s="3" t="s">
        <v>556</v>
      </c>
      <c r="B250" s="3" t="str">
        <f ca="1">IFERROR(__xludf.DUMMYFUNCTION("SPLIT(A250,""/"")"),"donnemartin")</f>
        <v>donnemartin</v>
      </c>
      <c r="C250" s="3" t="str">
        <f ca="1">IFERROR(__xludf.DUMMYFUNCTION("""COMPUTED_VALUE"""),"gitsome")</f>
        <v>gitsome</v>
      </c>
      <c r="D250" s="4" t="s">
        <v>557</v>
      </c>
      <c r="E250" s="5">
        <v>42483.130798611113</v>
      </c>
      <c r="F250" s="5">
        <v>44294.678807870368</v>
      </c>
      <c r="G250" s="13">
        <f t="shared" si="18"/>
        <v>1811.5480092592552</v>
      </c>
      <c r="H250" s="6" t="b">
        <v>0</v>
      </c>
      <c r="I250" s="6" t="b">
        <v>0</v>
      </c>
      <c r="J250" s="8">
        <v>7024</v>
      </c>
      <c r="K250" s="8">
        <v>126</v>
      </c>
      <c r="L250" s="8">
        <v>367</v>
      </c>
      <c r="M250" s="8">
        <v>5</v>
      </c>
      <c r="N250" s="8">
        <v>3</v>
      </c>
      <c r="O250" s="8">
        <v>28</v>
      </c>
      <c r="P250" s="8">
        <v>88</v>
      </c>
      <c r="Q250" s="8">
        <v>11</v>
      </c>
      <c r="R250" s="8">
        <v>99</v>
      </c>
      <c r="S250" s="8">
        <v>39</v>
      </c>
      <c r="T250" s="3" t="s">
        <v>92</v>
      </c>
      <c r="U250" s="10">
        <v>39313</v>
      </c>
      <c r="V250" s="32">
        <v>183</v>
      </c>
      <c r="W250" s="27">
        <v>4.6549487446900517E-3</v>
      </c>
      <c r="X250" s="34">
        <v>13</v>
      </c>
      <c r="Y250" s="27">
        <v>7.1038251366120214E-2</v>
      </c>
      <c r="Z250" s="27">
        <v>3.3067941902169767E-4</v>
      </c>
      <c r="AA250" s="35">
        <v>50</v>
      </c>
      <c r="AB250" s="27">
        <v>0.27322404371584702</v>
      </c>
      <c r="AC250" s="27">
        <f t="shared" si="19"/>
        <v>1.2718439193142217E-3</v>
      </c>
      <c r="AD250" s="36">
        <v>64</v>
      </c>
      <c r="AE250" s="27">
        <v>0.34972677595628415</v>
      </c>
      <c r="AF250" s="27">
        <f t="shared" si="20"/>
        <v>1.6279602167222039E-3</v>
      </c>
      <c r="AG250" s="37">
        <v>63</v>
      </c>
      <c r="AH250" s="27">
        <v>0.34426229508196721</v>
      </c>
      <c r="AI250" s="27">
        <f t="shared" si="21"/>
        <v>1.6025233383359194E-3</v>
      </c>
      <c r="AJ250" s="38">
        <v>0</v>
      </c>
      <c r="AK250" s="27">
        <v>0</v>
      </c>
      <c r="AL250" s="27">
        <f t="shared" si="22"/>
        <v>0</v>
      </c>
      <c r="AM250" s="40">
        <v>0</v>
      </c>
      <c r="AN250" s="27">
        <v>0</v>
      </c>
      <c r="AO250" s="27">
        <f t="shared" si="23"/>
        <v>0</v>
      </c>
      <c r="AP250" s="7" t="b">
        <v>1</v>
      </c>
      <c r="AQ250" s="6" t="b">
        <v>0</v>
      </c>
      <c r="AR250" s="6" t="b">
        <v>0</v>
      </c>
      <c r="AS250" s="6" t="b">
        <v>0</v>
      </c>
      <c r="AT250" s="7" t="b">
        <v>1</v>
      </c>
      <c r="AU250" s="6" t="b">
        <v>0</v>
      </c>
      <c r="AV250" s="6" t="b">
        <v>0</v>
      </c>
      <c r="AW250" s="6" t="b">
        <v>0</v>
      </c>
      <c r="AX250" s="6" t="b">
        <v>0</v>
      </c>
      <c r="AY250" s="6" t="b">
        <v>0</v>
      </c>
      <c r="AZ250" s="6" t="b">
        <v>0</v>
      </c>
      <c r="BA250" s="6" t="b">
        <v>0</v>
      </c>
      <c r="BB250" s="6" t="b">
        <v>0</v>
      </c>
    </row>
    <row r="251" spans="1:54" ht="15" x14ac:dyDescent="0.25">
      <c r="A251" s="3" t="s">
        <v>558</v>
      </c>
      <c r="B251" s="3" t="str">
        <f ca="1">IFERROR(__xludf.DUMMYFUNCTION("SPLIT(A251,""/"")"),"donnemartin")</f>
        <v>donnemartin</v>
      </c>
      <c r="C251" s="3" t="str">
        <f ca="1">IFERROR(__xludf.DUMMYFUNCTION("""COMPUTED_VALUE"""),"saws")</f>
        <v>saws</v>
      </c>
      <c r="D251" s="4" t="s">
        <v>559</v>
      </c>
      <c r="E251" s="5">
        <v>42240.431423611109</v>
      </c>
      <c r="F251" s="5">
        <v>44294.484074074076</v>
      </c>
      <c r="G251" s="13">
        <f t="shared" si="18"/>
        <v>2054.052650462967</v>
      </c>
      <c r="H251" s="6" t="b">
        <v>0</v>
      </c>
      <c r="I251" s="6" t="b">
        <v>0</v>
      </c>
      <c r="J251" s="8">
        <v>4724</v>
      </c>
      <c r="K251" s="8">
        <v>110</v>
      </c>
      <c r="L251" s="8">
        <v>251</v>
      </c>
      <c r="M251" s="8">
        <v>8</v>
      </c>
      <c r="N251" s="8">
        <v>12</v>
      </c>
      <c r="O251" s="8">
        <v>8</v>
      </c>
      <c r="P251" s="8">
        <v>31</v>
      </c>
      <c r="Q251" s="8">
        <v>6</v>
      </c>
      <c r="R251" s="8">
        <v>91</v>
      </c>
      <c r="S251" s="8">
        <v>30</v>
      </c>
      <c r="T251" s="3" t="s">
        <v>92</v>
      </c>
      <c r="U251" s="10">
        <v>1481</v>
      </c>
      <c r="V251" s="32">
        <v>4</v>
      </c>
      <c r="W251" s="27">
        <v>2.7008777852802163E-3</v>
      </c>
      <c r="X251" s="34">
        <v>3</v>
      </c>
      <c r="Y251" s="27">
        <v>0.75</v>
      </c>
      <c r="Z251" s="27">
        <v>2.0256583389601621E-3</v>
      </c>
      <c r="AA251" s="35">
        <v>0</v>
      </c>
      <c r="AB251" s="27">
        <v>0</v>
      </c>
      <c r="AC251" s="27">
        <f t="shared" si="19"/>
        <v>0</v>
      </c>
      <c r="AD251" s="36">
        <v>0</v>
      </c>
      <c r="AE251" s="27">
        <v>0</v>
      </c>
      <c r="AF251" s="27">
        <f t="shared" si="20"/>
        <v>0</v>
      </c>
      <c r="AG251" s="37">
        <v>1</v>
      </c>
      <c r="AH251" s="27">
        <v>0.25</v>
      </c>
      <c r="AI251" s="27">
        <f t="shared" si="21"/>
        <v>6.7521944632005406E-4</v>
      </c>
      <c r="AJ251" s="38">
        <v>0</v>
      </c>
      <c r="AK251" s="27">
        <v>0</v>
      </c>
      <c r="AL251" s="27">
        <f t="shared" si="22"/>
        <v>0</v>
      </c>
      <c r="AM251" s="40">
        <v>0</v>
      </c>
      <c r="AN251" s="27">
        <v>0</v>
      </c>
      <c r="AO251" s="27">
        <f t="shared" si="23"/>
        <v>0</v>
      </c>
      <c r="AP251" s="7" t="b">
        <v>1</v>
      </c>
      <c r="AQ251" s="6" t="b">
        <v>0</v>
      </c>
      <c r="AR251" s="6" t="b">
        <v>0</v>
      </c>
      <c r="AS251" s="6" t="b">
        <v>0</v>
      </c>
      <c r="AT251" s="7" t="b">
        <v>1</v>
      </c>
      <c r="AU251" s="6" t="b">
        <v>0</v>
      </c>
      <c r="AV251" s="6" t="b">
        <v>0</v>
      </c>
      <c r="AW251" s="6" t="b">
        <v>0</v>
      </c>
      <c r="AX251" s="6" t="b">
        <v>0</v>
      </c>
      <c r="AY251" s="6" t="b">
        <v>0</v>
      </c>
      <c r="AZ251" s="6" t="b">
        <v>0</v>
      </c>
      <c r="BA251" s="6" t="b">
        <v>0</v>
      </c>
      <c r="BB251" s="6" t="b">
        <v>0</v>
      </c>
    </row>
    <row r="252" spans="1:54" ht="15" x14ac:dyDescent="0.25">
      <c r="A252" s="3" t="s">
        <v>560</v>
      </c>
      <c r="B252" s="3" t="str">
        <f ca="1">IFERROR(__xludf.DUMMYFUNCTION("SPLIT(A252,""/"")"),"douban")</f>
        <v>douban</v>
      </c>
      <c r="C252" s="3" t="str">
        <f ca="1">IFERROR(__xludf.DUMMYFUNCTION("""COMPUTED_VALUE"""),"dpark")</f>
        <v>dpark</v>
      </c>
      <c r="D252" s="4" t="s">
        <v>561</v>
      </c>
      <c r="E252" s="5">
        <v>41010.357708333337</v>
      </c>
      <c r="F252" s="5">
        <v>44293.53565972222</v>
      </c>
      <c r="G252" s="13">
        <f t="shared" si="18"/>
        <v>3283.1779513888832</v>
      </c>
      <c r="H252" s="6" t="b">
        <v>0</v>
      </c>
      <c r="I252" s="7" t="b">
        <v>1</v>
      </c>
      <c r="J252" s="8">
        <v>2657</v>
      </c>
      <c r="K252" s="8">
        <v>273</v>
      </c>
      <c r="L252" s="8">
        <v>541</v>
      </c>
      <c r="M252" s="8">
        <v>4</v>
      </c>
      <c r="N252" s="8">
        <v>6</v>
      </c>
      <c r="O252" s="8">
        <v>22</v>
      </c>
      <c r="P252" s="8">
        <v>30</v>
      </c>
      <c r="Q252" s="8">
        <v>0</v>
      </c>
      <c r="R252" s="8">
        <v>60</v>
      </c>
      <c r="S252" s="8">
        <v>0</v>
      </c>
      <c r="T252" s="3" t="s">
        <v>57</v>
      </c>
      <c r="U252" s="10">
        <v>16051</v>
      </c>
      <c r="V252" s="32">
        <v>265</v>
      </c>
      <c r="W252" s="27">
        <v>1.6509874774157374E-2</v>
      </c>
      <c r="X252" s="34">
        <v>93</v>
      </c>
      <c r="Y252" s="27">
        <v>0.35094339622641507</v>
      </c>
      <c r="Z252" s="27">
        <v>5.7940315245156061E-3</v>
      </c>
      <c r="AA252" s="35">
        <v>43</v>
      </c>
      <c r="AB252" s="27">
        <v>0.16226415094339622</v>
      </c>
      <c r="AC252" s="27">
        <f t="shared" si="19"/>
        <v>2.6789608124104416E-3</v>
      </c>
      <c r="AD252" s="36">
        <v>80</v>
      </c>
      <c r="AE252" s="27">
        <v>0.30188679245283018</v>
      </c>
      <c r="AF252" s="27">
        <f t="shared" si="20"/>
        <v>4.9841131393682635E-3</v>
      </c>
      <c r="AG252" s="37">
        <v>48</v>
      </c>
      <c r="AH252" s="27">
        <v>0.1811320754716981</v>
      </c>
      <c r="AI252" s="27">
        <f t="shared" si="21"/>
        <v>2.9904678836209582E-3</v>
      </c>
      <c r="AJ252" s="38">
        <v>1</v>
      </c>
      <c r="AK252" s="27">
        <v>3.7735849056603774E-3</v>
      </c>
      <c r="AL252" s="27">
        <f t="shared" si="22"/>
        <v>6.2301414242103292E-5</v>
      </c>
      <c r="AM252" s="40">
        <v>0</v>
      </c>
      <c r="AN252" s="27">
        <v>0</v>
      </c>
      <c r="AO252" s="27">
        <f t="shared" si="23"/>
        <v>0</v>
      </c>
      <c r="AP252" s="7" t="b">
        <v>1</v>
      </c>
      <c r="AQ252" s="6" t="b">
        <v>0</v>
      </c>
      <c r="AR252" s="6" t="b">
        <v>0</v>
      </c>
      <c r="AS252" s="6" t="b">
        <v>0</v>
      </c>
      <c r="AT252" s="7" t="b">
        <v>1</v>
      </c>
      <c r="AU252" s="6" t="b">
        <v>0</v>
      </c>
      <c r="AV252" s="6" t="b">
        <v>0</v>
      </c>
      <c r="AW252" s="6" t="b">
        <v>0</v>
      </c>
      <c r="AX252" s="6" t="b">
        <v>0</v>
      </c>
      <c r="AY252" s="6" t="b">
        <v>0</v>
      </c>
      <c r="AZ252" s="6" t="b">
        <v>0</v>
      </c>
      <c r="BA252" s="6" t="b">
        <v>0</v>
      </c>
      <c r="BB252" s="6" t="b">
        <v>0</v>
      </c>
    </row>
    <row r="253" spans="1:54" ht="15" x14ac:dyDescent="0.25">
      <c r="A253" s="3" t="s">
        <v>562</v>
      </c>
      <c r="B253" s="3" t="str">
        <f ca="1">IFERROR(__xludf.DUMMYFUNCTION("SPLIT(A253,""/"")"),"dowjones")</f>
        <v>dowjones</v>
      </c>
      <c r="C253" s="3" t="str">
        <f ca="1">IFERROR(__xludf.DUMMYFUNCTION("""COMPUTED_VALUE"""),"hammer")</f>
        <v>hammer</v>
      </c>
      <c r="D253" s="4" t="s">
        <v>563</v>
      </c>
      <c r="E253" s="5">
        <v>43300.633379629631</v>
      </c>
      <c r="F253" s="5">
        <v>44293.830960648149</v>
      </c>
      <c r="G253" s="13">
        <f t="shared" si="18"/>
        <v>993.19758101851767</v>
      </c>
      <c r="H253" s="6" t="b">
        <v>0</v>
      </c>
      <c r="I253" s="7" t="b">
        <v>1</v>
      </c>
      <c r="J253" s="8">
        <v>332</v>
      </c>
      <c r="K253" s="8">
        <v>27</v>
      </c>
      <c r="L253" s="8">
        <v>47</v>
      </c>
      <c r="M253" s="8">
        <v>0</v>
      </c>
      <c r="N253" s="8">
        <v>1</v>
      </c>
      <c r="O253" s="8">
        <v>6</v>
      </c>
      <c r="P253" s="8">
        <v>119</v>
      </c>
      <c r="Q253" s="8">
        <v>24</v>
      </c>
      <c r="R253" s="8">
        <v>11</v>
      </c>
      <c r="S253" s="8">
        <v>5</v>
      </c>
      <c r="T253" s="3" t="s">
        <v>92</v>
      </c>
      <c r="U253" s="10">
        <v>7747</v>
      </c>
      <c r="V253" s="32">
        <v>592</v>
      </c>
      <c r="W253" s="27">
        <v>7.6416677423518778E-2</v>
      </c>
      <c r="X253" s="34">
        <v>359</v>
      </c>
      <c r="Y253" s="27">
        <v>0.60641891891891897</v>
      </c>
      <c r="Z253" s="27">
        <v>4.6340518910546018E-2</v>
      </c>
      <c r="AA253" s="35">
        <v>2</v>
      </c>
      <c r="AB253" s="27">
        <v>3.3783783783783786E-3</v>
      </c>
      <c r="AC253" s="27">
        <f t="shared" si="19"/>
        <v>2.5816445075513099E-4</v>
      </c>
      <c r="AD253" s="36">
        <v>4</v>
      </c>
      <c r="AE253" s="27">
        <v>6.7567567567567571E-3</v>
      </c>
      <c r="AF253" s="27">
        <f t="shared" si="20"/>
        <v>5.1632890151026198E-4</v>
      </c>
      <c r="AG253" s="37">
        <v>227</v>
      </c>
      <c r="AH253" s="27">
        <v>0.38344594594594594</v>
      </c>
      <c r="AI253" s="27">
        <f t="shared" si="21"/>
        <v>2.9301665160707372E-2</v>
      </c>
      <c r="AJ253" s="38">
        <v>0</v>
      </c>
      <c r="AK253" s="27">
        <v>0</v>
      </c>
      <c r="AL253" s="27">
        <f t="shared" si="22"/>
        <v>0</v>
      </c>
      <c r="AM253" s="40">
        <v>0</v>
      </c>
      <c r="AN253" s="27">
        <v>0</v>
      </c>
      <c r="AO253" s="27">
        <f t="shared" si="23"/>
        <v>0</v>
      </c>
      <c r="AP253" s="7" t="b">
        <v>1</v>
      </c>
      <c r="AQ253" s="7" t="b">
        <v>1</v>
      </c>
      <c r="AR253" s="6" t="b">
        <v>0</v>
      </c>
      <c r="AS253" s="6" t="b">
        <v>0</v>
      </c>
      <c r="AT253" s="7" t="b">
        <v>1</v>
      </c>
      <c r="AU253" s="6" t="b">
        <v>0</v>
      </c>
      <c r="AV253" s="6" t="b">
        <v>0</v>
      </c>
      <c r="AW253" s="6" t="b">
        <v>0</v>
      </c>
      <c r="AX253" s="6" t="b">
        <v>0</v>
      </c>
      <c r="AY253" s="6" t="b">
        <v>0</v>
      </c>
      <c r="AZ253" s="6" t="b">
        <v>0</v>
      </c>
      <c r="BA253" s="6" t="b">
        <v>0</v>
      </c>
      <c r="BB253" s="6" t="b">
        <v>0</v>
      </c>
    </row>
    <row r="254" spans="1:54" ht="15" x14ac:dyDescent="0.25">
      <c r="A254" s="3" t="s">
        <v>564</v>
      </c>
      <c r="B254" s="3" t="str">
        <f ca="1">IFERROR(__xludf.DUMMYFUNCTION("SPLIT(A254,""/"")"),"dpgaspar")</f>
        <v>dpgaspar</v>
      </c>
      <c r="C254" s="3" t="str">
        <f ca="1">IFERROR(__xludf.DUMMYFUNCTION("""COMPUTED_VALUE"""),"Flask-AppBuilder")</f>
        <v>Flask-AppBuilder</v>
      </c>
      <c r="D254" s="4" t="s">
        <v>565</v>
      </c>
      <c r="E254" s="5">
        <v>41587.884363425925</v>
      </c>
      <c r="F254" s="5">
        <v>44294.738981481481</v>
      </c>
      <c r="G254" s="13">
        <f t="shared" si="18"/>
        <v>2706.8546180555568</v>
      </c>
      <c r="H254" s="6" t="b">
        <v>0</v>
      </c>
      <c r="I254" s="6" t="b">
        <v>0</v>
      </c>
      <c r="J254" s="8">
        <v>3260</v>
      </c>
      <c r="K254" s="8">
        <v>164</v>
      </c>
      <c r="L254" s="8">
        <v>980</v>
      </c>
      <c r="M254" s="8">
        <v>4</v>
      </c>
      <c r="N254" s="8">
        <v>18</v>
      </c>
      <c r="O254" s="8">
        <v>121</v>
      </c>
      <c r="P254" s="8">
        <v>594</v>
      </c>
      <c r="Q254" s="8">
        <v>26</v>
      </c>
      <c r="R254" s="8">
        <v>1013</v>
      </c>
      <c r="S254" s="8">
        <v>80</v>
      </c>
      <c r="T254" s="3" t="s">
        <v>57</v>
      </c>
      <c r="U254" s="10">
        <v>18763</v>
      </c>
      <c r="V254" s="32">
        <v>255</v>
      </c>
      <c r="W254" s="27">
        <v>1.3590577199808133E-2</v>
      </c>
      <c r="X254" s="34">
        <v>36</v>
      </c>
      <c r="Y254" s="27">
        <v>0.14117647058823529</v>
      </c>
      <c r="Z254" s="27">
        <v>1.9186697223258541E-3</v>
      </c>
      <c r="AA254" s="35">
        <v>59</v>
      </c>
      <c r="AB254" s="27">
        <v>0.23137254901960785</v>
      </c>
      <c r="AC254" s="27">
        <f t="shared" si="19"/>
        <v>3.1444864893673719E-3</v>
      </c>
      <c r="AD254" s="36">
        <v>35</v>
      </c>
      <c r="AE254" s="27">
        <v>0.13725490196078433</v>
      </c>
      <c r="AF254" s="27">
        <f t="shared" si="20"/>
        <v>1.8653733411501359E-3</v>
      </c>
      <c r="AG254" s="37">
        <v>119</v>
      </c>
      <c r="AH254" s="27">
        <v>0.46666666666666667</v>
      </c>
      <c r="AI254" s="27">
        <f t="shared" si="21"/>
        <v>6.3422693599104619E-3</v>
      </c>
      <c r="AJ254" s="38">
        <v>0</v>
      </c>
      <c r="AK254" s="27">
        <v>0</v>
      </c>
      <c r="AL254" s="27">
        <f t="shared" si="22"/>
        <v>0</v>
      </c>
      <c r="AM254" s="40">
        <v>0</v>
      </c>
      <c r="AN254" s="27">
        <v>0</v>
      </c>
      <c r="AO254" s="27">
        <f t="shared" si="23"/>
        <v>0</v>
      </c>
      <c r="AP254" s="6" t="b">
        <v>0</v>
      </c>
      <c r="AQ254" s="7" t="b">
        <v>1</v>
      </c>
      <c r="AR254" s="6" t="b">
        <v>0</v>
      </c>
      <c r="AS254" s="6" t="b">
        <v>0</v>
      </c>
      <c r="AT254" s="7" t="b">
        <v>1</v>
      </c>
      <c r="AU254" s="6" t="b">
        <v>0</v>
      </c>
      <c r="AV254" s="6" t="b">
        <v>0</v>
      </c>
      <c r="AW254" s="6" t="b">
        <v>0</v>
      </c>
      <c r="AX254" s="6" t="b">
        <v>0</v>
      </c>
      <c r="AY254" s="6" t="b">
        <v>0</v>
      </c>
      <c r="AZ254" s="6" t="b">
        <v>0</v>
      </c>
      <c r="BA254" s="6" t="b">
        <v>0</v>
      </c>
      <c r="BB254" s="6" t="b">
        <v>0</v>
      </c>
    </row>
    <row r="255" spans="1:54" ht="15" x14ac:dyDescent="0.25">
      <c r="A255" s="3" t="s">
        <v>566</v>
      </c>
      <c r="B255" s="3" t="str">
        <f ca="1">IFERROR(__xludf.DUMMYFUNCTION("SPLIT(A255,""/"")"),"dragonchain")</f>
        <v>dragonchain</v>
      </c>
      <c r="C255" s="3" t="str">
        <f ca="1">IFERROR(__xludf.DUMMYFUNCTION("""COMPUTED_VALUE"""),"dragonchain")</f>
        <v>dragonchain</v>
      </c>
      <c r="D255" s="4" t="s">
        <v>567</v>
      </c>
      <c r="E255" s="5">
        <v>42604.255949074075</v>
      </c>
      <c r="F255" s="5">
        <v>44293.665300925924</v>
      </c>
      <c r="G255" s="13">
        <f t="shared" si="18"/>
        <v>1689.4093518518494</v>
      </c>
      <c r="H255" s="6" t="b">
        <v>0</v>
      </c>
      <c r="I255" s="7" t="b">
        <v>1</v>
      </c>
      <c r="J255" s="8">
        <v>683</v>
      </c>
      <c r="K255" s="8">
        <v>104</v>
      </c>
      <c r="L255" s="8">
        <v>157</v>
      </c>
      <c r="M255" s="8">
        <v>12</v>
      </c>
      <c r="N255" s="8">
        <v>2</v>
      </c>
      <c r="O255" s="8">
        <v>17</v>
      </c>
      <c r="P255" s="8">
        <v>202</v>
      </c>
      <c r="Q255" s="8">
        <v>1</v>
      </c>
      <c r="R255" s="8">
        <v>122</v>
      </c>
      <c r="S255" s="8">
        <v>5</v>
      </c>
      <c r="T255" s="3" t="s">
        <v>92</v>
      </c>
      <c r="U255" s="10">
        <v>13803</v>
      </c>
      <c r="V255" s="32">
        <v>427</v>
      </c>
      <c r="W255" s="27">
        <v>3.0935303919437804E-2</v>
      </c>
      <c r="X255" s="34">
        <v>38</v>
      </c>
      <c r="Y255" s="27">
        <v>8.899297423887588E-2</v>
      </c>
      <c r="Z255" s="27">
        <v>2.7530247047743246E-3</v>
      </c>
      <c r="AA255" s="35">
        <v>277</v>
      </c>
      <c r="AB255" s="27">
        <v>0.64871194379391106</v>
      </c>
      <c r="AC255" s="27">
        <f t="shared" si="19"/>
        <v>2.0068101137433892E-2</v>
      </c>
      <c r="AD255" s="36">
        <v>38</v>
      </c>
      <c r="AE255" s="27">
        <v>8.899297423887588E-2</v>
      </c>
      <c r="AF255" s="27">
        <f t="shared" si="20"/>
        <v>2.7530247047743246E-3</v>
      </c>
      <c r="AG255" s="37">
        <v>74</v>
      </c>
      <c r="AH255" s="27">
        <v>0.17330210772833723</v>
      </c>
      <c r="AI255" s="27">
        <f t="shared" si="21"/>
        <v>5.3611533724552633E-3</v>
      </c>
      <c r="AJ255" s="38">
        <v>0</v>
      </c>
      <c r="AK255" s="27">
        <v>0</v>
      </c>
      <c r="AL255" s="27">
        <f t="shared" si="22"/>
        <v>0</v>
      </c>
      <c r="AM255" s="40">
        <v>0</v>
      </c>
      <c r="AN255" s="27">
        <v>0</v>
      </c>
      <c r="AO255" s="27">
        <f t="shared" si="23"/>
        <v>0</v>
      </c>
      <c r="AP255" s="7" t="b">
        <v>1</v>
      </c>
      <c r="AQ255" s="6" t="b">
        <v>0</v>
      </c>
      <c r="AR255" s="6" t="b">
        <v>0</v>
      </c>
      <c r="AS255" s="6" t="b">
        <v>0</v>
      </c>
      <c r="AT255" s="7" t="b">
        <v>1</v>
      </c>
      <c r="AU255" s="6" t="b">
        <v>0</v>
      </c>
      <c r="AV255" s="6" t="b">
        <v>0</v>
      </c>
      <c r="AW255" s="6" t="b">
        <v>0</v>
      </c>
      <c r="AX255" s="6" t="b">
        <v>0</v>
      </c>
      <c r="AY255" s="6" t="b">
        <v>0</v>
      </c>
      <c r="AZ255" s="6" t="b">
        <v>0</v>
      </c>
      <c r="BA255" s="6" t="b">
        <v>0</v>
      </c>
      <c r="BB255" s="6" t="b">
        <v>0</v>
      </c>
    </row>
    <row r="256" spans="1:54" ht="15" x14ac:dyDescent="0.25">
      <c r="A256" s="3" t="s">
        <v>568</v>
      </c>
      <c r="B256" s="3" t="str">
        <f ca="1">IFERROR(__xludf.DUMMYFUNCTION("SPLIT(A256,""/"")"),"DragonComputer")</f>
        <v>DragonComputer</v>
      </c>
      <c r="C256" s="3" t="str">
        <f ca="1">IFERROR(__xludf.DUMMYFUNCTION("""COMPUTED_VALUE"""),"Dragonfire")</f>
        <v>Dragonfire</v>
      </c>
      <c r="D256" s="4" t="s">
        <v>569</v>
      </c>
      <c r="E256" s="5">
        <v>42479.977858796294</v>
      </c>
      <c r="F256" s="5">
        <v>44293.641273148147</v>
      </c>
      <c r="G256" s="13">
        <f t="shared" si="18"/>
        <v>1813.6634143518531</v>
      </c>
      <c r="H256" s="6" t="b">
        <v>0</v>
      </c>
      <c r="I256" s="7" t="b">
        <v>1</v>
      </c>
      <c r="J256" s="8">
        <v>1128</v>
      </c>
      <c r="K256" s="8">
        <v>85</v>
      </c>
      <c r="L256" s="8">
        <v>171</v>
      </c>
      <c r="M256" s="8">
        <v>12</v>
      </c>
      <c r="N256" s="8">
        <v>0</v>
      </c>
      <c r="O256" s="8">
        <v>16</v>
      </c>
      <c r="P256" s="8">
        <v>62</v>
      </c>
      <c r="Q256" s="8">
        <v>3</v>
      </c>
      <c r="R256" s="8">
        <v>91</v>
      </c>
      <c r="S256" s="8">
        <v>33</v>
      </c>
      <c r="T256" s="3" t="s">
        <v>72</v>
      </c>
      <c r="U256" s="10">
        <v>3963</v>
      </c>
      <c r="V256" s="32">
        <v>21</v>
      </c>
      <c r="W256" s="27">
        <v>5.2990158970476911E-3</v>
      </c>
      <c r="X256" s="34">
        <v>2</v>
      </c>
      <c r="Y256" s="27">
        <v>9.5238095238095233E-2</v>
      </c>
      <c r="Z256" s="27">
        <v>5.0466818067120868E-4</v>
      </c>
      <c r="AA256" s="35">
        <v>18</v>
      </c>
      <c r="AB256" s="27">
        <v>0.8571428571428571</v>
      </c>
      <c r="AC256" s="27">
        <f t="shared" si="19"/>
        <v>4.5420136260408781E-3</v>
      </c>
      <c r="AD256" s="36">
        <v>0</v>
      </c>
      <c r="AE256" s="27">
        <v>0</v>
      </c>
      <c r="AF256" s="27">
        <f t="shared" si="20"/>
        <v>0</v>
      </c>
      <c r="AG256" s="37">
        <v>1</v>
      </c>
      <c r="AH256" s="27">
        <v>4.7619047619047616E-2</v>
      </c>
      <c r="AI256" s="27">
        <f t="shared" si="21"/>
        <v>2.5233409033560434E-4</v>
      </c>
      <c r="AJ256" s="38">
        <v>0</v>
      </c>
      <c r="AK256" s="27">
        <v>0</v>
      </c>
      <c r="AL256" s="27">
        <f t="shared" si="22"/>
        <v>0</v>
      </c>
      <c r="AM256" s="40">
        <v>0</v>
      </c>
      <c r="AN256" s="27">
        <v>0</v>
      </c>
      <c r="AO256" s="27">
        <f t="shared" si="23"/>
        <v>0</v>
      </c>
      <c r="AP256" s="7" t="b">
        <v>1</v>
      </c>
      <c r="AQ256" s="6" t="b">
        <v>0</v>
      </c>
      <c r="AR256" s="6" t="b">
        <v>0</v>
      </c>
      <c r="AS256" s="6" t="b">
        <v>0</v>
      </c>
      <c r="AT256" s="7" t="b">
        <v>1</v>
      </c>
      <c r="AU256" s="6" t="b">
        <v>0</v>
      </c>
      <c r="AV256" s="6" t="b">
        <v>0</v>
      </c>
      <c r="AW256" s="6" t="b">
        <v>0</v>
      </c>
      <c r="AX256" s="6" t="b">
        <v>0</v>
      </c>
      <c r="AY256" s="6" t="b">
        <v>0</v>
      </c>
      <c r="AZ256" s="6" t="b">
        <v>0</v>
      </c>
      <c r="BA256" s="6" t="b">
        <v>0</v>
      </c>
      <c r="BB256" s="6" t="b">
        <v>0</v>
      </c>
    </row>
    <row r="257" spans="1:54" ht="15" x14ac:dyDescent="0.25">
      <c r="A257" s="3" t="s">
        <v>570</v>
      </c>
      <c r="B257" s="3" t="str">
        <f ca="1">IFERROR(__xludf.DUMMYFUNCTION("SPLIT(A257,""/"")"),"Drakkar-Software")</f>
        <v>Drakkar-Software</v>
      </c>
      <c r="C257" s="3" t="str">
        <f ca="1">IFERROR(__xludf.DUMMYFUNCTION("""COMPUTED_VALUE"""),"OctoBot")</f>
        <v>OctoBot</v>
      </c>
      <c r="D257" s="4" t="s">
        <v>571</v>
      </c>
      <c r="E257" s="5">
        <v>43154.967418981483</v>
      </c>
      <c r="F257" s="5">
        <v>44295.136261574073</v>
      </c>
      <c r="G257" s="13">
        <f t="shared" si="18"/>
        <v>1140.1688425925895</v>
      </c>
      <c r="H257" s="6" t="b">
        <v>0</v>
      </c>
      <c r="I257" s="7" t="b">
        <v>1</v>
      </c>
      <c r="J257" s="8">
        <v>759</v>
      </c>
      <c r="K257" s="8">
        <v>81</v>
      </c>
      <c r="L257" s="8">
        <v>196</v>
      </c>
      <c r="M257" s="8">
        <v>46</v>
      </c>
      <c r="N257" s="8">
        <v>3</v>
      </c>
      <c r="O257" s="8">
        <v>12</v>
      </c>
      <c r="P257" s="8">
        <v>1006</v>
      </c>
      <c r="Q257" s="8">
        <v>1</v>
      </c>
      <c r="R257" s="8">
        <v>630</v>
      </c>
      <c r="S257" s="8">
        <v>38</v>
      </c>
      <c r="T257" s="3" t="s">
        <v>160</v>
      </c>
      <c r="U257" s="10">
        <v>3299</v>
      </c>
      <c r="V257" s="32">
        <v>106</v>
      </c>
      <c r="W257" s="27">
        <v>3.2130948772355263E-2</v>
      </c>
      <c r="X257" s="34">
        <v>23</v>
      </c>
      <c r="Y257" s="27">
        <v>0.21698113207547171</v>
      </c>
      <c r="Z257" s="27">
        <v>6.971809639284632E-3</v>
      </c>
      <c r="AA257" s="35">
        <v>51</v>
      </c>
      <c r="AB257" s="27">
        <v>0.48113207547169812</v>
      </c>
      <c r="AC257" s="27">
        <f t="shared" si="19"/>
        <v>1.5459230069718097E-2</v>
      </c>
      <c r="AD257" s="36">
        <v>2</v>
      </c>
      <c r="AE257" s="27">
        <v>1.8867924528301886E-2</v>
      </c>
      <c r="AF257" s="27">
        <f t="shared" si="20"/>
        <v>6.062443164595332E-4</v>
      </c>
      <c r="AG257" s="37">
        <v>27</v>
      </c>
      <c r="AH257" s="27">
        <v>0.25471698113207547</v>
      </c>
      <c r="AI257" s="27">
        <f t="shared" si="21"/>
        <v>8.1842982722036984E-3</v>
      </c>
      <c r="AJ257" s="38">
        <v>0</v>
      </c>
      <c r="AK257" s="27">
        <v>0</v>
      </c>
      <c r="AL257" s="27">
        <f t="shared" si="22"/>
        <v>0</v>
      </c>
      <c r="AM257" s="40">
        <v>0</v>
      </c>
      <c r="AN257" s="27">
        <v>0</v>
      </c>
      <c r="AO257" s="27">
        <f t="shared" si="23"/>
        <v>0</v>
      </c>
      <c r="AP257" s="7" t="b">
        <v>1</v>
      </c>
      <c r="AQ257" s="7" t="b">
        <v>1</v>
      </c>
      <c r="AR257" s="6" t="b">
        <v>0</v>
      </c>
      <c r="AS257" s="6" t="b">
        <v>0</v>
      </c>
      <c r="AT257" s="7" t="b">
        <v>1</v>
      </c>
      <c r="AU257" s="6" t="b">
        <v>0</v>
      </c>
      <c r="AV257" s="6" t="b">
        <v>0</v>
      </c>
      <c r="AW257" s="6" t="b">
        <v>0</v>
      </c>
      <c r="AX257" s="6" t="b">
        <v>0</v>
      </c>
      <c r="AY257" s="6" t="b">
        <v>0</v>
      </c>
      <c r="AZ257" s="6" t="b">
        <v>0</v>
      </c>
      <c r="BA257" s="6" t="b">
        <v>0</v>
      </c>
      <c r="BB257" s="6" t="b">
        <v>0</v>
      </c>
    </row>
    <row r="258" spans="1:54" ht="15" x14ac:dyDescent="0.25">
      <c r="A258" s="3" t="s">
        <v>572</v>
      </c>
      <c r="B258" s="3" t="str">
        <f ca="1">IFERROR(__xludf.DUMMYFUNCTION("SPLIT(A258,""/"")"),"droope")</f>
        <v>droope</v>
      </c>
      <c r="C258" s="3" t="str">
        <f ca="1">IFERROR(__xludf.DUMMYFUNCTION("""COMPUTED_VALUE"""),"droopescan")</f>
        <v>droopescan</v>
      </c>
      <c r="D258" s="4" t="s">
        <v>573</v>
      </c>
      <c r="E258" s="5">
        <v>41934.921180555553</v>
      </c>
      <c r="F258" s="5">
        <v>44294.857361111113</v>
      </c>
      <c r="G258" s="13">
        <f t="shared" si="18"/>
        <v>2359.93618055556</v>
      </c>
      <c r="H258" s="6" t="b">
        <v>0</v>
      </c>
      <c r="I258" s="6" t="b">
        <v>0</v>
      </c>
      <c r="J258" s="8">
        <v>852</v>
      </c>
      <c r="K258" s="8">
        <v>43</v>
      </c>
      <c r="L258" s="8">
        <v>194</v>
      </c>
      <c r="M258" s="8">
        <v>0</v>
      </c>
      <c r="N258" s="8">
        <v>0</v>
      </c>
      <c r="O258" s="8">
        <v>13</v>
      </c>
      <c r="P258" s="8">
        <v>23</v>
      </c>
      <c r="Q258" s="8">
        <v>1</v>
      </c>
      <c r="R258" s="8">
        <v>28</v>
      </c>
      <c r="S258" s="8">
        <v>2</v>
      </c>
      <c r="T258" s="3" t="s">
        <v>366</v>
      </c>
      <c r="U258" s="10">
        <v>4969</v>
      </c>
      <c r="V258" s="32">
        <v>33</v>
      </c>
      <c r="W258" s="27">
        <v>6.6411752867780241E-3</v>
      </c>
      <c r="X258" s="34">
        <v>10</v>
      </c>
      <c r="Y258" s="27">
        <v>0.30303030303030304</v>
      </c>
      <c r="Z258" s="27">
        <v>2.012477359629704E-3</v>
      </c>
      <c r="AA258" s="35">
        <v>0</v>
      </c>
      <c r="AB258" s="27">
        <v>0</v>
      </c>
      <c r="AC258" s="27">
        <f t="shared" si="19"/>
        <v>0</v>
      </c>
      <c r="AD258" s="36">
        <v>11</v>
      </c>
      <c r="AE258" s="27">
        <v>0.33333333333333331</v>
      </c>
      <c r="AF258" s="27">
        <f t="shared" si="20"/>
        <v>2.2137250955926746E-3</v>
      </c>
      <c r="AG258" s="37">
        <v>8</v>
      </c>
      <c r="AH258" s="27">
        <v>0.24242424242424243</v>
      </c>
      <c r="AI258" s="27">
        <f t="shared" si="21"/>
        <v>1.6099818877037633E-3</v>
      </c>
      <c r="AJ258" s="38">
        <v>4</v>
      </c>
      <c r="AK258" s="27">
        <v>0.12121212121212122</v>
      </c>
      <c r="AL258" s="27">
        <f t="shared" si="22"/>
        <v>8.0499094385188164E-4</v>
      </c>
      <c r="AM258" s="40">
        <v>0</v>
      </c>
      <c r="AN258" s="27">
        <v>0</v>
      </c>
      <c r="AO258" s="27">
        <f t="shared" si="23"/>
        <v>0</v>
      </c>
      <c r="AP258" s="7" t="b">
        <v>1</v>
      </c>
      <c r="AQ258" s="6" t="b">
        <v>0</v>
      </c>
      <c r="AR258" s="6" t="b">
        <v>0</v>
      </c>
      <c r="AS258" s="6" t="b">
        <v>0</v>
      </c>
      <c r="AT258" s="7" t="b">
        <v>1</v>
      </c>
      <c r="AU258" s="6" t="b">
        <v>0</v>
      </c>
      <c r="AV258" s="6" t="b">
        <v>0</v>
      </c>
      <c r="AW258" s="6" t="b">
        <v>0</v>
      </c>
      <c r="AX258" s="6" t="b">
        <v>0</v>
      </c>
      <c r="AY258" s="6" t="b">
        <v>0</v>
      </c>
      <c r="AZ258" s="6" t="b">
        <v>0</v>
      </c>
      <c r="BA258" s="6" t="b">
        <v>0</v>
      </c>
      <c r="BB258" s="6" t="b">
        <v>0</v>
      </c>
    </row>
    <row r="259" spans="1:54" ht="15" x14ac:dyDescent="0.25">
      <c r="A259" s="3" t="s">
        <v>574</v>
      </c>
      <c r="B259" s="3" t="str">
        <f ca="1">IFERROR(__xludf.DUMMYFUNCTION("SPLIT(A259,""/"")"),"dropbox")</f>
        <v>dropbox</v>
      </c>
      <c r="C259" s="3" t="str">
        <f ca="1">IFERROR(__xludf.DUMMYFUNCTION("""COMPUTED_VALUE"""),"changes")</f>
        <v>changes</v>
      </c>
      <c r="D259" s="4" t="s">
        <v>575</v>
      </c>
      <c r="E259" s="5">
        <v>41538.070439814815</v>
      </c>
      <c r="F259" s="5">
        <v>44240.899780092594</v>
      </c>
      <c r="G259" s="13">
        <f t="shared" ref="G259:G322" si="24">F259-E259</f>
        <v>2702.8293402777781</v>
      </c>
      <c r="H259" s="6" t="b">
        <v>0</v>
      </c>
      <c r="I259" s="7" t="b">
        <v>1</v>
      </c>
      <c r="J259" s="8">
        <v>773</v>
      </c>
      <c r="K259" s="8">
        <v>54</v>
      </c>
      <c r="L259" s="8">
        <v>52</v>
      </c>
      <c r="M259" s="8">
        <v>0</v>
      </c>
      <c r="N259" s="8">
        <v>52</v>
      </c>
      <c r="O259" s="8">
        <v>38</v>
      </c>
      <c r="P259" s="8">
        <v>26</v>
      </c>
      <c r="Q259" s="8">
        <v>0</v>
      </c>
      <c r="R259" s="8">
        <v>0</v>
      </c>
      <c r="S259" s="8">
        <v>0</v>
      </c>
      <c r="T259" s="3" t="s">
        <v>69</v>
      </c>
      <c r="U259" s="10">
        <v>32932</v>
      </c>
      <c r="V259" s="32">
        <v>170</v>
      </c>
      <c r="W259" s="27">
        <v>5.1621523138588605E-3</v>
      </c>
      <c r="X259" s="34">
        <v>2</v>
      </c>
      <c r="Y259" s="27">
        <v>1.1764705882352941E-2</v>
      </c>
      <c r="Z259" s="27">
        <v>6.0731203692457187E-5</v>
      </c>
      <c r="AA259" s="35">
        <v>36</v>
      </c>
      <c r="AB259" s="27">
        <v>0.21176470588235294</v>
      </c>
      <c r="AC259" s="27">
        <f t="shared" ref="AC259:AC322" si="25">AA259/U259</f>
        <v>1.0931616664642293E-3</v>
      </c>
      <c r="AD259" s="36">
        <v>65</v>
      </c>
      <c r="AE259" s="27">
        <v>0.38235294117647056</v>
      </c>
      <c r="AF259" s="27">
        <f t="shared" ref="AF259:AF322" si="26">AD259/U259</f>
        <v>1.9737641200048583E-3</v>
      </c>
      <c r="AG259" s="37">
        <v>64</v>
      </c>
      <c r="AH259" s="27">
        <v>0.37647058823529411</v>
      </c>
      <c r="AI259" s="27">
        <f t="shared" ref="AI259:AI322" si="27">AG259/U259</f>
        <v>1.94339851815863E-3</v>
      </c>
      <c r="AJ259" s="38">
        <v>0</v>
      </c>
      <c r="AK259" s="27">
        <v>0</v>
      </c>
      <c r="AL259" s="27">
        <f t="shared" ref="AL259:AL322" si="28">AJ259/U259</f>
        <v>0</v>
      </c>
      <c r="AM259" s="40">
        <v>2</v>
      </c>
      <c r="AN259" s="27">
        <v>1.1764705882352941E-2</v>
      </c>
      <c r="AO259" s="27">
        <f t="shared" ref="AO259:AO322" si="29">AM259/U259</f>
        <v>6.0731203692457187E-5</v>
      </c>
      <c r="AP259" s="7" t="b">
        <v>1</v>
      </c>
      <c r="AQ259" s="6" t="b">
        <v>0</v>
      </c>
      <c r="AR259" s="6" t="b">
        <v>0</v>
      </c>
      <c r="AS259" s="6" t="b">
        <v>0</v>
      </c>
      <c r="AT259" s="7" t="b">
        <v>1</v>
      </c>
      <c r="AU259" s="6" t="b">
        <v>0</v>
      </c>
      <c r="AV259" s="6" t="b">
        <v>0</v>
      </c>
      <c r="AW259" s="6" t="b">
        <v>0</v>
      </c>
      <c r="AX259" s="6" t="b">
        <v>0</v>
      </c>
      <c r="AY259" s="6" t="b">
        <v>0</v>
      </c>
      <c r="AZ259" s="6" t="b">
        <v>0</v>
      </c>
      <c r="BA259" s="6" t="b">
        <v>0</v>
      </c>
      <c r="BB259" s="6" t="b">
        <v>0</v>
      </c>
    </row>
    <row r="260" spans="1:54" ht="15" x14ac:dyDescent="0.25">
      <c r="A260" s="3" t="s">
        <v>576</v>
      </c>
      <c r="B260" s="3" t="str">
        <f ca="1">IFERROR(__xludf.DUMMYFUNCTION("SPLIT(A260,""/"")"),"dropbox")</f>
        <v>dropbox</v>
      </c>
      <c r="C260" s="3" t="str">
        <f ca="1">IFERROR(__xludf.DUMMYFUNCTION("""COMPUTED_VALUE"""),"nsot")</f>
        <v>nsot</v>
      </c>
      <c r="D260" s="4" t="s">
        <v>577</v>
      </c>
      <c r="E260" s="5">
        <v>41991.879305555558</v>
      </c>
      <c r="F260" s="5">
        <v>44287.524907407409</v>
      </c>
      <c r="G260" s="13">
        <f t="shared" si="24"/>
        <v>2295.6456018518511</v>
      </c>
      <c r="H260" s="6" t="b">
        <v>0</v>
      </c>
      <c r="I260" s="7" t="b">
        <v>1</v>
      </c>
      <c r="J260" s="8">
        <v>339</v>
      </c>
      <c r="K260" s="8">
        <v>51</v>
      </c>
      <c r="L260" s="8">
        <v>61</v>
      </c>
      <c r="M260" s="8">
        <v>0</v>
      </c>
      <c r="N260" s="8">
        <v>1</v>
      </c>
      <c r="O260" s="8">
        <v>24</v>
      </c>
      <c r="P260" s="8">
        <v>233</v>
      </c>
      <c r="Q260" s="8">
        <v>12</v>
      </c>
      <c r="R260" s="8">
        <v>150</v>
      </c>
      <c r="S260" s="8">
        <v>55</v>
      </c>
      <c r="T260" s="3" t="s">
        <v>92</v>
      </c>
      <c r="U260" s="10">
        <v>7472</v>
      </c>
      <c r="V260" s="32">
        <v>53</v>
      </c>
      <c r="W260" s="27">
        <v>7.0931477516059955E-3</v>
      </c>
      <c r="X260" s="34">
        <v>45</v>
      </c>
      <c r="Y260" s="27">
        <v>0.84905660377358494</v>
      </c>
      <c r="Z260" s="27">
        <v>6.0224839400428269E-3</v>
      </c>
      <c r="AA260" s="35">
        <v>6</v>
      </c>
      <c r="AB260" s="27">
        <v>0.11320754716981132</v>
      </c>
      <c r="AC260" s="27">
        <f t="shared" si="25"/>
        <v>8.0299785867237686E-4</v>
      </c>
      <c r="AD260" s="36">
        <v>2</v>
      </c>
      <c r="AE260" s="27">
        <v>3.7735849056603772E-2</v>
      </c>
      <c r="AF260" s="27">
        <f t="shared" si="26"/>
        <v>2.6766595289079231E-4</v>
      </c>
      <c r="AG260" s="37">
        <v>0</v>
      </c>
      <c r="AH260" s="27">
        <v>0</v>
      </c>
      <c r="AI260" s="27">
        <f t="shared" si="27"/>
        <v>0</v>
      </c>
      <c r="AJ260" s="38">
        <v>0</v>
      </c>
      <c r="AK260" s="27">
        <v>0</v>
      </c>
      <c r="AL260" s="27">
        <f t="shared" si="28"/>
        <v>0</v>
      </c>
      <c r="AM260" s="40">
        <v>0</v>
      </c>
      <c r="AN260" s="27">
        <v>0</v>
      </c>
      <c r="AO260" s="27">
        <f t="shared" si="29"/>
        <v>0</v>
      </c>
      <c r="AP260" s="7" t="b">
        <v>1</v>
      </c>
      <c r="AQ260" s="6" t="b">
        <v>0</v>
      </c>
      <c r="AR260" s="6" t="b">
        <v>0</v>
      </c>
      <c r="AS260" s="6" t="b">
        <v>0</v>
      </c>
      <c r="AT260" s="7" t="b">
        <v>1</v>
      </c>
      <c r="AU260" s="6" t="b">
        <v>0</v>
      </c>
      <c r="AV260" s="6" t="b">
        <v>0</v>
      </c>
      <c r="AW260" s="6" t="b">
        <v>0</v>
      </c>
      <c r="AX260" s="6" t="b">
        <v>0</v>
      </c>
      <c r="AY260" s="6" t="b">
        <v>0</v>
      </c>
      <c r="AZ260" s="6" t="b">
        <v>0</v>
      </c>
      <c r="BA260" s="6" t="b">
        <v>0</v>
      </c>
      <c r="BB260" s="6" t="b">
        <v>0</v>
      </c>
    </row>
    <row r="261" spans="1:54" ht="15" x14ac:dyDescent="0.25">
      <c r="A261" s="3" t="s">
        <v>578</v>
      </c>
      <c r="B261" s="3" t="str">
        <f ca="1">IFERROR(__xludf.DUMMYFUNCTION("SPLIT(A261,""/"")"),"dssg")</f>
        <v>dssg</v>
      </c>
      <c r="C261" s="3" t="str">
        <f ca="1">IFERROR(__xludf.DUMMYFUNCTION("""COMPUTED_VALUE"""),"aequitas")</f>
        <v>aequitas</v>
      </c>
      <c r="D261" s="4" t="s">
        <v>579</v>
      </c>
      <c r="E261" s="5">
        <v>43144.819791666669</v>
      </c>
      <c r="F261" s="5">
        <v>44289.210127314815</v>
      </c>
      <c r="G261" s="13">
        <f t="shared" si="24"/>
        <v>1144.390335648146</v>
      </c>
      <c r="H261" s="6" t="b">
        <v>0</v>
      </c>
      <c r="I261" s="7" t="b">
        <v>1</v>
      </c>
      <c r="J261" s="8">
        <v>370</v>
      </c>
      <c r="K261" s="8">
        <v>42</v>
      </c>
      <c r="L261" s="8">
        <v>69</v>
      </c>
      <c r="M261" s="8">
        <v>0</v>
      </c>
      <c r="N261" s="8">
        <v>1</v>
      </c>
      <c r="O261" s="8">
        <v>13</v>
      </c>
      <c r="P261" s="8">
        <v>54</v>
      </c>
      <c r="Q261" s="8">
        <v>3</v>
      </c>
      <c r="R261" s="8">
        <v>53</v>
      </c>
      <c r="S261" s="8">
        <v>32</v>
      </c>
      <c r="T261" s="3" t="s">
        <v>72</v>
      </c>
      <c r="U261" s="10">
        <v>3617</v>
      </c>
      <c r="V261" s="32">
        <v>32</v>
      </c>
      <c r="W261" s="27">
        <v>8.8471108653580318E-3</v>
      </c>
      <c r="X261" s="34">
        <v>0</v>
      </c>
      <c r="Y261" s="27">
        <v>0</v>
      </c>
      <c r="Z261" s="27">
        <v>0</v>
      </c>
      <c r="AA261" s="35">
        <v>14</v>
      </c>
      <c r="AB261" s="27">
        <v>0.4375</v>
      </c>
      <c r="AC261" s="27">
        <f t="shared" si="25"/>
        <v>3.8706110035941388E-3</v>
      </c>
      <c r="AD261" s="36">
        <v>8</v>
      </c>
      <c r="AE261" s="27">
        <v>0.25</v>
      </c>
      <c r="AF261" s="27">
        <f t="shared" si="26"/>
        <v>2.211777716339508E-3</v>
      </c>
      <c r="AG261" s="37">
        <v>10</v>
      </c>
      <c r="AH261" s="27">
        <v>0.3125</v>
      </c>
      <c r="AI261" s="27">
        <f t="shared" si="27"/>
        <v>2.764722145424385E-3</v>
      </c>
      <c r="AJ261" s="38">
        <v>0</v>
      </c>
      <c r="AK261" s="27">
        <v>0</v>
      </c>
      <c r="AL261" s="27">
        <f t="shared" si="28"/>
        <v>0</v>
      </c>
      <c r="AM261" s="40">
        <v>0</v>
      </c>
      <c r="AN261" s="27">
        <v>0</v>
      </c>
      <c r="AO261" s="27">
        <f t="shared" si="29"/>
        <v>0</v>
      </c>
      <c r="AP261" s="7" t="b">
        <v>1</v>
      </c>
      <c r="AQ261" s="6" t="b">
        <v>0</v>
      </c>
      <c r="AR261" s="6" t="b">
        <v>0</v>
      </c>
      <c r="AS261" s="6" t="b">
        <v>0</v>
      </c>
      <c r="AT261" s="7" t="b">
        <v>1</v>
      </c>
      <c r="AU261" s="6" t="b">
        <v>0</v>
      </c>
      <c r="AV261" s="6" t="b">
        <v>0</v>
      </c>
      <c r="AW261" s="6" t="b">
        <v>0</v>
      </c>
      <c r="AX261" s="6" t="b">
        <v>0</v>
      </c>
      <c r="AY261" s="6" t="b">
        <v>0</v>
      </c>
      <c r="AZ261" s="6" t="b">
        <v>0</v>
      </c>
      <c r="BA261" s="6" t="b">
        <v>0</v>
      </c>
      <c r="BB261" s="6" t="b">
        <v>0</v>
      </c>
    </row>
    <row r="262" spans="1:54" ht="15" x14ac:dyDescent="0.25">
      <c r="A262" s="3" t="s">
        <v>580</v>
      </c>
      <c r="B262" s="3" t="str">
        <f ca="1">IFERROR(__xludf.DUMMYFUNCTION("SPLIT(A262,""/"")"),"DT42")</f>
        <v>DT42</v>
      </c>
      <c r="C262" s="3" t="str">
        <f ca="1">IFERROR(__xludf.DUMMYFUNCTION("""COMPUTED_VALUE"""),"BerryNet")</f>
        <v>BerryNet</v>
      </c>
      <c r="D262" s="4" t="s">
        <v>581</v>
      </c>
      <c r="E262" s="5">
        <v>42852.701157407406</v>
      </c>
      <c r="F262" s="5">
        <v>44292.023668981485</v>
      </c>
      <c r="G262" s="13">
        <f t="shared" si="24"/>
        <v>1439.3225115740788</v>
      </c>
      <c r="H262" s="6" t="b">
        <v>0</v>
      </c>
      <c r="I262" s="7" t="b">
        <v>1</v>
      </c>
      <c r="J262" s="8">
        <v>1499</v>
      </c>
      <c r="K262" s="8">
        <v>107</v>
      </c>
      <c r="L262" s="8">
        <v>223</v>
      </c>
      <c r="M262" s="8">
        <v>9</v>
      </c>
      <c r="N262" s="8">
        <v>1</v>
      </c>
      <c r="O262" s="8">
        <v>6</v>
      </c>
      <c r="P262" s="8">
        <v>19</v>
      </c>
      <c r="Q262" s="8">
        <v>3</v>
      </c>
      <c r="R262" s="8">
        <v>46</v>
      </c>
      <c r="S262" s="8">
        <v>11</v>
      </c>
      <c r="T262" s="3" t="s">
        <v>49</v>
      </c>
      <c r="U262" s="10">
        <v>4975</v>
      </c>
      <c r="V262" s="32">
        <v>242</v>
      </c>
      <c r="W262" s="27">
        <v>4.8643216080402008E-2</v>
      </c>
      <c r="X262" s="34">
        <v>191</v>
      </c>
      <c r="Y262" s="27">
        <v>0.78925619834710747</v>
      </c>
      <c r="Z262" s="27">
        <v>3.8391959798994978E-2</v>
      </c>
      <c r="AA262" s="35">
        <v>15</v>
      </c>
      <c r="AB262" s="27">
        <v>6.1983471074380167E-2</v>
      </c>
      <c r="AC262" s="27">
        <f t="shared" si="25"/>
        <v>3.015075376884422E-3</v>
      </c>
      <c r="AD262" s="36">
        <v>19</v>
      </c>
      <c r="AE262" s="27">
        <v>7.8512396694214878E-2</v>
      </c>
      <c r="AF262" s="27">
        <f t="shared" si="26"/>
        <v>3.8190954773869349E-3</v>
      </c>
      <c r="AG262" s="37">
        <v>5</v>
      </c>
      <c r="AH262" s="27">
        <v>2.0661157024793389E-2</v>
      </c>
      <c r="AI262" s="27">
        <f t="shared" si="27"/>
        <v>1.0050251256281408E-3</v>
      </c>
      <c r="AJ262" s="38">
        <v>4</v>
      </c>
      <c r="AK262" s="27">
        <v>1.6528925619834711E-2</v>
      </c>
      <c r="AL262" s="27">
        <f t="shared" si="28"/>
        <v>8.0402010050251258E-4</v>
      </c>
      <c r="AM262" s="40">
        <v>0</v>
      </c>
      <c r="AN262" s="27">
        <v>0</v>
      </c>
      <c r="AO262" s="27">
        <f t="shared" si="29"/>
        <v>0</v>
      </c>
      <c r="AP262" s="7" t="b">
        <v>1</v>
      </c>
      <c r="AQ262" s="6" t="b">
        <v>0</v>
      </c>
      <c r="AR262" s="6" t="b">
        <v>0</v>
      </c>
      <c r="AS262" s="6" t="b">
        <v>0</v>
      </c>
      <c r="AT262" s="7" t="b">
        <v>1</v>
      </c>
      <c r="AU262" s="6" t="b">
        <v>0</v>
      </c>
      <c r="AV262" s="6" t="b">
        <v>0</v>
      </c>
      <c r="AW262" s="6" t="b">
        <v>0</v>
      </c>
      <c r="AX262" s="6" t="b">
        <v>0</v>
      </c>
      <c r="AY262" s="7" t="b">
        <v>1</v>
      </c>
      <c r="AZ262" s="6" t="b">
        <v>0</v>
      </c>
      <c r="BA262" s="6" t="b">
        <v>0</v>
      </c>
      <c r="BB262" s="6" t="b">
        <v>0</v>
      </c>
    </row>
    <row r="263" spans="1:54" ht="15" x14ac:dyDescent="0.25">
      <c r="A263" s="3" t="s">
        <v>582</v>
      </c>
      <c r="B263" s="3" t="str">
        <f ca="1">IFERROR(__xludf.DUMMYFUNCTION("SPLIT(A263,""/"")"),"duckietown")</f>
        <v>duckietown</v>
      </c>
      <c r="C263" s="3" t="str">
        <f ca="1">IFERROR(__xludf.DUMMYFUNCTION("""COMPUTED_VALUE"""),"gym-duckietown")</f>
        <v>gym-duckietown</v>
      </c>
      <c r="D263" s="4" t="s">
        <v>583</v>
      </c>
      <c r="E263" s="5">
        <v>43040.768865740742</v>
      </c>
      <c r="F263" s="5">
        <v>44294.910856481481</v>
      </c>
      <c r="G263" s="13">
        <f t="shared" si="24"/>
        <v>1254.1419907407399</v>
      </c>
      <c r="H263" s="6" t="b">
        <v>0</v>
      </c>
      <c r="I263" s="7" t="b">
        <v>1</v>
      </c>
      <c r="J263" s="8">
        <v>389</v>
      </c>
      <c r="K263" s="8">
        <v>45</v>
      </c>
      <c r="L263" s="8">
        <v>153</v>
      </c>
      <c r="M263" s="8">
        <v>0</v>
      </c>
      <c r="N263" s="8">
        <v>24</v>
      </c>
      <c r="O263" s="8">
        <v>20</v>
      </c>
      <c r="P263" s="8">
        <v>130</v>
      </c>
      <c r="Q263" s="8">
        <v>5</v>
      </c>
      <c r="R263" s="8">
        <v>113</v>
      </c>
      <c r="S263" s="8">
        <v>20</v>
      </c>
      <c r="T263" s="3" t="s">
        <v>92</v>
      </c>
      <c r="U263" s="10">
        <v>4265</v>
      </c>
      <c r="V263" s="32">
        <v>28</v>
      </c>
      <c r="W263" s="27">
        <v>6.5650644783118405E-3</v>
      </c>
      <c r="X263" s="34">
        <v>16</v>
      </c>
      <c r="Y263" s="27">
        <v>0.5714285714285714</v>
      </c>
      <c r="Z263" s="27">
        <v>3.7514654161781946E-3</v>
      </c>
      <c r="AA263" s="35">
        <v>9</v>
      </c>
      <c r="AB263" s="27">
        <v>0.32142857142857145</v>
      </c>
      <c r="AC263" s="27">
        <f t="shared" si="25"/>
        <v>2.1101992966002345E-3</v>
      </c>
      <c r="AD263" s="36">
        <v>3</v>
      </c>
      <c r="AE263" s="27">
        <v>0.10714285714285714</v>
      </c>
      <c r="AF263" s="27">
        <f t="shared" si="26"/>
        <v>7.0339976553341146E-4</v>
      </c>
      <c r="AG263" s="37">
        <v>0</v>
      </c>
      <c r="AH263" s="27">
        <v>0</v>
      </c>
      <c r="AI263" s="27">
        <f t="shared" si="27"/>
        <v>0</v>
      </c>
      <c r="AJ263" s="38">
        <v>0</v>
      </c>
      <c r="AK263" s="27">
        <v>0</v>
      </c>
      <c r="AL263" s="27">
        <f t="shared" si="28"/>
        <v>0</v>
      </c>
      <c r="AM263" s="40">
        <v>0</v>
      </c>
      <c r="AN263" s="27">
        <v>0</v>
      </c>
      <c r="AO263" s="27">
        <f t="shared" si="29"/>
        <v>0</v>
      </c>
      <c r="AP263" s="7" t="b">
        <v>1</v>
      </c>
      <c r="AQ263" s="6" t="b">
        <v>0</v>
      </c>
      <c r="AR263" s="6" t="b">
        <v>0</v>
      </c>
      <c r="AS263" s="6" t="b">
        <v>0</v>
      </c>
      <c r="AT263" s="7" t="b">
        <v>1</v>
      </c>
      <c r="AU263" s="6" t="b">
        <v>0</v>
      </c>
      <c r="AV263" s="6" t="b">
        <v>0</v>
      </c>
      <c r="AW263" s="6" t="b">
        <v>0</v>
      </c>
      <c r="AX263" s="6" t="b">
        <v>0</v>
      </c>
      <c r="AY263" s="6" t="b">
        <v>0</v>
      </c>
      <c r="AZ263" s="6" t="b">
        <v>0</v>
      </c>
      <c r="BA263" s="6" t="b">
        <v>0</v>
      </c>
      <c r="BB263" s="6" t="b">
        <v>0</v>
      </c>
    </row>
    <row r="264" spans="1:54" ht="15" x14ac:dyDescent="0.25">
      <c r="A264" s="3" t="s">
        <v>584</v>
      </c>
      <c r="B264" s="3" t="str">
        <f ca="1">IFERROR(__xludf.DUMMYFUNCTION("SPLIT(A264,""/"")"),"dwisiswant0")</f>
        <v>dwisiswant0</v>
      </c>
      <c r="C264" s="3" t="str">
        <f ca="1">IFERROR(__xludf.DUMMYFUNCTION("""COMPUTED_VALUE"""),"apkleaks")</f>
        <v>apkleaks</v>
      </c>
      <c r="D264" s="4" t="s">
        <v>585</v>
      </c>
      <c r="E264" s="5">
        <v>43980.893206018518</v>
      </c>
      <c r="F264" s="5">
        <v>44294.74695601852</v>
      </c>
      <c r="G264" s="13">
        <f t="shared" si="24"/>
        <v>313.85375000000204</v>
      </c>
      <c r="H264" s="6" t="b">
        <v>0</v>
      </c>
      <c r="I264" s="6" t="b">
        <v>0</v>
      </c>
      <c r="J264" s="8">
        <v>2118</v>
      </c>
      <c r="K264" s="8">
        <v>49</v>
      </c>
      <c r="L264" s="8">
        <v>198</v>
      </c>
      <c r="M264" s="8">
        <v>0</v>
      </c>
      <c r="N264" s="8">
        <v>0</v>
      </c>
      <c r="O264" s="8">
        <v>7</v>
      </c>
      <c r="P264" s="8">
        <v>17</v>
      </c>
      <c r="Q264" s="8">
        <v>0</v>
      </c>
      <c r="R264" s="8">
        <v>28</v>
      </c>
      <c r="S264" s="8">
        <v>3</v>
      </c>
      <c r="T264" s="3" t="s">
        <v>69</v>
      </c>
      <c r="U264" s="10">
        <v>218</v>
      </c>
      <c r="V264" s="32">
        <v>0</v>
      </c>
      <c r="W264" s="27">
        <v>0</v>
      </c>
      <c r="X264" s="34">
        <v>0</v>
      </c>
      <c r="Y264" s="27">
        <v>0</v>
      </c>
      <c r="Z264" s="27">
        <v>0</v>
      </c>
      <c r="AA264" s="35">
        <v>0</v>
      </c>
      <c r="AB264" s="27">
        <v>0</v>
      </c>
      <c r="AC264" s="27">
        <f t="shared" si="25"/>
        <v>0</v>
      </c>
      <c r="AD264" s="36">
        <v>0</v>
      </c>
      <c r="AE264" s="27">
        <v>0</v>
      </c>
      <c r="AF264" s="27">
        <f t="shared" si="26"/>
        <v>0</v>
      </c>
      <c r="AG264" s="37">
        <v>0</v>
      </c>
      <c r="AH264" s="27">
        <v>0</v>
      </c>
      <c r="AI264" s="27">
        <f t="shared" si="27"/>
        <v>0</v>
      </c>
      <c r="AJ264" s="38">
        <v>0</v>
      </c>
      <c r="AK264" s="27">
        <v>0</v>
      </c>
      <c r="AL264" s="27">
        <f t="shared" si="28"/>
        <v>0</v>
      </c>
      <c r="AM264" s="40">
        <v>0</v>
      </c>
      <c r="AN264" s="27">
        <v>0</v>
      </c>
      <c r="AO264" s="27">
        <f t="shared" si="29"/>
        <v>0</v>
      </c>
      <c r="AP264" s="7" t="b">
        <v>1</v>
      </c>
      <c r="AQ264" s="6" t="b">
        <v>0</v>
      </c>
      <c r="AR264" s="6" t="b">
        <v>0</v>
      </c>
      <c r="AS264" s="6" t="b">
        <v>0</v>
      </c>
      <c r="AT264" s="7" t="b">
        <v>1</v>
      </c>
      <c r="AU264" s="6" t="b">
        <v>0</v>
      </c>
      <c r="AV264" s="6" t="b">
        <v>0</v>
      </c>
      <c r="AW264" s="6" t="b">
        <v>0</v>
      </c>
      <c r="AX264" s="6" t="b">
        <v>0</v>
      </c>
      <c r="AY264" s="6" t="b">
        <v>0</v>
      </c>
      <c r="AZ264" s="6" t="b">
        <v>0</v>
      </c>
      <c r="BA264" s="6" t="b">
        <v>0</v>
      </c>
      <c r="BB264" s="6" t="b">
        <v>0</v>
      </c>
    </row>
    <row r="265" spans="1:54" ht="15" x14ac:dyDescent="0.25">
      <c r="A265" s="3" t="s">
        <v>586</v>
      </c>
      <c r="B265" s="3" t="str">
        <f ca="1">IFERROR(__xludf.DUMMYFUNCTION("SPLIT(A265,""/"")"),"ebhy")</f>
        <v>ebhy</v>
      </c>
      <c r="C265" s="3" t="str">
        <f ca="1">IFERROR(__xludf.DUMMYFUNCTION("""COMPUTED_VALUE"""),"budgetml")</f>
        <v>budgetml</v>
      </c>
      <c r="D265" s="4" t="s">
        <v>587</v>
      </c>
      <c r="E265" s="5">
        <v>44192.600659722222</v>
      </c>
      <c r="F265" s="5">
        <v>44294.326851851853</v>
      </c>
      <c r="G265" s="13">
        <f t="shared" si="24"/>
        <v>101.72619212963036</v>
      </c>
      <c r="H265" s="6" t="b">
        <v>0</v>
      </c>
      <c r="I265" s="7" t="b">
        <v>1</v>
      </c>
      <c r="J265" s="8">
        <v>1184</v>
      </c>
      <c r="K265" s="8">
        <v>27</v>
      </c>
      <c r="L265" s="8">
        <v>44</v>
      </c>
      <c r="M265" s="8">
        <v>1</v>
      </c>
      <c r="N265" s="8">
        <v>0</v>
      </c>
      <c r="O265" s="8">
        <v>2</v>
      </c>
      <c r="P265" s="8">
        <v>2</v>
      </c>
      <c r="Q265" s="8">
        <v>0</v>
      </c>
      <c r="R265" s="8">
        <v>4</v>
      </c>
      <c r="S265" s="8">
        <v>0</v>
      </c>
      <c r="T265" s="3" t="s">
        <v>69</v>
      </c>
      <c r="U265" s="10">
        <v>595</v>
      </c>
      <c r="V265" s="32">
        <v>28</v>
      </c>
      <c r="W265" s="27">
        <v>4.7058823529411764E-2</v>
      </c>
      <c r="X265" s="34">
        <v>24</v>
      </c>
      <c r="Y265" s="27">
        <v>0.8571428571428571</v>
      </c>
      <c r="Z265" s="27">
        <v>4.0336134453781515E-2</v>
      </c>
      <c r="AA265" s="35">
        <v>4</v>
      </c>
      <c r="AB265" s="27">
        <v>0.14285714285714285</v>
      </c>
      <c r="AC265" s="27">
        <f t="shared" si="25"/>
        <v>6.7226890756302525E-3</v>
      </c>
      <c r="AD265" s="36">
        <v>0</v>
      </c>
      <c r="AE265" s="27">
        <v>0</v>
      </c>
      <c r="AF265" s="27">
        <f t="shared" si="26"/>
        <v>0</v>
      </c>
      <c r="AG265" s="37">
        <v>0</v>
      </c>
      <c r="AH265" s="27">
        <v>0</v>
      </c>
      <c r="AI265" s="27">
        <f t="shared" si="27"/>
        <v>0</v>
      </c>
      <c r="AJ265" s="38">
        <v>0</v>
      </c>
      <c r="AK265" s="27">
        <v>0</v>
      </c>
      <c r="AL265" s="27">
        <f t="shared" si="28"/>
        <v>0</v>
      </c>
      <c r="AM265" s="40">
        <v>0</v>
      </c>
      <c r="AN265" s="27">
        <v>0</v>
      </c>
      <c r="AO265" s="27">
        <f t="shared" si="29"/>
        <v>0</v>
      </c>
      <c r="AP265" s="7" t="b">
        <v>1</v>
      </c>
      <c r="AQ265" s="6" t="b">
        <v>0</v>
      </c>
      <c r="AR265" s="6" t="b">
        <v>0</v>
      </c>
      <c r="AS265" s="6" t="b">
        <v>0</v>
      </c>
      <c r="AT265" s="7" t="b">
        <v>1</v>
      </c>
      <c r="AU265" s="6" t="b">
        <v>0</v>
      </c>
      <c r="AV265" s="6" t="b">
        <v>0</v>
      </c>
      <c r="AW265" s="6" t="b">
        <v>0</v>
      </c>
      <c r="AX265" s="6" t="b">
        <v>0</v>
      </c>
      <c r="AY265" s="6" t="b">
        <v>0</v>
      </c>
      <c r="AZ265" s="6" t="b">
        <v>0</v>
      </c>
      <c r="BA265" s="6" t="b">
        <v>0</v>
      </c>
      <c r="BB265" s="6" t="b">
        <v>0</v>
      </c>
    </row>
    <row r="266" spans="1:54" ht="15" x14ac:dyDescent="0.25">
      <c r="A266" s="3" t="s">
        <v>588</v>
      </c>
      <c r="B266" s="3" t="str">
        <f ca="1">IFERROR(__xludf.DUMMYFUNCTION("SPLIT(A266,""/"")"),"edeng23")</f>
        <v>edeng23</v>
      </c>
      <c r="C266" s="3" t="str">
        <f ca="1">IFERROR(__xludf.DUMMYFUNCTION("""COMPUTED_VALUE"""),"binance-trade-bot")</f>
        <v>binance-trade-bot</v>
      </c>
      <c r="D266" s="4" t="s">
        <v>589</v>
      </c>
      <c r="E266" s="5">
        <v>43658.696898148148</v>
      </c>
      <c r="F266" s="5">
        <v>44295.154756944445</v>
      </c>
      <c r="G266" s="13">
        <f t="shared" si="24"/>
        <v>636.45785879629693</v>
      </c>
      <c r="H266" s="6" t="b">
        <v>0</v>
      </c>
      <c r="I266" s="6" t="b">
        <v>0</v>
      </c>
      <c r="J266" s="8">
        <v>3016</v>
      </c>
      <c r="K266" s="8">
        <v>144</v>
      </c>
      <c r="L266" s="8">
        <v>493</v>
      </c>
      <c r="M266" s="8">
        <v>0</v>
      </c>
      <c r="N266" s="8">
        <v>12</v>
      </c>
      <c r="O266" s="8">
        <v>23</v>
      </c>
      <c r="P266" s="8">
        <v>122</v>
      </c>
      <c r="Q266" s="8">
        <v>22</v>
      </c>
      <c r="R266" s="8">
        <v>134</v>
      </c>
      <c r="S266" s="8">
        <v>19</v>
      </c>
      <c r="T266" s="3" t="s">
        <v>49</v>
      </c>
      <c r="U266" s="10">
        <v>1060</v>
      </c>
      <c r="V266" s="32">
        <v>51</v>
      </c>
      <c r="W266" s="27">
        <v>4.8113207547169815E-2</v>
      </c>
      <c r="X266" s="34">
        <v>2</v>
      </c>
      <c r="Y266" s="27">
        <v>3.9215686274509803E-2</v>
      </c>
      <c r="Z266" s="27">
        <v>1.8867924528301887E-3</v>
      </c>
      <c r="AA266" s="35">
        <v>39</v>
      </c>
      <c r="AB266" s="27">
        <v>0.76470588235294112</v>
      </c>
      <c r="AC266" s="27">
        <f t="shared" si="25"/>
        <v>3.6792452830188678E-2</v>
      </c>
      <c r="AD266" s="36">
        <v>2</v>
      </c>
      <c r="AE266" s="27">
        <v>3.9215686274509803E-2</v>
      </c>
      <c r="AF266" s="27">
        <f t="shared" si="26"/>
        <v>1.8867924528301887E-3</v>
      </c>
      <c r="AG266" s="37">
        <v>4</v>
      </c>
      <c r="AH266" s="27">
        <v>7.8431372549019607E-2</v>
      </c>
      <c r="AI266" s="27">
        <f t="shared" si="27"/>
        <v>3.7735849056603774E-3</v>
      </c>
      <c r="AJ266" s="38">
        <v>0</v>
      </c>
      <c r="AK266" s="27">
        <v>0</v>
      </c>
      <c r="AL266" s="27">
        <f t="shared" si="28"/>
        <v>0</v>
      </c>
      <c r="AM266" s="40">
        <v>0</v>
      </c>
      <c r="AN266" s="27">
        <v>0</v>
      </c>
      <c r="AO266" s="27">
        <f t="shared" si="29"/>
        <v>0</v>
      </c>
      <c r="AP266" s="7" t="b">
        <v>1</v>
      </c>
      <c r="AQ266" s="7" t="b">
        <v>1</v>
      </c>
      <c r="AR266" s="6" t="b">
        <v>0</v>
      </c>
      <c r="AS266" s="6" t="b">
        <v>0</v>
      </c>
      <c r="AT266" s="7" t="b">
        <v>1</v>
      </c>
      <c r="AU266" s="6" t="b">
        <v>0</v>
      </c>
      <c r="AV266" s="6" t="b">
        <v>0</v>
      </c>
      <c r="AW266" s="6" t="b">
        <v>0</v>
      </c>
      <c r="AX266" s="6" t="b">
        <v>0</v>
      </c>
      <c r="AY266" s="6" t="b">
        <v>0</v>
      </c>
      <c r="AZ266" s="6" t="b">
        <v>0</v>
      </c>
      <c r="BA266" s="6" t="b">
        <v>0</v>
      </c>
      <c r="BB266" s="6" t="b">
        <v>0</v>
      </c>
    </row>
    <row r="267" spans="1:54" ht="15" x14ac:dyDescent="0.25">
      <c r="A267" s="3" t="s">
        <v>590</v>
      </c>
      <c r="B267" s="3" t="str">
        <f ca="1">IFERROR(__xludf.DUMMYFUNCTION("SPLIT(A267,""/"")"),"edx")</f>
        <v>edx</v>
      </c>
      <c r="C267" s="3" t="str">
        <f ca="1">IFERROR(__xludf.DUMMYFUNCTION("""COMPUTED_VALUE"""),"configuration")</f>
        <v>configuration</v>
      </c>
      <c r="D267" s="4" t="s">
        <v>591</v>
      </c>
      <c r="E267" s="5">
        <v>41380.724791666667</v>
      </c>
      <c r="F267" s="5">
        <v>44294.901400462964</v>
      </c>
      <c r="G267" s="13">
        <f t="shared" si="24"/>
        <v>2914.1766087962969</v>
      </c>
      <c r="H267" s="6" t="b">
        <v>0</v>
      </c>
      <c r="I267" s="7" t="b">
        <v>1</v>
      </c>
      <c r="J267" s="8">
        <v>778</v>
      </c>
      <c r="K267" s="8">
        <v>186</v>
      </c>
      <c r="L267" s="8">
        <v>796</v>
      </c>
      <c r="M267" s="8">
        <v>8</v>
      </c>
      <c r="N267" s="8">
        <v>120</v>
      </c>
      <c r="O267" s="8">
        <v>248</v>
      </c>
      <c r="P267" s="8">
        <v>5896</v>
      </c>
      <c r="Q267" s="8">
        <v>69</v>
      </c>
      <c r="R267" s="8">
        <v>0</v>
      </c>
      <c r="S267" s="8">
        <v>0</v>
      </c>
      <c r="T267" s="3" t="s">
        <v>366</v>
      </c>
      <c r="U267" s="10">
        <v>6973</v>
      </c>
      <c r="V267" s="32">
        <v>42</v>
      </c>
      <c r="W267" s="27">
        <v>6.0232324680912089E-3</v>
      </c>
      <c r="X267" s="34">
        <v>7</v>
      </c>
      <c r="Y267" s="27">
        <v>0.16666666666666666</v>
      </c>
      <c r="Z267" s="27">
        <v>1.0038720780152016E-3</v>
      </c>
      <c r="AA267" s="35">
        <v>18</v>
      </c>
      <c r="AB267" s="27">
        <v>0.42857142857142855</v>
      </c>
      <c r="AC267" s="27">
        <f t="shared" si="25"/>
        <v>2.5813853434676608E-3</v>
      </c>
      <c r="AD267" s="36">
        <v>8</v>
      </c>
      <c r="AE267" s="27">
        <v>0.19047619047619047</v>
      </c>
      <c r="AF267" s="27">
        <f t="shared" si="26"/>
        <v>1.1472823748745161E-3</v>
      </c>
      <c r="AG267" s="37">
        <v>6</v>
      </c>
      <c r="AH267" s="27">
        <v>0.14285714285714285</v>
      </c>
      <c r="AI267" s="27">
        <f t="shared" si="27"/>
        <v>8.6046178115588702E-4</v>
      </c>
      <c r="AJ267" s="38">
        <v>2</v>
      </c>
      <c r="AK267" s="27">
        <v>4.7619047619047616E-2</v>
      </c>
      <c r="AL267" s="27">
        <f t="shared" si="28"/>
        <v>2.8682059371862902E-4</v>
      </c>
      <c r="AM267" s="40">
        <v>0</v>
      </c>
      <c r="AN267" s="27">
        <v>0</v>
      </c>
      <c r="AO267" s="27">
        <f t="shared" si="29"/>
        <v>0</v>
      </c>
      <c r="AP267" s="7" t="b">
        <v>1</v>
      </c>
      <c r="AQ267" s="6" t="b">
        <v>0</v>
      </c>
      <c r="AR267" s="6" t="b">
        <v>0</v>
      </c>
      <c r="AS267" s="6" t="b">
        <v>0</v>
      </c>
      <c r="AT267" s="7" t="b">
        <v>1</v>
      </c>
      <c r="AU267" s="6" t="b">
        <v>0</v>
      </c>
      <c r="AV267" s="6" t="b">
        <v>0</v>
      </c>
      <c r="AW267" s="6" t="b">
        <v>0</v>
      </c>
      <c r="AX267" s="6" t="b">
        <v>0</v>
      </c>
      <c r="AY267" s="6" t="b">
        <v>0</v>
      </c>
      <c r="AZ267" s="6" t="b">
        <v>0</v>
      </c>
      <c r="BA267" s="6" t="b">
        <v>0</v>
      </c>
      <c r="BB267" s="6" t="b">
        <v>0</v>
      </c>
    </row>
    <row r="268" spans="1:54" ht="15" x14ac:dyDescent="0.25">
      <c r="A268" s="3" t="s">
        <v>592</v>
      </c>
      <c r="B268" s="3" t="str">
        <f ca="1">IFERROR(__xludf.DUMMYFUNCTION("SPLIT(A268,""/"")"),"edx")</f>
        <v>edx</v>
      </c>
      <c r="C268" s="3" t="str">
        <f ca="1">IFERROR(__xludf.DUMMYFUNCTION("""COMPUTED_VALUE"""),"edx-platform")</f>
        <v>edx-platform</v>
      </c>
      <c r="D268" s="4" t="s">
        <v>593</v>
      </c>
      <c r="E268" s="5">
        <v>41424.847662037035</v>
      </c>
      <c r="F268" s="5">
        <v>44294.743298611109</v>
      </c>
      <c r="G268" s="13">
        <f t="shared" si="24"/>
        <v>2869.8956365740742</v>
      </c>
      <c r="H268" s="6" t="b">
        <v>0</v>
      </c>
      <c r="I268" s="7" t="b">
        <v>1</v>
      </c>
      <c r="J268" s="8">
        <v>5498</v>
      </c>
      <c r="K268" s="8">
        <v>417</v>
      </c>
      <c r="L268" s="8">
        <v>2636</v>
      </c>
      <c r="M268" s="8">
        <v>4</v>
      </c>
      <c r="N268" s="8">
        <v>2815</v>
      </c>
      <c r="O268" s="8">
        <v>553</v>
      </c>
      <c r="P268" s="8">
        <v>27098</v>
      </c>
      <c r="Q268" s="8">
        <v>265</v>
      </c>
      <c r="R268" s="8">
        <v>0</v>
      </c>
      <c r="S268" s="8">
        <v>0</v>
      </c>
      <c r="T268" s="3" t="s">
        <v>366</v>
      </c>
      <c r="U268" s="10">
        <v>283875</v>
      </c>
      <c r="V268" s="32">
        <v>1839</v>
      </c>
      <c r="W268" s="27">
        <v>6.4782034346103036E-3</v>
      </c>
      <c r="X268" s="34">
        <v>188</v>
      </c>
      <c r="Y268" s="27">
        <v>0.1022294725394236</v>
      </c>
      <c r="Z268" s="27">
        <v>6.6226332012329372E-4</v>
      </c>
      <c r="AA268" s="35">
        <v>755</v>
      </c>
      <c r="AB268" s="27">
        <v>0.41054921152800433</v>
      </c>
      <c r="AC268" s="27">
        <f t="shared" si="25"/>
        <v>2.6596213121972698E-3</v>
      </c>
      <c r="AD268" s="36">
        <v>345</v>
      </c>
      <c r="AE268" s="27">
        <v>0.18760195758564438</v>
      </c>
      <c r="AF268" s="27">
        <f t="shared" si="26"/>
        <v>1.2153236459709379E-3</v>
      </c>
      <c r="AG268" s="37">
        <v>526</v>
      </c>
      <c r="AH268" s="27">
        <v>0.28602501359434473</v>
      </c>
      <c r="AI268" s="27">
        <f t="shared" si="27"/>
        <v>1.8529282254513429E-3</v>
      </c>
      <c r="AJ268" s="38">
        <v>17</v>
      </c>
      <c r="AK268" s="27">
        <v>9.2441544317563885E-3</v>
      </c>
      <c r="AL268" s="27">
        <f t="shared" si="28"/>
        <v>5.9885512989872302E-5</v>
      </c>
      <c r="AM268" s="40">
        <v>0</v>
      </c>
      <c r="AN268" s="27">
        <v>0</v>
      </c>
      <c r="AO268" s="27">
        <f t="shared" si="29"/>
        <v>0</v>
      </c>
      <c r="AP268" s="7" t="b">
        <v>1</v>
      </c>
      <c r="AQ268" s="7" t="b">
        <v>1</v>
      </c>
      <c r="AR268" s="6" t="b">
        <v>0</v>
      </c>
      <c r="AS268" s="6" t="b">
        <v>0</v>
      </c>
      <c r="AT268" s="7" t="b">
        <v>1</v>
      </c>
      <c r="AU268" s="6" t="b">
        <v>0</v>
      </c>
      <c r="AV268" s="6" t="b">
        <v>0</v>
      </c>
      <c r="AW268" s="6" t="b">
        <v>0</v>
      </c>
      <c r="AX268" s="6" t="b">
        <v>0</v>
      </c>
      <c r="AY268" s="6" t="b">
        <v>0</v>
      </c>
      <c r="AZ268" s="6" t="b">
        <v>0</v>
      </c>
      <c r="BA268" s="6" t="b">
        <v>0</v>
      </c>
      <c r="BB268" s="6" t="b">
        <v>0</v>
      </c>
    </row>
    <row r="269" spans="1:54" ht="15" x14ac:dyDescent="0.25">
      <c r="A269" s="3" t="s">
        <v>594</v>
      </c>
      <c r="B269" s="3" t="str">
        <f ca="1">IFERROR(__xludf.DUMMYFUNCTION("SPLIT(A269,""/"")"),"EFForg")</f>
        <v>EFForg</v>
      </c>
      <c r="C269" s="3" t="str">
        <f ca="1">IFERROR(__xludf.DUMMYFUNCTION("""COMPUTED_VALUE"""),"crocodilehunter")</f>
        <v>crocodilehunter</v>
      </c>
      <c r="D269" s="4" t="s">
        <v>595</v>
      </c>
      <c r="E269" s="5">
        <v>43353.864027777781</v>
      </c>
      <c r="F269" s="5">
        <v>44293.327233796299</v>
      </c>
      <c r="G269" s="13">
        <f t="shared" si="24"/>
        <v>939.46320601851767</v>
      </c>
      <c r="H269" s="6" t="b">
        <v>0</v>
      </c>
      <c r="I269" s="7" t="b">
        <v>1</v>
      </c>
      <c r="J269" s="8">
        <v>352</v>
      </c>
      <c r="K269" s="8">
        <v>34</v>
      </c>
      <c r="L269" s="8">
        <v>60</v>
      </c>
      <c r="M269" s="8">
        <v>0</v>
      </c>
      <c r="N269" s="8">
        <v>0</v>
      </c>
      <c r="O269" s="8">
        <v>7</v>
      </c>
      <c r="P269" s="8">
        <v>30</v>
      </c>
      <c r="Q269" s="8">
        <v>0</v>
      </c>
      <c r="R269" s="8">
        <v>91</v>
      </c>
      <c r="S269" s="8">
        <v>24</v>
      </c>
      <c r="T269" s="3" t="s">
        <v>49</v>
      </c>
      <c r="U269" s="10">
        <v>1552</v>
      </c>
      <c r="V269" s="32">
        <v>56</v>
      </c>
      <c r="W269" s="27">
        <v>3.608247422680412E-2</v>
      </c>
      <c r="X269" s="34">
        <v>8</v>
      </c>
      <c r="Y269" s="27">
        <v>0.14285714285714285</v>
      </c>
      <c r="Z269" s="27">
        <v>5.1546391752577319E-3</v>
      </c>
      <c r="AA269" s="35">
        <v>26</v>
      </c>
      <c r="AB269" s="27">
        <v>0.4642857142857143</v>
      </c>
      <c r="AC269" s="27">
        <f t="shared" si="25"/>
        <v>1.6752577319587628E-2</v>
      </c>
      <c r="AD269" s="36">
        <v>7</v>
      </c>
      <c r="AE269" s="27">
        <v>0.125</v>
      </c>
      <c r="AF269" s="27">
        <f t="shared" si="26"/>
        <v>4.5103092783505151E-3</v>
      </c>
      <c r="AG269" s="37">
        <v>8</v>
      </c>
      <c r="AH269" s="27">
        <v>0.14285714285714285</v>
      </c>
      <c r="AI269" s="27">
        <f t="shared" si="27"/>
        <v>5.1546391752577319E-3</v>
      </c>
      <c r="AJ269" s="38">
        <v>5</v>
      </c>
      <c r="AK269" s="27">
        <v>8.9285714285714288E-2</v>
      </c>
      <c r="AL269" s="27">
        <f t="shared" si="28"/>
        <v>3.2216494845360823E-3</v>
      </c>
      <c r="AM269" s="40">
        <v>0</v>
      </c>
      <c r="AN269" s="27">
        <v>0</v>
      </c>
      <c r="AO269" s="27">
        <f t="shared" si="29"/>
        <v>0</v>
      </c>
      <c r="AP269" s="6" t="b">
        <v>0</v>
      </c>
      <c r="AQ269" s="7" t="b">
        <v>1</v>
      </c>
      <c r="AR269" s="6" t="b">
        <v>0</v>
      </c>
      <c r="AS269" s="6" t="b">
        <v>0</v>
      </c>
      <c r="AT269" s="7" t="b">
        <v>1</v>
      </c>
      <c r="AU269" s="6" t="b">
        <v>0</v>
      </c>
      <c r="AV269" s="6" t="b">
        <v>0</v>
      </c>
      <c r="AW269" s="6" t="b">
        <v>0</v>
      </c>
      <c r="AX269" s="6" t="b">
        <v>0</v>
      </c>
      <c r="AY269" s="6" t="b">
        <v>0</v>
      </c>
      <c r="AZ269" s="6" t="b">
        <v>0</v>
      </c>
      <c r="BA269" s="6" t="b">
        <v>0</v>
      </c>
      <c r="BB269" s="6" t="b">
        <v>0</v>
      </c>
    </row>
    <row r="270" spans="1:54" ht="15" x14ac:dyDescent="0.25">
      <c r="A270" s="3" t="s">
        <v>596</v>
      </c>
      <c r="B270" s="3" t="str">
        <f ca="1">IFERROR(__xludf.DUMMYFUNCTION("SPLIT(A270,""/"")"),"ehendrix23")</f>
        <v>ehendrix23</v>
      </c>
      <c r="C270" s="3" t="str">
        <f ca="1">IFERROR(__xludf.DUMMYFUNCTION("""COMPUTED_VALUE"""),"tesla_dashcam")</f>
        <v>tesla_dashcam</v>
      </c>
      <c r="D270" s="4" t="s">
        <v>597</v>
      </c>
      <c r="E270" s="5">
        <v>43524.000034722223</v>
      </c>
      <c r="F270" s="5">
        <v>44277.53261574074</v>
      </c>
      <c r="G270" s="13">
        <f t="shared" si="24"/>
        <v>753.53258101851679</v>
      </c>
      <c r="H270" s="6" t="b">
        <v>0</v>
      </c>
      <c r="I270" s="6" t="b">
        <v>0</v>
      </c>
      <c r="J270" s="8">
        <v>455</v>
      </c>
      <c r="K270" s="8">
        <v>41</v>
      </c>
      <c r="L270" s="8">
        <v>55</v>
      </c>
      <c r="M270" s="8">
        <v>17</v>
      </c>
      <c r="N270" s="8">
        <v>0</v>
      </c>
      <c r="O270" s="8">
        <v>14</v>
      </c>
      <c r="P270" s="8">
        <v>37</v>
      </c>
      <c r="Q270" s="8">
        <v>1</v>
      </c>
      <c r="R270" s="8">
        <v>113</v>
      </c>
      <c r="S270" s="8">
        <v>19</v>
      </c>
      <c r="T270" s="3" t="s">
        <v>69</v>
      </c>
      <c r="U270" s="10">
        <v>1884</v>
      </c>
      <c r="V270" s="32">
        <v>53</v>
      </c>
      <c r="W270" s="27">
        <v>2.8131634819532909E-2</v>
      </c>
      <c r="X270" s="34">
        <v>50</v>
      </c>
      <c r="Y270" s="27">
        <v>0.94339622641509435</v>
      </c>
      <c r="Z270" s="27">
        <v>2.6539278131634821E-2</v>
      </c>
      <c r="AA270" s="35">
        <v>0</v>
      </c>
      <c r="AB270" s="27">
        <v>0</v>
      </c>
      <c r="AC270" s="27">
        <f t="shared" si="25"/>
        <v>0</v>
      </c>
      <c r="AD270" s="36">
        <v>3</v>
      </c>
      <c r="AE270" s="27">
        <v>5.6603773584905662E-2</v>
      </c>
      <c r="AF270" s="27">
        <f t="shared" si="26"/>
        <v>1.5923566878980893E-3</v>
      </c>
      <c r="AG270" s="37">
        <v>0</v>
      </c>
      <c r="AH270" s="27">
        <v>0</v>
      </c>
      <c r="AI270" s="27">
        <f t="shared" si="27"/>
        <v>0</v>
      </c>
      <c r="AJ270" s="38">
        <v>0</v>
      </c>
      <c r="AK270" s="27">
        <v>0</v>
      </c>
      <c r="AL270" s="27">
        <f t="shared" si="28"/>
        <v>0</v>
      </c>
      <c r="AM270" s="40">
        <v>0</v>
      </c>
      <c r="AN270" s="27">
        <v>0</v>
      </c>
      <c r="AO270" s="27">
        <f t="shared" si="29"/>
        <v>0</v>
      </c>
      <c r="AP270" s="7" t="b">
        <v>1</v>
      </c>
      <c r="AQ270" s="6" t="b">
        <v>0</v>
      </c>
      <c r="AR270" s="6" t="b">
        <v>0</v>
      </c>
      <c r="AS270" s="6" t="b">
        <v>0</v>
      </c>
      <c r="AT270" s="7" t="b">
        <v>1</v>
      </c>
      <c r="AU270" s="6" t="b">
        <v>0</v>
      </c>
      <c r="AV270" s="6" t="b">
        <v>0</v>
      </c>
      <c r="AW270" s="6" t="b">
        <v>0</v>
      </c>
      <c r="AX270" s="6" t="b">
        <v>0</v>
      </c>
      <c r="AY270" s="6" t="b">
        <v>0</v>
      </c>
      <c r="AZ270" s="6" t="b">
        <v>0</v>
      </c>
      <c r="BA270" s="6" t="b">
        <v>0</v>
      </c>
      <c r="BB270" s="6" t="b">
        <v>0</v>
      </c>
    </row>
    <row r="271" spans="1:54" ht="15" x14ac:dyDescent="0.25">
      <c r="A271" s="3" t="s">
        <v>598</v>
      </c>
      <c r="B271" s="3" t="str">
        <f ca="1">IFERROR(__xludf.DUMMYFUNCTION("SPLIT(A271,""/"")"),"Ekultek")</f>
        <v>Ekultek</v>
      </c>
      <c r="C271" s="3" t="str">
        <f ca="1">IFERROR(__xludf.DUMMYFUNCTION("""COMPUTED_VALUE"""),"Zeus-Scanner")</f>
        <v>Zeus-Scanner</v>
      </c>
      <c r="D271" s="4" t="s">
        <v>599</v>
      </c>
      <c r="E271" s="5">
        <v>42985.745497685188</v>
      </c>
      <c r="F271" s="5">
        <v>44289.367615740739</v>
      </c>
      <c r="G271" s="13">
        <f t="shared" si="24"/>
        <v>1303.6221180555513</v>
      </c>
      <c r="H271" s="6" t="b">
        <v>0</v>
      </c>
      <c r="I271" s="6" t="b">
        <v>0</v>
      </c>
      <c r="J271" s="8">
        <v>709</v>
      </c>
      <c r="K271" s="8">
        <v>48</v>
      </c>
      <c r="L271" s="8">
        <v>197</v>
      </c>
      <c r="M271" s="8">
        <v>5</v>
      </c>
      <c r="N271" s="8">
        <v>0</v>
      </c>
      <c r="O271" s="8">
        <v>4</v>
      </c>
      <c r="P271" s="8">
        <v>7</v>
      </c>
      <c r="Q271" s="8">
        <v>0</v>
      </c>
      <c r="R271" s="8">
        <v>1036</v>
      </c>
      <c r="S271" s="8">
        <v>323</v>
      </c>
      <c r="T271" s="11" t="s">
        <v>52</v>
      </c>
      <c r="U271" s="10">
        <v>3634</v>
      </c>
      <c r="V271" s="32">
        <v>297</v>
      </c>
      <c r="W271" s="27">
        <v>8.1728123280132084E-2</v>
      </c>
      <c r="X271" s="34">
        <v>47</v>
      </c>
      <c r="Y271" s="27">
        <v>0.15824915824915825</v>
      </c>
      <c r="Z271" s="27">
        <v>1.2933406714364337E-2</v>
      </c>
      <c r="AA271" s="35">
        <v>111</v>
      </c>
      <c r="AB271" s="27">
        <v>0.37373737373737376</v>
      </c>
      <c r="AC271" s="27">
        <f t="shared" si="25"/>
        <v>3.054485415520088E-2</v>
      </c>
      <c r="AD271" s="36">
        <v>53</v>
      </c>
      <c r="AE271" s="27">
        <v>0.17845117845117844</v>
      </c>
      <c r="AF271" s="27">
        <f t="shared" si="26"/>
        <v>1.4584479911942764E-2</v>
      </c>
      <c r="AG271" s="37">
        <v>57</v>
      </c>
      <c r="AH271" s="27">
        <v>0.19191919191919191</v>
      </c>
      <c r="AI271" s="27">
        <f t="shared" si="27"/>
        <v>1.5685195376995045E-2</v>
      </c>
      <c r="AJ271" s="38">
        <v>29</v>
      </c>
      <c r="AK271" s="27">
        <v>9.7643097643097643E-2</v>
      </c>
      <c r="AL271" s="27">
        <f t="shared" si="28"/>
        <v>7.980187121629059E-3</v>
      </c>
      <c r="AM271" s="40">
        <v>0</v>
      </c>
      <c r="AN271" s="27">
        <v>0</v>
      </c>
      <c r="AO271" s="27">
        <f t="shared" si="29"/>
        <v>0</v>
      </c>
      <c r="AP271" s="7" t="b">
        <v>1</v>
      </c>
      <c r="AQ271" s="6" t="b">
        <v>0</v>
      </c>
      <c r="AR271" s="6" t="b">
        <v>0</v>
      </c>
      <c r="AS271" s="6" t="b">
        <v>0</v>
      </c>
      <c r="AT271" s="7" t="b">
        <v>1</v>
      </c>
      <c r="AU271" s="6" t="b">
        <v>0</v>
      </c>
      <c r="AV271" s="6" t="b">
        <v>0</v>
      </c>
      <c r="AW271" s="6" t="b">
        <v>0</v>
      </c>
      <c r="AX271" s="6" t="b">
        <v>0</v>
      </c>
      <c r="AY271" s="6" t="b">
        <v>0</v>
      </c>
      <c r="AZ271" s="6" t="b">
        <v>0</v>
      </c>
      <c r="BA271" s="6" t="b">
        <v>0</v>
      </c>
      <c r="BB271" s="6" t="b">
        <v>0</v>
      </c>
    </row>
    <row r="272" spans="1:54" ht="15" x14ac:dyDescent="0.25">
      <c r="A272" s="3" t="s">
        <v>600</v>
      </c>
      <c r="B272" s="3" t="str">
        <f ca="1">IFERROR(__xludf.DUMMYFUNCTION("SPLIT(A272,""/"")"),"elastic")</f>
        <v>elastic</v>
      </c>
      <c r="C272" s="3" t="str">
        <f ca="1">IFERROR(__xludf.DUMMYFUNCTION("""COMPUTED_VALUE"""),"curator")</f>
        <v>curator</v>
      </c>
      <c r="D272" s="4" t="s">
        <v>601</v>
      </c>
      <c r="E272" s="5">
        <v>41506.239976851852</v>
      </c>
      <c r="F272" s="5">
        <v>44294.53229166667</v>
      </c>
      <c r="G272" s="13">
        <f t="shared" si="24"/>
        <v>2788.2923148148184</v>
      </c>
      <c r="H272" s="6" t="b">
        <v>0</v>
      </c>
      <c r="I272" s="7" t="b">
        <v>1</v>
      </c>
      <c r="J272" s="8">
        <v>2808</v>
      </c>
      <c r="K272" s="8">
        <v>341</v>
      </c>
      <c r="L272" s="8">
        <v>601</v>
      </c>
      <c r="M272" s="8">
        <v>100</v>
      </c>
      <c r="N272" s="8">
        <v>6</v>
      </c>
      <c r="O272" s="8">
        <v>120</v>
      </c>
      <c r="P272" s="8">
        <v>722</v>
      </c>
      <c r="Q272" s="8">
        <v>20</v>
      </c>
      <c r="R272" s="8">
        <v>872</v>
      </c>
      <c r="S272" s="8">
        <v>140</v>
      </c>
      <c r="T272" s="3" t="s">
        <v>92</v>
      </c>
      <c r="U272" s="10">
        <v>12407</v>
      </c>
      <c r="V272" s="32">
        <v>400</v>
      </c>
      <c r="W272" s="27">
        <v>3.2239864592568709E-2</v>
      </c>
      <c r="X272" s="34">
        <v>226</v>
      </c>
      <c r="Y272" s="27">
        <v>0.56499999999999995</v>
      </c>
      <c r="Z272" s="27">
        <v>1.8215523494801322E-2</v>
      </c>
      <c r="AA272" s="35">
        <v>112</v>
      </c>
      <c r="AB272" s="27">
        <v>0.28000000000000003</v>
      </c>
      <c r="AC272" s="27">
        <f t="shared" si="25"/>
        <v>9.0271620859192388E-3</v>
      </c>
      <c r="AD272" s="36">
        <v>20</v>
      </c>
      <c r="AE272" s="27">
        <v>0.05</v>
      </c>
      <c r="AF272" s="27">
        <f t="shared" si="26"/>
        <v>1.6119932296284356E-3</v>
      </c>
      <c r="AG272" s="37">
        <v>35</v>
      </c>
      <c r="AH272" s="27">
        <v>8.7499999999999994E-2</v>
      </c>
      <c r="AI272" s="27">
        <f t="shared" si="27"/>
        <v>2.8209881518497623E-3</v>
      </c>
      <c r="AJ272" s="38">
        <v>11</v>
      </c>
      <c r="AK272" s="27">
        <v>2.75E-2</v>
      </c>
      <c r="AL272" s="27">
        <f t="shared" si="28"/>
        <v>8.865962762956396E-4</v>
      </c>
      <c r="AM272" s="40">
        <v>0</v>
      </c>
      <c r="AN272" s="27">
        <v>0</v>
      </c>
      <c r="AO272" s="27">
        <f t="shared" si="29"/>
        <v>0</v>
      </c>
      <c r="AP272" s="7" t="b">
        <v>1</v>
      </c>
      <c r="AQ272" s="6" t="b">
        <v>0</v>
      </c>
      <c r="AR272" s="6" t="b">
        <v>0</v>
      </c>
      <c r="AS272" s="6" t="b">
        <v>0</v>
      </c>
      <c r="AT272" s="7" t="b">
        <v>1</v>
      </c>
      <c r="AU272" s="6" t="b">
        <v>0</v>
      </c>
      <c r="AV272" s="6" t="b">
        <v>0</v>
      </c>
      <c r="AW272" s="6" t="b">
        <v>0</v>
      </c>
      <c r="AX272" s="6" t="b">
        <v>0</v>
      </c>
      <c r="AY272" s="6" t="b">
        <v>0</v>
      </c>
      <c r="AZ272" s="6" t="b">
        <v>0</v>
      </c>
      <c r="BA272" s="6" t="b">
        <v>0</v>
      </c>
      <c r="BB272" s="6" t="b">
        <v>0</v>
      </c>
    </row>
    <row r="273" spans="1:54" ht="15" x14ac:dyDescent="0.25">
      <c r="A273" s="3" t="s">
        <v>602</v>
      </c>
      <c r="B273" s="3" t="str">
        <f ca="1">IFERROR(__xludf.DUMMYFUNCTION("SPLIT(A273,""/"")"),"elastic")</f>
        <v>elastic</v>
      </c>
      <c r="C273" s="3" t="str">
        <f ca="1">IFERROR(__xludf.DUMMYFUNCTION("""COMPUTED_VALUE"""),"elasticsearch-py")</f>
        <v>elasticsearch-py</v>
      </c>
      <c r="D273" s="4" t="s">
        <v>603</v>
      </c>
      <c r="E273" s="5">
        <v>41395.949756944443</v>
      </c>
      <c r="F273" s="5">
        <v>44293.874803240738</v>
      </c>
      <c r="G273" s="13">
        <f t="shared" si="24"/>
        <v>2897.9250462962955</v>
      </c>
      <c r="H273" s="6" t="b">
        <v>0</v>
      </c>
      <c r="I273" s="7" t="b">
        <v>1</v>
      </c>
      <c r="J273" s="8">
        <v>3154</v>
      </c>
      <c r="K273" s="8">
        <v>342</v>
      </c>
      <c r="L273" s="8">
        <v>958</v>
      </c>
      <c r="M273" s="8">
        <v>7</v>
      </c>
      <c r="N273" s="8">
        <v>55</v>
      </c>
      <c r="O273" s="8">
        <v>160</v>
      </c>
      <c r="P273" s="8">
        <v>716</v>
      </c>
      <c r="Q273" s="8">
        <v>11</v>
      </c>
      <c r="R273" s="8">
        <v>851</v>
      </c>
      <c r="S273" s="8">
        <v>60</v>
      </c>
      <c r="T273" s="3" t="s">
        <v>69</v>
      </c>
      <c r="U273" s="10">
        <v>9846</v>
      </c>
      <c r="V273" s="32">
        <v>20</v>
      </c>
      <c r="W273" s="27">
        <v>2.0312817387771686E-3</v>
      </c>
      <c r="X273" s="34">
        <v>5</v>
      </c>
      <c r="Y273" s="27">
        <v>0.25</v>
      </c>
      <c r="Z273" s="27">
        <v>5.0782043469429214E-4</v>
      </c>
      <c r="AA273" s="35">
        <v>4</v>
      </c>
      <c r="AB273" s="27">
        <v>0.2</v>
      </c>
      <c r="AC273" s="27">
        <f t="shared" si="25"/>
        <v>4.0625634775543368E-4</v>
      </c>
      <c r="AD273" s="36">
        <v>11</v>
      </c>
      <c r="AE273" s="27">
        <v>0.55000000000000004</v>
      </c>
      <c r="AF273" s="27">
        <f t="shared" si="26"/>
        <v>1.1172049563274427E-3</v>
      </c>
      <c r="AG273" s="37">
        <v>0</v>
      </c>
      <c r="AH273" s="27">
        <v>0</v>
      </c>
      <c r="AI273" s="27">
        <f t="shared" si="27"/>
        <v>0</v>
      </c>
      <c r="AJ273" s="38">
        <v>0</v>
      </c>
      <c r="AK273" s="27">
        <v>0</v>
      </c>
      <c r="AL273" s="27">
        <f t="shared" si="28"/>
        <v>0</v>
      </c>
      <c r="AM273" s="40">
        <v>0</v>
      </c>
      <c r="AN273" s="27">
        <v>0</v>
      </c>
      <c r="AO273" s="27">
        <f t="shared" si="29"/>
        <v>0</v>
      </c>
      <c r="AP273" s="7" t="b">
        <v>1</v>
      </c>
      <c r="AQ273" s="7" t="b">
        <v>1</v>
      </c>
      <c r="AR273" s="6" t="b">
        <v>0</v>
      </c>
      <c r="AS273" s="6" t="b">
        <v>0</v>
      </c>
      <c r="AT273" s="7" t="b">
        <v>1</v>
      </c>
      <c r="AU273" s="6" t="b">
        <v>0</v>
      </c>
      <c r="AV273" s="6" t="b">
        <v>0</v>
      </c>
      <c r="AW273" s="6" t="b">
        <v>0</v>
      </c>
      <c r="AX273" s="6" t="b">
        <v>0</v>
      </c>
      <c r="AY273" s="6" t="b">
        <v>0</v>
      </c>
      <c r="AZ273" s="6" t="b">
        <v>0</v>
      </c>
      <c r="BA273" s="6" t="b">
        <v>0</v>
      </c>
      <c r="BB273" s="6" t="b">
        <v>0</v>
      </c>
    </row>
    <row r="274" spans="1:54" ht="15" x14ac:dyDescent="0.25">
      <c r="A274" s="3" t="s">
        <v>604</v>
      </c>
      <c r="B274" s="3" t="str">
        <f ca="1">IFERROR(__xludf.DUMMYFUNCTION("SPLIT(A274,""/"")"),"elastic")</f>
        <v>elastic</v>
      </c>
      <c r="C274" s="3" t="str">
        <f ca="1">IFERROR(__xludf.DUMMYFUNCTION("""COMPUTED_VALUE"""),"rally")</f>
        <v>rally</v>
      </c>
      <c r="D274" s="4" t="s">
        <v>605</v>
      </c>
      <c r="E274" s="5">
        <v>42338.799803240741</v>
      </c>
      <c r="F274" s="5">
        <v>44294.593865740739</v>
      </c>
      <c r="G274" s="13">
        <f t="shared" si="24"/>
        <v>1955.7940624999974</v>
      </c>
      <c r="H274" s="6" t="b">
        <v>0</v>
      </c>
      <c r="I274" s="7" t="b">
        <v>1</v>
      </c>
      <c r="J274" s="8">
        <v>1362</v>
      </c>
      <c r="K274" s="8">
        <v>306</v>
      </c>
      <c r="L274" s="8">
        <v>211</v>
      </c>
      <c r="M274" s="8">
        <v>38</v>
      </c>
      <c r="N274" s="8">
        <v>14</v>
      </c>
      <c r="O274" s="8">
        <v>47</v>
      </c>
      <c r="P274" s="8">
        <v>590</v>
      </c>
      <c r="Q274" s="8">
        <v>7</v>
      </c>
      <c r="R274" s="8">
        <v>643</v>
      </c>
      <c r="S274" s="8">
        <v>61</v>
      </c>
      <c r="T274" s="3" t="s">
        <v>69</v>
      </c>
      <c r="U274" s="10">
        <v>23396</v>
      </c>
      <c r="V274" s="32">
        <v>403</v>
      </c>
      <c r="W274" s="27">
        <v>1.7225166695161567E-2</v>
      </c>
      <c r="X274" s="34">
        <v>83</v>
      </c>
      <c r="Y274" s="27">
        <v>0.20595533498759305</v>
      </c>
      <c r="Z274" s="27">
        <v>3.5476149769191317E-3</v>
      </c>
      <c r="AA274" s="35">
        <v>237</v>
      </c>
      <c r="AB274" s="27">
        <v>0.58808933002481389</v>
      </c>
      <c r="AC274" s="27">
        <f t="shared" si="25"/>
        <v>1.0129936741323304E-2</v>
      </c>
      <c r="AD274" s="36">
        <v>22</v>
      </c>
      <c r="AE274" s="27">
        <v>5.4590570719602979E-2</v>
      </c>
      <c r="AF274" s="27">
        <f t="shared" si="26"/>
        <v>9.4033168062916737E-4</v>
      </c>
      <c r="AG274" s="37">
        <v>59</v>
      </c>
      <c r="AH274" s="27">
        <v>0.14640198511166252</v>
      </c>
      <c r="AI274" s="27">
        <f t="shared" si="27"/>
        <v>2.521798598050949E-3</v>
      </c>
      <c r="AJ274" s="38">
        <v>1</v>
      </c>
      <c r="AK274" s="27">
        <v>2.4813895781637717E-3</v>
      </c>
      <c r="AL274" s="27">
        <f t="shared" si="28"/>
        <v>4.2742349119507607E-5</v>
      </c>
      <c r="AM274" s="40">
        <v>1</v>
      </c>
      <c r="AN274" s="27">
        <v>2.4813895781637717E-3</v>
      </c>
      <c r="AO274" s="27">
        <f t="shared" si="29"/>
        <v>4.2742349119507607E-5</v>
      </c>
      <c r="AP274" s="6" t="b">
        <v>0</v>
      </c>
      <c r="AQ274" s="7" t="b">
        <v>1</v>
      </c>
      <c r="AR274" s="6" t="b">
        <v>0</v>
      </c>
      <c r="AS274" s="6" t="b">
        <v>0</v>
      </c>
      <c r="AT274" s="7" t="b">
        <v>1</v>
      </c>
      <c r="AU274" s="6" t="b">
        <v>0</v>
      </c>
      <c r="AV274" s="6" t="b">
        <v>0</v>
      </c>
      <c r="AW274" s="6" t="b">
        <v>0</v>
      </c>
      <c r="AX274" s="6" t="b">
        <v>0</v>
      </c>
      <c r="AY274" s="6" t="b">
        <v>0</v>
      </c>
      <c r="AZ274" s="6" t="b">
        <v>0</v>
      </c>
      <c r="BA274" s="6" t="b">
        <v>0</v>
      </c>
      <c r="BB274" s="6" t="b">
        <v>0</v>
      </c>
    </row>
    <row r="275" spans="1:54" ht="15" x14ac:dyDescent="0.25">
      <c r="A275" s="3" t="s">
        <v>606</v>
      </c>
      <c r="B275" s="3" t="str">
        <f ca="1">IFERROR(__xludf.DUMMYFUNCTION("SPLIT(A275,""/"")"),"EleutherAI")</f>
        <v>EleutherAI</v>
      </c>
      <c r="C275" s="3" t="str">
        <f ca="1">IFERROR(__xludf.DUMMYFUNCTION("""COMPUTED_VALUE"""),"gpt-neo")</f>
        <v>gpt-neo</v>
      </c>
      <c r="D275" s="4" t="s">
        <v>607</v>
      </c>
      <c r="E275" s="5">
        <v>44017.433171296296</v>
      </c>
      <c r="F275" s="5">
        <v>44295.063807870371</v>
      </c>
      <c r="G275" s="13">
        <f t="shared" si="24"/>
        <v>277.63063657407474</v>
      </c>
      <c r="H275" s="6" t="b">
        <v>0</v>
      </c>
      <c r="I275" s="7" t="b">
        <v>1</v>
      </c>
      <c r="J275" s="8">
        <v>4238</v>
      </c>
      <c r="K275" s="8">
        <v>139</v>
      </c>
      <c r="L275" s="8">
        <v>293</v>
      </c>
      <c r="M275" s="8">
        <v>1</v>
      </c>
      <c r="N275" s="8">
        <v>4</v>
      </c>
      <c r="O275" s="8">
        <v>18</v>
      </c>
      <c r="P275" s="8">
        <v>117</v>
      </c>
      <c r="Q275" s="8">
        <v>7</v>
      </c>
      <c r="R275" s="8">
        <v>81</v>
      </c>
      <c r="S275" s="8">
        <v>9</v>
      </c>
      <c r="T275" s="3" t="s">
        <v>72</v>
      </c>
      <c r="U275" s="10">
        <v>2279</v>
      </c>
      <c r="V275" s="32">
        <v>25</v>
      </c>
      <c r="W275" s="27">
        <v>1.0969723562966213E-2</v>
      </c>
      <c r="X275" s="34">
        <v>0</v>
      </c>
      <c r="Y275" s="27">
        <v>0</v>
      </c>
      <c r="Z275" s="27">
        <v>0</v>
      </c>
      <c r="AA275" s="35">
        <v>19</v>
      </c>
      <c r="AB275" s="27">
        <v>0.76</v>
      </c>
      <c r="AC275" s="27">
        <f t="shared" si="25"/>
        <v>8.3369899078543225E-3</v>
      </c>
      <c r="AD275" s="36">
        <v>4</v>
      </c>
      <c r="AE275" s="27">
        <v>0.16</v>
      </c>
      <c r="AF275" s="27">
        <f t="shared" si="26"/>
        <v>1.7551557700745941E-3</v>
      </c>
      <c r="AG275" s="37">
        <v>2</v>
      </c>
      <c r="AH275" s="27">
        <v>0.08</v>
      </c>
      <c r="AI275" s="27">
        <f t="shared" si="27"/>
        <v>8.7757788503729707E-4</v>
      </c>
      <c r="AJ275" s="38">
        <v>0</v>
      </c>
      <c r="AK275" s="27">
        <v>0</v>
      </c>
      <c r="AL275" s="27">
        <f t="shared" si="28"/>
        <v>0</v>
      </c>
      <c r="AM275" s="40">
        <v>0</v>
      </c>
      <c r="AN275" s="27">
        <v>0</v>
      </c>
      <c r="AO275" s="27">
        <f t="shared" si="29"/>
        <v>0</v>
      </c>
      <c r="AP275" s="7" t="b">
        <v>1</v>
      </c>
      <c r="AQ275" s="7" t="b">
        <v>1</v>
      </c>
      <c r="AR275" s="6" t="b">
        <v>0</v>
      </c>
      <c r="AS275" s="6" t="b">
        <v>0</v>
      </c>
      <c r="AT275" s="7" t="b">
        <v>1</v>
      </c>
      <c r="AU275" s="6" t="b">
        <v>0</v>
      </c>
      <c r="AV275" s="6" t="b">
        <v>0</v>
      </c>
      <c r="AW275" s="6" t="b">
        <v>0</v>
      </c>
      <c r="AX275" s="6" t="b">
        <v>0</v>
      </c>
      <c r="AY275" s="6" t="b">
        <v>0</v>
      </c>
      <c r="AZ275" s="6" t="b">
        <v>0</v>
      </c>
      <c r="BA275" s="6" t="b">
        <v>0</v>
      </c>
      <c r="BB275" s="6" t="b">
        <v>0</v>
      </c>
    </row>
    <row r="276" spans="1:54" ht="15" x14ac:dyDescent="0.25">
      <c r="A276" s="3" t="s">
        <v>608</v>
      </c>
      <c r="B276" s="3" t="str">
        <f ca="1">IFERROR(__xludf.DUMMYFUNCTION("SPLIT(A276,""/"")"),"EleutherAI")</f>
        <v>EleutherAI</v>
      </c>
      <c r="C276" s="3" t="str">
        <f ca="1">IFERROR(__xludf.DUMMYFUNCTION("""COMPUTED_VALUE"""),"gpt-neox")</f>
        <v>gpt-neox</v>
      </c>
      <c r="D276" s="4" t="s">
        <v>609</v>
      </c>
      <c r="E276" s="5">
        <v>44187.609652777777</v>
      </c>
      <c r="F276" s="5">
        <v>44295.117731481485</v>
      </c>
      <c r="G276" s="13">
        <f t="shared" si="24"/>
        <v>107.50807870370772</v>
      </c>
      <c r="H276" s="6" t="b">
        <v>0</v>
      </c>
      <c r="I276" s="7" t="b">
        <v>1</v>
      </c>
      <c r="J276" s="8">
        <v>598</v>
      </c>
      <c r="K276" s="8">
        <v>38</v>
      </c>
      <c r="L276" s="8">
        <v>56</v>
      </c>
      <c r="M276" s="8">
        <v>0</v>
      </c>
      <c r="N276" s="8">
        <v>4</v>
      </c>
      <c r="O276" s="8">
        <v>13</v>
      </c>
      <c r="P276" s="8">
        <v>157</v>
      </c>
      <c r="Q276" s="8">
        <v>3</v>
      </c>
      <c r="R276" s="8">
        <v>63</v>
      </c>
      <c r="S276" s="8">
        <v>12</v>
      </c>
      <c r="T276" s="3" t="s">
        <v>69</v>
      </c>
      <c r="U276" s="10">
        <v>6912</v>
      </c>
      <c r="V276" s="32">
        <v>27</v>
      </c>
      <c r="W276" s="27">
        <v>3.90625E-3</v>
      </c>
      <c r="X276" s="34">
        <v>1</v>
      </c>
      <c r="Y276" s="27">
        <v>3.7037037037037035E-2</v>
      </c>
      <c r="Z276" s="27">
        <v>1.4467592592592592E-4</v>
      </c>
      <c r="AA276" s="35">
        <v>8</v>
      </c>
      <c r="AB276" s="27">
        <v>0.29629629629629628</v>
      </c>
      <c r="AC276" s="27">
        <f t="shared" si="25"/>
        <v>1.1574074074074073E-3</v>
      </c>
      <c r="AD276" s="36">
        <v>3</v>
      </c>
      <c r="AE276" s="27">
        <v>0.1111111111111111</v>
      </c>
      <c r="AF276" s="27">
        <f t="shared" si="26"/>
        <v>4.3402777777777775E-4</v>
      </c>
      <c r="AG276" s="37">
        <v>2</v>
      </c>
      <c r="AH276" s="27">
        <v>7.407407407407407E-2</v>
      </c>
      <c r="AI276" s="27">
        <f t="shared" si="27"/>
        <v>2.8935185185185184E-4</v>
      </c>
      <c r="AJ276" s="38">
        <v>0</v>
      </c>
      <c r="AK276" s="27">
        <v>0</v>
      </c>
      <c r="AL276" s="27">
        <f t="shared" si="28"/>
        <v>0</v>
      </c>
      <c r="AM276" s="40">
        <v>13</v>
      </c>
      <c r="AN276" s="27">
        <v>0.48148148148148145</v>
      </c>
      <c r="AO276" s="27">
        <f t="shared" si="29"/>
        <v>1.8807870370370369E-3</v>
      </c>
      <c r="AP276" s="7" t="b">
        <v>1</v>
      </c>
      <c r="AQ276" s="6" t="b">
        <v>0</v>
      </c>
      <c r="AR276" s="6" t="b">
        <v>0</v>
      </c>
      <c r="AS276" s="6" t="b">
        <v>0</v>
      </c>
      <c r="AT276" s="7" t="b">
        <v>1</v>
      </c>
      <c r="AU276" s="6" t="b">
        <v>0</v>
      </c>
      <c r="AV276" s="6" t="b">
        <v>0</v>
      </c>
      <c r="AW276" s="6" t="b">
        <v>0</v>
      </c>
      <c r="AX276" s="6" t="b">
        <v>0</v>
      </c>
      <c r="AY276" s="6" t="b">
        <v>0</v>
      </c>
      <c r="AZ276" s="6" t="b">
        <v>0</v>
      </c>
      <c r="BA276" s="6" t="b">
        <v>0</v>
      </c>
      <c r="BB276" s="6" t="b">
        <v>0</v>
      </c>
    </row>
    <row r="277" spans="1:54" ht="15" x14ac:dyDescent="0.25">
      <c r="A277" s="3" t="s">
        <v>610</v>
      </c>
      <c r="B277" s="3" t="str">
        <f ca="1">IFERROR(__xludf.DUMMYFUNCTION("SPLIT(A277,""/"")"),"eliasgranderubio")</f>
        <v>eliasgranderubio</v>
      </c>
      <c r="C277" s="3" t="str">
        <f ca="1">IFERROR(__xludf.DUMMYFUNCTION("""COMPUTED_VALUE"""),"dagda")</f>
        <v>dagda</v>
      </c>
      <c r="D277" s="4" t="s">
        <v>611</v>
      </c>
      <c r="E277" s="5">
        <v>42689.908217592594</v>
      </c>
      <c r="F277" s="5">
        <v>44292.830787037034</v>
      </c>
      <c r="G277" s="13">
        <f t="shared" si="24"/>
        <v>1602.9225694444394</v>
      </c>
      <c r="H277" s="6" t="b">
        <v>0</v>
      </c>
      <c r="I277" s="6" t="b">
        <v>0</v>
      </c>
      <c r="J277" s="8">
        <v>829</v>
      </c>
      <c r="K277" s="8">
        <v>34</v>
      </c>
      <c r="L277" s="8">
        <v>119</v>
      </c>
      <c r="M277" s="8">
        <v>7</v>
      </c>
      <c r="N277" s="8">
        <v>0</v>
      </c>
      <c r="O277" s="8">
        <v>7</v>
      </c>
      <c r="P277" s="8">
        <v>22</v>
      </c>
      <c r="Q277" s="8">
        <v>4</v>
      </c>
      <c r="R277" s="8">
        <v>72</v>
      </c>
      <c r="S277" s="8">
        <v>16</v>
      </c>
      <c r="T277" s="3" t="s">
        <v>69</v>
      </c>
      <c r="U277" s="10">
        <v>4549</v>
      </c>
      <c r="V277" s="32">
        <v>0</v>
      </c>
      <c r="W277" s="27">
        <v>0</v>
      </c>
      <c r="X277" s="34">
        <v>0</v>
      </c>
      <c r="Y277" s="27">
        <v>0</v>
      </c>
      <c r="Z277" s="27">
        <v>0</v>
      </c>
      <c r="AA277" s="35">
        <v>0</v>
      </c>
      <c r="AB277" s="27">
        <v>0</v>
      </c>
      <c r="AC277" s="27">
        <f t="shared" si="25"/>
        <v>0</v>
      </c>
      <c r="AD277" s="36">
        <v>0</v>
      </c>
      <c r="AE277" s="27">
        <v>0</v>
      </c>
      <c r="AF277" s="27">
        <f t="shared" si="26"/>
        <v>0</v>
      </c>
      <c r="AG277" s="37">
        <v>0</v>
      </c>
      <c r="AH277" s="27">
        <v>0</v>
      </c>
      <c r="AI277" s="27">
        <f t="shared" si="27"/>
        <v>0</v>
      </c>
      <c r="AJ277" s="38">
        <v>0</v>
      </c>
      <c r="AK277" s="27">
        <v>0</v>
      </c>
      <c r="AL277" s="27">
        <f t="shared" si="28"/>
        <v>0</v>
      </c>
      <c r="AM277" s="40">
        <v>0</v>
      </c>
      <c r="AN277" s="27">
        <v>0</v>
      </c>
      <c r="AO277" s="27">
        <f t="shared" si="29"/>
        <v>0</v>
      </c>
      <c r="AP277" s="7" t="b">
        <v>1</v>
      </c>
      <c r="AQ277" s="7" t="b">
        <v>1</v>
      </c>
      <c r="AR277" s="6" t="b">
        <v>0</v>
      </c>
      <c r="AS277" s="6" t="b">
        <v>0</v>
      </c>
      <c r="AT277" s="7" t="b">
        <v>1</v>
      </c>
      <c r="AU277" s="6" t="b">
        <v>0</v>
      </c>
      <c r="AV277" s="6" t="b">
        <v>0</v>
      </c>
      <c r="AW277" s="6" t="b">
        <v>0</v>
      </c>
      <c r="AX277" s="6" t="b">
        <v>0</v>
      </c>
      <c r="AY277" s="6" t="b">
        <v>0</v>
      </c>
      <c r="AZ277" s="6" t="b">
        <v>0</v>
      </c>
      <c r="BA277" s="6" t="b">
        <v>0</v>
      </c>
      <c r="BB277" s="6" t="b">
        <v>0</v>
      </c>
    </row>
    <row r="278" spans="1:54" ht="15" x14ac:dyDescent="0.25">
      <c r="A278" s="3" t="s">
        <v>612</v>
      </c>
      <c r="B278" s="3" t="str">
        <f ca="1">IFERROR(__xludf.DUMMYFUNCTION("SPLIT(A278,""/"")"),"EliotAndres")</f>
        <v>EliotAndres</v>
      </c>
      <c r="C278" s="4" t="str">
        <f ca="1">IFERROR(__xludf.DUMMYFUNCTION("""COMPUTED_VALUE"""),"pretrained.ml")</f>
        <v>pretrained.ml</v>
      </c>
      <c r="D278" s="4" t="s">
        <v>613</v>
      </c>
      <c r="E278" s="5">
        <v>43006.676423611112</v>
      </c>
      <c r="F278" s="5">
        <v>44216.846261574072</v>
      </c>
      <c r="G278" s="13">
        <f t="shared" si="24"/>
        <v>1210.1698379629597</v>
      </c>
      <c r="H278" s="6" t="b">
        <v>0</v>
      </c>
      <c r="I278" s="6" t="b">
        <v>0</v>
      </c>
      <c r="J278" s="8">
        <v>367</v>
      </c>
      <c r="K278" s="8">
        <v>22</v>
      </c>
      <c r="L278" s="8">
        <v>63</v>
      </c>
      <c r="M278" s="8">
        <v>0</v>
      </c>
      <c r="N278" s="8">
        <v>0</v>
      </c>
      <c r="O278" s="8">
        <v>3</v>
      </c>
      <c r="P278" s="8">
        <v>2</v>
      </c>
      <c r="Q278" s="8">
        <v>0</v>
      </c>
      <c r="R278" s="8">
        <v>1</v>
      </c>
      <c r="S278" s="8">
        <v>0</v>
      </c>
      <c r="T278" s="3" t="s">
        <v>72</v>
      </c>
      <c r="U278" s="10">
        <v>376</v>
      </c>
      <c r="V278" s="32">
        <v>8</v>
      </c>
      <c r="W278" s="27">
        <v>2.1276595744680851E-2</v>
      </c>
      <c r="X278" s="34">
        <v>0</v>
      </c>
      <c r="Y278" s="27">
        <v>0</v>
      </c>
      <c r="Z278" s="27">
        <v>0</v>
      </c>
      <c r="AA278" s="35">
        <v>8</v>
      </c>
      <c r="AB278" s="27">
        <v>1</v>
      </c>
      <c r="AC278" s="27">
        <f t="shared" si="25"/>
        <v>2.1276595744680851E-2</v>
      </c>
      <c r="AD278" s="36">
        <v>0</v>
      </c>
      <c r="AE278" s="27">
        <v>0</v>
      </c>
      <c r="AF278" s="27">
        <f t="shared" si="26"/>
        <v>0</v>
      </c>
      <c r="AG278" s="37">
        <v>0</v>
      </c>
      <c r="AH278" s="27">
        <v>0</v>
      </c>
      <c r="AI278" s="27">
        <f t="shared" si="27"/>
        <v>0</v>
      </c>
      <c r="AJ278" s="38">
        <v>0</v>
      </c>
      <c r="AK278" s="27">
        <v>0</v>
      </c>
      <c r="AL278" s="27">
        <f t="shared" si="28"/>
        <v>0</v>
      </c>
      <c r="AM278" s="40">
        <v>0</v>
      </c>
      <c r="AN278" s="27">
        <v>0</v>
      </c>
      <c r="AO278" s="27">
        <f t="shared" si="29"/>
        <v>0</v>
      </c>
      <c r="AP278" s="7" t="b">
        <v>1</v>
      </c>
      <c r="AQ278" s="7" t="b">
        <v>1</v>
      </c>
      <c r="AR278" s="6" t="b">
        <v>0</v>
      </c>
      <c r="AS278" s="6" t="b">
        <v>0</v>
      </c>
      <c r="AT278" s="7" t="b">
        <v>1</v>
      </c>
      <c r="AU278" s="6" t="b">
        <v>0</v>
      </c>
      <c r="AV278" s="6" t="b">
        <v>0</v>
      </c>
      <c r="AW278" s="6" t="b">
        <v>0</v>
      </c>
      <c r="AX278" s="6" t="b">
        <v>0</v>
      </c>
      <c r="AY278" s="6" t="b">
        <v>0</v>
      </c>
      <c r="AZ278" s="6" t="b">
        <v>0</v>
      </c>
      <c r="BA278" s="6" t="b">
        <v>0</v>
      </c>
      <c r="BB278" s="6" t="b">
        <v>0</v>
      </c>
    </row>
    <row r="279" spans="1:54" ht="15" x14ac:dyDescent="0.25">
      <c r="A279" s="3" t="s">
        <v>614</v>
      </c>
      <c r="B279" s="3" t="str">
        <f ca="1">IFERROR(__xludf.DUMMYFUNCTION("SPLIT(A279,""/"")"),"elyra-ai")</f>
        <v>elyra-ai</v>
      </c>
      <c r="C279" s="3" t="str">
        <f ca="1">IFERROR(__xludf.DUMMYFUNCTION("""COMPUTED_VALUE"""),"elyra")</f>
        <v>elyra</v>
      </c>
      <c r="D279" s="4" t="s">
        <v>615</v>
      </c>
      <c r="E279" s="5">
        <v>43760.901365740741</v>
      </c>
      <c r="F279" s="5">
        <v>44294.898611111108</v>
      </c>
      <c r="G279" s="13">
        <f t="shared" si="24"/>
        <v>533.99724537036673</v>
      </c>
      <c r="H279" s="6" t="b">
        <v>0</v>
      </c>
      <c r="I279" s="7" t="b">
        <v>1</v>
      </c>
      <c r="J279" s="8">
        <v>866</v>
      </c>
      <c r="K279" s="8">
        <v>33</v>
      </c>
      <c r="L279" s="8">
        <v>133</v>
      </c>
      <c r="M279" s="8">
        <v>0</v>
      </c>
      <c r="N279" s="8">
        <v>10</v>
      </c>
      <c r="O279" s="8">
        <v>24</v>
      </c>
      <c r="P279" s="8">
        <v>643</v>
      </c>
      <c r="Q279" s="8">
        <v>11</v>
      </c>
      <c r="R279" s="8">
        <v>864</v>
      </c>
      <c r="S279" s="8">
        <v>159</v>
      </c>
      <c r="T279" s="3" t="s">
        <v>69</v>
      </c>
      <c r="U279" s="10">
        <v>5260</v>
      </c>
      <c r="V279" s="32">
        <v>92</v>
      </c>
      <c r="W279" s="27">
        <v>1.7490494296577948E-2</v>
      </c>
      <c r="X279" s="34">
        <v>53</v>
      </c>
      <c r="Y279" s="27">
        <v>0.57608695652173914</v>
      </c>
      <c r="Z279" s="27">
        <v>1.0076045627376426E-2</v>
      </c>
      <c r="AA279" s="35">
        <v>9</v>
      </c>
      <c r="AB279" s="27">
        <v>9.7826086956521743E-2</v>
      </c>
      <c r="AC279" s="27">
        <f t="shared" si="25"/>
        <v>1.7110266159695818E-3</v>
      </c>
      <c r="AD279" s="36">
        <v>7</v>
      </c>
      <c r="AE279" s="27">
        <v>7.6086956521739135E-2</v>
      </c>
      <c r="AF279" s="27">
        <f t="shared" si="26"/>
        <v>1.3307984790874524E-3</v>
      </c>
      <c r="AG279" s="37">
        <v>23</v>
      </c>
      <c r="AH279" s="27">
        <v>0.25</v>
      </c>
      <c r="AI279" s="27">
        <f t="shared" si="27"/>
        <v>4.3726235741444871E-3</v>
      </c>
      <c r="AJ279" s="38">
        <v>0</v>
      </c>
      <c r="AK279" s="27">
        <v>0</v>
      </c>
      <c r="AL279" s="27">
        <f t="shared" si="28"/>
        <v>0</v>
      </c>
      <c r="AM279" s="40">
        <v>0</v>
      </c>
      <c r="AN279" s="27">
        <v>0</v>
      </c>
      <c r="AO279" s="27">
        <f t="shared" si="29"/>
        <v>0</v>
      </c>
      <c r="AP279" s="7" t="b">
        <v>1</v>
      </c>
      <c r="AQ279" s="6" t="b">
        <v>0</v>
      </c>
      <c r="AR279" s="6" t="b">
        <v>0</v>
      </c>
      <c r="AS279" s="6" t="b">
        <v>0</v>
      </c>
      <c r="AT279" s="7" t="b">
        <v>1</v>
      </c>
      <c r="AU279" s="6" t="b">
        <v>0</v>
      </c>
      <c r="AV279" s="6" t="b">
        <v>0</v>
      </c>
      <c r="AW279" s="6" t="b">
        <v>0</v>
      </c>
      <c r="AX279" s="6" t="b">
        <v>0</v>
      </c>
      <c r="AY279" s="6" t="b">
        <v>0</v>
      </c>
      <c r="AZ279" s="6" t="b">
        <v>0</v>
      </c>
      <c r="BA279" s="6" t="b">
        <v>0</v>
      </c>
      <c r="BB279" s="6" t="b">
        <v>0</v>
      </c>
    </row>
    <row r="280" spans="1:54" ht="15" x14ac:dyDescent="0.25">
      <c r="A280" s="3" t="s">
        <v>616</v>
      </c>
      <c r="B280" s="3" t="str">
        <f ca="1">IFERROR(__xludf.DUMMYFUNCTION("SPLIT(A280,""/"")"),"Emptyset110")</f>
        <v>Emptyset110</v>
      </c>
      <c r="C280" s="3" t="str">
        <f ca="1">IFERROR(__xludf.DUMMYFUNCTION("""COMPUTED_VALUE"""),"dHydra")</f>
        <v>dHydra</v>
      </c>
      <c r="D280" s="4" t="s">
        <v>617</v>
      </c>
      <c r="E280" s="5">
        <v>42419.676585648151</v>
      </c>
      <c r="F280" s="5">
        <v>44282.579571759263</v>
      </c>
      <c r="G280" s="13">
        <f t="shared" si="24"/>
        <v>1862.9029861111121</v>
      </c>
      <c r="H280" s="6" t="b">
        <v>0</v>
      </c>
      <c r="I280" s="6" t="b">
        <v>0</v>
      </c>
      <c r="J280" s="8">
        <v>458</v>
      </c>
      <c r="K280" s="8">
        <v>115</v>
      </c>
      <c r="L280" s="8">
        <v>253</v>
      </c>
      <c r="M280" s="8">
        <v>0</v>
      </c>
      <c r="N280" s="8">
        <v>0</v>
      </c>
      <c r="O280" s="8">
        <v>2</v>
      </c>
      <c r="P280" s="8">
        <v>11</v>
      </c>
      <c r="Q280" s="8">
        <v>0</v>
      </c>
      <c r="R280" s="8">
        <v>4</v>
      </c>
      <c r="S280" s="8">
        <v>1</v>
      </c>
      <c r="T280" s="3" t="s">
        <v>69</v>
      </c>
      <c r="U280" s="10">
        <v>4438</v>
      </c>
      <c r="V280" s="32">
        <v>223</v>
      </c>
      <c r="W280" s="27">
        <v>5.0247859396124382E-2</v>
      </c>
      <c r="X280" s="34">
        <v>8</v>
      </c>
      <c r="Y280" s="27">
        <v>3.5874439461883408E-2</v>
      </c>
      <c r="Z280" s="27">
        <v>1.8026137899954935E-3</v>
      </c>
      <c r="AA280" s="35">
        <v>115</v>
      </c>
      <c r="AB280" s="27">
        <v>0.51569506726457404</v>
      </c>
      <c r="AC280" s="27">
        <f t="shared" si="25"/>
        <v>2.5912573231185218E-2</v>
      </c>
      <c r="AD280" s="36">
        <v>27</v>
      </c>
      <c r="AE280" s="27">
        <v>0.1210762331838565</v>
      </c>
      <c r="AF280" s="27">
        <f t="shared" si="26"/>
        <v>6.0838215412347902E-3</v>
      </c>
      <c r="AG280" s="37">
        <v>63</v>
      </c>
      <c r="AH280" s="27">
        <v>0.28251121076233182</v>
      </c>
      <c r="AI280" s="27">
        <f t="shared" si="27"/>
        <v>1.4195583596214511E-2</v>
      </c>
      <c r="AJ280" s="38">
        <v>0</v>
      </c>
      <c r="AK280" s="27">
        <v>0</v>
      </c>
      <c r="AL280" s="27">
        <f t="shared" si="28"/>
        <v>0</v>
      </c>
      <c r="AM280" s="40">
        <v>0</v>
      </c>
      <c r="AN280" s="27">
        <v>0</v>
      </c>
      <c r="AO280" s="27">
        <f t="shared" si="29"/>
        <v>0</v>
      </c>
      <c r="AP280" s="7" t="b">
        <v>1</v>
      </c>
      <c r="AQ280" s="6" t="b">
        <v>0</v>
      </c>
      <c r="AR280" s="6" t="b">
        <v>0</v>
      </c>
      <c r="AS280" s="6" t="b">
        <v>0</v>
      </c>
      <c r="AT280" s="7" t="b">
        <v>1</v>
      </c>
      <c r="AU280" s="6" t="b">
        <v>0</v>
      </c>
      <c r="AV280" s="6" t="b">
        <v>0</v>
      </c>
      <c r="AW280" s="6" t="b">
        <v>0</v>
      </c>
      <c r="AX280" s="6" t="b">
        <v>0</v>
      </c>
      <c r="AY280" s="6" t="b">
        <v>0</v>
      </c>
      <c r="AZ280" s="6" t="b">
        <v>0</v>
      </c>
      <c r="BA280" s="6" t="b">
        <v>0</v>
      </c>
      <c r="BB280" s="6" t="b">
        <v>0</v>
      </c>
    </row>
    <row r="281" spans="1:54" ht="15" x14ac:dyDescent="0.25">
      <c r="A281" s="3" t="s">
        <v>618</v>
      </c>
      <c r="B281" s="3" t="str">
        <f ca="1">IFERROR(__xludf.DUMMYFUNCTION("SPLIT(A281,""/"")"),"enigmampc")</f>
        <v>enigmampc</v>
      </c>
      <c r="C281" s="3" t="str">
        <f ca="1">IFERROR(__xludf.DUMMYFUNCTION("""COMPUTED_VALUE"""),"catalyst")</f>
        <v>catalyst</v>
      </c>
      <c r="D281" s="4" t="s">
        <v>619</v>
      </c>
      <c r="E281" s="5">
        <v>42899.938587962963</v>
      </c>
      <c r="F281" s="5">
        <v>44294.71875</v>
      </c>
      <c r="G281" s="13">
        <f t="shared" si="24"/>
        <v>1394.7801620370374</v>
      </c>
      <c r="H281" s="6" t="b">
        <v>0</v>
      </c>
      <c r="I281" s="7" t="b">
        <v>1</v>
      </c>
      <c r="J281" s="8">
        <v>2093</v>
      </c>
      <c r="K281" s="8">
        <v>168</v>
      </c>
      <c r="L281" s="8">
        <v>604</v>
      </c>
      <c r="M281" s="8">
        <v>0</v>
      </c>
      <c r="N281" s="8">
        <v>21</v>
      </c>
      <c r="O281" s="8">
        <v>61</v>
      </c>
      <c r="P281" s="8">
        <v>92</v>
      </c>
      <c r="Q281" s="8">
        <v>11</v>
      </c>
      <c r="R281" s="8">
        <v>487</v>
      </c>
      <c r="S281" s="8">
        <v>124</v>
      </c>
      <c r="T281" s="3" t="s">
        <v>69</v>
      </c>
      <c r="U281" s="10">
        <v>42554</v>
      </c>
      <c r="V281" s="32">
        <v>306</v>
      </c>
      <c r="W281" s="27">
        <v>7.1908633735959021E-3</v>
      </c>
      <c r="X281" s="34">
        <v>56</v>
      </c>
      <c r="Y281" s="27">
        <v>0.18300653594771241</v>
      </c>
      <c r="Z281" s="27">
        <v>1.3159749964750669E-3</v>
      </c>
      <c r="AA281" s="35">
        <v>146</v>
      </c>
      <c r="AB281" s="27">
        <v>0.47712418300653597</v>
      </c>
      <c r="AC281" s="27">
        <f t="shared" si="25"/>
        <v>3.4309348122385673E-3</v>
      </c>
      <c r="AD281" s="36">
        <v>79</v>
      </c>
      <c r="AE281" s="27">
        <v>0.2581699346405229</v>
      </c>
      <c r="AF281" s="27">
        <f t="shared" si="26"/>
        <v>1.8564647271701838E-3</v>
      </c>
      <c r="AG281" s="37">
        <v>17</v>
      </c>
      <c r="AH281" s="27">
        <v>5.5555555555555552E-2</v>
      </c>
      <c r="AI281" s="27">
        <f t="shared" si="27"/>
        <v>3.9949240964421676E-4</v>
      </c>
      <c r="AJ281" s="38">
        <v>0</v>
      </c>
      <c r="AK281" s="27">
        <v>0</v>
      </c>
      <c r="AL281" s="27">
        <f t="shared" si="28"/>
        <v>0</v>
      </c>
      <c r="AM281" s="40">
        <v>0</v>
      </c>
      <c r="AN281" s="27">
        <v>0</v>
      </c>
      <c r="AO281" s="27">
        <f t="shared" si="29"/>
        <v>0</v>
      </c>
      <c r="AP281" s="7" t="b">
        <v>1</v>
      </c>
      <c r="AQ281" s="6" t="b">
        <v>0</v>
      </c>
      <c r="AR281" s="6" t="b">
        <v>0</v>
      </c>
      <c r="AS281" s="6" t="b">
        <v>0</v>
      </c>
      <c r="AT281" s="7" t="b">
        <v>1</v>
      </c>
      <c r="AU281" s="6" t="b">
        <v>0</v>
      </c>
      <c r="AV281" s="6" t="b">
        <v>0</v>
      </c>
      <c r="AW281" s="7" t="b">
        <v>1</v>
      </c>
      <c r="AX281" s="6" t="b">
        <v>0</v>
      </c>
      <c r="AY281" s="6" t="b">
        <v>0</v>
      </c>
      <c r="AZ281" s="6" t="b">
        <v>0</v>
      </c>
      <c r="BA281" s="6" t="b">
        <v>0</v>
      </c>
      <c r="BB281" s="6" t="b">
        <v>0</v>
      </c>
    </row>
    <row r="282" spans="1:54" ht="15" x14ac:dyDescent="0.25">
      <c r="A282" s="3" t="s">
        <v>620</v>
      </c>
      <c r="B282" s="3" t="str">
        <f ca="1">IFERROR(__xludf.DUMMYFUNCTION("SPLIT(A282,""/"")"),"epinna")</f>
        <v>epinna</v>
      </c>
      <c r="C282" s="3" t="str">
        <f ca="1">IFERROR(__xludf.DUMMYFUNCTION("""COMPUTED_VALUE"""),"tplmap")</f>
        <v>tplmap</v>
      </c>
      <c r="D282" s="4" t="s">
        <v>621</v>
      </c>
      <c r="E282" s="5">
        <v>42557.856458333335</v>
      </c>
      <c r="F282" s="5">
        <v>44294.764756944445</v>
      </c>
      <c r="G282" s="13">
        <f t="shared" si="24"/>
        <v>1736.9082986111098</v>
      </c>
      <c r="H282" s="6" t="b">
        <v>0</v>
      </c>
      <c r="I282" s="6" t="b">
        <v>0</v>
      </c>
      <c r="J282" s="8">
        <v>2183</v>
      </c>
      <c r="K282" s="8">
        <v>87</v>
      </c>
      <c r="L282" s="8">
        <v>445</v>
      </c>
      <c r="M282" s="8">
        <v>6</v>
      </c>
      <c r="N282" s="8">
        <v>0</v>
      </c>
      <c r="O282" s="8">
        <v>9</v>
      </c>
      <c r="P282" s="8">
        <v>32</v>
      </c>
      <c r="Q282" s="8">
        <v>10</v>
      </c>
      <c r="R282" s="8">
        <v>59</v>
      </c>
      <c r="S282" s="8">
        <v>11</v>
      </c>
      <c r="T282" s="3" t="s">
        <v>49</v>
      </c>
      <c r="U282" s="10">
        <v>2459</v>
      </c>
      <c r="V282" s="32">
        <v>59</v>
      </c>
      <c r="W282" s="27">
        <v>2.3993493289955266E-2</v>
      </c>
      <c r="X282" s="34">
        <v>15</v>
      </c>
      <c r="Y282" s="27">
        <v>0.25423728813559321</v>
      </c>
      <c r="Z282" s="27">
        <v>6.1000406669377795E-3</v>
      </c>
      <c r="AA282" s="35">
        <v>25</v>
      </c>
      <c r="AB282" s="27">
        <v>0.42372881355932202</v>
      </c>
      <c r="AC282" s="27">
        <f t="shared" si="25"/>
        <v>1.0166734444896299E-2</v>
      </c>
      <c r="AD282" s="36">
        <v>7</v>
      </c>
      <c r="AE282" s="27">
        <v>0.11864406779661017</v>
      </c>
      <c r="AF282" s="27">
        <f t="shared" si="26"/>
        <v>2.8466856445709637E-3</v>
      </c>
      <c r="AG282" s="37">
        <v>10</v>
      </c>
      <c r="AH282" s="27">
        <v>0.16949152542372881</v>
      </c>
      <c r="AI282" s="27">
        <f t="shared" si="27"/>
        <v>4.0666937779585193E-3</v>
      </c>
      <c r="AJ282" s="38">
        <v>2</v>
      </c>
      <c r="AK282" s="27">
        <v>3.3898305084745763E-2</v>
      </c>
      <c r="AL282" s="27">
        <f t="shared" si="28"/>
        <v>8.1333875559170394E-4</v>
      </c>
      <c r="AM282" s="40">
        <v>0</v>
      </c>
      <c r="AN282" s="27">
        <v>0</v>
      </c>
      <c r="AO282" s="27">
        <f t="shared" si="29"/>
        <v>0</v>
      </c>
      <c r="AP282" s="6" t="b">
        <v>0</v>
      </c>
      <c r="AQ282" s="7" t="b">
        <v>1</v>
      </c>
      <c r="AR282" s="6" t="b">
        <v>0</v>
      </c>
      <c r="AS282" s="6" t="b">
        <v>0</v>
      </c>
      <c r="AT282" s="7" t="b">
        <v>1</v>
      </c>
      <c r="AU282" s="6" t="b">
        <v>0</v>
      </c>
      <c r="AV282" s="6" t="b">
        <v>0</v>
      </c>
      <c r="AW282" s="6" t="b">
        <v>0</v>
      </c>
      <c r="AX282" s="6" t="b">
        <v>0</v>
      </c>
      <c r="AY282" s="6" t="b">
        <v>0</v>
      </c>
      <c r="AZ282" s="6" t="b">
        <v>0</v>
      </c>
      <c r="BA282" s="6" t="b">
        <v>0</v>
      </c>
      <c r="BB282" s="6" t="b">
        <v>0</v>
      </c>
    </row>
    <row r="283" spans="1:54" ht="15" x14ac:dyDescent="0.25">
      <c r="A283" s="3" t="s">
        <v>622</v>
      </c>
      <c r="B283" s="3" t="str">
        <f ca="1">IFERROR(__xludf.DUMMYFUNCTION("SPLIT(A283,""/"")"),"epinna")</f>
        <v>epinna</v>
      </c>
      <c r="C283" s="3" t="str">
        <f ca="1">IFERROR(__xludf.DUMMYFUNCTION("""COMPUTED_VALUE"""),"weevely3")</f>
        <v>weevely3</v>
      </c>
      <c r="D283" s="4" t="s">
        <v>623</v>
      </c>
      <c r="E283" s="5">
        <v>41902.428344907406</v>
      </c>
      <c r="F283" s="5">
        <v>44294.582303240742</v>
      </c>
      <c r="G283" s="13">
        <f t="shared" si="24"/>
        <v>2392.153958333336</v>
      </c>
      <c r="H283" s="6" t="b">
        <v>0</v>
      </c>
      <c r="I283" s="6" t="b">
        <v>0</v>
      </c>
      <c r="J283" s="8">
        <v>2219</v>
      </c>
      <c r="K283" s="8">
        <v>131</v>
      </c>
      <c r="L283" s="8">
        <v>483</v>
      </c>
      <c r="M283" s="8">
        <v>11</v>
      </c>
      <c r="N283" s="8">
        <v>0</v>
      </c>
      <c r="O283" s="8">
        <v>17</v>
      </c>
      <c r="P283" s="8">
        <v>28</v>
      </c>
      <c r="Q283" s="8">
        <v>1</v>
      </c>
      <c r="R283" s="8">
        <v>116</v>
      </c>
      <c r="S283" s="8">
        <v>8</v>
      </c>
      <c r="T283" s="3" t="s">
        <v>49</v>
      </c>
      <c r="U283" s="10">
        <v>5285</v>
      </c>
      <c r="V283" s="32">
        <v>134</v>
      </c>
      <c r="W283" s="27">
        <v>2.5354777672658469E-2</v>
      </c>
      <c r="X283" s="34">
        <v>22</v>
      </c>
      <c r="Y283" s="27">
        <v>0.16417910447761194</v>
      </c>
      <c r="Z283" s="27">
        <v>4.162724692526017E-3</v>
      </c>
      <c r="AA283" s="35">
        <v>26</v>
      </c>
      <c r="AB283" s="27">
        <v>0.19402985074626866</v>
      </c>
      <c r="AC283" s="27">
        <f t="shared" si="25"/>
        <v>4.9195837275307474E-3</v>
      </c>
      <c r="AD283" s="36">
        <v>76</v>
      </c>
      <c r="AE283" s="27">
        <v>0.56716417910447758</v>
      </c>
      <c r="AF283" s="27">
        <f t="shared" si="26"/>
        <v>1.4380321665089877E-2</v>
      </c>
      <c r="AG283" s="37">
        <v>7</v>
      </c>
      <c r="AH283" s="27">
        <v>5.2238805970149252E-2</v>
      </c>
      <c r="AI283" s="27">
        <f t="shared" si="27"/>
        <v>1.3245033112582781E-3</v>
      </c>
      <c r="AJ283" s="38">
        <v>1</v>
      </c>
      <c r="AK283" s="27">
        <v>7.462686567164179E-3</v>
      </c>
      <c r="AL283" s="27">
        <f t="shared" si="28"/>
        <v>1.8921475875118259E-4</v>
      </c>
      <c r="AM283" s="40">
        <v>0</v>
      </c>
      <c r="AN283" s="27">
        <v>0</v>
      </c>
      <c r="AO283" s="27">
        <f t="shared" si="29"/>
        <v>0</v>
      </c>
      <c r="AP283" s="7" t="b">
        <v>1</v>
      </c>
      <c r="AQ283" s="6" t="b">
        <v>0</v>
      </c>
      <c r="AR283" s="6" t="b">
        <v>0</v>
      </c>
      <c r="AS283" s="6" t="b">
        <v>0</v>
      </c>
      <c r="AT283" s="7" t="b">
        <v>1</v>
      </c>
      <c r="AU283" s="6" t="b">
        <v>0</v>
      </c>
      <c r="AV283" s="6" t="b">
        <v>0</v>
      </c>
      <c r="AW283" s="6" t="b">
        <v>0</v>
      </c>
      <c r="AX283" s="6" t="b">
        <v>0</v>
      </c>
      <c r="AY283" s="6" t="b">
        <v>0</v>
      </c>
      <c r="AZ283" s="6" t="b">
        <v>0</v>
      </c>
      <c r="BA283" s="6" t="b">
        <v>0</v>
      </c>
      <c r="BB283" s="6" t="b">
        <v>0</v>
      </c>
    </row>
    <row r="284" spans="1:54" ht="15" x14ac:dyDescent="0.25">
      <c r="A284" s="3" t="s">
        <v>624</v>
      </c>
      <c r="B284" s="3" t="str">
        <f ca="1">IFERROR(__xludf.DUMMYFUNCTION("SPLIT(A284,""/"")"),"EricJMarti")</f>
        <v>EricJMarti</v>
      </c>
      <c r="C284" s="3" t="str">
        <f ca="1">IFERROR(__xludf.DUMMYFUNCTION("""COMPUTED_VALUE"""),"inventory-hunter")</f>
        <v>inventory-hunter</v>
      </c>
      <c r="D284" s="4" t="s">
        <v>625</v>
      </c>
      <c r="E284" s="5">
        <v>44151.927569444444</v>
      </c>
      <c r="F284" s="5">
        <v>44294.956134259257</v>
      </c>
      <c r="G284" s="13">
        <f t="shared" si="24"/>
        <v>143.02856481481285</v>
      </c>
      <c r="H284" s="6" t="b">
        <v>0</v>
      </c>
      <c r="I284" s="6" t="b">
        <v>0</v>
      </c>
      <c r="J284" s="8">
        <v>833</v>
      </c>
      <c r="K284" s="8">
        <v>43</v>
      </c>
      <c r="L284" s="8">
        <v>199</v>
      </c>
      <c r="M284" s="8">
        <v>0</v>
      </c>
      <c r="N284" s="8">
        <v>2</v>
      </c>
      <c r="O284" s="8">
        <v>21</v>
      </c>
      <c r="P284" s="8">
        <v>42</v>
      </c>
      <c r="Q284" s="8">
        <v>5</v>
      </c>
      <c r="R284" s="8">
        <v>157</v>
      </c>
      <c r="S284" s="8">
        <v>72</v>
      </c>
      <c r="T284" s="3" t="s">
        <v>72</v>
      </c>
      <c r="U284" s="10">
        <v>1530</v>
      </c>
      <c r="V284" s="32">
        <v>81</v>
      </c>
      <c r="W284" s="27">
        <v>5.2941176470588235E-2</v>
      </c>
      <c r="X284" s="34">
        <v>10</v>
      </c>
      <c r="Y284" s="27">
        <v>0.12345679012345678</v>
      </c>
      <c r="Z284" s="27">
        <v>6.5359477124183009E-3</v>
      </c>
      <c r="AA284" s="35">
        <v>13</v>
      </c>
      <c r="AB284" s="27">
        <v>0.16049382716049382</v>
      </c>
      <c r="AC284" s="27">
        <f t="shared" si="25"/>
        <v>8.4967320261437902E-3</v>
      </c>
      <c r="AD284" s="36">
        <v>45</v>
      </c>
      <c r="AE284" s="27">
        <v>0.55555555555555558</v>
      </c>
      <c r="AF284" s="27">
        <f t="shared" si="26"/>
        <v>2.9411764705882353E-2</v>
      </c>
      <c r="AG284" s="37">
        <v>12</v>
      </c>
      <c r="AH284" s="27">
        <v>0.14814814814814814</v>
      </c>
      <c r="AI284" s="27">
        <f t="shared" si="27"/>
        <v>7.8431372549019607E-3</v>
      </c>
      <c r="AJ284" s="38">
        <v>0</v>
      </c>
      <c r="AK284" s="27">
        <v>0</v>
      </c>
      <c r="AL284" s="27">
        <f t="shared" si="28"/>
        <v>0</v>
      </c>
      <c r="AM284" s="40">
        <v>1</v>
      </c>
      <c r="AN284" s="27">
        <v>1.2345679012345678E-2</v>
      </c>
      <c r="AO284" s="27">
        <f t="shared" si="29"/>
        <v>6.5359477124183002E-4</v>
      </c>
      <c r="AP284" s="7" t="b">
        <v>1</v>
      </c>
      <c r="AQ284" s="6" t="b">
        <v>0</v>
      </c>
      <c r="AR284" s="6" t="b">
        <v>0</v>
      </c>
      <c r="AS284" s="6" t="b">
        <v>0</v>
      </c>
      <c r="AT284" s="7" t="b">
        <v>1</v>
      </c>
      <c r="AU284" s="6" t="b">
        <v>0</v>
      </c>
      <c r="AV284" s="6" t="b">
        <v>0</v>
      </c>
      <c r="AW284" s="6" t="b">
        <v>0</v>
      </c>
      <c r="AX284" s="6" t="b">
        <v>0</v>
      </c>
      <c r="AY284" s="6" t="b">
        <v>0</v>
      </c>
      <c r="AZ284" s="6" t="b">
        <v>0</v>
      </c>
      <c r="BA284" s="6" t="b">
        <v>0</v>
      </c>
      <c r="BB284" s="6" t="b">
        <v>0</v>
      </c>
    </row>
    <row r="285" spans="1:54" ht="15" x14ac:dyDescent="0.25">
      <c r="A285" s="3" t="s">
        <v>626</v>
      </c>
      <c r="B285" s="3" t="str">
        <f ca="1">IFERROR(__xludf.DUMMYFUNCTION("SPLIT(A285,""/"")"),"Ericsson")</f>
        <v>Ericsson</v>
      </c>
      <c r="C285" s="3" t="str">
        <f ca="1">IFERROR(__xludf.DUMMYFUNCTION("""COMPUTED_VALUE"""),"codechecker")</f>
        <v>codechecker</v>
      </c>
      <c r="D285" s="4" t="s">
        <v>627</v>
      </c>
      <c r="E285" s="5">
        <v>42170.443645833337</v>
      </c>
      <c r="F285" s="5">
        <v>44294.702407407407</v>
      </c>
      <c r="G285" s="13">
        <f t="shared" si="24"/>
        <v>2124.2587615740704</v>
      </c>
      <c r="H285" s="6" t="b">
        <v>0</v>
      </c>
      <c r="I285" s="7" t="b">
        <v>1</v>
      </c>
      <c r="J285" s="8">
        <v>1226</v>
      </c>
      <c r="K285" s="8">
        <v>54</v>
      </c>
      <c r="L285" s="8">
        <v>164</v>
      </c>
      <c r="M285" s="8">
        <v>40</v>
      </c>
      <c r="N285" s="8">
        <v>18</v>
      </c>
      <c r="O285" s="8">
        <v>46</v>
      </c>
      <c r="P285" s="8">
        <v>2199</v>
      </c>
      <c r="Q285" s="8">
        <v>35</v>
      </c>
      <c r="R285" s="8">
        <v>1045</v>
      </c>
      <c r="S285" s="8">
        <v>198</v>
      </c>
      <c r="T285" s="3" t="s">
        <v>69</v>
      </c>
      <c r="U285" s="10">
        <v>30552</v>
      </c>
      <c r="V285" s="32">
        <v>1018</v>
      </c>
      <c r="W285" s="27">
        <v>3.3320240900759364E-2</v>
      </c>
      <c r="X285" s="34">
        <v>398</v>
      </c>
      <c r="Y285" s="27">
        <v>0.39096267190569745</v>
      </c>
      <c r="Z285" s="27">
        <v>1.3026970411102384E-2</v>
      </c>
      <c r="AA285" s="35">
        <v>178</v>
      </c>
      <c r="AB285" s="27">
        <v>0.17485265225933203</v>
      </c>
      <c r="AC285" s="27">
        <f t="shared" si="25"/>
        <v>5.8261324954176482E-3</v>
      </c>
      <c r="AD285" s="36">
        <v>141</v>
      </c>
      <c r="AE285" s="27">
        <v>0.13850687622789784</v>
      </c>
      <c r="AF285" s="27">
        <f t="shared" si="26"/>
        <v>4.6150824823252157E-3</v>
      </c>
      <c r="AG285" s="37">
        <v>300</v>
      </c>
      <c r="AH285" s="27">
        <v>0.29469548133595286</v>
      </c>
      <c r="AI285" s="27">
        <f t="shared" si="27"/>
        <v>9.8193244304791826E-3</v>
      </c>
      <c r="AJ285" s="38">
        <v>1</v>
      </c>
      <c r="AK285" s="27">
        <v>9.8231827111984276E-4</v>
      </c>
      <c r="AL285" s="27">
        <f t="shared" si="28"/>
        <v>3.2731081434930612E-5</v>
      </c>
      <c r="AM285" s="40">
        <v>0</v>
      </c>
      <c r="AN285" s="27">
        <v>0</v>
      </c>
      <c r="AO285" s="27">
        <f t="shared" si="29"/>
        <v>0</v>
      </c>
      <c r="AP285" s="7" t="b">
        <v>1</v>
      </c>
      <c r="AQ285" s="6" t="b">
        <v>0</v>
      </c>
      <c r="AR285" s="6" t="b">
        <v>0</v>
      </c>
      <c r="AS285" s="6" t="b">
        <v>0</v>
      </c>
      <c r="AT285" s="7" t="b">
        <v>1</v>
      </c>
      <c r="AU285" s="6" t="b">
        <v>0</v>
      </c>
      <c r="AV285" s="6" t="b">
        <v>0</v>
      </c>
      <c r="AW285" s="6" t="b">
        <v>0</v>
      </c>
      <c r="AX285" s="6" t="b">
        <v>0</v>
      </c>
      <c r="AY285" s="6" t="b">
        <v>0</v>
      </c>
      <c r="AZ285" s="6" t="b">
        <v>0</v>
      </c>
      <c r="BA285" s="6" t="b">
        <v>0</v>
      </c>
      <c r="BB285" s="6" t="b">
        <v>0</v>
      </c>
    </row>
    <row r="286" spans="1:54" ht="15" x14ac:dyDescent="0.25">
      <c r="A286" s="3" t="s">
        <v>628</v>
      </c>
      <c r="B286" s="3" t="str">
        <f ca="1">IFERROR(__xludf.DUMMYFUNCTION("SPLIT(A286,""/"")"),"erikbern")</f>
        <v>erikbern</v>
      </c>
      <c r="C286" s="3" t="str">
        <f ca="1">IFERROR(__xludf.DUMMYFUNCTION("""COMPUTED_VALUE"""),"ann-benchmarks")</f>
        <v>ann-benchmarks</v>
      </c>
      <c r="D286" s="4" t="s">
        <v>629</v>
      </c>
      <c r="E286" s="5">
        <v>42152.556747685187</v>
      </c>
      <c r="F286" s="5">
        <v>44294.463460648149</v>
      </c>
      <c r="G286" s="13">
        <f t="shared" si="24"/>
        <v>2141.906712962962</v>
      </c>
      <c r="H286" s="6" t="b">
        <v>0</v>
      </c>
      <c r="I286" s="6" t="b">
        <v>0</v>
      </c>
      <c r="J286" s="8">
        <v>2149</v>
      </c>
      <c r="K286" s="8">
        <v>93</v>
      </c>
      <c r="L286" s="8">
        <v>335</v>
      </c>
      <c r="M286" s="8">
        <v>0</v>
      </c>
      <c r="N286" s="8">
        <v>26</v>
      </c>
      <c r="O286" s="8">
        <v>32</v>
      </c>
      <c r="P286" s="8">
        <v>143</v>
      </c>
      <c r="Q286" s="8">
        <v>6</v>
      </c>
      <c r="R286" s="8">
        <v>87</v>
      </c>
      <c r="S286" s="8">
        <v>27</v>
      </c>
      <c r="T286" s="3" t="s">
        <v>72</v>
      </c>
      <c r="U286" s="10">
        <v>2878</v>
      </c>
      <c r="V286" s="32">
        <v>12</v>
      </c>
      <c r="W286" s="27">
        <v>4.1695621959694229E-3</v>
      </c>
      <c r="X286" s="34">
        <v>0</v>
      </c>
      <c r="Y286" s="27">
        <v>0</v>
      </c>
      <c r="Z286" s="27">
        <v>0</v>
      </c>
      <c r="AA286" s="35">
        <v>8</v>
      </c>
      <c r="AB286" s="27">
        <v>0.66666666666666663</v>
      </c>
      <c r="AC286" s="27">
        <f t="shared" si="25"/>
        <v>2.7797081306462821E-3</v>
      </c>
      <c r="AD286" s="36">
        <v>1</v>
      </c>
      <c r="AE286" s="27">
        <v>8.3333333333333329E-2</v>
      </c>
      <c r="AF286" s="27">
        <f t="shared" si="26"/>
        <v>3.4746351633078526E-4</v>
      </c>
      <c r="AG286" s="37">
        <v>3</v>
      </c>
      <c r="AH286" s="27">
        <v>0.25</v>
      </c>
      <c r="AI286" s="27">
        <f t="shared" si="27"/>
        <v>1.0423905489923557E-3</v>
      </c>
      <c r="AJ286" s="38">
        <v>0</v>
      </c>
      <c r="AK286" s="27">
        <v>0</v>
      </c>
      <c r="AL286" s="27">
        <f t="shared" si="28"/>
        <v>0</v>
      </c>
      <c r="AM286" s="40">
        <v>0</v>
      </c>
      <c r="AN286" s="27">
        <v>0</v>
      </c>
      <c r="AO286" s="27">
        <f t="shared" si="29"/>
        <v>0</v>
      </c>
      <c r="AP286" s="7" t="b">
        <v>1</v>
      </c>
      <c r="AQ286" s="6" t="b">
        <v>0</v>
      </c>
      <c r="AR286" s="6" t="b">
        <v>0</v>
      </c>
      <c r="AS286" s="6" t="b">
        <v>0</v>
      </c>
      <c r="AT286" s="7" t="b">
        <v>1</v>
      </c>
      <c r="AU286" s="6" t="b">
        <v>0</v>
      </c>
      <c r="AV286" s="6" t="b">
        <v>0</v>
      </c>
      <c r="AW286" s="6" t="b">
        <v>0</v>
      </c>
      <c r="AX286" s="6" t="b">
        <v>0</v>
      </c>
      <c r="AY286" s="6" t="b">
        <v>0</v>
      </c>
      <c r="AZ286" s="6" t="b">
        <v>0</v>
      </c>
      <c r="BA286" s="6" t="b">
        <v>0</v>
      </c>
      <c r="BB286" s="6" t="b">
        <v>0</v>
      </c>
    </row>
    <row r="287" spans="1:54" ht="15" x14ac:dyDescent="0.25">
      <c r="A287" s="3" t="s">
        <v>630</v>
      </c>
      <c r="B287" s="3" t="str">
        <f ca="1">IFERROR(__xludf.DUMMYFUNCTION("SPLIT(A287,""/"")"),"errbotio")</f>
        <v>errbotio</v>
      </c>
      <c r="C287" s="3" t="str">
        <f ca="1">IFERROR(__xludf.DUMMYFUNCTION("""COMPUTED_VALUE"""),"errbot")</f>
        <v>errbot</v>
      </c>
      <c r="D287" s="4" t="s">
        <v>631</v>
      </c>
      <c r="E287" s="5">
        <v>41049.884502314817</v>
      </c>
      <c r="F287" s="5">
        <v>44294.301018518519</v>
      </c>
      <c r="G287" s="13">
        <f t="shared" si="24"/>
        <v>3244.4165162037025</v>
      </c>
      <c r="H287" s="6" t="b">
        <v>0</v>
      </c>
      <c r="I287" s="7" t="b">
        <v>1</v>
      </c>
      <c r="J287" s="8">
        <v>2463</v>
      </c>
      <c r="K287" s="8">
        <v>68</v>
      </c>
      <c r="L287" s="8">
        <v>515</v>
      </c>
      <c r="M287" s="8">
        <v>0</v>
      </c>
      <c r="N287" s="8">
        <v>19</v>
      </c>
      <c r="O287" s="8">
        <v>168</v>
      </c>
      <c r="P287" s="8">
        <v>779</v>
      </c>
      <c r="Q287" s="8">
        <v>16</v>
      </c>
      <c r="R287" s="8">
        <v>731</v>
      </c>
      <c r="S287" s="8">
        <v>78</v>
      </c>
      <c r="T287" s="3" t="s">
        <v>49</v>
      </c>
      <c r="U287" s="10">
        <v>11011</v>
      </c>
      <c r="V287" s="32">
        <v>470</v>
      </c>
      <c r="W287" s="27">
        <v>4.2684588139133596E-2</v>
      </c>
      <c r="X287" s="34">
        <v>199</v>
      </c>
      <c r="Y287" s="27">
        <v>0.42340425531914894</v>
      </c>
      <c r="Z287" s="27">
        <v>1.8072836254654435E-2</v>
      </c>
      <c r="AA287" s="35">
        <v>128</v>
      </c>
      <c r="AB287" s="27">
        <v>0.2723404255319149</v>
      </c>
      <c r="AC287" s="27">
        <f t="shared" si="25"/>
        <v>1.162473889746617E-2</v>
      </c>
      <c r="AD287" s="36">
        <v>40</v>
      </c>
      <c r="AE287" s="27">
        <v>8.5106382978723402E-2</v>
      </c>
      <c r="AF287" s="27">
        <f t="shared" si="26"/>
        <v>3.6327309054581783E-3</v>
      </c>
      <c r="AG287" s="37">
        <v>93</v>
      </c>
      <c r="AH287" s="27">
        <v>0.19787234042553192</v>
      </c>
      <c r="AI287" s="27">
        <f t="shared" si="27"/>
        <v>8.4460993551902647E-3</v>
      </c>
      <c r="AJ287" s="38">
        <v>14</v>
      </c>
      <c r="AK287" s="27">
        <v>2.9787234042553193E-2</v>
      </c>
      <c r="AL287" s="27">
        <f t="shared" si="28"/>
        <v>1.2714558169103624E-3</v>
      </c>
      <c r="AM287" s="40">
        <v>0</v>
      </c>
      <c r="AN287" s="27">
        <v>0</v>
      </c>
      <c r="AO287" s="27">
        <f t="shared" si="29"/>
        <v>0</v>
      </c>
      <c r="AP287" s="7" t="b">
        <v>1</v>
      </c>
      <c r="AQ287" s="6" t="b">
        <v>0</v>
      </c>
      <c r="AR287" s="6" t="b">
        <v>0</v>
      </c>
      <c r="AS287" s="6" t="b">
        <v>0</v>
      </c>
      <c r="AT287" s="7" t="b">
        <v>1</v>
      </c>
      <c r="AU287" s="6" t="b">
        <v>0</v>
      </c>
      <c r="AV287" s="6" t="b">
        <v>0</v>
      </c>
      <c r="AW287" s="6" t="b">
        <v>0</v>
      </c>
      <c r="AX287" s="6" t="b">
        <v>0</v>
      </c>
      <c r="AY287" s="6" t="b">
        <v>0</v>
      </c>
      <c r="AZ287" s="6" t="b">
        <v>0</v>
      </c>
      <c r="BA287" s="6" t="b">
        <v>0</v>
      </c>
      <c r="BB287" s="6" t="b">
        <v>0</v>
      </c>
    </row>
    <row r="288" spans="1:54" ht="15" x14ac:dyDescent="0.25">
      <c r="A288" s="3" t="s">
        <v>632</v>
      </c>
      <c r="B288" s="3" t="str">
        <f ca="1">IFERROR(__xludf.DUMMYFUNCTION("SPLIT(A288,""/"")"),"espnet")</f>
        <v>espnet</v>
      </c>
      <c r="C288" s="3" t="str">
        <f ca="1">IFERROR(__xludf.DUMMYFUNCTION("""COMPUTED_VALUE"""),"espnet")</f>
        <v>espnet</v>
      </c>
      <c r="D288" s="4" t="s">
        <v>633</v>
      </c>
      <c r="E288" s="5">
        <v>43082.031377314815</v>
      </c>
      <c r="F288" s="5">
        <v>44295.135497685187</v>
      </c>
      <c r="G288" s="13">
        <f t="shared" si="24"/>
        <v>1213.1041203703717</v>
      </c>
      <c r="H288" s="6" t="b">
        <v>0</v>
      </c>
      <c r="I288" s="7" t="b">
        <v>1</v>
      </c>
      <c r="J288" s="8">
        <v>3635</v>
      </c>
      <c r="K288" s="8">
        <v>172</v>
      </c>
      <c r="L288" s="8">
        <v>1100</v>
      </c>
      <c r="M288" s="8">
        <v>34</v>
      </c>
      <c r="N288" s="8">
        <v>38</v>
      </c>
      <c r="O288" s="8">
        <v>107</v>
      </c>
      <c r="P288" s="8">
        <v>1881</v>
      </c>
      <c r="Q288" s="8">
        <v>29</v>
      </c>
      <c r="R288" s="8">
        <v>1258</v>
      </c>
      <c r="S288" s="8">
        <v>139</v>
      </c>
      <c r="T288" s="3" t="s">
        <v>69</v>
      </c>
      <c r="U288" s="10">
        <v>54109</v>
      </c>
      <c r="V288" s="32">
        <v>889</v>
      </c>
      <c r="W288" s="27">
        <v>1.6429799109205494E-2</v>
      </c>
      <c r="X288" s="34">
        <v>84</v>
      </c>
      <c r="Y288" s="27">
        <v>9.4488188976377951E-2</v>
      </c>
      <c r="Z288" s="27">
        <v>1.5524219630745346E-3</v>
      </c>
      <c r="AA288" s="35">
        <v>566</v>
      </c>
      <c r="AB288" s="27">
        <v>0.63667041619797526</v>
      </c>
      <c r="AC288" s="27">
        <f t="shared" si="25"/>
        <v>1.0460367036906984E-2</v>
      </c>
      <c r="AD288" s="36">
        <v>188</v>
      </c>
      <c r="AE288" s="27">
        <v>0.21147356580427445</v>
      </c>
      <c r="AF288" s="27">
        <f t="shared" si="26"/>
        <v>3.4744682030715779E-3</v>
      </c>
      <c r="AG288" s="37">
        <v>48</v>
      </c>
      <c r="AH288" s="27">
        <v>5.3993250843644543E-2</v>
      </c>
      <c r="AI288" s="27">
        <f t="shared" si="27"/>
        <v>8.8709826461401983E-4</v>
      </c>
      <c r="AJ288" s="38">
        <v>1</v>
      </c>
      <c r="AK288" s="27">
        <v>1.1248593925759281E-3</v>
      </c>
      <c r="AL288" s="27">
        <f t="shared" si="28"/>
        <v>1.8481213846125413E-5</v>
      </c>
      <c r="AM288" s="40">
        <v>2</v>
      </c>
      <c r="AN288" s="27">
        <v>2.2497187851518562E-3</v>
      </c>
      <c r="AO288" s="27">
        <f t="shared" si="29"/>
        <v>3.6962427692250826E-5</v>
      </c>
      <c r="AP288" s="7" t="b">
        <v>1</v>
      </c>
      <c r="AQ288" s="6" t="b">
        <v>0</v>
      </c>
      <c r="AR288" s="6" t="b">
        <v>0</v>
      </c>
      <c r="AS288" s="6" t="b">
        <v>0</v>
      </c>
      <c r="AT288" s="7" t="b">
        <v>1</v>
      </c>
      <c r="AU288" s="6" t="b">
        <v>0</v>
      </c>
      <c r="AV288" s="6" t="b">
        <v>0</v>
      </c>
      <c r="AW288" s="6" t="b">
        <v>0</v>
      </c>
      <c r="AX288" s="6" t="b">
        <v>0</v>
      </c>
      <c r="AY288" s="6" t="b">
        <v>0</v>
      </c>
      <c r="AZ288" s="6" t="b">
        <v>0</v>
      </c>
      <c r="BA288" s="6" t="b">
        <v>0</v>
      </c>
      <c r="BB288" s="6" t="b">
        <v>0</v>
      </c>
    </row>
    <row r="289" spans="1:54" ht="15" x14ac:dyDescent="0.25">
      <c r="A289" s="3" t="s">
        <v>634</v>
      </c>
      <c r="B289" s="3" t="str">
        <f ca="1">IFERROR(__xludf.DUMMYFUNCTION("SPLIT(A289,""/"")"),"eth-brownie")</f>
        <v>eth-brownie</v>
      </c>
      <c r="C289" s="3" t="str">
        <f ca="1">IFERROR(__xludf.DUMMYFUNCTION("""COMPUTED_VALUE"""),"brownie")</f>
        <v>brownie</v>
      </c>
      <c r="D289" s="4" t="s">
        <v>635</v>
      </c>
      <c r="E289" s="5">
        <v>43406.819050925929</v>
      </c>
      <c r="F289" s="5">
        <v>44295.132233796299</v>
      </c>
      <c r="G289" s="13">
        <f t="shared" si="24"/>
        <v>888.31318287036993</v>
      </c>
      <c r="H289" s="6" t="b">
        <v>0</v>
      </c>
      <c r="I289" s="7" t="b">
        <v>1</v>
      </c>
      <c r="J289" s="8">
        <v>524</v>
      </c>
      <c r="K289" s="8">
        <v>20</v>
      </c>
      <c r="L289" s="8">
        <v>107</v>
      </c>
      <c r="M289" s="8">
        <v>100</v>
      </c>
      <c r="N289" s="8">
        <v>3</v>
      </c>
      <c r="O289" s="8">
        <v>38</v>
      </c>
      <c r="P289" s="8">
        <v>629</v>
      </c>
      <c r="Q289" s="8">
        <v>14</v>
      </c>
      <c r="R289" s="8">
        <v>415</v>
      </c>
      <c r="S289" s="8">
        <v>94</v>
      </c>
      <c r="T289" s="3" t="s">
        <v>72</v>
      </c>
      <c r="U289" s="10">
        <v>17780</v>
      </c>
      <c r="V289" s="32">
        <v>21</v>
      </c>
      <c r="W289" s="27">
        <v>1.1811023622047244E-3</v>
      </c>
      <c r="X289" s="34">
        <v>0</v>
      </c>
      <c r="Y289" s="27">
        <v>0</v>
      </c>
      <c r="Z289" s="27">
        <v>0</v>
      </c>
      <c r="AA289" s="35">
        <v>4</v>
      </c>
      <c r="AB289" s="27">
        <v>0.19047619047619047</v>
      </c>
      <c r="AC289" s="27">
        <f t="shared" si="25"/>
        <v>2.2497187851518559E-4</v>
      </c>
      <c r="AD289" s="36">
        <v>21</v>
      </c>
      <c r="AE289" s="27">
        <v>1</v>
      </c>
      <c r="AF289" s="27">
        <f t="shared" si="26"/>
        <v>1.1811023622047244E-3</v>
      </c>
      <c r="AG289" s="37">
        <v>2</v>
      </c>
      <c r="AH289" s="27">
        <v>9.5238095238095233E-2</v>
      </c>
      <c r="AI289" s="27">
        <f t="shared" si="27"/>
        <v>1.124859392575928E-4</v>
      </c>
      <c r="AJ289" s="38">
        <v>0</v>
      </c>
      <c r="AK289" s="27">
        <v>0</v>
      </c>
      <c r="AL289" s="27">
        <f t="shared" si="28"/>
        <v>0</v>
      </c>
      <c r="AM289" s="40">
        <v>0</v>
      </c>
      <c r="AN289" s="27">
        <v>0</v>
      </c>
      <c r="AO289" s="27">
        <f t="shared" si="29"/>
        <v>0</v>
      </c>
      <c r="AP289" s="7" t="b">
        <v>1</v>
      </c>
      <c r="AQ289" s="7" t="b">
        <v>1</v>
      </c>
      <c r="AR289" s="6" t="b">
        <v>0</v>
      </c>
      <c r="AS289" s="6" t="b">
        <v>0</v>
      </c>
      <c r="AT289" s="7" t="b">
        <v>1</v>
      </c>
      <c r="AU289" s="6" t="b">
        <v>0</v>
      </c>
      <c r="AV289" s="6" t="b">
        <v>0</v>
      </c>
      <c r="AW289" s="6" t="b">
        <v>0</v>
      </c>
      <c r="AX289" s="6" t="b">
        <v>0</v>
      </c>
      <c r="AY289" s="6" t="b">
        <v>0</v>
      </c>
      <c r="AZ289" s="6" t="b">
        <v>0</v>
      </c>
      <c r="BA289" s="6" t="b">
        <v>0</v>
      </c>
      <c r="BB289" s="6" t="b">
        <v>0</v>
      </c>
    </row>
    <row r="290" spans="1:54" ht="15" x14ac:dyDescent="0.25">
      <c r="A290" s="3" t="s">
        <v>636</v>
      </c>
      <c r="B290" s="3" t="str">
        <f ca="1">IFERROR(__xludf.DUMMYFUNCTION("SPLIT(A290,""/"")"),"ethereum")</f>
        <v>ethereum</v>
      </c>
      <c r="C290" s="3" t="str">
        <f ca="1">IFERROR(__xludf.DUMMYFUNCTION("""COMPUTED_VALUE"""),"trinity")</f>
        <v>trinity</v>
      </c>
      <c r="D290" s="4" t="s">
        <v>637</v>
      </c>
      <c r="E290" s="5">
        <v>43158.943993055553</v>
      </c>
      <c r="F290" s="5">
        <v>44293.257719907408</v>
      </c>
      <c r="G290" s="13">
        <f t="shared" si="24"/>
        <v>1134.3137268518549</v>
      </c>
      <c r="H290" s="6" t="b">
        <v>0</v>
      </c>
      <c r="I290" s="7" t="b">
        <v>1</v>
      </c>
      <c r="J290" s="8">
        <v>432</v>
      </c>
      <c r="K290" s="8">
        <v>28</v>
      </c>
      <c r="L290" s="8">
        <v>115</v>
      </c>
      <c r="M290" s="8">
        <v>13</v>
      </c>
      <c r="N290" s="8">
        <v>19</v>
      </c>
      <c r="O290" s="8">
        <v>64</v>
      </c>
      <c r="P290" s="8">
        <v>1372</v>
      </c>
      <c r="Q290" s="8">
        <v>27</v>
      </c>
      <c r="R290" s="8">
        <v>736</v>
      </c>
      <c r="S290" s="8">
        <v>232</v>
      </c>
      <c r="T290" s="3" t="s">
        <v>72</v>
      </c>
      <c r="U290" s="10">
        <v>29076</v>
      </c>
      <c r="V290" s="32">
        <v>594</v>
      </c>
      <c r="W290" s="27">
        <v>2.042921997523731E-2</v>
      </c>
      <c r="X290" s="34">
        <v>286</v>
      </c>
      <c r="Y290" s="27">
        <v>0.48148148148148145</v>
      </c>
      <c r="Z290" s="27">
        <v>9.8362910991883334E-3</v>
      </c>
      <c r="AA290" s="35">
        <v>167</v>
      </c>
      <c r="AB290" s="27">
        <v>0.28114478114478114</v>
      </c>
      <c r="AC290" s="27">
        <f t="shared" si="25"/>
        <v>5.7435685788966842E-3</v>
      </c>
      <c r="AD290" s="36">
        <v>83</v>
      </c>
      <c r="AE290" s="27">
        <v>0.13973063973063973</v>
      </c>
      <c r="AF290" s="27">
        <f t="shared" si="26"/>
        <v>2.854587976337873E-3</v>
      </c>
      <c r="AG290" s="37">
        <v>58</v>
      </c>
      <c r="AH290" s="27">
        <v>9.7643097643097643E-2</v>
      </c>
      <c r="AI290" s="27">
        <f t="shared" si="27"/>
        <v>1.9947723208144173E-3</v>
      </c>
      <c r="AJ290" s="38">
        <v>0</v>
      </c>
      <c r="AK290" s="27">
        <v>0</v>
      </c>
      <c r="AL290" s="27">
        <f t="shared" si="28"/>
        <v>0</v>
      </c>
      <c r="AM290" s="40">
        <v>0</v>
      </c>
      <c r="AN290" s="27">
        <v>0</v>
      </c>
      <c r="AO290" s="27">
        <f t="shared" si="29"/>
        <v>0</v>
      </c>
      <c r="AP290" s="7" t="b">
        <v>1</v>
      </c>
      <c r="AQ290" s="7" t="b">
        <v>1</v>
      </c>
      <c r="AR290" s="6" t="b">
        <v>0</v>
      </c>
      <c r="AS290" s="6" t="b">
        <v>0</v>
      </c>
      <c r="AT290" s="7" t="b">
        <v>1</v>
      </c>
      <c r="AU290" s="6" t="b">
        <v>0</v>
      </c>
      <c r="AV290" s="6" t="b">
        <v>0</v>
      </c>
      <c r="AW290" s="6" t="b">
        <v>0</v>
      </c>
      <c r="AX290" s="6" t="b">
        <v>0</v>
      </c>
      <c r="AY290" s="6" t="b">
        <v>0</v>
      </c>
      <c r="AZ290" s="6" t="b">
        <v>0</v>
      </c>
      <c r="BA290" s="6" t="b">
        <v>0</v>
      </c>
      <c r="BB290" s="6" t="b">
        <v>0</v>
      </c>
    </row>
    <row r="291" spans="1:54" ht="15" x14ac:dyDescent="0.25">
      <c r="A291" s="3" t="s">
        <v>638</v>
      </c>
      <c r="B291" s="3" t="str">
        <f ca="1">IFERROR(__xludf.DUMMYFUNCTION("SPLIT(A291,""/"")"),"ethereum")</f>
        <v>ethereum</v>
      </c>
      <c r="C291" s="4" t="str">
        <f ca="1">IFERROR(__xludf.DUMMYFUNCTION("""COMPUTED_VALUE"""),"web3.py")</f>
        <v>web3.py</v>
      </c>
      <c r="D291" s="4" t="s">
        <v>639</v>
      </c>
      <c r="E291" s="5">
        <v>42474.666377314818</v>
      </c>
      <c r="F291" s="5">
        <v>44295.115162037036</v>
      </c>
      <c r="G291" s="13">
        <f t="shared" si="24"/>
        <v>1820.448784722219</v>
      </c>
      <c r="H291" s="6" t="b">
        <v>0</v>
      </c>
      <c r="I291" s="7" t="b">
        <v>1</v>
      </c>
      <c r="J291" s="8">
        <v>1855</v>
      </c>
      <c r="K291" s="8">
        <v>83</v>
      </c>
      <c r="L291" s="8">
        <v>603</v>
      </c>
      <c r="M291" s="8">
        <v>13</v>
      </c>
      <c r="N291" s="8">
        <v>19</v>
      </c>
      <c r="O291" s="8">
        <v>150</v>
      </c>
      <c r="P291" s="8">
        <v>1059</v>
      </c>
      <c r="Q291" s="8">
        <v>20</v>
      </c>
      <c r="R291" s="8">
        <v>874</v>
      </c>
      <c r="S291" s="8">
        <v>168</v>
      </c>
      <c r="T291" s="3" t="s">
        <v>72</v>
      </c>
      <c r="U291" s="10">
        <v>19455</v>
      </c>
      <c r="V291" s="32">
        <v>27</v>
      </c>
      <c r="W291" s="27">
        <v>1.3878180416345412E-3</v>
      </c>
      <c r="X291" s="34">
        <v>8</v>
      </c>
      <c r="Y291" s="27">
        <v>0.29629629629629628</v>
      </c>
      <c r="Z291" s="27">
        <v>4.1120534566949372E-4</v>
      </c>
      <c r="AA291" s="35">
        <v>3</v>
      </c>
      <c r="AB291" s="27">
        <v>0.1111111111111111</v>
      </c>
      <c r="AC291" s="27">
        <f t="shared" si="25"/>
        <v>1.5420200462606013E-4</v>
      </c>
      <c r="AD291" s="36">
        <v>16</v>
      </c>
      <c r="AE291" s="27">
        <v>0.59259259259259256</v>
      </c>
      <c r="AF291" s="27">
        <f t="shared" si="26"/>
        <v>8.2241069133898745E-4</v>
      </c>
      <c r="AG291" s="37">
        <v>0</v>
      </c>
      <c r="AH291" s="27">
        <v>0</v>
      </c>
      <c r="AI291" s="27">
        <f t="shared" si="27"/>
        <v>0</v>
      </c>
      <c r="AJ291" s="38">
        <v>0</v>
      </c>
      <c r="AK291" s="27">
        <v>0</v>
      </c>
      <c r="AL291" s="27">
        <f t="shared" si="28"/>
        <v>0</v>
      </c>
      <c r="AM291" s="40">
        <v>0</v>
      </c>
      <c r="AN291" s="27">
        <v>0</v>
      </c>
      <c r="AO291" s="27">
        <f t="shared" si="29"/>
        <v>0</v>
      </c>
      <c r="AP291" s="7" t="b">
        <v>1</v>
      </c>
      <c r="AQ291" s="7" t="b">
        <v>1</v>
      </c>
      <c r="AR291" s="6" t="b">
        <v>0</v>
      </c>
      <c r="AS291" s="6" t="b">
        <v>0</v>
      </c>
      <c r="AT291" s="7" t="b">
        <v>1</v>
      </c>
      <c r="AU291" s="6" t="b">
        <v>0</v>
      </c>
      <c r="AV291" s="6" t="b">
        <v>0</v>
      </c>
      <c r="AW291" s="6" t="b">
        <v>0</v>
      </c>
      <c r="AX291" s="6" t="b">
        <v>0</v>
      </c>
      <c r="AY291" s="6" t="b">
        <v>0</v>
      </c>
      <c r="AZ291" s="6" t="b">
        <v>0</v>
      </c>
      <c r="BA291" s="6" t="b">
        <v>0</v>
      </c>
      <c r="BB291" s="6" t="b">
        <v>0</v>
      </c>
    </row>
    <row r="292" spans="1:54" ht="15" x14ac:dyDescent="0.25">
      <c r="A292" s="3" t="s">
        <v>640</v>
      </c>
      <c r="B292" s="3" t="str">
        <f ca="1">IFERROR(__xludf.DUMMYFUNCTION("SPLIT(A292,""/"")"),"EthVentures")</f>
        <v>EthVentures</v>
      </c>
      <c r="C292" s="3" t="str">
        <f ca="1">IFERROR(__xludf.DUMMYFUNCTION("""COMPUTED_VALUE"""),"CryptoTracker")</f>
        <v>CryptoTracker</v>
      </c>
      <c r="D292" s="4" t="s">
        <v>641</v>
      </c>
      <c r="E292" s="5">
        <v>42945.67765046296</v>
      </c>
      <c r="F292" s="5">
        <v>44293.244826388887</v>
      </c>
      <c r="G292" s="13">
        <f t="shared" si="24"/>
        <v>1347.5671759259276</v>
      </c>
      <c r="H292" s="6" t="b">
        <v>0</v>
      </c>
      <c r="I292" s="7" t="b">
        <v>1</v>
      </c>
      <c r="J292" s="8">
        <v>339</v>
      </c>
      <c r="K292" s="8">
        <v>53</v>
      </c>
      <c r="L292" s="8">
        <v>94</v>
      </c>
      <c r="M292" s="8">
        <v>0</v>
      </c>
      <c r="N292" s="8">
        <v>0</v>
      </c>
      <c r="O292" s="8">
        <v>4</v>
      </c>
      <c r="P292" s="8">
        <v>7</v>
      </c>
      <c r="Q292" s="8">
        <v>4</v>
      </c>
      <c r="R292" s="8">
        <v>9</v>
      </c>
      <c r="S292" s="8">
        <v>2</v>
      </c>
      <c r="T292" s="3" t="s">
        <v>69</v>
      </c>
      <c r="U292" s="10">
        <v>452</v>
      </c>
      <c r="V292" s="32">
        <v>9</v>
      </c>
      <c r="W292" s="27">
        <v>1.9911504424778761E-2</v>
      </c>
      <c r="X292" s="34">
        <v>0</v>
      </c>
      <c r="Y292" s="27">
        <v>0</v>
      </c>
      <c r="Z292" s="27">
        <v>0</v>
      </c>
      <c r="AA292" s="35">
        <v>7</v>
      </c>
      <c r="AB292" s="27">
        <v>0.77777777777777779</v>
      </c>
      <c r="AC292" s="27">
        <f t="shared" si="25"/>
        <v>1.5486725663716814E-2</v>
      </c>
      <c r="AD292" s="36">
        <v>1</v>
      </c>
      <c r="AE292" s="27">
        <v>0.1111111111111111</v>
      </c>
      <c r="AF292" s="27">
        <f t="shared" si="26"/>
        <v>2.2123893805309734E-3</v>
      </c>
      <c r="AG292" s="37">
        <v>0</v>
      </c>
      <c r="AH292" s="27">
        <v>0</v>
      </c>
      <c r="AI292" s="27">
        <f t="shared" si="27"/>
        <v>0</v>
      </c>
      <c r="AJ292" s="38">
        <v>0</v>
      </c>
      <c r="AK292" s="27">
        <v>0</v>
      </c>
      <c r="AL292" s="27">
        <f t="shared" si="28"/>
        <v>0</v>
      </c>
      <c r="AM292" s="40">
        <v>0</v>
      </c>
      <c r="AN292" s="27">
        <v>0</v>
      </c>
      <c r="AO292" s="27">
        <f t="shared" si="29"/>
        <v>0</v>
      </c>
      <c r="AP292" s="7" t="b">
        <v>1</v>
      </c>
      <c r="AQ292" s="7" t="b">
        <v>1</v>
      </c>
      <c r="AR292" s="6" t="b">
        <v>0</v>
      </c>
      <c r="AS292" s="6" t="b">
        <v>0</v>
      </c>
      <c r="AT292" s="7" t="b">
        <v>1</v>
      </c>
      <c r="AU292" s="6" t="b">
        <v>0</v>
      </c>
      <c r="AV292" s="6" t="b">
        <v>0</v>
      </c>
      <c r="AW292" s="6" t="b">
        <v>0</v>
      </c>
      <c r="AX292" s="6" t="b">
        <v>0</v>
      </c>
      <c r="AY292" s="6" t="b">
        <v>0</v>
      </c>
      <c r="AZ292" s="6" t="b">
        <v>0</v>
      </c>
      <c r="BA292" s="6" t="b">
        <v>0</v>
      </c>
      <c r="BB292" s="6" t="b">
        <v>0</v>
      </c>
    </row>
    <row r="293" spans="1:54" ht="15" x14ac:dyDescent="0.25">
      <c r="A293" s="3" t="s">
        <v>642</v>
      </c>
      <c r="B293" s="3" t="str">
        <f ca="1">IFERROR(__xludf.DUMMYFUNCTION("SPLIT(A293,""/"")"),"ets-labs")</f>
        <v>ets-labs</v>
      </c>
      <c r="C293" s="3" t="str">
        <f ca="1">IFERROR(__xludf.DUMMYFUNCTION("""COMPUTED_VALUE"""),"python-dependency-injector")</f>
        <v>python-dependency-injector</v>
      </c>
      <c r="D293" s="4" t="s">
        <v>643</v>
      </c>
      <c r="E293" s="5">
        <v>42008.557696759257</v>
      </c>
      <c r="F293" s="5">
        <v>44294.979328703703</v>
      </c>
      <c r="G293" s="13">
        <f t="shared" si="24"/>
        <v>2286.4216319444458</v>
      </c>
      <c r="H293" s="6" t="b">
        <v>0</v>
      </c>
      <c r="I293" s="7" t="b">
        <v>1</v>
      </c>
      <c r="J293" s="8">
        <v>1248</v>
      </c>
      <c r="K293" s="8">
        <v>36</v>
      </c>
      <c r="L293" s="8">
        <v>80</v>
      </c>
      <c r="M293" s="8">
        <v>0</v>
      </c>
      <c r="N293" s="8">
        <v>0</v>
      </c>
      <c r="O293" s="8">
        <v>16</v>
      </c>
      <c r="P293" s="8">
        <v>135</v>
      </c>
      <c r="Q293" s="8">
        <v>1</v>
      </c>
      <c r="R293" s="8">
        <v>305</v>
      </c>
      <c r="S293" s="8">
        <v>15</v>
      </c>
      <c r="T293" s="3" t="s">
        <v>57</v>
      </c>
      <c r="U293" s="10">
        <v>11705</v>
      </c>
      <c r="V293" s="32">
        <v>18</v>
      </c>
      <c r="W293" s="27">
        <v>1.5378043571123452E-3</v>
      </c>
      <c r="X293" s="34">
        <v>9</v>
      </c>
      <c r="Y293" s="27">
        <v>0.5</v>
      </c>
      <c r="Z293" s="27">
        <v>7.6890217855617258E-4</v>
      </c>
      <c r="AA293" s="35">
        <v>5</v>
      </c>
      <c r="AB293" s="27">
        <v>0.27777777777777779</v>
      </c>
      <c r="AC293" s="27">
        <f t="shared" si="25"/>
        <v>4.2716787697565144E-4</v>
      </c>
      <c r="AD293" s="36">
        <v>2</v>
      </c>
      <c r="AE293" s="27">
        <v>0.1111111111111111</v>
      </c>
      <c r="AF293" s="27">
        <f t="shared" si="26"/>
        <v>1.7086715079026057E-4</v>
      </c>
      <c r="AG293" s="37">
        <v>2</v>
      </c>
      <c r="AH293" s="27">
        <v>0.1111111111111111</v>
      </c>
      <c r="AI293" s="27">
        <f t="shared" si="27"/>
        <v>1.7086715079026057E-4</v>
      </c>
      <c r="AJ293" s="38">
        <v>0</v>
      </c>
      <c r="AK293" s="27">
        <v>0</v>
      </c>
      <c r="AL293" s="27">
        <f t="shared" si="28"/>
        <v>0</v>
      </c>
      <c r="AM293" s="40">
        <v>0</v>
      </c>
      <c r="AN293" s="27">
        <v>0</v>
      </c>
      <c r="AO293" s="27">
        <f t="shared" si="29"/>
        <v>0</v>
      </c>
      <c r="AP293" s="7" t="b">
        <v>1</v>
      </c>
      <c r="AQ293" s="7" t="b">
        <v>1</v>
      </c>
      <c r="AR293" s="6" t="b">
        <v>0</v>
      </c>
      <c r="AS293" s="6" t="b">
        <v>0</v>
      </c>
      <c r="AT293" s="7" t="b">
        <v>1</v>
      </c>
      <c r="AU293" s="6" t="b">
        <v>0</v>
      </c>
      <c r="AV293" s="6" t="b">
        <v>0</v>
      </c>
      <c r="AW293" s="6" t="b">
        <v>0</v>
      </c>
      <c r="AX293" s="6" t="b">
        <v>0</v>
      </c>
      <c r="AY293" s="6" t="b">
        <v>0</v>
      </c>
      <c r="AZ293" s="6" t="b">
        <v>0</v>
      </c>
      <c r="BA293" s="6" t="b">
        <v>0</v>
      </c>
      <c r="BB293" s="6" t="b">
        <v>0</v>
      </c>
    </row>
    <row r="294" spans="1:54" ht="15" x14ac:dyDescent="0.25">
      <c r="A294" s="3" t="s">
        <v>644</v>
      </c>
      <c r="B294" s="3" t="str">
        <f ca="1">IFERROR(__xludf.DUMMYFUNCTION("SPLIT(A294,""/"")"),"EvgenyKashin")</f>
        <v>EvgenyKashin</v>
      </c>
      <c r="C294" s="3" t="str">
        <f ca="1">IFERROR(__xludf.DUMMYFUNCTION("""COMPUTED_VALUE"""),"stylegan2-distillation")</f>
        <v>stylegan2-distillation</v>
      </c>
      <c r="D294" s="4" t="s">
        <v>645</v>
      </c>
      <c r="E294" s="5">
        <v>43896.36142361111</v>
      </c>
      <c r="F294" s="5">
        <v>44294.314039351855</v>
      </c>
      <c r="G294" s="13">
        <f t="shared" si="24"/>
        <v>397.95261574074539</v>
      </c>
      <c r="H294" s="6" t="b">
        <v>0</v>
      </c>
      <c r="I294" s="6" t="b">
        <v>0</v>
      </c>
      <c r="J294" s="8">
        <v>717</v>
      </c>
      <c r="K294" s="8">
        <v>70</v>
      </c>
      <c r="L294" s="8">
        <v>71</v>
      </c>
      <c r="M294" s="8">
        <v>0</v>
      </c>
      <c r="N294" s="8">
        <v>0</v>
      </c>
      <c r="O294" s="8">
        <v>3</v>
      </c>
      <c r="P294" s="8">
        <v>1</v>
      </c>
      <c r="Q294" s="8">
        <v>0</v>
      </c>
      <c r="R294" s="8">
        <v>22</v>
      </c>
      <c r="S294" s="8">
        <v>1</v>
      </c>
      <c r="T294" s="3" t="s">
        <v>92</v>
      </c>
      <c r="U294" s="10">
        <v>7225</v>
      </c>
      <c r="V294" s="32">
        <v>0</v>
      </c>
      <c r="W294" s="27">
        <v>0</v>
      </c>
      <c r="X294" s="34">
        <v>0</v>
      </c>
      <c r="Y294" s="27">
        <v>0</v>
      </c>
      <c r="Z294" s="27">
        <v>0</v>
      </c>
      <c r="AA294" s="35">
        <v>0</v>
      </c>
      <c r="AB294" s="27">
        <v>0</v>
      </c>
      <c r="AC294" s="27">
        <f t="shared" si="25"/>
        <v>0</v>
      </c>
      <c r="AD294" s="36">
        <v>0</v>
      </c>
      <c r="AE294" s="27">
        <v>0</v>
      </c>
      <c r="AF294" s="27">
        <f t="shared" si="26"/>
        <v>0</v>
      </c>
      <c r="AG294" s="37">
        <v>0</v>
      </c>
      <c r="AH294" s="27">
        <v>0</v>
      </c>
      <c r="AI294" s="27">
        <f t="shared" si="27"/>
        <v>0</v>
      </c>
      <c r="AJ294" s="38">
        <v>0</v>
      </c>
      <c r="AK294" s="27">
        <v>0</v>
      </c>
      <c r="AL294" s="27">
        <f t="shared" si="28"/>
        <v>0</v>
      </c>
      <c r="AM294" s="40">
        <v>0</v>
      </c>
      <c r="AN294" s="27">
        <v>0</v>
      </c>
      <c r="AO294" s="27">
        <f t="shared" si="29"/>
        <v>0</v>
      </c>
      <c r="AP294" s="7" t="b">
        <v>1</v>
      </c>
      <c r="AQ294" s="6" t="b">
        <v>0</v>
      </c>
      <c r="AR294" s="6" t="b">
        <v>0</v>
      </c>
      <c r="AS294" s="6" t="b">
        <v>0</v>
      </c>
      <c r="AT294" s="7" t="b">
        <v>1</v>
      </c>
      <c r="AU294" s="6" t="b">
        <v>0</v>
      </c>
      <c r="AV294" s="6" t="b">
        <v>0</v>
      </c>
      <c r="AW294" s="6" t="b">
        <v>0</v>
      </c>
      <c r="AX294" s="6" t="b">
        <v>0</v>
      </c>
      <c r="AY294" s="6" t="b">
        <v>0</v>
      </c>
      <c r="AZ294" s="6" t="b">
        <v>0</v>
      </c>
      <c r="BA294" s="6" t="b">
        <v>0</v>
      </c>
      <c r="BB294" s="6" t="b">
        <v>0</v>
      </c>
    </row>
    <row r="295" spans="1:54" ht="15" x14ac:dyDescent="0.25">
      <c r="A295" s="3" t="s">
        <v>646</v>
      </c>
      <c r="B295" s="3" t="str">
        <f ca="1">IFERROR(__xludf.DUMMYFUNCTION("SPLIT(A295,""/"")"),"evyatarmeged")</f>
        <v>evyatarmeged</v>
      </c>
      <c r="C295" s="3" t="str">
        <f ca="1">IFERROR(__xludf.DUMMYFUNCTION("""COMPUTED_VALUE"""),"Raccoon")</f>
        <v>Raccoon</v>
      </c>
      <c r="D295" s="4" t="s">
        <v>647</v>
      </c>
      <c r="E295" s="5">
        <v>43233.712048611109</v>
      </c>
      <c r="F295" s="5">
        <v>44294.875231481485</v>
      </c>
      <c r="G295" s="13">
        <f t="shared" si="24"/>
        <v>1061.1631828703757</v>
      </c>
      <c r="H295" s="6" t="b">
        <v>0</v>
      </c>
      <c r="I295" s="6" t="b">
        <v>0</v>
      </c>
      <c r="J295" s="8">
        <v>2044</v>
      </c>
      <c r="K295" s="8">
        <v>96</v>
      </c>
      <c r="L295" s="8">
        <v>292</v>
      </c>
      <c r="M295" s="8">
        <v>0</v>
      </c>
      <c r="N295" s="8">
        <v>3</v>
      </c>
      <c r="O295" s="8">
        <v>4</v>
      </c>
      <c r="P295" s="8">
        <v>14</v>
      </c>
      <c r="Q295" s="8">
        <v>2</v>
      </c>
      <c r="R295" s="8">
        <v>28</v>
      </c>
      <c r="S295" s="8">
        <v>10</v>
      </c>
      <c r="T295" s="3" t="s">
        <v>72</v>
      </c>
      <c r="U295" s="10">
        <v>1668</v>
      </c>
      <c r="V295" s="32">
        <v>111</v>
      </c>
      <c r="W295" s="27">
        <v>6.654676258992806E-2</v>
      </c>
      <c r="X295" s="34">
        <v>19</v>
      </c>
      <c r="Y295" s="27">
        <v>0.17117117117117117</v>
      </c>
      <c r="Z295" s="27">
        <v>1.1390887290167866E-2</v>
      </c>
      <c r="AA295" s="35">
        <v>78</v>
      </c>
      <c r="AB295" s="27">
        <v>0.70270270270270274</v>
      </c>
      <c r="AC295" s="27">
        <f t="shared" si="25"/>
        <v>4.6762589928057555E-2</v>
      </c>
      <c r="AD295" s="36">
        <v>3</v>
      </c>
      <c r="AE295" s="27">
        <v>2.7027027027027029E-2</v>
      </c>
      <c r="AF295" s="27">
        <f t="shared" si="26"/>
        <v>1.7985611510791368E-3</v>
      </c>
      <c r="AG295" s="37">
        <v>3</v>
      </c>
      <c r="AH295" s="27">
        <v>2.7027027027027029E-2</v>
      </c>
      <c r="AI295" s="27">
        <f t="shared" si="27"/>
        <v>1.7985611510791368E-3</v>
      </c>
      <c r="AJ295" s="38">
        <v>7</v>
      </c>
      <c r="AK295" s="27">
        <v>6.3063063063063057E-2</v>
      </c>
      <c r="AL295" s="27">
        <f t="shared" si="28"/>
        <v>4.1966426858513189E-3</v>
      </c>
      <c r="AM295" s="40">
        <v>0</v>
      </c>
      <c r="AN295" s="27">
        <v>0</v>
      </c>
      <c r="AO295" s="27">
        <f t="shared" si="29"/>
        <v>0</v>
      </c>
      <c r="AP295" s="7" t="b">
        <v>1</v>
      </c>
      <c r="AQ295" s="6" t="b">
        <v>0</v>
      </c>
      <c r="AR295" s="6" t="b">
        <v>0</v>
      </c>
      <c r="AS295" s="6" t="b">
        <v>0</v>
      </c>
      <c r="AT295" s="7" t="b">
        <v>1</v>
      </c>
      <c r="AU295" s="6" t="b">
        <v>0</v>
      </c>
      <c r="AV295" s="6" t="b">
        <v>0</v>
      </c>
      <c r="AW295" s="6" t="b">
        <v>0</v>
      </c>
      <c r="AX295" s="6" t="b">
        <v>0</v>
      </c>
      <c r="AY295" s="6" t="b">
        <v>0</v>
      </c>
      <c r="AZ295" s="6" t="b">
        <v>0</v>
      </c>
      <c r="BA295" s="6" t="b">
        <v>0</v>
      </c>
      <c r="BB295" s="6" t="b">
        <v>0</v>
      </c>
    </row>
    <row r="296" spans="1:54" ht="15" x14ac:dyDescent="0.25">
      <c r="A296" s="3" t="s">
        <v>648</v>
      </c>
      <c r="B296" s="3" t="str">
        <f ca="1">IFERROR(__xludf.DUMMYFUNCTION("SPLIT(A296,""/"")"),"ewels")</f>
        <v>ewels</v>
      </c>
      <c r="C296" s="3" t="str">
        <f ca="1">IFERROR(__xludf.DUMMYFUNCTION("""COMPUTED_VALUE"""),"MultiQC")</f>
        <v>MultiQC</v>
      </c>
      <c r="D296" s="4" t="s">
        <v>649</v>
      </c>
      <c r="E296" s="5">
        <v>42220.574363425927</v>
      </c>
      <c r="F296" s="5">
        <v>44294.924259259256</v>
      </c>
      <c r="G296" s="13">
        <f t="shared" si="24"/>
        <v>2074.3498958333294</v>
      </c>
      <c r="H296" s="6" t="b">
        <v>0</v>
      </c>
      <c r="I296" s="6" t="b">
        <v>0</v>
      </c>
      <c r="J296" s="8">
        <v>714</v>
      </c>
      <c r="K296" s="8">
        <v>39</v>
      </c>
      <c r="L296" s="8">
        <v>361</v>
      </c>
      <c r="M296" s="8">
        <v>23</v>
      </c>
      <c r="N296" s="8">
        <v>80</v>
      </c>
      <c r="O296" s="8">
        <v>136</v>
      </c>
      <c r="P296" s="8">
        <v>455</v>
      </c>
      <c r="Q296" s="8">
        <v>26</v>
      </c>
      <c r="R296" s="8">
        <v>952</v>
      </c>
      <c r="S296" s="8">
        <v>151</v>
      </c>
      <c r="T296" s="3" t="s">
        <v>49</v>
      </c>
      <c r="U296" s="10">
        <v>21181</v>
      </c>
      <c r="V296" s="32">
        <v>666</v>
      </c>
      <c r="W296" s="27">
        <v>3.1443274632925733E-2</v>
      </c>
      <c r="X296" s="34">
        <v>315</v>
      </c>
      <c r="Y296" s="27">
        <v>0.47297297297297297</v>
      </c>
      <c r="Z296" s="27">
        <v>1.487181908314055E-2</v>
      </c>
      <c r="AA296" s="35">
        <v>170</v>
      </c>
      <c r="AB296" s="27">
        <v>0.25525525525525528</v>
      </c>
      <c r="AC296" s="27">
        <f t="shared" si="25"/>
        <v>8.0260610924885508E-3</v>
      </c>
      <c r="AD296" s="36">
        <v>114</v>
      </c>
      <c r="AE296" s="27">
        <v>0.17117117117117117</v>
      </c>
      <c r="AF296" s="27">
        <f t="shared" si="26"/>
        <v>5.3821821443746755E-3</v>
      </c>
      <c r="AG296" s="37">
        <v>56</v>
      </c>
      <c r="AH296" s="27">
        <v>8.408408408408409E-2</v>
      </c>
      <c r="AI296" s="27">
        <f t="shared" si="27"/>
        <v>2.6438789481138757E-3</v>
      </c>
      <c r="AJ296" s="38">
        <v>3</v>
      </c>
      <c r="AK296" s="27">
        <v>4.5045045045045045E-3</v>
      </c>
      <c r="AL296" s="27">
        <f t="shared" si="28"/>
        <v>1.4163637222038618E-4</v>
      </c>
      <c r="AM296" s="40">
        <v>0</v>
      </c>
      <c r="AN296" s="27">
        <v>0</v>
      </c>
      <c r="AO296" s="27">
        <f t="shared" si="29"/>
        <v>0</v>
      </c>
      <c r="AP296" s="7" t="b">
        <v>1</v>
      </c>
      <c r="AQ296" s="6" t="b">
        <v>0</v>
      </c>
      <c r="AR296" s="6" t="b">
        <v>0</v>
      </c>
      <c r="AS296" s="6" t="b">
        <v>0</v>
      </c>
      <c r="AT296" s="7" t="b">
        <v>1</v>
      </c>
      <c r="AU296" s="6" t="b">
        <v>0</v>
      </c>
      <c r="AV296" s="6" t="b">
        <v>0</v>
      </c>
      <c r="AW296" s="6" t="b">
        <v>0</v>
      </c>
      <c r="AX296" s="6" t="b">
        <v>0</v>
      </c>
      <c r="AY296" s="6" t="b">
        <v>0</v>
      </c>
      <c r="AZ296" s="6" t="b">
        <v>0</v>
      </c>
      <c r="BA296" s="6" t="b">
        <v>0</v>
      </c>
      <c r="BB296" s="6" t="b">
        <v>0</v>
      </c>
    </row>
    <row r="297" spans="1:54" ht="15" x14ac:dyDescent="0.25">
      <c r="A297" s="3" t="s">
        <v>650</v>
      </c>
      <c r="B297" s="3" t="str">
        <f ca="1">IFERROR(__xludf.DUMMYFUNCTION("SPLIT(A297,""/"")"),"Exa-Networks")</f>
        <v>Exa-Networks</v>
      </c>
      <c r="C297" s="3" t="str">
        <f ca="1">IFERROR(__xludf.DUMMYFUNCTION("""COMPUTED_VALUE"""),"exabgp")</f>
        <v>exabgp</v>
      </c>
      <c r="D297" s="4" t="s">
        <v>651</v>
      </c>
      <c r="E297" s="5">
        <v>41513.580648148149</v>
      </c>
      <c r="F297" s="5">
        <v>44294.591053240743</v>
      </c>
      <c r="G297" s="13">
        <f t="shared" si="24"/>
        <v>2781.0104050925947</v>
      </c>
      <c r="H297" s="6" t="b">
        <v>0</v>
      </c>
      <c r="I297" s="7" t="b">
        <v>1</v>
      </c>
      <c r="J297" s="8">
        <v>1612</v>
      </c>
      <c r="K297" s="8">
        <v>152</v>
      </c>
      <c r="L297" s="8">
        <v>368</v>
      </c>
      <c r="M297" s="8">
        <v>55</v>
      </c>
      <c r="N297" s="8">
        <v>122</v>
      </c>
      <c r="O297" s="8">
        <v>98</v>
      </c>
      <c r="P297" s="8">
        <v>378</v>
      </c>
      <c r="Q297" s="8">
        <v>1</v>
      </c>
      <c r="R297" s="8">
        <v>650</v>
      </c>
      <c r="S297" s="8">
        <v>39</v>
      </c>
      <c r="T297" s="3" t="s">
        <v>92</v>
      </c>
      <c r="U297" s="10">
        <v>24165</v>
      </c>
      <c r="V297" s="32">
        <v>267</v>
      </c>
      <c r="W297" s="27">
        <v>1.1049037864680323E-2</v>
      </c>
      <c r="X297" s="34">
        <v>143</v>
      </c>
      <c r="Y297" s="27">
        <v>0.53558052434456926</v>
      </c>
      <c r="Z297" s="27">
        <v>5.9176494930684876E-3</v>
      </c>
      <c r="AA297" s="35">
        <v>26</v>
      </c>
      <c r="AB297" s="27">
        <v>9.7378277153558054E-2</v>
      </c>
      <c r="AC297" s="27">
        <f t="shared" si="25"/>
        <v>1.0759362714669977E-3</v>
      </c>
      <c r="AD297" s="36">
        <v>23</v>
      </c>
      <c r="AE297" s="27">
        <v>8.6142322097378279E-2</v>
      </c>
      <c r="AF297" s="27">
        <f t="shared" si="26"/>
        <v>9.5178977860542111E-4</v>
      </c>
      <c r="AG297" s="37">
        <v>26</v>
      </c>
      <c r="AH297" s="27">
        <v>9.7378277153558054E-2</v>
      </c>
      <c r="AI297" s="27">
        <f t="shared" si="27"/>
        <v>1.0759362714669977E-3</v>
      </c>
      <c r="AJ297" s="38">
        <v>49</v>
      </c>
      <c r="AK297" s="27">
        <v>0.18352059925093633</v>
      </c>
      <c r="AL297" s="27">
        <f t="shared" si="28"/>
        <v>2.027726050072419E-3</v>
      </c>
      <c r="AM297" s="40">
        <v>0</v>
      </c>
      <c r="AN297" s="27">
        <v>0</v>
      </c>
      <c r="AO297" s="27">
        <f t="shared" si="29"/>
        <v>0</v>
      </c>
      <c r="AP297" s="7" t="b">
        <v>1</v>
      </c>
      <c r="AQ297" s="6" t="b">
        <v>0</v>
      </c>
      <c r="AR297" s="6" t="b">
        <v>0</v>
      </c>
      <c r="AS297" s="6" t="b">
        <v>0</v>
      </c>
      <c r="AT297" s="7" t="b">
        <v>1</v>
      </c>
      <c r="AU297" s="6" t="b">
        <v>0</v>
      </c>
      <c r="AV297" s="6" t="b">
        <v>0</v>
      </c>
      <c r="AW297" s="6" t="b">
        <v>0</v>
      </c>
      <c r="AX297" s="6" t="b">
        <v>0</v>
      </c>
      <c r="AY297" s="6" t="b">
        <v>0</v>
      </c>
      <c r="AZ297" s="6" t="b">
        <v>0</v>
      </c>
      <c r="BA297" s="6" t="b">
        <v>0</v>
      </c>
      <c r="BB297" s="6" t="b">
        <v>0</v>
      </c>
    </row>
    <row r="298" spans="1:54" ht="15" x14ac:dyDescent="0.25">
      <c r="A298" s="3" t="s">
        <v>652</v>
      </c>
      <c r="B298" s="3" t="str">
        <f ca="1">IFERROR(__xludf.DUMMYFUNCTION("SPLIT(A298,""/"")"),"exadel-inc")</f>
        <v>exadel-inc</v>
      </c>
      <c r="C298" s="3" t="str">
        <f ca="1">IFERROR(__xludf.DUMMYFUNCTION("""COMPUTED_VALUE"""),"CompreFace")</f>
        <v>CompreFace</v>
      </c>
      <c r="D298" s="4" t="s">
        <v>653</v>
      </c>
      <c r="E298" s="5">
        <v>44018.35396990741</v>
      </c>
      <c r="F298" s="5">
        <v>44292.723101851851</v>
      </c>
      <c r="G298" s="13">
        <f t="shared" si="24"/>
        <v>274.3691319444406</v>
      </c>
      <c r="H298" s="6" t="b">
        <v>0</v>
      </c>
      <c r="I298" s="7" t="b">
        <v>1</v>
      </c>
      <c r="J298" s="8">
        <v>963</v>
      </c>
      <c r="K298" s="8">
        <v>36</v>
      </c>
      <c r="L298" s="8">
        <v>56</v>
      </c>
      <c r="M298" s="8">
        <v>3</v>
      </c>
      <c r="N298" s="8">
        <v>0</v>
      </c>
      <c r="O298" s="8">
        <v>32</v>
      </c>
      <c r="P298" s="8">
        <v>463</v>
      </c>
      <c r="Q298" s="8">
        <v>4</v>
      </c>
      <c r="R298" s="8">
        <v>12</v>
      </c>
      <c r="S298" s="8">
        <v>5</v>
      </c>
      <c r="T298" s="3" t="s">
        <v>69</v>
      </c>
      <c r="U298" s="10">
        <v>31518</v>
      </c>
      <c r="V298" s="32">
        <v>76</v>
      </c>
      <c r="W298" s="27">
        <v>2.4113205152611204E-3</v>
      </c>
      <c r="X298" s="34">
        <v>14</v>
      </c>
      <c r="Y298" s="27">
        <v>0.18421052631578946</v>
      </c>
      <c r="Z298" s="27">
        <v>4.441906212323117E-4</v>
      </c>
      <c r="AA298" s="35">
        <v>46</v>
      </c>
      <c r="AB298" s="27">
        <v>0.60526315789473684</v>
      </c>
      <c r="AC298" s="27">
        <f t="shared" si="25"/>
        <v>1.4594834697633098E-3</v>
      </c>
      <c r="AD298" s="36">
        <v>13</v>
      </c>
      <c r="AE298" s="27">
        <v>0.17105263157894737</v>
      </c>
      <c r="AF298" s="27">
        <f t="shared" si="26"/>
        <v>4.1246271971571801E-4</v>
      </c>
      <c r="AG298" s="37">
        <v>2</v>
      </c>
      <c r="AH298" s="27">
        <v>2.6315789473684209E-2</v>
      </c>
      <c r="AI298" s="27">
        <f t="shared" si="27"/>
        <v>6.3455803033187386E-5</v>
      </c>
      <c r="AJ298" s="38">
        <v>1</v>
      </c>
      <c r="AK298" s="27">
        <v>1.3157894736842105E-2</v>
      </c>
      <c r="AL298" s="27">
        <f t="shared" si="28"/>
        <v>3.1727901516593693E-5</v>
      </c>
      <c r="AM298" s="40">
        <v>0</v>
      </c>
      <c r="AN298" s="27">
        <v>0</v>
      </c>
      <c r="AO298" s="27">
        <f t="shared" si="29"/>
        <v>0</v>
      </c>
      <c r="AP298" s="7" t="b">
        <v>1</v>
      </c>
      <c r="AQ298" s="7" t="b">
        <v>1</v>
      </c>
      <c r="AR298" s="6" t="b">
        <v>0</v>
      </c>
      <c r="AS298" s="6" t="b">
        <v>0</v>
      </c>
      <c r="AT298" s="7" t="b">
        <v>1</v>
      </c>
      <c r="AU298" s="6" t="b">
        <v>0</v>
      </c>
      <c r="AV298" s="6" t="b">
        <v>0</v>
      </c>
      <c r="AW298" s="6" t="b">
        <v>0</v>
      </c>
      <c r="AX298" s="6" t="b">
        <v>0</v>
      </c>
      <c r="AY298" s="6" t="b">
        <v>0</v>
      </c>
      <c r="AZ298" s="6" t="b">
        <v>0</v>
      </c>
      <c r="BA298" s="6" t="b">
        <v>0</v>
      </c>
      <c r="BB298" s="6" t="b">
        <v>0</v>
      </c>
    </row>
    <row r="299" spans="1:54" ht="15" x14ac:dyDescent="0.25">
      <c r="A299" s="3" t="s">
        <v>654</v>
      </c>
      <c r="B299" s="3" t="str">
        <f ca="1">IFERROR(__xludf.DUMMYFUNCTION("SPLIT(A299,""/"")"),"exercism")</f>
        <v>exercism</v>
      </c>
      <c r="C299" s="3" t="str">
        <f ca="1">IFERROR(__xludf.DUMMYFUNCTION("""COMPUTED_VALUE"""),"python")</f>
        <v>python</v>
      </c>
      <c r="D299" s="4" t="s">
        <v>655</v>
      </c>
      <c r="E299" s="5">
        <v>41698.159004629626</v>
      </c>
      <c r="F299" s="5">
        <v>44294.807106481479</v>
      </c>
      <c r="G299" s="13">
        <f t="shared" si="24"/>
        <v>2596.6481018518534</v>
      </c>
      <c r="H299" s="6" t="b">
        <v>0</v>
      </c>
      <c r="I299" s="7" t="b">
        <v>1</v>
      </c>
      <c r="J299" s="8">
        <v>927</v>
      </c>
      <c r="K299" s="8">
        <v>121</v>
      </c>
      <c r="L299" s="8">
        <v>697</v>
      </c>
      <c r="M299" s="8">
        <v>0</v>
      </c>
      <c r="N299" s="8">
        <v>21</v>
      </c>
      <c r="O299" s="8">
        <v>273</v>
      </c>
      <c r="P299" s="8">
        <v>1570</v>
      </c>
      <c r="Q299" s="8">
        <v>2</v>
      </c>
      <c r="R299" s="8">
        <v>823</v>
      </c>
      <c r="S299" s="8">
        <v>53</v>
      </c>
      <c r="T299" s="3" t="s">
        <v>72</v>
      </c>
      <c r="U299" s="10">
        <v>9241</v>
      </c>
      <c r="V299" s="32">
        <v>27</v>
      </c>
      <c r="W299" s="27">
        <v>2.9217617141002058E-3</v>
      </c>
      <c r="X299" s="34">
        <v>16</v>
      </c>
      <c r="Y299" s="27">
        <v>0.59259259259259256</v>
      </c>
      <c r="Z299" s="27">
        <v>1.7314143490964181E-3</v>
      </c>
      <c r="AA299" s="35">
        <v>4</v>
      </c>
      <c r="AB299" s="27">
        <v>0.14814814814814814</v>
      </c>
      <c r="AC299" s="27">
        <f t="shared" si="25"/>
        <v>4.3285358727410453E-4</v>
      </c>
      <c r="AD299" s="36">
        <v>0</v>
      </c>
      <c r="AE299" s="27">
        <v>0</v>
      </c>
      <c r="AF299" s="27">
        <f t="shared" si="26"/>
        <v>0</v>
      </c>
      <c r="AG299" s="37">
        <v>7</v>
      </c>
      <c r="AH299" s="27">
        <v>0.25925925925925924</v>
      </c>
      <c r="AI299" s="27">
        <f t="shared" si="27"/>
        <v>7.5749377772968299E-4</v>
      </c>
      <c r="AJ299" s="38">
        <v>0</v>
      </c>
      <c r="AK299" s="27">
        <v>0</v>
      </c>
      <c r="AL299" s="27">
        <f t="shared" si="28"/>
        <v>0</v>
      </c>
      <c r="AM299" s="40">
        <v>0</v>
      </c>
      <c r="AN299" s="27">
        <v>0</v>
      </c>
      <c r="AO299" s="27">
        <f t="shared" si="29"/>
        <v>0</v>
      </c>
      <c r="AP299" s="6" t="b">
        <v>0</v>
      </c>
      <c r="AQ299" s="7" t="b">
        <v>1</v>
      </c>
      <c r="AR299" s="6" t="b">
        <v>0</v>
      </c>
      <c r="AS299" s="6" t="b">
        <v>0</v>
      </c>
      <c r="AT299" s="7" t="b">
        <v>1</v>
      </c>
      <c r="AU299" s="6" t="b">
        <v>0</v>
      </c>
      <c r="AV299" s="6" t="b">
        <v>0</v>
      </c>
      <c r="AW299" s="6" t="b">
        <v>0</v>
      </c>
      <c r="AX299" s="6" t="b">
        <v>0</v>
      </c>
      <c r="AY299" s="6" t="b">
        <v>0</v>
      </c>
      <c r="AZ299" s="6" t="b">
        <v>0</v>
      </c>
      <c r="BA299" s="6" t="b">
        <v>0</v>
      </c>
      <c r="BB299" s="6" t="b">
        <v>0</v>
      </c>
    </row>
    <row r="300" spans="1:54" ht="15" x14ac:dyDescent="0.25">
      <c r="A300" s="3" t="s">
        <v>656</v>
      </c>
      <c r="B300" s="3" t="str">
        <f ca="1">IFERROR(__xludf.DUMMYFUNCTION("SPLIT(A300,""/"")"),"Exodus-Privacy")</f>
        <v>Exodus-Privacy</v>
      </c>
      <c r="C300" s="3" t="str">
        <f ca="1">IFERROR(__xludf.DUMMYFUNCTION("""COMPUTED_VALUE"""),"exodus")</f>
        <v>exodus</v>
      </c>
      <c r="D300" s="4" t="s">
        <v>657</v>
      </c>
      <c r="E300" s="5">
        <v>43058.995995370373</v>
      </c>
      <c r="F300" s="5">
        <v>44292.503668981481</v>
      </c>
      <c r="G300" s="13">
        <f t="shared" si="24"/>
        <v>1233.5076736111077</v>
      </c>
      <c r="H300" s="6" t="b">
        <v>0</v>
      </c>
      <c r="I300" s="7" t="b">
        <v>1</v>
      </c>
      <c r="J300" s="8">
        <v>350</v>
      </c>
      <c r="K300" s="8">
        <v>28</v>
      </c>
      <c r="L300" s="8">
        <v>45</v>
      </c>
      <c r="M300" s="8">
        <v>33</v>
      </c>
      <c r="N300" s="8">
        <v>1</v>
      </c>
      <c r="O300" s="8">
        <v>22</v>
      </c>
      <c r="P300" s="8">
        <v>189</v>
      </c>
      <c r="Q300" s="8">
        <v>7</v>
      </c>
      <c r="R300" s="8">
        <v>225</v>
      </c>
      <c r="S300" s="8">
        <v>47</v>
      </c>
      <c r="T300" s="3" t="s">
        <v>366</v>
      </c>
      <c r="U300" s="10">
        <v>2709</v>
      </c>
      <c r="V300" s="32">
        <v>55</v>
      </c>
      <c r="W300" s="27">
        <v>2.0302694721299374E-2</v>
      </c>
      <c r="X300" s="34">
        <v>1</v>
      </c>
      <c r="Y300" s="27">
        <v>1.8181818181818181E-2</v>
      </c>
      <c r="Z300" s="27">
        <v>3.6913990402362494E-4</v>
      </c>
      <c r="AA300" s="35">
        <v>25</v>
      </c>
      <c r="AB300" s="27">
        <v>0.45454545454545453</v>
      </c>
      <c r="AC300" s="27">
        <f t="shared" si="25"/>
        <v>9.2284976005906245E-3</v>
      </c>
      <c r="AD300" s="36">
        <v>8</v>
      </c>
      <c r="AE300" s="27">
        <v>0.14545454545454545</v>
      </c>
      <c r="AF300" s="27">
        <f t="shared" si="26"/>
        <v>2.9531192321889995E-3</v>
      </c>
      <c r="AG300" s="37">
        <v>10</v>
      </c>
      <c r="AH300" s="27">
        <v>0.18181818181818182</v>
      </c>
      <c r="AI300" s="27">
        <f t="shared" si="27"/>
        <v>3.6913990402362494E-3</v>
      </c>
      <c r="AJ300" s="38">
        <v>0</v>
      </c>
      <c r="AK300" s="27">
        <v>0</v>
      </c>
      <c r="AL300" s="27">
        <f t="shared" si="28"/>
        <v>0</v>
      </c>
      <c r="AM300" s="40">
        <v>0</v>
      </c>
      <c r="AN300" s="27">
        <v>0</v>
      </c>
      <c r="AO300" s="27">
        <f t="shared" si="29"/>
        <v>0</v>
      </c>
      <c r="AP300" s="7" t="b">
        <v>1</v>
      </c>
      <c r="AQ300" s="7" t="b">
        <v>1</v>
      </c>
      <c r="AR300" s="6" t="b">
        <v>0</v>
      </c>
      <c r="AS300" s="6" t="b">
        <v>0</v>
      </c>
      <c r="AT300" s="7" t="b">
        <v>1</v>
      </c>
      <c r="AU300" s="6" t="b">
        <v>0</v>
      </c>
      <c r="AV300" s="6" t="b">
        <v>0</v>
      </c>
      <c r="AW300" s="6" t="b">
        <v>0</v>
      </c>
      <c r="AX300" s="6" t="b">
        <v>0</v>
      </c>
      <c r="AY300" s="6" t="b">
        <v>0</v>
      </c>
      <c r="AZ300" s="6" t="b">
        <v>0</v>
      </c>
      <c r="BA300" s="6" t="b">
        <v>0</v>
      </c>
      <c r="BB300" s="6" t="b">
        <v>0</v>
      </c>
    </row>
    <row r="301" spans="1:54" ht="15" x14ac:dyDescent="0.25">
      <c r="A301" s="3" t="s">
        <v>658</v>
      </c>
      <c r="B301" s="3" t="str">
        <f ca="1">IFERROR(__xludf.DUMMYFUNCTION("SPLIT(A301,""/"")"),"ExpDev07")</f>
        <v>ExpDev07</v>
      </c>
      <c r="C301" s="3" t="str">
        <f ca="1">IFERROR(__xludf.DUMMYFUNCTION("""COMPUTED_VALUE"""),"coronavirus-tracker-api")</f>
        <v>coronavirus-tracker-api</v>
      </c>
      <c r="D301" s="4" t="s">
        <v>659</v>
      </c>
      <c r="E301" s="5">
        <v>43867.154328703706</v>
      </c>
      <c r="F301" s="5">
        <v>44293.519212962965</v>
      </c>
      <c r="G301" s="13">
        <f t="shared" si="24"/>
        <v>426.36488425925927</v>
      </c>
      <c r="H301" s="6" t="b">
        <v>0</v>
      </c>
      <c r="I301" s="6" t="b">
        <v>0</v>
      </c>
      <c r="J301" s="8">
        <v>1507</v>
      </c>
      <c r="K301" s="8">
        <v>45</v>
      </c>
      <c r="L301" s="8">
        <v>270</v>
      </c>
      <c r="M301" s="8">
        <v>1</v>
      </c>
      <c r="N301" s="8">
        <v>1</v>
      </c>
      <c r="O301" s="8">
        <v>32</v>
      </c>
      <c r="P301" s="8">
        <v>137</v>
      </c>
      <c r="Q301" s="8">
        <v>2</v>
      </c>
      <c r="R301" s="8">
        <v>201</v>
      </c>
      <c r="S301" s="8">
        <v>32</v>
      </c>
      <c r="T301" s="3" t="s">
        <v>49</v>
      </c>
      <c r="U301" s="10">
        <v>1154</v>
      </c>
      <c r="V301" s="32">
        <v>43</v>
      </c>
      <c r="W301" s="27">
        <v>3.726169844020797E-2</v>
      </c>
      <c r="X301" s="34">
        <v>10</v>
      </c>
      <c r="Y301" s="27">
        <v>0.23255813953488372</v>
      </c>
      <c r="Z301" s="27">
        <v>8.6655112651646445E-3</v>
      </c>
      <c r="AA301" s="35">
        <v>29</v>
      </c>
      <c r="AB301" s="27">
        <v>0.67441860465116277</v>
      </c>
      <c r="AC301" s="27">
        <f t="shared" si="25"/>
        <v>2.5129982668977469E-2</v>
      </c>
      <c r="AD301" s="36">
        <v>1</v>
      </c>
      <c r="AE301" s="27">
        <v>2.3255813953488372E-2</v>
      </c>
      <c r="AF301" s="27">
        <f t="shared" si="26"/>
        <v>8.6655112651646442E-4</v>
      </c>
      <c r="AG301" s="37">
        <v>2</v>
      </c>
      <c r="AH301" s="27">
        <v>4.6511627906976744E-2</v>
      </c>
      <c r="AI301" s="27">
        <f t="shared" si="27"/>
        <v>1.7331022530329288E-3</v>
      </c>
      <c r="AJ301" s="38">
        <v>0</v>
      </c>
      <c r="AK301" s="27">
        <v>0</v>
      </c>
      <c r="AL301" s="27">
        <f t="shared" si="28"/>
        <v>0</v>
      </c>
      <c r="AM301" s="40">
        <v>1</v>
      </c>
      <c r="AN301" s="27">
        <v>2.3255813953488372E-2</v>
      </c>
      <c r="AO301" s="27">
        <f t="shared" si="29"/>
        <v>8.6655112651646442E-4</v>
      </c>
      <c r="AP301" s="7" t="b">
        <v>1</v>
      </c>
      <c r="AQ301" s="7" t="b">
        <v>1</v>
      </c>
      <c r="AR301" s="6" t="b">
        <v>0</v>
      </c>
      <c r="AS301" s="6" t="b">
        <v>0</v>
      </c>
      <c r="AT301" s="7" t="b">
        <v>1</v>
      </c>
      <c r="AU301" s="6" t="b">
        <v>0</v>
      </c>
      <c r="AV301" s="6" t="b">
        <v>0</v>
      </c>
      <c r="AW301" s="6" t="b">
        <v>0</v>
      </c>
      <c r="AX301" s="6" t="b">
        <v>0</v>
      </c>
      <c r="AY301" s="6" t="b">
        <v>0</v>
      </c>
      <c r="AZ301" s="6" t="b">
        <v>0</v>
      </c>
      <c r="BA301" s="6" t="b">
        <v>0</v>
      </c>
      <c r="BB301" s="6" t="b">
        <v>0</v>
      </c>
    </row>
    <row r="302" spans="1:54" ht="15" x14ac:dyDescent="0.25">
      <c r="A302" s="3" t="s">
        <v>660</v>
      </c>
      <c r="B302" s="3" t="str">
        <f ca="1">IFERROR(__xludf.DUMMYFUNCTION("SPLIT(A302,""/"")"),"explosion")</f>
        <v>explosion</v>
      </c>
      <c r="C302" s="3" t="str">
        <f ca="1">IFERROR(__xludf.DUMMYFUNCTION("""COMPUTED_VALUE"""),"projects")</f>
        <v>projects</v>
      </c>
      <c r="D302" s="4" t="s">
        <v>661</v>
      </c>
      <c r="E302" s="5">
        <v>43790.506157407406</v>
      </c>
      <c r="F302" s="5">
        <v>44294.412881944445</v>
      </c>
      <c r="G302" s="13">
        <f t="shared" si="24"/>
        <v>503.90672453703883</v>
      </c>
      <c r="H302" s="6" t="b">
        <v>0</v>
      </c>
      <c r="I302" s="7" t="b">
        <v>1</v>
      </c>
      <c r="J302" s="8">
        <v>423</v>
      </c>
      <c r="K302" s="8">
        <v>24</v>
      </c>
      <c r="L302" s="8">
        <v>130</v>
      </c>
      <c r="M302" s="8">
        <v>4</v>
      </c>
      <c r="N302" s="8">
        <v>0</v>
      </c>
      <c r="O302" s="8">
        <v>12</v>
      </c>
      <c r="P302" s="8">
        <v>48</v>
      </c>
      <c r="Q302" s="8">
        <v>2</v>
      </c>
      <c r="R302" s="8">
        <v>0</v>
      </c>
      <c r="S302" s="8">
        <v>0</v>
      </c>
      <c r="T302" s="3" t="s">
        <v>72</v>
      </c>
      <c r="U302" s="10">
        <v>2051</v>
      </c>
      <c r="V302" s="32">
        <v>15</v>
      </c>
      <c r="W302" s="27">
        <v>7.3135056070209653E-3</v>
      </c>
      <c r="X302" s="34">
        <v>0</v>
      </c>
      <c r="Y302" s="27">
        <v>0</v>
      </c>
      <c r="Z302" s="27">
        <v>0</v>
      </c>
      <c r="AA302" s="35">
        <v>12</v>
      </c>
      <c r="AB302" s="27">
        <v>0.8</v>
      </c>
      <c r="AC302" s="27">
        <f t="shared" si="25"/>
        <v>5.8508044856167727E-3</v>
      </c>
      <c r="AD302" s="36">
        <v>3</v>
      </c>
      <c r="AE302" s="27">
        <v>0.2</v>
      </c>
      <c r="AF302" s="27">
        <f t="shared" si="26"/>
        <v>1.4627011214041932E-3</v>
      </c>
      <c r="AG302" s="37">
        <v>0</v>
      </c>
      <c r="AH302" s="27">
        <v>0</v>
      </c>
      <c r="AI302" s="27">
        <f t="shared" si="27"/>
        <v>0</v>
      </c>
      <c r="AJ302" s="38">
        <v>0</v>
      </c>
      <c r="AK302" s="27">
        <v>0</v>
      </c>
      <c r="AL302" s="27">
        <f t="shared" si="28"/>
        <v>0</v>
      </c>
      <c r="AM302" s="40">
        <v>0</v>
      </c>
      <c r="AN302" s="27">
        <v>0</v>
      </c>
      <c r="AO302" s="27">
        <f t="shared" si="29"/>
        <v>0</v>
      </c>
      <c r="AP302" s="7" t="b">
        <v>1</v>
      </c>
      <c r="AQ302" s="6" t="b">
        <v>0</v>
      </c>
      <c r="AR302" s="6" t="b">
        <v>0</v>
      </c>
      <c r="AS302" s="6" t="b">
        <v>0</v>
      </c>
      <c r="AT302" s="7" t="b">
        <v>1</v>
      </c>
      <c r="AU302" s="6" t="b">
        <v>0</v>
      </c>
      <c r="AV302" s="6" t="b">
        <v>0</v>
      </c>
      <c r="AW302" s="6" t="b">
        <v>0</v>
      </c>
      <c r="AX302" s="6" t="b">
        <v>0</v>
      </c>
      <c r="AY302" s="6" t="b">
        <v>0</v>
      </c>
      <c r="AZ302" s="6" t="b">
        <v>0</v>
      </c>
      <c r="BA302" s="6" t="b">
        <v>0</v>
      </c>
      <c r="BB302" s="6" t="b">
        <v>0</v>
      </c>
    </row>
    <row r="303" spans="1:54" ht="15" x14ac:dyDescent="0.25">
      <c r="A303" s="3" t="s">
        <v>662</v>
      </c>
      <c r="B303" s="3" t="str">
        <f ca="1">IFERROR(__xludf.DUMMYFUNCTION("SPLIT(A303,""/"")"),"f0cker")</f>
        <v>f0cker</v>
      </c>
      <c r="C303" s="3" t="str">
        <f ca="1">IFERROR(__xludf.DUMMYFUNCTION("""COMPUTED_VALUE"""),"crackq")</f>
        <v>crackq</v>
      </c>
      <c r="D303" s="4" t="s">
        <v>663</v>
      </c>
      <c r="E303" s="5">
        <v>43726.528449074074</v>
      </c>
      <c r="F303" s="5">
        <v>44294.952638888892</v>
      </c>
      <c r="G303" s="13">
        <f t="shared" si="24"/>
        <v>568.42418981481751</v>
      </c>
      <c r="H303" s="6" t="b">
        <v>0</v>
      </c>
      <c r="I303" s="6" t="b">
        <v>0</v>
      </c>
      <c r="J303" s="8">
        <v>793</v>
      </c>
      <c r="K303" s="8">
        <v>67</v>
      </c>
      <c r="L303" s="8">
        <v>80</v>
      </c>
      <c r="M303" s="8">
        <v>2</v>
      </c>
      <c r="N303" s="8">
        <v>0</v>
      </c>
      <c r="O303" s="8">
        <v>3</v>
      </c>
      <c r="P303" s="8">
        <v>8</v>
      </c>
      <c r="Q303" s="8">
        <v>0</v>
      </c>
      <c r="R303" s="8">
        <v>19</v>
      </c>
      <c r="S303" s="8">
        <v>4</v>
      </c>
      <c r="T303" s="3" t="s">
        <v>72</v>
      </c>
      <c r="U303" s="10">
        <v>3019</v>
      </c>
      <c r="V303" s="32">
        <v>280</v>
      </c>
      <c r="W303" s="27">
        <v>9.2745942365021525E-2</v>
      </c>
      <c r="X303" s="34">
        <v>211</v>
      </c>
      <c r="Y303" s="27">
        <v>0.75357142857142856</v>
      </c>
      <c r="Z303" s="27">
        <v>6.9890692282212646E-2</v>
      </c>
      <c r="AA303" s="35">
        <v>14</v>
      </c>
      <c r="AB303" s="27">
        <v>0.05</v>
      </c>
      <c r="AC303" s="27">
        <f t="shared" si="25"/>
        <v>4.6372971182510768E-3</v>
      </c>
      <c r="AD303" s="36">
        <v>15</v>
      </c>
      <c r="AE303" s="27">
        <v>5.3571428571428568E-2</v>
      </c>
      <c r="AF303" s="27">
        <f t="shared" si="26"/>
        <v>4.9685326266975822E-3</v>
      </c>
      <c r="AG303" s="37">
        <v>40</v>
      </c>
      <c r="AH303" s="27">
        <v>0.14285714285714285</v>
      </c>
      <c r="AI303" s="27">
        <f t="shared" si="27"/>
        <v>1.3249420337860219E-2</v>
      </c>
      <c r="AJ303" s="38">
        <v>0</v>
      </c>
      <c r="AK303" s="27">
        <v>0</v>
      </c>
      <c r="AL303" s="27">
        <f t="shared" si="28"/>
        <v>0</v>
      </c>
      <c r="AM303" s="40">
        <v>0</v>
      </c>
      <c r="AN303" s="27">
        <v>0</v>
      </c>
      <c r="AO303" s="27">
        <f t="shared" si="29"/>
        <v>0</v>
      </c>
      <c r="AP303" s="7" t="b">
        <v>1</v>
      </c>
      <c r="AQ303" s="6" t="b">
        <v>0</v>
      </c>
      <c r="AR303" s="6" t="b">
        <v>0</v>
      </c>
      <c r="AS303" s="6" t="b">
        <v>0</v>
      </c>
      <c r="AT303" s="7" t="b">
        <v>1</v>
      </c>
      <c r="AU303" s="6" t="b">
        <v>0</v>
      </c>
      <c r="AV303" s="6" t="b">
        <v>0</v>
      </c>
      <c r="AW303" s="6" t="b">
        <v>0</v>
      </c>
      <c r="AX303" s="6" t="b">
        <v>0</v>
      </c>
      <c r="AY303" s="6" t="b">
        <v>0</v>
      </c>
      <c r="AZ303" s="6" t="b">
        <v>0</v>
      </c>
      <c r="BA303" s="6" t="b">
        <v>0</v>
      </c>
      <c r="BB303" s="6" t="b">
        <v>0</v>
      </c>
    </row>
    <row r="304" spans="1:54" ht="15" x14ac:dyDescent="0.25">
      <c r="A304" s="3" t="s">
        <v>664</v>
      </c>
      <c r="B304" s="3" t="str">
        <f ca="1">IFERROR(__xludf.DUMMYFUNCTION("SPLIT(A304,""/"")"),"fabfuel")</f>
        <v>fabfuel</v>
      </c>
      <c r="C304" s="3" t="str">
        <f ca="1">IFERROR(__xludf.DUMMYFUNCTION("""COMPUTED_VALUE"""),"ecs-deploy")</f>
        <v>ecs-deploy</v>
      </c>
      <c r="D304" s="4" t="s">
        <v>665</v>
      </c>
      <c r="E304" s="5">
        <v>42411.787048611113</v>
      </c>
      <c r="F304" s="5">
        <v>44291.897453703707</v>
      </c>
      <c r="G304" s="13">
        <f t="shared" si="24"/>
        <v>1880.1104050925933</v>
      </c>
      <c r="H304" s="6" t="b">
        <v>0</v>
      </c>
      <c r="I304" s="6" t="b">
        <v>0</v>
      </c>
      <c r="J304" s="8">
        <v>543</v>
      </c>
      <c r="K304" s="8">
        <v>16</v>
      </c>
      <c r="L304" s="8">
        <v>103</v>
      </c>
      <c r="M304" s="8">
        <v>12</v>
      </c>
      <c r="N304" s="8">
        <v>1</v>
      </c>
      <c r="O304" s="8">
        <v>15</v>
      </c>
      <c r="P304" s="8">
        <v>83</v>
      </c>
      <c r="Q304" s="8">
        <v>5</v>
      </c>
      <c r="R304" s="8">
        <v>85</v>
      </c>
      <c r="S304" s="8">
        <v>22</v>
      </c>
      <c r="T304" s="3" t="s">
        <v>92</v>
      </c>
      <c r="U304" s="10">
        <v>2657</v>
      </c>
      <c r="V304" s="32">
        <v>1</v>
      </c>
      <c r="W304" s="27">
        <v>3.7636432066240122E-4</v>
      </c>
      <c r="X304" s="34">
        <v>0</v>
      </c>
      <c r="Y304" s="27">
        <v>0</v>
      </c>
      <c r="Z304" s="27">
        <v>0</v>
      </c>
      <c r="AA304" s="35">
        <v>0</v>
      </c>
      <c r="AB304" s="27">
        <v>0</v>
      </c>
      <c r="AC304" s="27">
        <f t="shared" si="25"/>
        <v>0</v>
      </c>
      <c r="AD304" s="36">
        <v>1</v>
      </c>
      <c r="AE304" s="27">
        <v>1</v>
      </c>
      <c r="AF304" s="27">
        <f t="shared" si="26"/>
        <v>3.7636432066240122E-4</v>
      </c>
      <c r="AG304" s="37">
        <v>0</v>
      </c>
      <c r="AH304" s="27">
        <v>0</v>
      </c>
      <c r="AI304" s="27">
        <f t="shared" si="27"/>
        <v>0</v>
      </c>
      <c r="AJ304" s="38">
        <v>0</v>
      </c>
      <c r="AK304" s="27">
        <v>0</v>
      </c>
      <c r="AL304" s="27">
        <f t="shared" si="28"/>
        <v>0</v>
      </c>
      <c r="AM304" s="40">
        <v>0</v>
      </c>
      <c r="AN304" s="27">
        <v>0</v>
      </c>
      <c r="AO304" s="27">
        <f t="shared" si="29"/>
        <v>0</v>
      </c>
      <c r="AP304" s="7" t="b">
        <v>1</v>
      </c>
      <c r="AQ304" s="6" t="b">
        <v>0</v>
      </c>
      <c r="AR304" s="6" t="b">
        <v>0</v>
      </c>
      <c r="AS304" s="6" t="b">
        <v>0</v>
      </c>
      <c r="AT304" s="7" t="b">
        <v>1</v>
      </c>
      <c r="AU304" s="6" t="b">
        <v>0</v>
      </c>
      <c r="AV304" s="6" t="b">
        <v>0</v>
      </c>
      <c r="AW304" s="6" t="b">
        <v>0</v>
      </c>
      <c r="AX304" s="6" t="b">
        <v>0</v>
      </c>
      <c r="AY304" s="6" t="b">
        <v>0</v>
      </c>
      <c r="AZ304" s="6" t="b">
        <v>0</v>
      </c>
      <c r="BA304" s="6" t="b">
        <v>0</v>
      </c>
      <c r="BB304" s="6" t="b">
        <v>0</v>
      </c>
    </row>
    <row r="305" spans="1:54" ht="15" x14ac:dyDescent="0.25">
      <c r="A305" s="3" t="s">
        <v>666</v>
      </c>
      <c r="B305" s="3" t="str">
        <f ca="1">IFERROR(__xludf.DUMMYFUNCTION("SPLIT(A305,""/"")"),"facebook")</f>
        <v>facebook</v>
      </c>
      <c r="C305" s="3" t="str">
        <f ca="1">IFERROR(__xludf.DUMMYFUNCTION("""COMPUTED_VALUE"""),"prophet")</f>
        <v>prophet</v>
      </c>
      <c r="D305" s="4" t="s">
        <v>667</v>
      </c>
      <c r="E305" s="5">
        <v>42690.076481481483</v>
      </c>
      <c r="F305" s="5">
        <v>44294.867245370369</v>
      </c>
      <c r="G305" s="13">
        <f t="shared" si="24"/>
        <v>1604.7907638888864</v>
      </c>
      <c r="H305" s="6" t="b">
        <v>0</v>
      </c>
      <c r="I305" s="7" t="b">
        <v>1</v>
      </c>
      <c r="J305" s="8">
        <v>12507</v>
      </c>
      <c r="K305" s="8">
        <v>416</v>
      </c>
      <c r="L305" s="8">
        <v>3536</v>
      </c>
      <c r="M305" s="8">
        <v>10</v>
      </c>
      <c r="N305" s="8">
        <v>5</v>
      </c>
      <c r="O305" s="8">
        <v>121</v>
      </c>
      <c r="P305" s="8">
        <v>288</v>
      </c>
      <c r="Q305" s="8">
        <v>3</v>
      </c>
      <c r="R305" s="8">
        <v>1560</v>
      </c>
      <c r="S305" s="8">
        <v>49</v>
      </c>
      <c r="T305" s="3" t="s">
        <v>72</v>
      </c>
      <c r="U305" s="10">
        <v>3719</v>
      </c>
      <c r="V305" s="32">
        <v>20</v>
      </c>
      <c r="W305" s="27">
        <v>5.377789728421619E-3</v>
      </c>
      <c r="X305" s="34">
        <v>3</v>
      </c>
      <c r="Y305" s="27">
        <v>0.15</v>
      </c>
      <c r="Z305" s="27">
        <v>8.0666845926324286E-4</v>
      </c>
      <c r="AA305" s="35">
        <v>6</v>
      </c>
      <c r="AB305" s="27">
        <v>0.3</v>
      </c>
      <c r="AC305" s="27">
        <f t="shared" si="25"/>
        <v>1.6133369185264857E-3</v>
      </c>
      <c r="AD305" s="36">
        <v>9</v>
      </c>
      <c r="AE305" s="27">
        <v>0.45</v>
      </c>
      <c r="AF305" s="27">
        <f t="shared" si="26"/>
        <v>2.4200053777897286E-3</v>
      </c>
      <c r="AG305" s="37">
        <v>2</v>
      </c>
      <c r="AH305" s="27">
        <v>0.1</v>
      </c>
      <c r="AI305" s="27">
        <f t="shared" si="27"/>
        <v>5.377789728421619E-4</v>
      </c>
      <c r="AJ305" s="38">
        <v>0</v>
      </c>
      <c r="AK305" s="27">
        <v>0</v>
      </c>
      <c r="AL305" s="27">
        <f t="shared" si="28"/>
        <v>0</v>
      </c>
      <c r="AM305" s="40">
        <v>0</v>
      </c>
      <c r="AN305" s="27">
        <v>0</v>
      </c>
      <c r="AO305" s="27">
        <f t="shared" si="29"/>
        <v>0</v>
      </c>
      <c r="AP305" s="7" t="b">
        <v>1</v>
      </c>
      <c r="AQ305" s="7" t="b">
        <v>1</v>
      </c>
      <c r="AR305" s="6" t="b">
        <v>0</v>
      </c>
      <c r="AS305" s="6" t="b">
        <v>0</v>
      </c>
      <c r="AT305" s="7" t="b">
        <v>1</v>
      </c>
      <c r="AU305" s="6" t="b">
        <v>0</v>
      </c>
      <c r="AV305" s="6" t="b">
        <v>0</v>
      </c>
      <c r="AW305" s="6" t="b">
        <v>0</v>
      </c>
      <c r="AX305" s="6" t="b">
        <v>0</v>
      </c>
      <c r="AY305" s="6" t="b">
        <v>0</v>
      </c>
      <c r="AZ305" s="6" t="b">
        <v>0</v>
      </c>
      <c r="BA305" s="6" t="b">
        <v>0</v>
      </c>
      <c r="BB305" s="6" t="b">
        <v>0</v>
      </c>
    </row>
    <row r="306" spans="1:54" ht="15" x14ac:dyDescent="0.25">
      <c r="A306" s="3" t="s">
        <v>668</v>
      </c>
      <c r="B306" s="3" t="str">
        <f ca="1">IFERROR(__xludf.DUMMYFUNCTION("SPLIT(A306,""/"")"),"facebookresearch")</f>
        <v>facebookresearch</v>
      </c>
      <c r="C306" s="3" t="str">
        <f ca="1">IFERROR(__xludf.DUMMYFUNCTION("""COMPUTED_VALUE"""),"ClassyVision")</f>
        <v>ClassyVision</v>
      </c>
      <c r="D306" s="4" t="s">
        <v>669</v>
      </c>
      <c r="E306" s="5">
        <v>43721.954675925925</v>
      </c>
      <c r="F306" s="5">
        <v>44295.115590277775</v>
      </c>
      <c r="G306" s="13">
        <f t="shared" si="24"/>
        <v>573.16091435185081</v>
      </c>
      <c r="H306" s="6" t="b">
        <v>0</v>
      </c>
      <c r="I306" s="7" t="b">
        <v>1</v>
      </c>
      <c r="J306" s="8">
        <v>1230</v>
      </c>
      <c r="K306" s="8">
        <v>52</v>
      </c>
      <c r="L306" s="8">
        <v>210</v>
      </c>
      <c r="M306" s="8">
        <v>5</v>
      </c>
      <c r="N306" s="8">
        <v>0</v>
      </c>
      <c r="O306" s="8">
        <v>49</v>
      </c>
      <c r="P306" s="8">
        <v>671</v>
      </c>
      <c r="Q306" s="8">
        <v>38</v>
      </c>
      <c r="R306" s="8">
        <v>63</v>
      </c>
      <c r="S306" s="8">
        <v>13</v>
      </c>
      <c r="T306" s="3" t="s">
        <v>72</v>
      </c>
      <c r="U306" s="10">
        <v>12563</v>
      </c>
      <c r="V306" s="32">
        <v>100</v>
      </c>
      <c r="W306" s="27">
        <v>7.9598821937435331E-3</v>
      </c>
      <c r="X306" s="34">
        <v>13</v>
      </c>
      <c r="Y306" s="27">
        <v>0.13</v>
      </c>
      <c r="Z306" s="27">
        <v>1.0347846851866593E-3</v>
      </c>
      <c r="AA306" s="35">
        <v>59</v>
      </c>
      <c r="AB306" s="27">
        <v>0.59</v>
      </c>
      <c r="AC306" s="27">
        <f t="shared" si="25"/>
        <v>4.6963304943086846E-3</v>
      </c>
      <c r="AD306" s="36">
        <v>23</v>
      </c>
      <c r="AE306" s="27">
        <v>0.23</v>
      </c>
      <c r="AF306" s="27">
        <f t="shared" si="26"/>
        <v>1.8307729045610125E-3</v>
      </c>
      <c r="AG306" s="37">
        <v>5</v>
      </c>
      <c r="AH306" s="27">
        <v>0.05</v>
      </c>
      <c r="AI306" s="27">
        <f t="shared" si="27"/>
        <v>3.9799410968717664E-4</v>
      </c>
      <c r="AJ306" s="38">
        <v>0</v>
      </c>
      <c r="AK306" s="27">
        <v>0</v>
      </c>
      <c r="AL306" s="27">
        <f t="shared" si="28"/>
        <v>0</v>
      </c>
      <c r="AM306" s="40">
        <v>0</v>
      </c>
      <c r="AN306" s="27">
        <v>0</v>
      </c>
      <c r="AO306" s="27">
        <f t="shared" si="29"/>
        <v>0</v>
      </c>
      <c r="AP306" s="6" t="b">
        <v>0</v>
      </c>
      <c r="AQ306" s="7" t="b">
        <v>1</v>
      </c>
      <c r="AR306" s="6" t="b">
        <v>0</v>
      </c>
      <c r="AS306" s="6" t="b">
        <v>0</v>
      </c>
      <c r="AT306" s="7" t="b">
        <v>1</v>
      </c>
      <c r="AU306" s="6" t="b">
        <v>0</v>
      </c>
      <c r="AV306" s="6" t="b">
        <v>0</v>
      </c>
      <c r="AW306" s="6" t="b">
        <v>0</v>
      </c>
      <c r="AX306" s="6" t="b">
        <v>0</v>
      </c>
      <c r="AY306" s="6" t="b">
        <v>0</v>
      </c>
      <c r="AZ306" s="6" t="b">
        <v>0</v>
      </c>
      <c r="BA306" s="6" t="b">
        <v>0</v>
      </c>
      <c r="BB306" s="6" t="b">
        <v>0</v>
      </c>
    </row>
    <row r="307" spans="1:54" ht="15" x14ac:dyDescent="0.25">
      <c r="A307" s="3" t="s">
        <v>670</v>
      </c>
      <c r="B307" s="3" t="str">
        <f ca="1">IFERROR(__xludf.DUMMYFUNCTION("SPLIT(A307,""/"")"),"facebookresearch")</f>
        <v>facebookresearch</v>
      </c>
      <c r="C307" s="3" t="str">
        <f ca="1">IFERROR(__xludf.DUMMYFUNCTION("""COMPUTED_VALUE"""),"CrypTen")</f>
        <v>CrypTen</v>
      </c>
      <c r="D307" s="4" t="s">
        <v>671</v>
      </c>
      <c r="E307" s="5">
        <v>43692.000358796293</v>
      </c>
      <c r="F307" s="5">
        <v>44295.123784722222</v>
      </c>
      <c r="G307" s="13">
        <f t="shared" si="24"/>
        <v>603.12342592592904</v>
      </c>
      <c r="H307" s="6" t="b">
        <v>0</v>
      </c>
      <c r="I307" s="7" t="b">
        <v>1</v>
      </c>
      <c r="J307" s="8">
        <v>758</v>
      </c>
      <c r="K307" s="8">
        <v>32</v>
      </c>
      <c r="L307" s="8">
        <v>106</v>
      </c>
      <c r="M307" s="8">
        <v>1</v>
      </c>
      <c r="N307" s="8">
        <v>0</v>
      </c>
      <c r="O307" s="8">
        <v>20</v>
      </c>
      <c r="P307" s="8">
        <v>193</v>
      </c>
      <c r="Q307" s="8">
        <v>17</v>
      </c>
      <c r="R307" s="8">
        <v>52</v>
      </c>
      <c r="S307" s="8">
        <v>13</v>
      </c>
      <c r="T307" s="3" t="s">
        <v>72</v>
      </c>
      <c r="U307" s="10">
        <v>15845</v>
      </c>
      <c r="V307" s="32">
        <v>118</v>
      </c>
      <c r="W307" s="27">
        <v>7.4471442095298199E-3</v>
      </c>
      <c r="X307" s="34">
        <v>0</v>
      </c>
      <c r="Y307" s="27">
        <v>0</v>
      </c>
      <c r="Z307" s="27">
        <v>0</v>
      </c>
      <c r="AA307" s="35">
        <v>101</v>
      </c>
      <c r="AB307" s="27">
        <v>0.85593220338983056</v>
      </c>
      <c r="AC307" s="27">
        <f t="shared" si="25"/>
        <v>6.3742505522246763E-3</v>
      </c>
      <c r="AD307" s="36">
        <v>13</v>
      </c>
      <c r="AE307" s="27">
        <v>0.11016949152542373</v>
      </c>
      <c r="AF307" s="27">
        <f t="shared" si="26"/>
        <v>8.2044809088040389E-4</v>
      </c>
      <c r="AG307" s="37">
        <v>1</v>
      </c>
      <c r="AH307" s="27">
        <v>8.4745762711864406E-3</v>
      </c>
      <c r="AI307" s="27">
        <f t="shared" si="27"/>
        <v>6.3111391606184911E-5</v>
      </c>
      <c r="AJ307" s="38">
        <v>0</v>
      </c>
      <c r="AK307" s="27">
        <v>0</v>
      </c>
      <c r="AL307" s="27">
        <f t="shared" si="28"/>
        <v>0</v>
      </c>
      <c r="AM307" s="40">
        <v>2</v>
      </c>
      <c r="AN307" s="27">
        <v>1.6949152542372881E-2</v>
      </c>
      <c r="AO307" s="27">
        <f t="shared" si="29"/>
        <v>1.2622278321236982E-4</v>
      </c>
      <c r="AP307" s="7" t="b">
        <v>1</v>
      </c>
      <c r="AQ307" s="6" t="b">
        <v>0</v>
      </c>
      <c r="AR307" s="6" t="b">
        <v>0</v>
      </c>
      <c r="AS307" s="6" t="b">
        <v>0</v>
      </c>
      <c r="AT307" s="7" t="b">
        <v>1</v>
      </c>
      <c r="AU307" s="6" t="b">
        <v>0</v>
      </c>
      <c r="AV307" s="6" t="b">
        <v>0</v>
      </c>
      <c r="AW307" s="6" t="b">
        <v>0</v>
      </c>
      <c r="AX307" s="6" t="b">
        <v>0</v>
      </c>
      <c r="AY307" s="6" t="b">
        <v>0</v>
      </c>
      <c r="AZ307" s="6" t="b">
        <v>0</v>
      </c>
      <c r="BA307" s="6" t="b">
        <v>0</v>
      </c>
      <c r="BB307" s="6" t="b">
        <v>0</v>
      </c>
    </row>
    <row r="308" spans="1:54" ht="15" x14ac:dyDescent="0.25">
      <c r="A308" s="3" t="s">
        <v>672</v>
      </c>
      <c r="B308" s="3" t="str">
        <f ca="1">IFERROR(__xludf.DUMMYFUNCTION("SPLIT(A308,""/"")"),"facebookresearch")</f>
        <v>facebookresearch</v>
      </c>
      <c r="C308" s="3" t="str">
        <f ca="1">IFERROR(__xludf.DUMMYFUNCTION("""COMPUTED_VALUE"""),"DetectAndTrack")</f>
        <v>DetectAndTrack</v>
      </c>
      <c r="D308" s="4" t="s">
        <v>673</v>
      </c>
      <c r="E308" s="5">
        <v>43209.817256944443</v>
      </c>
      <c r="F308" s="5">
        <v>44291.279293981483</v>
      </c>
      <c r="G308" s="13">
        <f t="shared" si="24"/>
        <v>1081.4620370370394</v>
      </c>
      <c r="H308" s="6" t="b">
        <v>0</v>
      </c>
      <c r="I308" s="7" t="b">
        <v>1</v>
      </c>
      <c r="J308" s="8">
        <v>962</v>
      </c>
      <c r="K308" s="8">
        <v>58</v>
      </c>
      <c r="L308" s="8">
        <v>180</v>
      </c>
      <c r="M308" s="8">
        <v>0</v>
      </c>
      <c r="N308" s="8">
        <v>0</v>
      </c>
      <c r="O308" s="8">
        <v>7</v>
      </c>
      <c r="P308" s="8">
        <v>11</v>
      </c>
      <c r="Q308" s="8">
        <v>0</v>
      </c>
      <c r="R308" s="8">
        <v>66</v>
      </c>
      <c r="S308" s="8">
        <v>15</v>
      </c>
      <c r="T308" s="3" t="s">
        <v>69</v>
      </c>
      <c r="U308" s="10">
        <v>11148</v>
      </c>
      <c r="V308" s="32">
        <v>162</v>
      </c>
      <c r="W308" s="27">
        <v>1.4531754574811625E-2</v>
      </c>
      <c r="X308" s="34">
        <v>17</v>
      </c>
      <c r="Y308" s="27">
        <v>0.10493827160493827</v>
      </c>
      <c r="Z308" s="27">
        <v>1.5249372084678867E-3</v>
      </c>
      <c r="AA308" s="35">
        <v>117</v>
      </c>
      <c r="AB308" s="27">
        <v>0.72222222222222221</v>
      </c>
      <c r="AC308" s="27">
        <f t="shared" si="25"/>
        <v>1.0495156081808395E-2</v>
      </c>
      <c r="AD308" s="36">
        <v>14</v>
      </c>
      <c r="AE308" s="27">
        <v>8.6419753086419748E-2</v>
      </c>
      <c r="AF308" s="27">
        <f t="shared" si="26"/>
        <v>1.2558306422676714E-3</v>
      </c>
      <c r="AG308" s="37">
        <v>12</v>
      </c>
      <c r="AH308" s="27">
        <v>7.407407407407407E-2</v>
      </c>
      <c r="AI308" s="27">
        <f t="shared" si="27"/>
        <v>1.076426264800861E-3</v>
      </c>
      <c r="AJ308" s="38">
        <v>2</v>
      </c>
      <c r="AK308" s="27">
        <v>1.2345679012345678E-2</v>
      </c>
      <c r="AL308" s="27">
        <f t="shared" si="28"/>
        <v>1.794043774668102E-4</v>
      </c>
      <c r="AM308" s="40">
        <v>0</v>
      </c>
      <c r="AN308" s="27">
        <v>0</v>
      </c>
      <c r="AO308" s="27">
        <f t="shared" si="29"/>
        <v>0</v>
      </c>
      <c r="AP308" s="7" t="b">
        <v>1</v>
      </c>
      <c r="AQ308" s="6" t="b">
        <v>0</v>
      </c>
      <c r="AR308" s="6" t="b">
        <v>0</v>
      </c>
      <c r="AS308" s="6" t="b">
        <v>0</v>
      </c>
      <c r="AT308" s="7" t="b">
        <v>1</v>
      </c>
      <c r="AU308" s="6" t="b">
        <v>0</v>
      </c>
      <c r="AV308" s="6" t="b">
        <v>0</v>
      </c>
      <c r="AW308" s="6" t="b">
        <v>0</v>
      </c>
      <c r="AX308" s="6" t="b">
        <v>0</v>
      </c>
      <c r="AY308" s="6" t="b">
        <v>0</v>
      </c>
      <c r="AZ308" s="6" t="b">
        <v>0</v>
      </c>
      <c r="BA308" s="6" t="b">
        <v>0</v>
      </c>
      <c r="BB308" s="6" t="b">
        <v>0</v>
      </c>
    </row>
    <row r="309" spans="1:54" ht="15" x14ac:dyDescent="0.25">
      <c r="A309" s="3" t="s">
        <v>674</v>
      </c>
      <c r="B309" s="3" t="str">
        <f ca="1">IFERROR(__xludf.DUMMYFUNCTION("SPLIT(A309,""/"")"),"facebookresearch")</f>
        <v>facebookresearch</v>
      </c>
      <c r="C309" s="3" t="str">
        <f ca="1">IFERROR(__xludf.DUMMYFUNCTION("""COMPUTED_VALUE"""),"Detectron")</f>
        <v>Detectron</v>
      </c>
      <c r="D309" s="4" t="s">
        <v>675</v>
      </c>
      <c r="E309" s="5">
        <v>43013.730555555558</v>
      </c>
      <c r="F309" s="5">
        <v>44295.107847222222</v>
      </c>
      <c r="G309" s="13">
        <f t="shared" si="24"/>
        <v>1281.377291666664</v>
      </c>
      <c r="H309" s="6" t="b">
        <v>0</v>
      </c>
      <c r="I309" s="7" t="b">
        <v>1</v>
      </c>
      <c r="J309" s="8">
        <v>24276</v>
      </c>
      <c r="K309" s="8">
        <v>993</v>
      </c>
      <c r="L309" s="8">
        <v>5141</v>
      </c>
      <c r="M309" s="8">
        <v>0</v>
      </c>
      <c r="N309" s="8">
        <v>12</v>
      </c>
      <c r="O309" s="8">
        <v>33</v>
      </c>
      <c r="P309" s="8">
        <v>99</v>
      </c>
      <c r="Q309" s="8">
        <v>25</v>
      </c>
      <c r="R309" s="8">
        <v>905</v>
      </c>
      <c r="S309" s="8">
        <v>295</v>
      </c>
      <c r="T309" s="3" t="s">
        <v>69</v>
      </c>
      <c r="U309" s="10">
        <v>8962</v>
      </c>
      <c r="V309" s="32">
        <v>175</v>
      </c>
      <c r="W309" s="27">
        <v>1.9526891318902031E-2</v>
      </c>
      <c r="X309" s="34">
        <v>24</v>
      </c>
      <c r="Y309" s="27">
        <v>0.13714285714285715</v>
      </c>
      <c r="Z309" s="27">
        <v>2.6779736665922785E-3</v>
      </c>
      <c r="AA309" s="35">
        <v>126</v>
      </c>
      <c r="AB309" s="27">
        <v>0.72</v>
      </c>
      <c r="AC309" s="27">
        <f t="shared" si="25"/>
        <v>1.4059361749609462E-2</v>
      </c>
      <c r="AD309" s="36">
        <v>22</v>
      </c>
      <c r="AE309" s="27">
        <v>0.12571428571428572</v>
      </c>
      <c r="AF309" s="27">
        <f t="shared" si="26"/>
        <v>2.4548091943762552E-3</v>
      </c>
      <c r="AG309" s="37">
        <v>2</v>
      </c>
      <c r="AH309" s="27">
        <v>1.1428571428571429E-2</v>
      </c>
      <c r="AI309" s="27">
        <f t="shared" si="27"/>
        <v>2.2316447221602321E-4</v>
      </c>
      <c r="AJ309" s="38">
        <v>1</v>
      </c>
      <c r="AK309" s="27">
        <v>5.7142857142857143E-3</v>
      </c>
      <c r="AL309" s="27">
        <f t="shared" si="28"/>
        <v>1.115822361080116E-4</v>
      </c>
      <c r="AM309" s="40">
        <v>0</v>
      </c>
      <c r="AN309" s="27">
        <v>0</v>
      </c>
      <c r="AO309" s="27">
        <f t="shared" si="29"/>
        <v>0</v>
      </c>
      <c r="AP309" s="7" t="b">
        <v>1</v>
      </c>
      <c r="AQ309" s="6" t="b">
        <v>0</v>
      </c>
      <c r="AR309" s="6" t="b">
        <v>0</v>
      </c>
      <c r="AS309" s="6" t="b">
        <v>0</v>
      </c>
      <c r="AT309" s="7" t="b">
        <v>1</v>
      </c>
      <c r="AU309" s="6" t="b">
        <v>0</v>
      </c>
      <c r="AV309" s="6" t="b">
        <v>0</v>
      </c>
      <c r="AW309" s="6" t="b">
        <v>0</v>
      </c>
      <c r="AX309" s="6" t="b">
        <v>0</v>
      </c>
      <c r="AY309" s="6" t="b">
        <v>0</v>
      </c>
      <c r="AZ309" s="6" t="b">
        <v>0</v>
      </c>
      <c r="BA309" s="6" t="b">
        <v>0</v>
      </c>
      <c r="BB309" s="6" t="b">
        <v>0</v>
      </c>
    </row>
    <row r="310" spans="1:54" ht="15" x14ac:dyDescent="0.25">
      <c r="A310" s="3" t="s">
        <v>676</v>
      </c>
      <c r="B310" s="3" t="str">
        <f ca="1">IFERROR(__xludf.DUMMYFUNCTION("SPLIT(A310,""/"")"),"facebookresearch")</f>
        <v>facebookresearch</v>
      </c>
      <c r="C310" s="3" t="str">
        <f ca="1">IFERROR(__xludf.DUMMYFUNCTION("""COMPUTED_VALUE"""),"detectron2")</f>
        <v>detectron2</v>
      </c>
      <c r="D310" s="4" t="s">
        <v>677</v>
      </c>
      <c r="E310" s="5">
        <v>43713.896064814813</v>
      </c>
      <c r="F310" s="5">
        <v>44295.13077546296</v>
      </c>
      <c r="G310" s="13">
        <f t="shared" si="24"/>
        <v>581.23471064814657</v>
      </c>
      <c r="H310" s="6" t="b">
        <v>0</v>
      </c>
      <c r="I310" s="7" t="b">
        <v>1</v>
      </c>
      <c r="J310" s="8">
        <v>15839</v>
      </c>
      <c r="K310" s="8">
        <v>331</v>
      </c>
      <c r="L310" s="8">
        <v>3870</v>
      </c>
      <c r="M310" s="8">
        <v>8</v>
      </c>
      <c r="N310" s="8">
        <v>25</v>
      </c>
      <c r="O310" s="8">
        <v>131</v>
      </c>
      <c r="P310" s="8">
        <v>339</v>
      </c>
      <c r="Q310" s="8">
        <v>19</v>
      </c>
      <c r="R310" s="8">
        <v>2355</v>
      </c>
      <c r="S310" s="8">
        <v>78</v>
      </c>
      <c r="T310" s="3" t="s">
        <v>69</v>
      </c>
      <c r="U310" s="10">
        <v>28817</v>
      </c>
      <c r="V310" s="32">
        <v>253</v>
      </c>
      <c r="W310" s="27">
        <v>8.7795398549467326E-3</v>
      </c>
      <c r="X310" s="34">
        <v>1</v>
      </c>
      <c r="Y310" s="27">
        <v>3.952569169960474E-3</v>
      </c>
      <c r="Z310" s="27">
        <v>3.4701738557101712E-5</v>
      </c>
      <c r="AA310" s="35">
        <v>174</v>
      </c>
      <c r="AB310" s="27">
        <v>0.68774703557312256</v>
      </c>
      <c r="AC310" s="27">
        <f t="shared" si="25"/>
        <v>6.0381025089356975E-3</v>
      </c>
      <c r="AD310" s="36">
        <v>64</v>
      </c>
      <c r="AE310" s="27">
        <v>0.25296442687747034</v>
      </c>
      <c r="AF310" s="27">
        <f t="shared" si="26"/>
        <v>2.2209112676545096E-3</v>
      </c>
      <c r="AG310" s="37">
        <v>14</v>
      </c>
      <c r="AH310" s="27">
        <v>5.533596837944664E-2</v>
      </c>
      <c r="AI310" s="27">
        <f t="shared" si="27"/>
        <v>4.8582433979942394E-4</v>
      </c>
      <c r="AJ310" s="38">
        <v>0</v>
      </c>
      <c r="AK310" s="27">
        <v>0</v>
      </c>
      <c r="AL310" s="27">
        <f t="shared" si="28"/>
        <v>0</v>
      </c>
      <c r="AM310" s="40">
        <v>0</v>
      </c>
      <c r="AN310" s="27">
        <v>0</v>
      </c>
      <c r="AO310" s="27">
        <f t="shared" si="29"/>
        <v>0</v>
      </c>
      <c r="AP310" s="7" t="b">
        <v>1</v>
      </c>
      <c r="AQ310" s="7" t="b">
        <v>1</v>
      </c>
      <c r="AR310" s="6" t="b">
        <v>0</v>
      </c>
      <c r="AS310" s="6" t="b">
        <v>0</v>
      </c>
      <c r="AT310" s="7" t="b">
        <v>1</v>
      </c>
      <c r="AU310" s="6" t="b">
        <v>0</v>
      </c>
      <c r="AV310" s="6" t="b">
        <v>0</v>
      </c>
      <c r="AW310" s="6" t="b">
        <v>0</v>
      </c>
      <c r="AX310" s="6" t="b">
        <v>0</v>
      </c>
      <c r="AY310" s="6" t="b">
        <v>0</v>
      </c>
      <c r="AZ310" s="6" t="b">
        <v>0</v>
      </c>
      <c r="BA310" s="6" t="b">
        <v>0</v>
      </c>
      <c r="BB310" s="6" t="b">
        <v>0</v>
      </c>
    </row>
    <row r="311" spans="1:54" ht="15" x14ac:dyDescent="0.25">
      <c r="A311" s="3" t="s">
        <v>678</v>
      </c>
      <c r="B311" s="3" t="str">
        <f ca="1">IFERROR(__xludf.DUMMYFUNCTION("SPLIT(A311,""/"")"),"facebookresearch")</f>
        <v>facebookresearch</v>
      </c>
      <c r="C311" s="3" t="str">
        <f ca="1">IFERROR(__xludf.DUMMYFUNCTION("""COMPUTED_VALUE"""),"detr")</f>
        <v>detr</v>
      </c>
      <c r="D311" s="4" t="s">
        <v>679</v>
      </c>
      <c r="E311" s="5">
        <v>43977.996435185189</v>
      </c>
      <c r="F311" s="5">
        <v>44295.157083333332</v>
      </c>
      <c r="G311" s="13">
        <f t="shared" si="24"/>
        <v>317.16064814814308</v>
      </c>
      <c r="H311" s="6" t="b">
        <v>0</v>
      </c>
      <c r="I311" s="7" t="b">
        <v>1</v>
      </c>
      <c r="J311" s="8">
        <v>6617</v>
      </c>
      <c r="K311" s="8">
        <v>148</v>
      </c>
      <c r="L311" s="8">
        <v>1024</v>
      </c>
      <c r="M311" s="8">
        <v>1</v>
      </c>
      <c r="N311" s="8">
        <v>1</v>
      </c>
      <c r="O311" s="8">
        <v>19</v>
      </c>
      <c r="P311" s="8">
        <v>55</v>
      </c>
      <c r="Q311" s="8">
        <v>4</v>
      </c>
      <c r="R311" s="8">
        <v>297</v>
      </c>
      <c r="S311" s="8">
        <v>73</v>
      </c>
      <c r="T311" s="3" t="s">
        <v>69</v>
      </c>
      <c r="U311" s="10">
        <v>2830</v>
      </c>
      <c r="V311" s="32">
        <v>1</v>
      </c>
      <c r="W311" s="27">
        <v>3.5335689045936394E-4</v>
      </c>
      <c r="X311" s="34">
        <v>0</v>
      </c>
      <c r="Y311" s="27">
        <v>0</v>
      </c>
      <c r="Z311" s="27">
        <v>0</v>
      </c>
      <c r="AA311" s="35">
        <v>1</v>
      </c>
      <c r="AB311" s="27">
        <v>1</v>
      </c>
      <c r="AC311" s="27">
        <f t="shared" si="25"/>
        <v>3.5335689045936394E-4</v>
      </c>
      <c r="AD311" s="36">
        <v>0</v>
      </c>
      <c r="AE311" s="27">
        <v>0</v>
      </c>
      <c r="AF311" s="27">
        <f t="shared" si="26"/>
        <v>0</v>
      </c>
      <c r="AG311" s="37">
        <v>0</v>
      </c>
      <c r="AH311" s="27">
        <v>0</v>
      </c>
      <c r="AI311" s="27">
        <f t="shared" si="27"/>
        <v>0</v>
      </c>
      <c r="AJ311" s="38">
        <v>0</v>
      </c>
      <c r="AK311" s="27">
        <v>0</v>
      </c>
      <c r="AL311" s="27">
        <f t="shared" si="28"/>
        <v>0</v>
      </c>
      <c r="AM311" s="40">
        <v>0</v>
      </c>
      <c r="AN311" s="27">
        <v>0</v>
      </c>
      <c r="AO311" s="27">
        <f t="shared" si="29"/>
        <v>0</v>
      </c>
      <c r="AP311" s="7" t="b">
        <v>1</v>
      </c>
      <c r="AQ311" s="6" t="b">
        <v>0</v>
      </c>
      <c r="AR311" s="6" t="b">
        <v>0</v>
      </c>
      <c r="AS311" s="6" t="b">
        <v>0</v>
      </c>
      <c r="AT311" s="7" t="b">
        <v>1</v>
      </c>
      <c r="AU311" s="6" t="b">
        <v>0</v>
      </c>
      <c r="AV311" s="6" t="b">
        <v>0</v>
      </c>
      <c r="AW311" s="6" t="b">
        <v>0</v>
      </c>
      <c r="AX311" s="6" t="b">
        <v>0</v>
      </c>
      <c r="AY311" s="6" t="b">
        <v>0</v>
      </c>
      <c r="AZ311" s="6" t="b">
        <v>0</v>
      </c>
      <c r="BA311" s="6" t="b">
        <v>0</v>
      </c>
      <c r="BB311" s="6" t="b">
        <v>0</v>
      </c>
    </row>
    <row r="312" spans="1:54" ht="15" x14ac:dyDescent="0.25">
      <c r="A312" s="3" t="s">
        <v>680</v>
      </c>
      <c r="B312" s="3" t="str">
        <f ca="1">IFERROR(__xludf.DUMMYFUNCTION("SPLIT(A312,""/"")"),"facebookresearch")</f>
        <v>facebookresearch</v>
      </c>
      <c r="C312" s="3" t="str">
        <f ca="1">IFERROR(__xludf.DUMMYFUNCTION("""COMPUTED_VALUE"""),"habitat-lab")</f>
        <v>habitat-lab</v>
      </c>
      <c r="D312" s="4" t="s">
        <v>681</v>
      </c>
      <c r="E312" s="5">
        <v>43500.967256944445</v>
      </c>
      <c r="F312" s="5">
        <v>44295.15797453704</v>
      </c>
      <c r="G312" s="13">
        <f t="shared" si="24"/>
        <v>794.19071759259532</v>
      </c>
      <c r="H312" s="6" t="b">
        <v>0</v>
      </c>
      <c r="I312" s="7" t="b">
        <v>1</v>
      </c>
      <c r="J312" s="8">
        <v>593</v>
      </c>
      <c r="K312" s="8">
        <v>37</v>
      </c>
      <c r="L312" s="8">
        <v>190</v>
      </c>
      <c r="M312" s="8">
        <v>10</v>
      </c>
      <c r="N312" s="8">
        <v>11</v>
      </c>
      <c r="O312" s="8">
        <v>39</v>
      </c>
      <c r="P312" s="8">
        <v>296</v>
      </c>
      <c r="Q312" s="8">
        <v>13</v>
      </c>
      <c r="R312" s="8">
        <v>322</v>
      </c>
      <c r="S312" s="8">
        <v>105</v>
      </c>
      <c r="T312" s="3" t="s">
        <v>72</v>
      </c>
      <c r="U312" s="10">
        <v>13371</v>
      </c>
      <c r="V312" s="32">
        <v>127</v>
      </c>
      <c r="W312" s="27">
        <v>9.4981676763144125E-3</v>
      </c>
      <c r="X312" s="34">
        <v>0</v>
      </c>
      <c r="Y312" s="27">
        <v>0</v>
      </c>
      <c r="Z312" s="27">
        <v>0</v>
      </c>
      <c r="AA312" s="35">
        <v>112</v>
      </c>
      <c r="AB312" s="27">
        <v>0.88188976377952755</v>
      </c>
      <c r="AC312" s="27">
        <f t="shared" si="25"/>
        <v>8.3763368484032607E-3</v>
      </c>
      <c r="AD312" s="36">
        <v>10</v>
      </c>
      <c r="AE312" s="27">
        <v>7.874015748031496E-2</v>
      </c>
      <c r="AF312" s="27">
        <f t="shared" si="26"/>
        <v>7.4788721860743405E-4</v>
      </c>
      <c r="AG312" s="37">
        <v>4</v>
      </c>
      <c r="AH312" s="27">
        <v>3.1496062992125984E-2</v>
      </c>
      <c r="AI312" s="27">
        <f t="shared" si="27"/>
        <v>2.9915488744297359E-4</v>
      </c>
      <c r="AJ312" s="38">
        <v>0</v>
      </c>
      <c r="AK312" s="27">
        <v>0</v>
      </c>
      <c r="AL312" s="27">
        <f t="shared" si="28"/>
        <v>0</v>
      </c>
      <c r="AM312" s="40">
        <v>0</v>
      </c>
      <c r="AN312" s="27">
        <v>0</v>
      </c>
      <c r="AO312" s="27">
        <f t="shared" si="29"/>
        <v>0</v>
      </c>
      <c r="AP312" s="7" t="b">
        <v>1</v>
      </c>
      <c r="AQ312" s="6" t="b">
        <v>0</v>
      </c>
      <c r="AR312" s="6" t="b">
        <v>0</v>
      </c>
      <c r="AS312" s="6" t="b">
        <v>0</v>
      </c>
      <c r="AT312" s="7" t="b">
        <v>1</v>
      </c>
      <c r="AU312" s="6" t="b">
        <v>0</v>
      </c>
      <c r="AV312" s="6" t="b">
        <v>0</v>
      </c>
      <c r="AW312" s="6" t="b">
        <v>0</v>
      </c>
      <c r="AX312" s="6" t="b">
        <v>0</v>
      </c>
      <c r="AY312" s="6" t="b">
        <v>0</v>
      </c>
      <c r="AZ312" s="6" t="b">
        <v>0</v>
      </c>
      <c r="BA312" s="6" t="b">
        <v>0</v>
      </c>
      <c r="BB312" s="6" t="b">
        <v>0</v>
      </c>
    </row>
    <row r="313" spans="1:54" ht="15" x14ac:dyDescent="0.25">
      <c r="A313" s="3" t="s">
        <v>682</v>
      </c>
      <c r="B313" s="3" t="str">
        <f ca="1">IFERROR(__xludf.DUMMYFUNCTION("SPLIT(A313,""/"")"),"facebookresearch")</f>
        <v>facebookresearch</v>
      </c>
      <c r="C313" s="3" t="str">
        <f ca="1">IFERROR(__xludf.DUMMYFUNCTION("""COMPUTED_VALUE"""),"LASER")</f>
        <v>LASER</v>
      </c>
      <c r="D313" s="4" t="s">
        <v>683</v>
      </c>
      <c r="E313" s="5">
        <v>43271.637604166666</v>
      </c>
      <c r="F313" s="5">
        <v>44294.196805555555</v>
      </c>
      <c r="G313" s="13">
        <f t="shared" si="24"/>
        <v>1022.5592013888891</v>
      </c>
      <c r="H313" s="6" t="b">
        <v>0</v>
      </c>
      <c r="I313" s="7" t="b">
        <v>1</v>
      </c>
      <c r="J313" s="8">
        <v>2746</v>
      </c>
      <c r="K313" s="8">
        <v>104</v>
      </c>
      <c r="L313" s="8">
        <v>315</v>
      </c>
      <c r="M313" s="8">
        <v>0</v>
      </c>
      <c r="N313" s="8">
        <v>8</v>
      </c>
      <c r="O313" s="8">
        <v>11</v>
      </c>
      <c r="P313" s="8">
        <v>35</v>
      </c>
      <c r="Q313" s="8">
        <v>14</v>
      </c>
      <c r="R313" s="8">
        <v>140</v>
      </c>
      <c r="S313" s="8">
        <v>42</v>
      </c>
      <c r="T313" s="3" t="s">
        <v>92</v>
      </c>
      <c r="U313" s="10">
        <v>1866</v>
      </c>
      <c r="V313" s="32">
        <v>7</v>
      </c>
      <c r="W313" s="27">
        <v>3.7513397642015005E-3</v>
      </c>
      <c r="X313" s="34">
        <v>0</v>
      </c>
      <c r="Y313" s="27">
        <v>0</v>
      </c>
      <c r="Z313" s="27">
        <v>0</v>
      </c>
      <c r="AA313" s="35">
        <v>2</v>
      </c>
      <c r="AB313" s="27">
        <v>0.2857142857142857</v>
      </c>
      <c r="AC313" s="27">
        <f t="shared" si="25"/>
        <v>1.0718113612004287E-3</v>
      </c>
      <c r="AD313" s="36">
        <v>0</v>
      </c>
      <c r="AE313" s="27">
        <v>0</v>
      </c>
      <c r="AF313" s="27">
        <f t="shared" si="26"/>
        <v>0</v>
      </c>
      <c r="AG313" s="37">
        <v>5</v>
      </c>
      <c r="AH313" s="27">
        <v>0.7142857142857143</v>
      </c>
      <c r="AI313" s="27">
        <f t="shared" si="27"/>
        <v>2.6795284030010718E-3</v>
      </c>
      <c r="AJ313" s="38">
        <v>0</v>
      </c>
      <c r="AK313" s="27">
        <v>0</v>
      </c>
      <c r="AL313" s="27">
        <f t="shared" si="28"/>
        <v>0</v>
      </c>
      <c r="AM313" s="40">
        <v>0</v>
      </c>
      <c r="AN313" s="27">
        <v>0</v>
      </c>
      <c r="AO313" s="27">
        <f t="shared" si="29"/>
        <v>0</v>
      </c>
      <c r="AP313" s="7" t="b">
        <v>1</v>
      </c>
      <c r="AQ313" s="6" t="b">
        <v>0</v>
      </c>
      <c r="AR313" s="6" t="b">
        <v>0</v>
      </c>
      <c r="AS313" s="6" t="b">
        <v>0</v>
      </c>
      <c r="AT313" s="7" t="b">
        <v>1</v>
      </c>
      <c r="AU313" s="6" t="b">
        <v>0</v>
      </c>
      <c r="AV313" s="6" t="b">
        <v>0</v>
      </c>
      <c r="AW313" s="6" t="b">
        <v>0</v>
      </c>
      <c r="AX313" s="6" t="b">
        <v>0</v>
      </c>
      <c r="AY313" s="6" t="b">
        <v>0</v>
      </c>
      <c r="AZ313" s="6" t="b">
        <v>0</v>
      </c>
      <c r="BA313" s="6" t="b">
        <v>0</v>
      </c>
      <c r="BB313" s="6" t="b">
        <v>0</v>
      </c>
    </row>
    <row r="314" spans="1:54" ht="15" x14ac:dyDescent="0.25">
      <c r="A314" s="3" t="s">
        <v>684</v>
      </c>
      <c r="B314" s="3" t="str">
        <f ca="1">IFERROR(__xludf.DUMMYFUNCTION("SPLIT(A314,""/"")"),"facebookresearch")</f>
        <v>facebookresearch</v>
      </c>
      <c r="C314" s="3" t="str">
        <f ca="1">IFERROR(__xludf.DUMMYFUNCTION("""COMPUTED_VALUE"""),"maskrcnn-benchmark")</f>
        <v>maskrcnn-benchmark</v>
      </c>
      <c r="D314" s="4" t="s">
        <v>685</v>
      </c>
      <c r="E314" s="5">
        <v>43397.732523148145</v>
      </c>
      <c r="F314" s="5">
        <v>44295.111886574072</v>
      </c>
      <c r="G314" s="13">
        <f t="shared" si="24"/>
        <v>897.37936342592729</v>
      </c>
      <c r="H314" s="6" t="b">
        <v>0</v>
      </c>
      <c r="I314" s="7" t="b">
        <v>1</v>
      </c>
      <c r="J314" s="8">
        <v>8272</v>
      </c>
      <c r="K314" s="8">
        <v>189</v>
      </c>
      <c r="L314" s="8">
        <v>2209</v>
      </c>
      <c r="M314" s="8">
        <v>1</v>
      </c>
      <c r="N314" s="8">
        <v>75</v>
      </c>
      <c r="O314" s="8">
        <v>87</v>
      </c>
      <c r="P314" s="8">
        <v>291</v>
      </c>
      <c r="Q314" s="8">
        <v>36</v>
      </c>
      <c r="R314" s="8">
        <v>1010</v>
      </c>
      <c r="S314" s="8">
        <v>463</v>
      </c>
      <c r="T314" s="3" t="s">
        <v>72</v>
      </c>
      <c r="U314" s="10">
        <v>8165</v>
      </c>
      <c r="V314" s="32">
        <v>66</v>
      </c>
      <c r="W314" s="27">
        <v>8.0832823025107168E-3</v>
      </c>
      <c r="X314" s="34">
        <v>0</v>
      </c>
      <c r="Y314" s="27">
        <v>0</v>
      </c>
      <c r="Z314" s="27">
        <v>0</v>
      </c>
      <c r="AA314" s="35">
        <v>59</v>
      </c>
      <c r="AB314" s="27">
        <v>0.89393939393939392</v>
      </c>
      <c r="AC314" s="27">
        <f t="shared" si="25"/>
        <v>7.2259644825474582E-3</v>
      </c>
      <c r="AD314" s="36">
        <v>5</v>
      </c>
      <c r="AE314" s="27">
        <v>7.575757575757576E-2</v>
      </c>
      <c r="AF314" s="27">
        <f t="shared" si="26"/>
        <v>6.1236987140232701E-4</v>
      </c>
      <c r="AG314" s="37">
        <v>2</v>
      </c>
      <c r="AH314" s="27">
        <v>3.0303030303030304E-2</v>
      </c>
      <c r="AI314" s="27">
        <f t="shared" si="27"/>
        <v>2.4494794856093078E-4</v>
      </c>
      <c r="AJ314" s="38">
        <v>0</v>
      </c>
      <c r="AK314" s="27">
        <v>0</v>
      </c>
      <c r="AL314" s="27">
        <f t="shared" si="28"/>
        <v>0</v>
      </c>
      <c r="AM314" s="40">
        <v>0</v>
      </c>
      <c r="AN314" s="27">
        <v>0</v>
      </c>
      <c r="AO314" s="27">
        <f t="shared" si="29"/>
        <v>0</v>
      </c>
      <c r="AP314" s="7" t="b">
        <v>1</v>
      </c>
      <c r="AQ314" s="6" t="b">
        <v>0</v>
      </c>
      <c r="AR314" s="6" t="b">
        <v>0</v>
      </c>
      <c r="AS314" s="6" t="b">
        <v>0</v>
      </c>
      <c r="AT314" s="7" t="b">
        <v>1</v>
      </c>
      <c r="AU314" s="6" t="b">
        <v>0</v>
      </c>
      <c r="AV314" s="6" t="b">
        <v>0</v>
      </c>
      <c r="AW314" s="6" t="b">
        <v>0</v>
      </c>
      <c r="AX314" s="6" t="b">
        <v>0</v>
      </c>
      <c r="AY314" s="6" t="b">
        <v>0</v>
      </c>
      <c r="AZ314" s="6" t="b">
        <v>0</v>
      </c>
      <c r="BA314" s="6" t="b">
        <v>0</v>
      </c>
      <c r="BB314" s="6" t="b">
        <v>0</v>
      </c>
    </row>
    <row r="315" spans="1:54" ht="15" x14ac:dyDescent="0.25">
      <c r="A315" s="3" t="s">
        <v>686</v>
      </c>
      <c r="B315" s="3" t="str">
        <f ca="1">IFERROR(__xludf.DUMMYFUNCTION("SPLIT(A315,""/"")"),"facebookresearch")</f>
        <v>facebookresearch</v>
      </c>
      <c r="C315" s="3" t="str">
        <f ca="1">IFERROR(__xludf.DUMMYFUNCTION("""COMPUTED_VALUE"""),"phyre")</f>
        <v>phyre</v>
      </c>
      <c r="D315" s="4" t="s">
        <v>687</v>
      </c>
      <c r="E315" s="5">
        <v>43635.05064814815</v>
      </c>
      <c r="F315" s="5">
        <v>44286.709652777776</v>
      </c>
      <c r="G315" s="13">
        <f t="shared" si="24"/>
        <v>651.659004629626</v>
      </c>
      <c r="H315" s="6" t="b">
        <v>0</v>
      </c>
      <c r="I315" s="7" t="b">
        <v>1</v>
      </c>
      <c r="J315" s="8">
        <v>379</v>
      </c>
      <c r="K315" s="8">
        <v>17</v>
      </c>
      <c r="L315" s="8">
        <v>50</v>
      </c>
      <c r="M315" s="8">
        <v>5</v>
      </c>
      <c r="N315" s="8">
        <v>1</v>
      </c>
      <c r="O315" s="8">
        <v>6</v>
      </c>
      <c r="P315" s="8">
        <v>32</v>
      </c>
      <c r="Q315" s="8">
        <v>7</v>
      </c>
      <c r="R315" s="8">
        <v>19</v>
      </c>
      <c r="S315" s="8">
        <v>1</v>
      </c>
      <c r="T315" s="3" t="s">
        <v>69</v>
      </c>
      <c r="U315" s="10">
        <v>8029</v>
      </c>
      <c r="V315" s="32">
        <v>88</v>
      </c>
      <c r="W315" s="27">
        <v>1.0960269024785153E-2</v>
      </c>
      <c r="X315" s="34">
        <v>16</v>
      </c>
      <c r="Y315" s="27">
        <v>0.18181818181818182</v>
      </c>
      <c r="Z315" s="27">
        <v>1.9927761863245733E-3</v>
      </c>
      <c r="AA315" s="35">
        <v>56</v>
      </c>
      <c r="AB315" s="27">
        <v>0.63636363636363635</v>
      </c>
      <c r="AC315" s="27">
        <f t="shared" si="25"/>
        <v>6.9747166521360072E-3</v>
      </c>
      <c r="AD315" s="36">
        <v>15</v>
      </c>
      <c r="AE315" s="27">
        <v>0.17045454545454544</v>
      </c>
      <c r="AF315" s="27">
        <f t="shared" si="26"/>
        <v>1.8682276746792876E-3</v>
      </c>
      <c r="AG315" s="37">
        <v>1</v>
      </c>
      <c r="AH315" s="27">
        <v>1.1363636363636364E-2</v>
      </c>
      <c r="AI315" s="27">
        <f t="shared" si="27"/>
        <v>1.2454851164528583E-4</v>
      </c>
      <c r="AJ315" s="38">
        <v>0</v>
      </c>
      <c r="AK315" s="27">
        <v>0</v>
      </c>
      <c r="AL315" s="27">
        <f t="shared" si="28"/>
        <v>0</v>
      </c>
      <c r="AM315" s="40">
        <v>0</v>
      </c>
      <c r="AN315" s="27">
        <v>0</v>
      </c>
      <c r="AO315" s="27">
        <f t="shared" si="29"/>
        <v>0</v>
      </c>
      <c r="AP315" s="7" t="b">
        <v>1</v>
      </c>
      <c r="AQ315" s="6" t="b">
        <v>0</v>
      </c>
      <c r="AR315" s="6" t="b">
        <v>0</v>
      </c>
      <c r="AS315" s="6" t="b">
        <v>0</v>
      </c>
      <c r="AT315" s="7" t="b">
        <v>1</v>
      </c>
      <c r="AU315" s="6" t="b">
        <v>0</v>
      </c>
      <c r="AV315" s="6" t="b">
        <v>0</v>
      </c>
      <c r="AW315" s="6" t="b">
        <v>0</v>
      </c>
      <c r="AX315" s="6" t="b">
        <v>0</v>
      </c>
      <c r="AY315" s="6" t="b">
        <v>0</v>
      </c>
      <c r="AZ315" s="6" t="b">
        <v>0</v>
      </c>
      <c r="BA315" s="6" t="b">
        <v>0</v>
      </c>
      <c r="BB315" s="6" t="b">
        <v>0</v>
      </c>
    </row>
    <row r="316" spans="1:54" ht="15" x14ac:dyDescent="0.25">
      <c r="A316" s="3" t="s">
        <v>688</v>
      </c>
      <c r="B316" s="3" t="str">
        <f ca="1">IFERROR(__xludf.DUMMYFUNCTION("SPLIT(A316,""/"")"),"facebookresearch")</f>
        <v>facebookresearch</v>
      </c>
      <c r="C316" s="3" t="str">
        <f ca="1">IFERROR(__xludf.DUMMYFUNCTION("""COMPUTED_VALUE"""),"pytext")</f>
        <v>pytext</v>
      </c>
      <c r="D316" s="4" t="s">
        <v>689</v>
      </c>
      <c r="E316" s="5">
        <v>43312.986643518518</v>
      </c>
      <c r="F316" s="5">
        <v>44295.119930555556</v>
      </c>
      <c r="G316" s="13">
        <f t="shared" si="24"/>
        <v>982.13328703703883</v>
      </c>
      <c r="H316" s="6" t="b">
        <v>0</v>
      </c>
      <c r="I316" s="7" t="b">
        <v>1</v>
      </c>
      <c r="J316" s="8">
        <v>6153</v>
      </c>
      <c r="K316" s="8">
        <v>167</v>
      </c>
      <c r="L316" s="8">
        <v>776</v>
      </c>
      <c r="M316" s="8">
        <v>9</v>
      </c>
      <c r="N316" s="8">
        <v>3</v>
      </c>
      <c r="O316" s="8">
        <v>96</v>
      </c>
      <c r="P316" s="8">
        <v>1538</v>
      </c>
      <c r="Q316" s="8">
        <v>81</v>
      </c>
      <c r="R316" s="8">
        <v>129</v>
      </c>
      <c r="S316" s="8">
        <v>55</v>
      </c>
      <c r="T316" s="3" t="s">
        <v>92</v>
      </c>
      <c r="U316" s="10">
        <v>35041</v>
      </c>
      <c r="V316" s="32">
        <v>20</v>
      </c>
      <c r="W316" s="27">
        <v>5.7075996689592194E-4</v>
      </c>
      <c r="X316" s="34">
        <v>3</v>
      </c>
      <c r="Y316" s="27">
        <v>0.15</v>
      </c>
      <c r="Z316" s="27">
        <v>8.5613995034388294E-5</v>
      </c>
      <c r="AA316" s="35">
        <v>9</v>
      </c>
      <c r="AB316" s="27">
        <v>0.45</v>
      </c>
      <c r="AC316" s="27">
        <f t="shared" si="25"/>
        <v>2.5684198510316484E-4</v>
      </c>
      <c r="AD316" s="36">
        <v>7</v>
      </c>
      <c r="AE316" s="27">
        <v>0.35</v>
      </c>
      <c r="AF316" s="27">
        <f t="shared" si="26"/>
        <v>1.9976598841357266E-4</v>
      </c>
      <c r="AG316" s="37">
        <v>0</v>
      </c>
      <c r="AH316" s="27">
        <v>0</v>
      </c>
      <c r="AI316" s="27">
        <f t="shared" si="27"/>
        <v>0</v>
      </c>
      <c r="AJ316" s="38">
        <v>0</v>
      </c>
      <c r="AK316" s="27">
        <v>0</v>
      </c>
      <c r="AL316" s="27">
        <f t="shared" si="28"/>
        <v>0</v>
      </c>
      <c r="AM316" s="40">
        <v>1</v>
      </c>
      <c r="AN316" s="27">
        <v>0.05</v>
      </c>
      <c r="AO316" s="27">
        <f t="shared" si="29"/>
        <v>2.8537998344796096E-5</v>
      </c>
      <c r="AP316" s="7" t="b">
        <v>1</v>
      </c>
      <c r="AQ316" s="6" t="b">
        <v>0</v>
      </c>
      <c r="AR316" s="6" t="b">
        <v>0</v>
      </c>
      <c r="AS316" s="6" t="b">
        <v>0</v>
      </c>
      <c r="AT316" s="7" t="b">
        <v>1</v>
      </c>
      <c r="AU316" s="6" t="b">
        <v>0</v>
      </c>
      <c r="AV316" s="6" t="b">
        <v>0</v>
      </c>
      <c r="AW316" s="6" t="b">
        <v>0</v>
      </c>
      <c r="AX316" s="6" t="b">
        <v>0</v>
      </c>
      <c r="AY316" s="6" t="b">
        <v>0</v>
      </c>
      <c r="AZ316" s="6" t="b">
        <v>0</v>
      </c>
      <c r="BA316" s="6" t="b">
        <v>0</v>
      </c>
      <c r="BB316" s="6" t="b">
        <v>0</v>
      </c>
    </row>
    <row r="317" spans="1:54" ht="15" x14ac:dyDescent="0.25">
      <c r="A317" s="3" t="s">
        <v>690</v>
      </c>
      <c r="B317" s="3" t="str">
        <f ca="1">IFERROR(__xludf.DUMMYFUNCTION("SPLIT(A317,""/"")"),"facebookresearch")</f>
        <v>facebookresearch</v>
      </c>
      <c r="C317" s="3" t="str">
        <f ca="1">IFERROR(__xludf.DUMMYFUNCTION("""COMPUTED_VALUE"""),"torchbeast")</f>
        <v>torchbeast</v>
      </c>
      <c r="D317" s="4" t="s">
        <v>691</v>
      </c>
      <c r="E317" s="5">
        <v>43707.770937499998</v>
      </c>
      <c r="F317" s="5">
        <v>44292.39949074074</v>
      </c>
      <c r="G317" s="13">
        <f t="shared" si="24"/>
        <v>584.62855324074189</v>
      </c>
      <c r="H317" s="6" t="b">
        <v>0</v>
      </c>
      <c r="I317" s="7" t="b">
        <v>1</v>
      </c>
      <c r="J317" s="8">
        <v>501</v>
      </c>
      <c r="K317" s="8">
        <v>19</v>
      </c>
      <c r="L317" s="8">
        <v>56</v>
      </c>
      <c r="M317" s="8">
        <v>0</v>
      </c>
      <c r="N317" s="8">
        <v>0</v>
      </c>
      <c r="O317" s="8">
        <v>6</v>
      </c>
      <c r="P317" s="8">
        <v>5</v>
      </c>
      <c r="Q317" s="8">
        <v>0</v>
      </c>
      <c r="R317" s="8">
        <v>19</v>
      </c>
      <c r="S317" s="8">
        <v>8</v>
      </c>
      <c r="T317" s="3" t="s">
        <v>69</v>
      </c>
      <c r="U317" s="10">
        <v>2228</v>
      </c>
      <c r="V317" s="32">
        <v>39</v>
      </c>
      <c r="W317" s="27">
        <v>1.7504488330341114E-2</v>
      </c>
      <c r="X317" s="34">
        <v>0</v>
      </c>
      <c r="Y317" s="27">
        <v>0</v>
      </c>
      <c r="Z317" s="27">
        <v>0</v>
      </c>
      <c r="AA317" s="35">
        <v>30</v>
      </c>
      <c r="AB317" s="27">
        <v>0.76923076923076927</v>
      </c>
      <c r="AC317" s="27">
        <f t="shared" si="25"/>
        <v>1.3464991023339317E-2</v>
      </c>
      <c r="AD317" s="36">
        <v>5</v>
      </c>
      <c r="AE317" s="27">
        <v>0.12820512820512819</v>
      </c>
      <c r="AF317" s="27">
        <f t="shared" si="26"/>
        <v>2.244165170556553E-3</v>
      </c>
      <c r="AG317" s="37">
        <v>2</v>
      </c>
      <c r="AH317" s="27">
        <v>5.128205128205128E-2</v>
      </c>
      <c r="AI317" s="27">
        <f t="shared" si="27"/>
        <v>8.9766606822262122E-4</v>
      </c>
      <c r="AJ317" s="38">
        <v>0</v>
      </c>
      <c r="AK317" s="27">
        <v>0</v>
      </c>
      <c r="AL317" s="27">
        <f t="shared" si="28"/>
        <v>0</v>
      </c>
      <c r="AM317" s="40">
        <v>2</v>
      </c>
      <c r="AN317" s="27">
        <v>5.128205128205128E-2</v>
      </c>
      <c r="AO317" s="27">
        <f t="shared" si="29"/>
        <v>8.9766606822262122E-4</v>
      </c>
      <c r="AP317" s="7" t="b">
        <v>1</v>
      </c>
      <c r="AQ317" s="6" t="b">
        <v>0</v>
      </c>
      <c r="AR317" s="6" t="b">
        <v>0</v>
      </c>
      <c r="AS317" s="6" t="b">
        <v>0</v>
      </c>
      <c r="AT317" s="7" t="b">
        <v>1</v>
      </c>
      <c r="AU317" s="6" t="b">
        <v>0</v>
      </c>
      <c r="AV317" s="6" t="b">
        <v>0</v>
      </c>
      <c r="AW317" s="6" t="b">
        <v>0</v>
      </c>
      <c r="AX317" s="6" t="b">
        <v>0</v>
      </c>
      <c r="AY317" s="6" t="b">
        <v>0</v>
      </c>
      <c r="AZ317" s="6" t="b">
        <v>0</v>
      </c>
      <c r="BA317" s="6" t="b">
        <v>0</v>
      </c>
      <c r="BB317" s="6" t="b">
        <v>0</v>
      </c>
    </row>
    <row r="318" spans="1:54" ht="15" x14ac:dyDescent="0.25">
      <c r="A318" s="3" t="s">
        <v>692</v>
      </c>
      <c r="B318" s="3" t="str">
        <f ca="1">IFERROR(__xludf.DUMMYFUNCTION("SPLIT(A318,""/"")"),"faizann24")</f>
        <v>faizann24</v>
      </c>
      <c r="C318" s="3" t="str">
        <f ca="1">IFERROR(__xludf.DUMMYFUNCTION("""COMPUTED_VALUE"""),"XssPy")</f>
        <v>XssPy</v>
      </c>
      <c r="D318" s="4" t="s">
        <v>693</v>
      </c>
      <c r="E318" s="5">
        <v>42436.587939814817</v>
      </c>
      <c r="F318" s="5">
        <v>44293.805752314816</v>
      </c>
      <c r="G318" s="13">
        <f t="shared" si="24"/>
        <v>1857.2178124999991</v>
      </c>
      <c r="H318" s="6" t="b">
        <v>0</v>
      </c>
      <c r="I318" s="6" t="b">
        <v>0</v>
      </c>
      <c r="J318" s="8">
        <v>729</v>
      </c>
      <c r="K318" s="8">
        <v>66</v>
      </c>
      <c r="L318" s="8">
        <v>197</v>
      </c>
      <c r="M318" s="8">
        <v>0</v>
      </c>
      <c r="N318" s="8">
        <v>0</v>
      </c>
      <c r="O318" s="8">
        <v>10</v>
      </c>
      <c r="P318" s="8">
        <v>17</v>
      </c>
      <c r="Q318" s="8">
        <v>2</v>
      </c>
      <c r="R318" s="8">
        <v>19</v>
      </c>
      <c r="S318" s="8">
        <v>13</v>
      </c>
      <c r="T318" s="3" t="s">
        <v>72</v>
      </c>
      <c r="U318" s="10">
        <v>129</v>
      </c>
      <c r="V318" s="32">
        <v>16</v>
      </c>
      <c r="W318" s="27">
        <v>0.12403100775193798</v>
      </c>
      <c r="X318" s="34">
        <v>6</v>
      </c>
      <c r="Y318" s="27">
        <v>0.375</v>
      </c>
      <c r="Z318" s="27">
        <v>4.6511627906976744E-2</v>
      </c>
      <c r="AA318" s="35">
        <v>9</v>
      </c>
      <c r="AB318" s="27">
        <v>0.5625</v>
      </c>
      <c r="AC318" s="27">
        <f t="shared" si="25"/>
        <v>6.9767441860465115E-2</v>
      </c>
      <c r="AD318" s="36">
        <v>0</v>
      </c>
      <c r="AE318" s="27">
        <v>0</v>
      </c>
      <c r="AF318" s="27">
        <f t="shared" si="26"/>
        <v>0</v>
      </c>
      <c r="AG318" s="37">
        <v>0</v>
      </c>
      <c r="AH318" s="27">
        <v>0</v>
      </c>
      <c r="AI318" s="27">
        <f t="shared" si="27"/>
        <v>0</v>
      </c>
      <c r="AJ318" s="38">
        <v>0</v>
      </c>
      <c r="AK318" s="27">
        <v>0</v>
      </c>
      <c r="AL318" s="27">
        <f t="shared" si="28"/>
        <v>0</v>
      </c>
      <c r="AM318" s="40">
        <v>1</v>
      </c>
      <c r="AN318" s="27">
        <v>6.25E-2</v>
      </c>
      <c r="AO318" s="27">
        <f t="shared" si="29"/>
        <v>7.7519379844961239E-3</v>
      </c>
      <c r="AP318" s="7" t="b">
        <v>1</v>
      </c>
      <c r="AQ318" s="6" t="b">
        <v>0</v>
      </c>
      <c r="AR318" s="6" t="b">
        <v>0</v>
      </c>
      <c r="AS318" s="6" t="b">
        <v>0</v>
      </c>
      <c r="AT318" s="7" t="b">
        <v>1</v>
      </c>
      <c r="AU318" s="6" t="b">
        <v>0</v>
      </c>
      <c r="AV318" s="6" t="b">
        <v>0</v>
      </c>
      <c r="AW318" s="6" t="b">
        <v>0</v>
      </c>
      <c r="AX318" s="6" t="b">
        <v>0</v>
      </c>
      <c r="AY318" s="6" t="b">
        <v>0</v>
      </c>
      <c r="AZ318" s="6" t="b">
        <v>0</v>
      </c>
      <c r="BA318" s="6" t="b">
        <v>0</v>
      </c>
      <c r="BB318" s="6" t="b">
        <v>0</v>
      </c>
    </row>
    <row r="319" spans="1:54" ht="15" x14ac:dyDescent="0.25">
      <c r="A319" s="3" t="s">
        <v>694</v>
      </c>
      <c r="B319" s="3" t="str">
        <f ca="1">IFERROR(__xludf.DUMMYFUNCTION("SPLIT(A319,""/"")"),"faucetsdn")</f>
        <v>faucetsdn</v>
      </c>
      <c r="C319" s="3" t="str">
        <f ca="1">IFERROR(__xludf.DUMMYFUNCTION("""COMPUTED_VALUE"""),"faucet")</f>
        <v>faucet</v>
      </c>
      <c r="D319" s="4" t="s">
        <v>695</v>
      </c>
      <c r="E319" s="5">
        <v>42272.110833333332</v>
      </c>
      <c r="F319" s="5">
        <v>44293.61445601852</v>
      </c>
      <c r="G319" s="13">
        <f t="shared" si="24"/>
        <v>2021.503622685188</v>
      </c>
      <c r="H319" s="6" t="b">
        <v>0</v>
      </c>
      <c r="I319" s="7" t="b">
        <v>1</v>
      </c>
      <c r="J319" s="8">
        <v>378</v>
      </c>
      <c r="K319" s="8">
        <v>55</v>
      </c>
      <c r="L319" s="8">
        <v>146</v>
      </c>
      <c r="M319" s="8">
        <v>152</v>
      </c>
      <c r="N319" s="8">
        <v>14</v>
      </c>
      <c r="O319" s="8">
        <v>54</v>
      </c>
      <c r="P319" s="8">
        <v>3225</v>
      </c>
      <c r="Q319" s="8">
        <v>10</v>
      </c>
      <c r="R319" s="8">
        <v>594</v>
      </c>
      <c r="S319" s="8">
        <v>27</v>
      </c>
      <c r="T319" s="3" t="s">
        <v>69</v>
      </c>
      <c r="U319" s="10">
        <v>28185</v>
      </c>
      <c r="V319" s="32">
        <v>158</v>
      </c>
      <c r="W319" s="27">
        <v>5.6058186978889483E-3</v>
      </c>
      <c r="X319" s="34">
        <v>10</v>
      </c>
      <c r="Y319" s="27">
        <v>6.3291139240506333E-2</v>
      </c>
      <c r="Z319" s="27">
        <v>3.5479865176512329E-4</v>
      </c>
      <c r="AA319" s="35">
        <v>112</v>
      </c>
      <c r="AB319" s="27">
        <v>0.70886075949367089</v>
      </c>
      <c r="AC319" s="27">
        <f t="shared" si="25"/>
        <v>3.9737448997693809E-3</v>
      </c>
      <c r="AD319" s="36">
        <v>12</v>
      </c>
      <c r="AE319" s="27">
        <v>7.5949367088607597E-2</v>
      </c>
      <c r="AF319" s="27">
        <f t="shared" si="26"/>
        <v>4.2575838211814793E-4</v>
      </c>
      <c r="AG319" s="37">
        <v>25</v>
      </c>
      <c r="AH319" s="27">
        <v>0.15822784810126583</v>
      </c>
      <c r="AI319" s="27">
        <f t="shared" si="27"/>
        <v>8.8699662941280825E-4</v>
      </c>
      <c r="AJ319" s="38">
        <v>0</v>
      </c>
      <c r="AK319" s="27">
        <v>0</v>
      </c>
      <c r="AL319" s="27">
        <f t="shared" si="28"/>
        <v>0</v>
      </c>
      <c r="AM319" s="40">
        <v>0</v>
      </c>
      <c r="AN319" s="27">
        <v>0</v>
      </c>
      <c r="AO319" s="27">
        <f t="shared" si="29"/>
        <v>0</v>
      </c>
      <c r="AP319" s="7" t="b">
        <v>1</v>
      </c>
      <c r="AQ319" s="7" t="b">
        <v>1</v>
      </c>
      <c r="AR319" s="6" t="b">
        <v>0</v>
      </c>
      <c r="AS319" s="6" t="b">
        <v>0</v>
      </c>
      <c r="AT319" s="7" t="b">
        <v>1</v>
      </c>
      <c r="AU319" s="6" t="b">
        <v>0</v>
      </c>
      <c r="AV319" s="6" t="b">
        <v>0</v>
      </c>
      <c r="AW319" s="6" t="b">
        <v>0</v>
      </c>
      <c r="AX319" s="6" t="b">
        <v>0</v>
      </c>
      <c r="AY319" s="6" t="b">
        <v>0</v>
      </c>
      <c r="AZ319" s="6" t="b">
        <v>0</v>
      </c>
      <c r="BA319" s="6" t="b">
        <v>0</v>
      </c>
      <c r="BB319" s="6" t="b">
        <v>0</v>
      </c>
    </row>
    <row r="320" spans="1:54" ht="15" x14ac:dyDescent="0.25">
      <c r="A320" s="3" t="s">
        <v>696</v>
      </c>
      <c r="B320" s="3" t="str">
        <f ca="1">IFERROR(__xludf.DUMMYFUNCTION("SPLIT(A320,""/"")"),"favll")</f>
        <v>favll</v>
      </c>
      <c r="C320" s="3" t="str">
        <f ca="1">IFERROR(__xludf.DUMMYFUNCTION("""COMPUTED_VALUE"""),"pogom")</f>
        <v>pogom</v>
      </c>
      <c r="D320" s="4" t="s">
        <v>697</v>
      </c>
      <c r="E320" s="5">
        <v>42570.688055555554</v>
      </c>
      <c r="F320" s="5">
        <v>44252.950601851851</v>
      </c>
      <c r="G320" s="13">
        <f t="shared" si="24"/>
        <v>1682.2625462962969</v>
      </c>
      <c r="H320" s="6" t="b">
        <v>0</v>
      </c>
      <c r="I320" s="6" t="b">
        <v>0</v>
      </c>
      <c r="J320" s="8">
        <v>557</v>
      </c>
      <c r="K320" s="8">
        <v>45</v>
      </c>
      <c r="L320" s="8">
        <v>209</v>
      </c>
      <c r="M320" s="8">
        <v>0</v>
      </c>
      <c r="N320" s="8">
        <v>22</v>
      </c>
      <c r="O320" s="8">
        <v>18</v>
      </c>
      <c r="P320" s="8">
        <v>80</v>
      </c>
      <c r="Q320" s="8">
        <v>12</v>
      </c>
      <c r="R320" s="8">
        <v>342</v>
      </c>
      <c r="S320" s="8">
        <v>65</v>
      </c>
      <c r="T320" s="3" t="s">
        <v>72</v>
      </c>
      <c r="U320" s="10">
        <v>6676</v>
      </c>
      <c r="V320" s="32">
        <v>99</v>
      </c>
      <c r="W320" s="27">
        <v>1.4829239065308569E-2</v>
      </c>
      <c r="X320" s="34">
        <v>43</v>
      </c>
      <c r="Y320" s="27">
        <v>0.43434343434343436</v>
      </c>
      <c r="Z320" s="27">
        <v>6.4409826243259439E-3</v>
      </c>
      <c r="AA320" s="35">
        <v>34</v>
      </c>
      <c r="AB320" s="27">
        <v>0.34343434343434343</v>
      </c>
      <c r="AC320" s="27">
        <f t="shared" si="25"/>
        <v>5.092869982025165E-3</v>
      </c>
      <c r="AD320" s="36">
        <v>7</v>
      </c>
      <c r="AE320" s="27">
        <v>7.0707070707070704E-2</v>
      </c>
      <c r="AF320" s="27">
        <f t="shared" si="26"/>
        <v>1.048532055122828E-3</v>
      </c>
      <c r="AG320" s="37">
        <v>13</v>
      </c>
      <c r="AH320" s="27">
        <v>0.13131313131313133</v>
      </c>
      <c r="AI320" s="27">
        <f t="shared" si="27"/>
        <v>1.9472738166566807E-3</v>
      </c>
      <c r="AJ320" s="38">
        <v>1</v>
      </c>
      <c r="AK320" s="27">
        <v>1.0101010101010102E-2</v>
      </c>
      <c r="AL320" s="27">
        <f t="shared" si="28"/>
        <v>1.4979029358897544E-4</v>
      </c>
      <c r="AM320" s="40">
        <v>0</v>
      </c>
      <c r="AN320" s="27">
        <v>0</v>
      </c>
      <c r="AO320" s="27">
        <f t="shared" si="29"/>
        <v>0</v>
      </c>
      <c r="AP320" s="7" t="b">
        <v>1</v>
      </c>
      <c r="AQ320" s="6" t="b">
        <v>0</v>
      </c>
      <c r="AR320" s="6" t="b">
        <v>0</v>
      </c>
      <c r="AS320" s="6" t="b">
        <v>0</v>
      </c>
      <c r="AT320" s="7" t="b">
        <v>1</v>
      </c>
      <c r="AU320" s="6" t="b">
        <v>0</v>
      </c>
      <c r="AV320" s="6" t="b">
        <v>0</v>
      </c>
      <c r="AW320" s="6" t="b">
        <v>0</v>
      </c>
      <c r="AX320" s="6" t="b">
        <v>0</v>
      </c>
      <c r="AY320" s="6" t="b">
        <v>0</v>
      </c>
      <c r="AZ320" s="6" t="b">
        <v>0</v>
      </c>
      <c r="BA320" s="6" t="b">
        <v>0</v>
      </c>
      <c r="BB320" s="6" t="b">
        <v>0</v>
      </c>
    </row>
    <row r="321" spans="1:54" ht="15" x14ac:dyDescent="0.25">
      <c r="A321" s="3" t="s">
        <v>698</v>
      </c>
      <c r="B321" s="3" t="str">
        <f ca="1">IFERROR(__xludf.DUMMYFUNCTION("SPLIT(A321,""/"")"),"fcavallarin")</f>
        <v>fcavallarin</v>
      </c>
      <c r="C321" s="3" t="str">
        <f ca="1">IFERROR(__xludf.DUMMYFUNCTION("""COMPUTED_VALUE"""),"htcap")</f>
        <v>htcap</v>
      </c>
      <c r="D321" s="4" t="s">
        <v>699</v>
      </c>
      <c r="E321" s="5">
        <v>42180.507048611114</v>
      </c>
      <c r="F321" s="5">
        <v>44269.311759259261</v>
      </c>
      <c r="G321" s="13">
        <f t="shared" si="24"/>
        <v>2088.8047106481463</v>
      </c>
      <c r="H321" s="6" t="b">
        <v>0</v>
      </c>
      <c r="I321" s="6" t="b">
        <v>0</v>
      </c>
      <c r="J321" s="8">
        <v>568</v>
      </c>
      <c r="K321" s="8">
        <v>42</v>
      </c>
      <c r="L321" s="8">
        <v>107</v>
      </c>
      <c r="M321" s="8">
        <v>3</v>
      </c>
      <c r="N321" s="8">
        <v>3</v>
      </c>
      <c r="O321" s="8">
        <v>5</v>
      </c>
      <c r="P321" s="8">
        <v>48</v>
      </c>
      <c r="Q321" s="8">
        <v>2</v>
      </c>
      <c r="R321" s="8">
        <v>38</v>
      </c>
      <c r="S321" s="8">
        <v>2</v>
      </c>
      <c r="T321" s="3" t="s">
        <v>64</v>
      </c>
      <c r="U321" s="10">
        <v>4494</v>
      </c>
      <c r="V321" s="32">
        <v>4</v>
      </c>
      <c r="W321" s="27">
        <v>8.9007565643079659E-4</v>
      </c>
      <c r="X321" s="34">
        <v>1</v>
      </c>
      <c r="Y321" s="27">
        <v>0.25</v>
      </c>
      <c r="Z321" s="27">
        <v>2.2251891410769915E-4</v>
      </c>
      <c r="AA321" s="35">
        <v>2</v>
      </c>
      <c r="AB321" s="27">
        <v>0.5</v>
      </c>
      <c r="AC321" s="27">
        <f t="shared" si="25"/>
        <v>4.450378282153983E-4</v>
      </c>
      <c r="AD321" s="36">
        <v>1</v>
      </c>
      <c r="AE321" s="27">
        <v>0.25</v>
      </c>
      <c r="AF321" s="27">
        <f t="shared" si="26"/>
        <v>2.2251891410769915E-4</v>
      </c>
      <c r="AG321" s="37">
        <v>0</v>
      </c>
      <c r="AH321" s="27">
        <v>0</v>
      </c>
      <c r="AI321" s="27">
        <f t="shared" si="27"/>
        <v>0</v>
      </c>
      <c r="AJ321" s="38">
        <v>0</v>
      </c>
      <c r="AK321" s="27">
        <v>0</v>
      </c>
      <c r="AL321" s="27">
        <f t="shared" si="28"/>
        <v>0</v>
      </c>
      <c r="AM321" s="40">
        <v>0</v>
      </c>
      <c r="AN321" s="27">
        <v>0</v>
      </c>
      <c r="AO321" s="27">
        <f t="shared" si="29"/>
        <v>0</v>
      </c>
      <c r="AP321" s="7" t="b">
        <v>1</v>
      </c>
      <c r="AQ321" s="6" t="b">
        <v>0</v>
      </c>
      <c r="AR321" s="6" t="b">
        <v>0</v>
      </c>
      <c r="AS321" s="6" t="b">
        <v>0</v>
      </c>
      <c r="AT321" s="7" t="b">
        <v>1</v>
      </c>
      <c r="AU321" s="6" t="b">
        <v>0</v>
      </c>
      <c r="AV321" s="6" t="b">
        <v>0</v>
      </c>
      <c r="AW321" s="6" t="b">
        <v>0</v>
      </c>
      <c r="AX321" s="6" t="b">
        <v>0</v>
      </c>
      <c r="AY321" s="6" t="b">
        <v>0</v>
      </c>
      <c r="AZ321" s="6" t="b">
        <v>0</v>
      </c>
      <c r="BA321" s="6" t="b">
        <v>0</v>
      </c>
      <c r="BB321" s="6" t="b">
        <v>0</v>
      </c>
    </row>
    <row r="322" spans="1:54" ht="15" x14ac:dyDescent="0.25">
      <c r="A322" s="3" t="s">
        <v>700</v>
      </c>
      <c r="B322" s="3" t="str">
        <f ca="1">IFERROR(__xludf.DUMMYFUNCTION("SPLIT(A322,""/"")"),"FDA")</f>
        <v>FDA</v>
      </c>
      <c r="C322" s="3" t="str">
        <f ca="1">IFERROR(__xludf.DUMMYFUNCTION("""COMPUTED_VALUE"""),"openfda")</f>
        <v>openfda</v>
      </c>
      <c r="D322" s="4" t="s">
        <v>701</v>
      </c>
      <c r="E322" s="5">
        <v>41791.613310185188</v>
      </c>
      <c r="F322" s="5">
        <v>44284.019155092596</v>
      </c>
      <c r="G322" s="13">
        <f t="shared" si="24"/>
        <v>2492.4058449074073</v>
      </c>
      <c r="H322" s="6" t="b">
        <v>0</v>
      </c>
      <c r="I322" s="7" t="b">
        <v>1</v>
      </c>
      <c r="J322" s="8">
        <v>431</v>
      </c>
      <c r="K322" s="8">
        <v>61</v>
      </c>
      <c r="L322" s="8">
        <v>105</v>
      </c>
      <c r="M322" s="8">
        <v>0</v>
      </c>
      <c r="N322" s="8">
        <v>1</v>
      </c>
      <c r="O322" s="8">
        <v>8</v>
      </c>
      <c r="P322" s="8">
        <v>31</v>
      </c>
      <c r="Q322" s="8">
        <v>1</v>
      </c>
      <c r="R322" s="8">
        <v>134</v>
      </c>
      <c r="S322" s="8">
        <v>6</v>
      </c>
      <c r="T322" s="3" t="s">
        <v>92</v>
      </c>
      <c r="U322" s="10">
        <v>9873</v>
      </c>
      <c r="V322" s="32">
        <v>113</v>
      </c>
      <c r="W322" s="27">
        <v>1.1445356021472704E-2</v>
      </c>
      <c r="X322" s="34">
        <v>6</v>
      </c>
      <c r="Y322" s="27">
        <v>5.3097345132743362E-2</v>
      </c>
      <c r="Z322" s="27">
        <v>6.0771801883925853E-4</v>
      </c>
      <c r="AA322" s="35">
        <v>62</v>
      </c>
      <c r="AB322" s="27">
        <v>0.54867256637168138</v>
      </c>
      <c r="AC322" s="27">
        <f t="shared" si="25"/>
        <v>6.2797528613390058E-3</v>
      </c>
      <c r="AD322" s="36">
        <v>18</v>
      </c>
      <c r="AE322" s="27">
        <v>0.15929203539823009</v>
      </c>
      <c r="AF322" s="27">
        <f t="shared" si="26"/>
        <v>1.8231540565177757E-3</v>
      </c>
      <c r="AG322" s="37">
        <v>20</v>
      </c>
      <c r="AH322" s="27">
        <v>0.17699115044247787</v>
      </c>
      <c r="AI322" s="27">
        <f t="shared" si="27"/>
        <v>2.0257267294641955E-3</v>
      </c>
      <c r="AJ322" s="38">
        <v>6</v>
      </c>
      <c r="AK322" s="27">
        <v>5.3097345132743362E-2</v>
      </c>
      <c r="AL322" s="27">
        <f t="shared" si="28"/>
        <v>6.0771801883925853E-4</v>
      </c>
      <c r="AM322" s="40">
        <v>0</v>
      </c>
      <c r="AN322" s="27">
        <v>0</v>
      </c>
      <c r="AO322" s="27">
        <f t="shared" si="29"/>
        <v>0</v>
      </c>
      <c r="AP322" s="7" t="b">
        <v>1</v>
      </c>
      <c r="AQ322" s="7" t="b">
        <v>1</v>
      </c>
      <c r="AR322" s="6" t="b">
        <v>0</v>
      </c>
      <c r="AS322" s="6" t="b">
        <v>0</v>
      </c>
      <c r="AT322" s="7" t="b">
        <v>1</v>
      </c>
      <c r="AU322" s="6" t="b">
        <v>0</v>
      </c>
      <c r="AV322" s="6" t="b">
        <v>0</v>
      </c>
      <c r="AW322" s="6" t="b">
        <v>0</v>
      </c>
      <c r="AX322" s="6" t="b">
        <v>0</v>
      </c>
      <c r="AY322" s="6" t="b">
        <v>0</v>
      </c>
      <c r="AZ322" s="6" t="b">
        <v>0</v>
      </c>
      <c r="BA322" s="6" t="b">
        <v>0</v>
      </c>
      <c r="BB322" s="6" t="b">
        <v>0</v>
      </c>
    </row>
    <row r="323" spans="1:54" ht="15" x14ac:dyDescent="0.25">
      <c r="A323" s="3" t="s">
        <v>702</v>
      </c>
      <c r="B323" s="3" t="str">
        <f ca="1">IFERROR(__xludf.DUMMYFUNCTION("SPLIT(A323,""/"")"),"feast-dev")</f>
        <v>feast-dev</v>
      </c>
      <c r="C323" s="3" t="str">
        <f ca="1">IFERROR(__xludf.DUMMYFUNCTION("""COMPUTED_VALUE"""),"feast")</f>
        <v>feast</v>
      </c>
      <c r="D323" s="4" t="s">
        <v>703</v>
      </c>
      <c r="E323" s="5">
        <v>43444.30572916667</v>
      </c>
      <c r="F323" s="5">
        <v>44295.171793981484</v>
      </c>
      <c r="G323" s="13">
        <f t="shared" ref="G323:G386" si="30">F323-E323</f>
        <v>850.86606481481431</v>
      </c>
      <c r="H323" s="6" t="b">
        <v>0</v>
      </c>
      <c r="I323" s="7" t="b">
        <v>1</v>
      </c>
      <c r="J323" s="8">
        <v>1676</v>
      </c>
      <c r="K323" s="8">
        <v>56</v>
      </c>
      <c r="L323" s="8">
        <v>270</v>
      </c>
      <c r="M323" s="8">
        <v>34</v>
      </c>
      <c r="N323" s="8">
        <v>15</v>
      </c>
      <c r="O323" s="8">
        <v>62</v>
      </c>
      <c r="P323" s="8">
        <v>1051</v>
      </c>
      <c r="Q323" s="8">
        <v>5</v>
      </c>
      <c r="R323" s="8">
        <v>389</v>
      </c>
      <c r="S323" s="8">
        <v>20</v>
      </c>
      <c r="T323" s="3" t="s">
        <v>69</v>
      </c>
      <c r="U323" s="10">
        <v>5094</v>
      </c>
      <c r="V323" s="32">
        <v>10</v>
      </c>
      <c r="W323" s="27">
        <v>1.9630938358853552E-3</v>
      </c>
      <c r="X323" s="34">
        <v>0</v>
      </c>
      <c r="Y323" s="27">
        <v>0</v>
      </c>
      <c r="Z323" s="27">
        <v>0</v>
      </c>
      <c r="AA323" s="35">
        <v>2</v>
      </c>
      <c r="AB323" s="27">
        <v>0.2</v>
      </c>
      <c r="AC323" s="27">
        <f t="shared" ref="AC323:AC386" si="31">AA323/U323</f>
        <v>3.9261876717707107E-4</v>
      </c>
      <c r="AD323" s="36">
        <v>2</v>
      </c>
      <c r="AE323" s="27">
        <v>0.2</v>
      </c>
      <c r="AF323" s="27">
        <f t="shared" ref="AF323:AF386" si="32">AD323/U323</f>
        <v>3.9261876717707107E-4</v>
      </c>
      <c r="AG323" s="37">
        <v>3</v>
      </c>
      <c r="AH323" s="27">
        <v>0.3</v>
      </c>
      <c r="AI323" s="27">
        <f t="shared" ref="AI323:AI386" si="33">AG323/U323</f>
        <v>5.8892815076560655E-4</v>
      </c>
      <c r="AJ323" s="38">
        <v>0</v>
      </c>
      <c r="AK323" s="27">
        <v>0</v>
      </c>
      <c r="AL323" s="27">
        <f t="shared" ref="AL323:AL386" si="34">AJ323/U323</f>
        <v>0</v>
      </c>
      <c r="AM323" s="40">
        <v>0</v>
      </c>
      <c r="AN323" s="27">
        <v>0</v>
      </c>
      <c r="AO323" s="27">
        <f t="shared" ref="AO323:AO386" si="35">AM323/U323</f>
        <v>0</v>
      </c>
      <c r="AP323" s="7" t="b">
        <v>1</v>
      </c>
      <c r="AQ323" s="7" t="b">
        <v>1</v>
      </c>
      <c r="AR323" s="6" t="b">
        <v>0</v>
      </c>
      <c r="AS323" s="6" t="b">
        <v>0</v>
      </c>
      <c r="AT323" s="7" t="b">
        <v>1</v>
      </c>
      <c r="AU323" s="6" t="b">
        <v>0</v>
      </c>
      <c r="AV323" s="6" t="b">
        <v>0</v>
      </c>
      <c r="AW323" s="6" t="b">
        <v>0</v>
      </c>
      <c r="AX323" s="6" t="b">
        <v>0</v>
      </c>
      <c r="AY323" s="6" t="b">
        <v>0</v>
      </c>
      <c r="AZ323" s="6" t="b">
        <v>0</v>
      </c>
      <c r="BA323" s="6" t="b">
        <v>0</v>
      </c>
      <c r="BB323" s="6" t="b">
        <v>0</v>
      </c>
    </row>
    <row r="324" spans="1:54" ht="15" x14ac:dyDescent="0.25">
      <c r="A324" s="3" t="s">
        <v>704</v>
      </c>
      <c r="B324" s="3" t="str">
        <f ca="1">IFERROR(__xludf.DUMMYFUNCTION("SPLIT(A324,""/"")"),"fedden")</f>
        <v>fedden</v>
      </c>
      <c r="C324" s="3" t="str">
        <f ca="1">IFERROR(__xludf.DUMMYFUNCTION("""COMPUTED_VALUE"""),"poker_ai")</f>
        <v>poker_ai</v>
      </c>
      <c r="D324" s="4" t="s">
        <v>705</v>
      </c>
      <c r="E324" s="5">
        <v>43841.662731481483</v>
      </c>
      <c r="F324" s="5">
        <v>44294.749652777777</v>
      </c>
      <c r="G324" s="13">
        <f t="shared" si="30"/>
        <v>453.08692129629344</v>
      </c>
      <c r="H324" s="6" t="b">
        <v>0</v>
      </c>
      <c r="I324" s="6" t="b">
        <v>0</v>
      </c>
      <c r="J324" s="8">
        <v>489</v>
      </c>
      <c r="K324" s="8">
        <v>59</v>
      </c>
      <c r="L324" s="8">
        <v>130</v>
      </c>
      <c r="M324" s="8">
        <v>2</v>
      </c>
      <c r="N324" s="8">
        <v>0</v>
      </c>
      <c r="O324" s="8">
        <v>4</v>
      </c>
      <c r="P324" s="8">
        <v>85</v>
      </c>
      <c r="Q324" s="8">
        <v>12</v>
      </c>
      <c r="R324" s="8">
        <v>47</v>
      </c>
      <c r="S324" s="8">
        <v>18</v>
      </c>
      <c r="T324" s="3" t="s">
        <v>92</v>
      </c>
      <c r="U324" s="10">
        <v>3458</v>
      </c>
      <c r="V324" s="32">
        <v>73</v>
      </c>
      <c r="W324" s="27">
        <v>2.1110468478889532E-2</v>
      </c>
      <c r="X324" s="34">
        <v>36</v>
      </c>
      <c r="Y324" s="27">
        <v>0.49315068493150682</v>
      </c>
      <c r="Z324" s="27">
        <v>1.0410641989589358E-2</v>
      </c>
      <c r="AA324" s="35">
        <v>37</v>
      </c>
      <c r="AB324" s="27">
        <v>0.50684931506849318</v>
      </c>
      <c r="AC324" s="27">
        <f t="shared" si="31"/>
        <v>1.0699826489300174E-2</v>
      </c>
      <c r="AD324" s="36">
        <v>0</v>
      </c>
      <c r="AE324" s="27">
        <v>0</v>
      </c>
      <c r="AF324" s="27">
        <f t="shared" si="32"/>
        <v>0</v>
      </c>
      <c r="AG324" s="37">
        <v>0</v>
      </c>
      <c r="AH324" s="27">
        <v>0</v>
      </c>
      <c r="AI324" s="27">
        <f t="shared" si="33"/>
        <v>0</v>
      </c>
      <c r="AJ324" s="38">
        <v>0</v>
      </c>
      <c r="AK324" s="27">
        <v>0</v>
      </c>
      <c r="AL324" s="27">
        <f t="shared" si="34"/>
        <v>0</v>
      </c>
      <c r="AM324" s="40">
        <v>0</v>
      </c>
      <c r="AN324" s="27">
        <v>0</v>
      </c>
      <c r="AO324" s="27">
        <f t="shared" si="35"/>
        <v>0</v>
      </c>
      <c r="AP324" s="7" t="b">
        <v>1</v>
      </c>
      <c r="AQ324" s="6" t="b">
        <v>0</v>
      </c>
      <c r="AR324" s="6" t="b">
        <v>0</v>
      </c>
      <c r="AS324" s="6" t="b">
        <v>0</v>
      </c>
      <c r="AT324" s="7" t="b">
        <v>1</v>
      </c>
      <c r="AU324" s="6" t="b">
        <v>0</v>
      </c>
      <c r="AV324" s="6" t="b">
        <v>0</v>
      </c>
      <c r="AW324" s="6" t="b">
        <v>0</v>
      </c>
      <c r="AX324" s="6" t="b">
        <v>0</v>
      </c>
      <c r="AY324" s="6" t="b">
        <v>0</v>
      </c>
      <c r="AZ324" s="6" t="b">
        <v>0</v>
      </c>
      <c r="BA324" s="6" t="b">
        <v>0</v>
      </c>
      <c r="BB324" s="6" t="b">
        <v>0</v>
      </c>
    </row>
    <row r="325" spans="1:54" ht="15" x14ac:dyDescent="0.25">
      <c r="A325" s="3" t="s">
        <v>706</v>
      </c>
      <c r="B325" s="3" t="str">
        <f ca="1">IFERROR(__xludf.DUMMYFUNCTION("SPLIT(A325,""/"")"),"FederatedAI")</f>
        <v>FederatedAI</v>
      </c>
      <c r="C325" s="3" t="str">
        <f ca="1">IFERROR(__xludf.DUMMYFUNCTION("""COMPUTED_VALUE"""),"FATE")</f>
        <v>FATE</v>
      </c>
      <c r="D325" s="4" t="s">
        <v>707</v>
      </c>
      <c r="E325" s="5">
        <v>43489.439386574071</v>
      </c>
      <c r="F325" s="5">
        <v>44295.082997685182</v>
      </c>
      <c r="G325" s="13">
        <f t="shared" si="30"/>
        <v>805.64361111111066</v>
      </c>
      <c r="H325" s="6" t="b">
        <v>0</v>
      </c>
      <c r="I325" s="7" t="b">
        <v>1</v>
      </c>
      <c r="J325" s="8">
        <v>2937</v>
      </c>
      <c r="K325" s="8">
        <v>120</v>
      </c>
      <c r="L325" s="8">
        <v>853</v>
      </c>
      <c r="M325" s="8">
        <v>26</v>
      </c>
      <c r="N325" s="8">
        <v>2</v>
      </c>
      <c r="O325" s="8">
        <v>47</v>
      </c>
      <c r="P325" s="8">
        <v>1904</v>
      </c>
      <c r="Q325" s="8">
        <v>1</v>
      </c>
      <c r="R325" s="8">
        <v>826</v>
      </c>
      <c r="S325" s="8">
        <v>286</v>
      </c>
      <c r="T325" s="3" t="s">
        <v>69</v>
      </c>
      <c r="U325" s="10">
        <v>69830</v>
      </c>
      <c r="V325" s="32">
        <v>1274</v>
      </c>
      <c r="W325" s="27">
        <v>1.8244307604181585E-2</v>
      </c>
      <c r="X325" s="34">
        <v>505</v>
      </c>
      <c r="Y325" s="27">
        <v>0.39638932496075352</v>
      </c>
      <c r="Z325" s="27">
        <v>7.231848775597881E-3</v>
      </c>
      <c r="AA325" s="35">
        <v>622</v>
      </c>
      <c r="AB325" s="27">
        <v>0.48822605965463106</v>
      </c>
      <c r="AC325" s="27">
        <f t="shared" si="31"/>
        <v>8.907346412716597E-3</v>
      </c>
      <c r="AD325" s="36">
        <v>71</v>
      </c>
      <c r="AE325" s="27">
        <v>5.572998430141287E-2</v>
      </c>
      <c r="AF325" s="27">
        <f t="shared" si="32"/>
        <v>1.0167549763711872E-3</v>
      </c>
      <c r="AG325" s="37">
        <v>21</v>
      </c>
      <c r="AH325" s="27">
        <v>1.6483516483516484E-2</v>
      </c>
      <c r="AI325" s="27">
        <f t="shared" si="33"/>
        <v>3.0073034512387227E-4</v>
      </c>
      <c r="AJ325" s="38">
        <v>2</v>
      </c>
      <c r="AK325" s="27">
        <v>1.5698587127158557E-3</v>
      </c>
      <c r="AL325" s="27">
        <f t="shared" si="34"/>
        <v>2.8640985249892597E-5</v>
      </c>
      <c r="AM325" s="40">
        <v>0</v>
      </c>
      <c r="AN325" s="27">
        <v>0</v>
      </c>
      <c r="AO325" s="27">
        <f t="shared" si="35"/>
        <v>0</v>
      </c>
      <c r="AP325" s="7" t="b">
        <v>1</v>
      </c>
      <c r="AQ325" s="6" t="b">
        <v>0</v>
      </c>
      <c r="AR325" s="6" t="b">
        <v>0</v>
      </c>
      <c r="AS325" s="6" t="b">
        <v>0</v>
      </c>
      <c r="AT325" s="7" t="b">
        <v>1</v>
      </c>
      <c r="AU325" s="6" t="b">
        <v>0</v>
      </c>
      <c r="AV325" s="6" t="b">
        <v>0</v>
      </c>
      <c r="AW325" s="6" t="b">
        <v>0</v>
      </c>
      <c r="AX325" s="7" t="b">
        <v>1</v>
      </c>
      <c r="AY325" s="6" t="b">
        <v>0</v>
      </c>
      <c r="AZ325" s="6" t="b">
        <v>0</v>
      </c>
      <c r="BA325" s="6" t="b">
        <v>0</v>
      </c>
      <c r="BB325" s="6" t="b">
        <v>0</v>
      </c>
    </row>
    <row r="326" spans="1:54" ht="15" x14ac:dyDescent="0.25">
      <c r="A326" s="3" t="s">
        <v>708</v>
      </c>
      <c r="B326" s="3" t="str">
        <f ca="1">IFERROR(__xludf.DUMMYFUNCTION("SPLIT(A326,""/"")"),"fennerm")</f>
        <v>fennerm</v>
      </c>
      <c r="C326" s="3" t="str">
        <f ca="1">IFERROR(__xludf.DUMMYFUNCTION("""COMPUTED_VALUE"""),"flashfocus")</f>
        <v>flashfocus</v>
      </c>
      <c r="D326" s="4" t="s">
        <v>709</v>
      </c>
      <c r="E326" s="5">
        <v>43154.8049537037</v>
      </c>
      <c r="F326" s="5">
        <v>44289.869641203702</v>
      </c>
      <c r="G326" s="13">
        <f t="shared" si="30"/>
        <v>1135.064687500002</v>
      </c>
      <c r="H326" s="6" t="b">
        <v>0</v>
      </c>
      <c r="I326" s="6" t="b">
        <v>0</v>
      </c>
      <c r="J326" s="8">
        <v>588</v>
      </c>
      <c r="K326" s="8">
        <v>11</v>
      </c>
      <c r="L326" s="8">
        <v>9</v>
      </c>
      <c r="M326" s="8">
        <v>0</v>
      </c>
      <c r="N326" s="8">
        <v>0</v>
      </c>
      <c r="O326" s="8">
        <v>6</v>
      </c>
      <c r="P326" s="8">
        <v>10</v>
      </c>
      <c r="Q326" s="8">
        <v>0</v>
      </c>
      <c r="R326" s="8">
        <v>53</v>
      </c>
      <c r="S326" s="8">
        <v>4</v>
      </c>
      <c r="T326" s="3" t="s">
        <v>72</v>
      </c>
      <c r="U326" s="10">
        <v>1723</v>
      </c>
      <c r="V326" s="32">
        <v>36</v>
      </c>
      <c r="W326" s="27">
        <v>2.0893789901334881E-2</v>
      </c>
      <c r="X326" s="34">
        <v>17</v>
      </c>
      <c r="Y326" s="27">
        <v>0.47222222222222221</v>
      </c>
      <c r="Z326" s="27">
        <v>9.8665118978525819E-3</v>
      </c>
      <c r="AA326" s="35">
        <v>12</v>
      </c>
      <c r="AB326" s="27">
        <v>0.33333333333333331</v>
      </c>
      <c r="AC326" s="27">
        <f t="shared" si="31"/>
        <v>6.9645966337782937E-3</v>
      </c>
      <c r="AD326" s="36">
        <v>3</v>
      </c>
      <c r="AE326" s="27">
        <v>8.3333333333333329E-2</v>
      </c>
      <c r="AF326" s="27">
        <f t="shared" si="32"/>
        <v>1.7411491584445734E-3</v>
      </c>
      <c r="AG326" s="37">
        <v>4</v>
      </c>
      <c r="AH326" s="27">
        <v>0.1111111111111111</v>
      </c>
      <c r="AI326" s="27">
        <f t="shared" si="33"/>
        <v>2.3215322112594312E-3</v>
      </c>
      <c r="AJ326" s="38">
        <v>0</v>
      </c>
      <c r="AK326" s="27">
        <v>0</v>
      </c>
      <c r="AL326" s="27">
        <f t="shared" si="34"/>
        <v>0</v>
      </c>
      <c r="AM326" s="40">
        <v>0</v>
      </c>
      <c r="AN326" s="27">
        <v>0</v>
      </c>
      <c r="AO326" s="27">
        <f t="shared" si="35"/>
        <v>0</v>
      </c>
      <c r="AP326" s="7" t="b">
        <v>1</v>
      </c>
      <c r="AQ326" s="6" t="b">
        <v>0</v>
      </c>
      <c r="AR326" s="6" t="b">
        <v>0</v>
      </c>
      <c r="AS326" s="6" t="b">
        <v>0</v>
      </c>
      <c r="AT326" s="7" t="b">
        <v>1</v>
      </c>
      <c r="AU326" s="6" t="b">
        <v>0</v>
      </c>
      <c r="AV326" s="6" t="b">
        <v>0</v>
      </c>
      <c r="AW326" s="6" t="b">
        <v>0</v>
      </c>
      <c r="AX326" s="6" t="b">
        <v>0</v>
      </c>
      <c r="AY326" s="6" t="b">
        <v>0</v>
      </c>
      <c r="AZ326" s="6" t="b">
        <v>0</v>
      </c>
      <c r="BA326" s="6" t="b">
        <v>0</v>
      </c>
      <c r="BB326" s="6" t="b">
        <v>0</v>
      </c>
    </row>
    <row r="327" spans="1:54" ht="15" x14ac:dyDescent="0.25">
      <c r="A327" s="3" t="s">
        <v>710</v>
      </c>
      <c r="B327" s="3" t="str">
        <f ca="1">IFERROR(__xludf.DUMMYFUNCTION("SPLIT(A327,""/"")"),"fhamborg")</f>
        <v>fhamborg</v>
      </c>
      <c r="C327" s="3" t="str">
        <f ca="1">IFERROR(__xludf.DUMMYFUNCTION("""COMPUTED_VALUE"""),"news-please")</f>
        <v>news-please</v>
      </c>
      <c r="D327" s="4" t="s">
        <v>711</v>
      </c>
      <c r="E327" s="5">
        <v>42722.708356481482</v>
      </c>
      <c r="F327" s="5">
        <v>44294.49554398148</v>
      </c>
      <c r="G327" s="13">
        <f t="shared" si="30"/>
        <v>1571.7871874999983</v>
      </c>
      <c r="H327" s="6" t="b">
        <v>0</v>
      </c>
      <c r="I327" s="6" t="b">
        <v>0</v>
      </c>
      <c r="J327" s="8">
        <v>1005</v>
      </c>
      <c r="K327" s="8">
        <v>44</v>
      </c>
      <c r="L327" s="8">
        <v>260</v>
      </c>
      <c r="M327" s="8">
        <v>0</v>
      </c>
      <c r="N327" s="8">
        <v>4</v>
      </c>
      <c r="O327" s="8">
        <v>27</v>
      </c>
      <c r="P327" s="8">
        <v>59</v>
      </c>
      <c r="Q327" s="8">
        <v>0</v>
      </c>
      <c r="R327" s="8">
        <v>148</v>
      </c>
      <c r="S327" s="8">
        <v>16</v>
      </c>
      <c r="T327" s="3" t="s">
        <v>69</v>
      </c>
      <c r="U327" s="10">
        <v>3213</v>
      </c>
      <c r="V327" s="32">
        <v>97</v>
      </c>
      <c r="W327" s="27">
        <v>3.0189853719265483E-2</v>
      </c>
      <c r="X327" s="34">
        <v>17</v>
      </c>
      <c r="Y327" s="27">
        <v>0.17525773195876287</v>
      </c>
      <c r="Z327" s="27">
        <v>5.2910052910052907E-3</v>
      </c>
      <c r="AA327" s="35">
        <v>36</v>
      </c>
      <c r="AB327" s="27">
        <v>0.37113402061855671</v>
      </c>
      <c r="AC327" s="27">
        <f t="shared" si="31"/>
        <v>1.1204481792717087E-2</v>
      </c>
      <c r="AD327" s="36">
        <v>6</v>
      </c>
      <c r="AE327" s="27">
        <v>6.1855670103092786E-2</v>
      </c>
      <c r="AF327" s="27">
        <f t="shared" si="32"/>
        <v>1.8674136321195146E-3</v>
      </c>
      <c r="AG327" s="37">
        <v>38</v>
      </c>
      <c r="AH327" s="27">
        <v>0.39175257731958762</v>
      </c>
      <c r="AI327" s="27">
        <f t="shared" si="33"/>
        <v>1.1826953003423592E-2</v>
      </c>
      <c r="AJ327" s="38">
        <v>0</v>
      </c>
      <c r="AK327" s="27">
        <v>0</v>
      </c>
      <c r="AL327" s="27">
        <f t="shared" si="34"/>
        <v>0</v>
      </c>
      <c r="AM327" s="40">
        <v>0</v>
      </c>
      <c r="AN327" s="27">
        <v>0</v>
      </c>
      <c r="AO327" s="27">
        <f t="shared" si="35"/>
        <v>0</v>
      </c>
      <c r="AP327" s="7" t="b">
        <v>1</v>
      </c>
      <c r="AQ327" s="6" t="b">
        <v>0</v>
      </c>
      <c r="AR327" s="6" t="b">
        <v>0</v>
      </c>
      <c r="AS327" s="6" t="b">
        <v>0</v>
      </c>
      <c r="AT327" s="7" t="b">
        <v>1</v>
      </c>
      <c r="AU327" s="6" t="b">
        <v>0</v>
      </c>
      <c r="AV327" s="6" t="b">
        <v>0</v>
      </c>
      <c r="AW327" s="6" t="b">
        <v>0</v>
      </c>
      <c r="AX327" s="6" t="b">
        <v>0</v>
      </c>
      <c r="AY327" s="6" t="b">
        <v>0</v>
      </c>
      <c r="AZ327" s="6" t="b">
        <v>0</v>
      </c>
      <c r="BA327" s="6" t="b">
        <v>0</v>
      </c>
      <c r="BB327" s="6" t="b">
        <v>0</v>
      </c>
    </row>
    <row r="328" spans="1:54" ht="15" x14ac:dyDescent="0.25">
      <c r="A328" s="3" t="s">
        <v>712</v>
      </c>
      <c r="B328" s="3" t="str">
        <f ca="1">IFERROR(__xludf.DUMMYFUNCTION("SPLIT(A328,""/"")"),"fireeye")</f>
        <v>fireeye</v>
      </c>
      <c r="C328" s="3" t="str">
        <f ca="1">IFERROR(__xludf.DUMMYFUNCTION("""COMPUTED_VALUE"""),"speakeasy")</f>
        <v>speakeasy</v>
      </c>
      <c r="D328" s="4" t="s">
        <v>713</v>
      </c>
      <c r="E328" s="5">
        <v>44049.842349537037</v>
      </c>
      <c r="F328" s="5">
        <v>44294.933761574073</v>
      </c>
      <c r="G328" s="13">
        <f t="shared" si="30"/>
        <v>245.09141203703621</v>
      </c>
      <c r="H328" s="6" t="b">
        <v>0</v>
      </c>
      <c r="I328" s="7" t="b">
        <v>1</v>
      </c>
      <c r="J328" s="8">
        <v>633</v>
      </c>
      <c r="K328" s="8">
        <v>44</v>
      </c>
      <c r="L328" s="8">
        <v>83</v>
      </c>
      <c r="M328" s="8">
        <v>5</v>
      </c>
      <c r="N328" s="8">
        <v>0</v>
      </c>
      <c r="O328" s="8">
        <v>22</v>
      </c>
      <c r="P328" s="8">
        <v>98</v>
      </c>
      <c r="Q328" s="8">
        <v>3</v>
      </c>
      <c r="R328" s="8">
        <v>46</v>
      </c>
      <c r="S328" s="8">
        <v>27</v>
      </c>
      <c r="T328" s="3" t="s">
        <v>72</v>
      </c>
      <c r="U328" s="10">
        <v>20904</v>
      </c>
      <c r="V328" s="32">
        <v>21</v>
      </c>
      <c r="W328" s="27">
        <v>1.0045924225028703E-3</v>
      </c>
      <c r="X328" s="34">
        <v>0</v>
      </c>
      <c r="Y328" s="27">
        <v>0</v>
      </c>
      <c r="Z328" s="27">
        <v>0</v>
      </c>
      <c r="AA328" s="35">
        <v>12</v>
      </c>
      <c r="AB328" s="27">
        <v>0.5714285714285714</v>
      </c>
      <c r="AC328" s="27">
        <f t="shared" si="31"/>
        <v>5.7405281285878302E-4</v>
      </c>
      <c r="AD328" s="36">
        <v>0</v>
      </c>
      <c r="AE328" s="27">
        <v>0</v>
      </c>
      <c r="AF328" s="27">
        <f t="shared" si="32"/>
        <v>0</v>
      </c>
      <c r="AG328" s="37">
        <v>9</v>
      </c>
      <c r="AH328" s="27">
        <v>0.42857142857142855</v>
      </c>
      <c r="AI328" s="27">
        <f t="shared" si="33"/>
        <v>4.3053960964408724E-4</v>
      </c>
      <c r="AJ328" s="38">
        <v>0</v>
      </c>
      <c r="AK328" s="27">
        <v>0</v>
      </c>
      <c r="AL328" s="27">
        <f t="shared" si="34"/>
        <v>0</v>
      </c>
      <c r="AM328" s="40">
        <v>0</v>
      </c>
      <c r="AN328" s="27">
        <v>0</v>
      </c>
      <c r="AO328" s="27">
        <f t="shared" si="35"/>
        <v>0</v>
      </c>
      <c r="AP328" s="7" t="b">
        <v>1</v>
      </c>
      <c r="AQ328" s="6" t="b">
        <v>0</v>
      </c>
      <c r="AR328" s="6" t="b">
        <v>0</v>
      </c>
      <c r="AS328" s="6" t="b">
        <v>0</v>
      </c>
      <c r="AT328" s="7" t="b">
        <v>1</v>
      </c>
      <c r="AU328" s="6" t="b">
        <v>0</v>
      </c>
      <c r="AV328" s="6" t="b">
        <v>0</v>
      </c>
      <c r="AW328" s="6" t="b">
        <v>0</v>
      </c>
      <c r="AX328" s="6" t="b">
        <v>0</v>
      </c>
      <c r="AY328" s="6" t="b">
        <v>0</v>
      </c>
      <c r="AZ328" s="6" t="b">
        <v>0</v>
      </c>
      <c r="BA328" s="6" t="b">
        <v>0</v>
      </c>
      <c r="BB328" s="6" t="b">
        <v>0</v>
      </c>
    </row>
    <row r="329" spans="1:54" ht="15" x14ac:dyDescent="0.25">
      <c r="A329" s="3" t="s">
        <v>714</v>
      </c>
      <c r="B329" s="3" t="str">
        <f ca="1">IFERROR(__xludf.DUMMYFUNCTION("SPLIT(A329,""/"")"),"firmianay")</f>
        <v>firmianay</v>
      </c>
      <c r="C329" s="3" t="str">
        <f ca="1">IFERROR(__xludf.DUMMYFUNCTION("""COMPUTED_VALUE"""),"IoT-vulhub")</f>
        <v>IoT-vulhub</v>
      </c>
      <c r="D329" s="4" t="s">
        <v>715</v>
      </c>
      <c r="E329" s="5">
        <v>44070.132673611108</v>
      </c>
      <c r="F329" s="5">
        <v>44295.126574074071</v>
      </c>
      <c r="G329" s="13">
        <f t="shared" si="30"/>
        <v>224.99390046296321</v>
      </c>
      <c r="H329" s="6" t="b">
        <v>0</v>
      </c>
      <c r="I329" s="6" t="b">
        <v>0</v>
      </c>
      <c r="J329" s="8">
        <v>361</v>
      </c>
      <c r="K329" s="8">
        <v>15</v>
      </c>
      <c r="L329" s="8">
        <v>31</v>
      </c>
      <c r="M329" s="8">
        <v>0</v>
      </c>
      <c r="N329" s="8">
        <v>0</v>
      </c>
      <c r="O329" s="8">
        <v>5</v>
      </c>
      <c r="P329" s="8">
        <v>5</v>
      </c>
      <c r="Q329" s="8">
        <v>1</v>
      </c>
      <c r="R329" s="8">
        <v>4</v>
      </c>
      <c r="S329" s="8">
        <v>2</v>
      </c>
      <c r="T329" s="3" t="s">
        <v>92</v>
      </c>
      <c r="U329" s="10">
        <v>5833</v>
      </c>
      <c r="V329" s="32">
        <v>27</v>
      </c>
      <c r="W329" s="27">
        <v>4.6288359334819128E-3</v>
      </c>
      <c r="X329" s="34">
        <v>15</v>
      </c>
      <c r="Y329" s="27">
        <v>0.55555555555555558</v>
      </c>
      <c r="Z329" s="27">
        <v>2.5715755186010631E-3</v>
      </c>
      <c r="AA329" s="35">
        <v>10</v>
      </c>
      <c r="AB329" s="27">
        <v>0.37037037037037035</v>
      </c>
      <c r="AC329" s="27">
        <f t="shared" si="31"/>
        <v>1.7143836790673753E-3</v>
      </c>
      <c r="AD329" s="36">
        <v>2</v>
      </c>
      <c r="AE329" s="27">
        <v>7.407407407407407E-2</v>
      </c>
      <c r="AF329" s="27">
        <f t="shared" si="32"/>
        <v>3.4287673581347508E-4</v>
      </c>
      <c r="AG329" s="37">
        <v>0</v>
      </c>
      <c r="AH329" s="27">
        <v>0</v>
      </c>
      <c r="AI329" s="27">
        <f t="shared" si="33"/>
        <v>0</v>
      </c>
      <c r="AJ329" s="38">
        <v>0</v>
      </c>
      <c r="AK329" s="27">
        <v>0</v>
      </c>
      <c r="AL329" s="27">
        <f t="shared" si="34"/>
        <v>0</v>
      </c>
      <c r="AM329" s="40">
        <v>0</v>
      </c>
      <c r="AN329" s="27">
        <v>0</v>
      </c>
      <c r="AO329" s="27">
        <f t="shared" si="35"/>
        <v>0</v>
      </c>
      <c r="AP329" s="7" t="b">
        <v>1</v>
      </c>
      <c r="AQ329" s="6" t="b">
        <v>0</v>
      </c>
      <c r="AR329" s="6" t="b">
        <v>0</v>
      </c>
      <c r="AS329" s="6" t="b">
        <v>0</v>
      </c>
      <c r="AT329" s="7" t="b">
        <v>1</v>
      </c>
      <c r="AU329" s="6" t="b">
        <v>0</v>
      </c>
      <c r="AV329" s="6" t="b">
        <v>0</v>
      </c>
      <c r="AW329" s="6" t="b">
        <v>0</v>
      </c>
      <c r="AX329" s="6" t="b">
        <v>0</v>
      </c>
      <c r="AY329" s="6" t="b">
        <v>0</v>
      </c>
      <c r="AZ329" s="6" t="b">
        <v>0</v>
      </c>
      <c r="BA329" s="6" t="b">
        <v>0</v>
      </c>
      <c r="BB329" s="6" t="b">
        <v>0</v>
      </c>
    </row>
    <row r="330" spans="1:54" ht="15" x14ac:dyDescent="0.25">
      <c r="A330" s="3" t="s">
        <v>716</v>
      </c>
      <c r="B330" s="3" t="str">
        <f ca="1">IFERROR(__xludf.DUMMYFUNCTION("SPLIT(A330,""/"")"),"fishtown-analytics")</f>
        <v>fishtown-analytics</v>
      </c>
      <c r="C330" s="3" t="str">
        <f ca="1">IFERROR(__xludf.DUMMYFUNCTION("""COMPUTED_VALUE"""),"dbt")</f>
        <v>dbt</v>
      </c>
      <c r="D330" s="4" t="s">
        <v>717</v>
      </c>
      <c r="E330" s="5">
        <v>42439.109722222223</v>
      </c>
      <c r="F330" s="5">
        <v>44295.013692129629</v>
      </c>
      <c r="G330" s="13">
        <f t="shared" si="30"/>
        <v>1855.9039699074056</v>
      </c>
      <c r="H330" s="6" t="b">
        <v>0</v>
      </c>
      <c r="I330" s="7" t="b">
        <v>1</v>
      </c>
      <c r="J330" s="8">
        <v>2789</v>
      </c>
      <c r="K330" s="8">
        <v>83</v>
      </c>
      <c r="L330" s="8">
        <v>547</v>
      </c>
      <c r="M330" s="8">
        <v>70</v>
      </c>
      <c r="N330" s="8">
        <v>17</v>
      </c>
      <c r="O330" s="8">
        <v>128</v>
      </c>
      <c r="P330" s="8">
        <v>1386</v>
      </c>
      <c r="Q330" s="8">
        <v>19</v>
      </c>
      <c r="R330" s="8">
        <v>1822</v>
      </c>
      <c r="S330" s="8">
        <v>313</v>
      </c>
      <c r="T330" s="3" t="s">
        <v>69</v>
      </c>
      <c r="U330" s="10">
        <v>39842</v>
      </c>
      <c r="V330" s="32">
        <v>225</v>
      </c>
      <c r="W330" s="27">
        <v>5.6473068621053163E-3</v>
      </c>
      <c r="X330" s="34">
        <v>129</v>
      </c>
      <c r="Y330" s="27">
        <v>0.57333333333333336</v>
      </c>
      <c r="Z330" s="27">
        <v>3.2377892676070477E-3</v>
      </c>
      <c r="AA330" s="35">
        <v>54</v>
      </c>
      <c r="AB330" s="27">
        <v>0.24</v>
      </c>
      <c r="AC330" s="27">
        <f t="shared" si="31"/>
        <v>1.3553536469052758E-3</v>
      </c>
      <c r="AD330" s="36">
        <v>18</v>
      </c>
      <c r="AE330" s="27">
        <v>0.08</v>
      </c>
      <c r="AF330" s="27">
        <f t="shared" si="32"/>
        <v>4.5178454896842529E-4</v>
      </c>
      <c r="AG330" s="37">
        <v>22</v>
      </c>
      <c r="AH330" s="27">
        <v>9.7777777777777783E-2</v>
      </c>
      <c r="AI330" s="27">
        <f t="shared" si="33"/>
        <v>5.5218111540585317E-4</v>
      </c>
      <c r="AJ330" s="38">
        <v>0</v>
      </c>
      <c r="AK330" s="27">
        <v>0</v>
      </c>
      <c r="AL330" s="27">
        <f t="shared" si="34"/>
        <v>0</v>
      </c>
      <c r="AM330" s="40">
        <v>0</v>
      </c>
      <c r="AN330" s="27">
        <v>0</v>
      </c>
      <c r="AO330" s="27">
        <f t="shared" si="35"/>
        <v>0</v>
      </c>
      <c r="AP330" s="7" t="b">
        <v>1</v>
      </c>
      <c r="AQ330" s="7" t="b">
        <v>1</v>
      </c>
      <c r="AR330" s="6" t="b">
        <v>0</v>
      </c>
      <c r="AS330" s="6" t="b">
        <v>0</v>
      </c>
      <c r="AT330" s="7" t="b">
        <v>1</v>
      </c>
      <c r="AU330" s="6" t="b">
        <v>0</v>
      </c>
      <c r="AV330" s="6" t="b">
        <v>0</v>
      </c>
      <c r="AW330" s="7" t="b">
        <v>1</v>
      </c>
      <c r="AX330" s="6" t="b">
        <v>0</v>
      </c>
      <c r="AY330" s="6" t="b">
        <v>0</v>
      </c>
      <c r="AZ330" s="6" t="b">
        <v>0</v>
      </c>
      <c r="BA330" s="6" t="b">
        <v>0</v>
      </c>
      <c r="BB330" s="6" t="b">
        <v>0</v>
      </c>
    </row>
    <row r="331" spans="1:54" ht="15" x14ac:dyDescent="0.25">
      <c r="A331" s="3" t="s">
        <v>718</v>
      </c>
      <c r="B331" s="3" t="str">
        <f ca="1">IFERROR(__xludf.DUMMYFUNCTION("SPLIT(A331,""/"")"),"fkie-cad")</f>
        <v>fkie-cad</v>
      </c>
      <c r="C331" s="3" t="str">
        <f ca="1">IFERROR(__xludf.DUMMYFUNCTION("""COMPUTED_VALUE"""),"FACT_core")</f>
        <v>FACT_core</v>
      </c>
      <c r="D331" s="4" t="s">
        <v>719</v>
      </c>
      <c r="E331" s="5">
        <v>42997.616793981484</v>
      </c>
      <c r="F331" s="5">
        <v>44288.84878472222</v>
      </c>
      <c r="G331" s="13">
        <f t="shared" si="30"/>
        <v>1291.2319907407364</v>
      </c>
      <c r="H331" s="6" t="b">
        <v>0</v>
      </c>
      <c r="I331" s="7" t="b">
        <v>1</v>
      </c>
      <c r="J331" s="8">
        <v>677</v>
      </c>
      <c r="K331" s="8">
        <v>37</v>
      </c>
      <c r="L331" s="8">
        <v>130</v>
      </c>
      <c r="M331" s="8">
        <v>10</v>
      </c>
      <c r="N331" s="8">
        <v>0</v>
      </c>
      <c r="O331" s="8">
        <v>19</v>
      </c>
      <c r="P331" s="8">
        <v>388</v>
      </c>
      <c r="Q331" s="8">
        <v>10</v>
      </c>
      <c r="R331" s="8">
        <v>173</v>
      </c>
      <c r="S331" s="8">
        <v>26</v>
      </c>
      <c r="T331" s="3" t="s">
        <v>49</v>
      </c>
      <c r="U331" s="10">
        <v>20509</v>
      </c>
      <c r="V331" s="32">
        <v>277</v>
      </c>
      <c r="W331" s="27">
        <v>1.3506265541957189E-2</v>
      </c>
      <c r="X331" s="34">
        <v>87</v>
      </c>
      <c r="Y331" s="27">
        <v>0.3140794223826715</v>
      </c>
      <c r="Z331" s="27">
        <v>4.2420400799648931E-3</v>
      </c>
      <c r="AA331" s="35">
        <v>77</v>
      </c>
      <c r="AB331" s="27">
        <v>0.27797833935018051</v>
      </c>
      <c r="AC331" s="27">
        <f t="shared" si="31"/>
        <v>3.7544492661758253E-3</v>
      </c>
      <c r="AD331" s="36">
        <v>47</v>
      </c>
      <c r="AE331" s="27">
        <v>0.16967509025270758</v>
      </c>
      <c r="AF331" s="27">
        <f t="shared" si="32"/>
        <v>2.2916768248086206E-3</v>
      </c>
      <c r="AG331" s="37">
        <v>62</v>
      </c>
      <c r="AH331" s="27">
        <v>0.22382671480144403</v>
      </c>
      <c r="AI331" s="27">
        <f t="shared" si="33"/>
        <v>3.0230630454922227E-3</v>
      </c>
      <c r="AJ331" s="38">
        <v>4</v>
      </c>
      <c r="AK331" s="27">
        <v>1.444043321299639E-2</v>
      </c>
      <c r="AL331" s="27">
        <f t="shared" si="34"/>
        <v>1.9503632551562728E-4</v>
      </c>
      <c r="AM331" s="40">
        <v>0</v>
      </c>
      <c r="AN331" s="27">
        <v>0</v>
      </c>
      <c r="AO331" s="27">
        <f t="shared" si="35"/>
        <v>0</v>
      </c>
      <c r="AP331" s="7" t="b">
        <v>1</v>
      </c>
      <c r="AQ331" s="7" t="b">
        <v>1</v>
      </c>
      <c r="AR331" s="6" t="b">
        <v>0</v>
      </c>
      <c r="AS331" s="6" t="b">
        <v>0</v>
      </c>
      <c r="AT331" s="7" t="b">
        <v>1</v>
      </c>
      <c r="AU331" s="6" t="b">
        <v>0</v>
      </c>
      <c r="AV331" s="6" t="b">
        <v>0</v>
      </c>
      <c r="AW331" s="6" t="b">
        <v>0</v>
      </c>
      <c r="AX331" s="6" t="b">
        <v>0</v>
      </c>
      <c r="AY331" s="6" t="b">
        <v>0</v>
      </c>
      <c r="AZ331" s="6" t="b">
        <v>0</v>
      </c>
      <c r="BA331" s="6" t="b">
        <v>0</v>
      </c>
      <c r="BB331" s="6" t="b">
        <v>0</v>
      </c>
    </row>
    <row r="332" spans="1:54" ht="15" x14ac:dyDescent="0.25">
      <c r="A332" s="3" t="s">
        <v>720</v>
      </c>
      <c r="B332" s="3" t="str">
        <f ca="1">IFERROR(__xludf.DUMMYFUNCTION("SPLIT(A332,""/"")"),"Flexget")</f>
        <v>Flexget</v>
      </c>
      <c r="C332" s="3" t="str">
        <f ca="1">IFERROR(__xludf.DUMMYFUNCTION("""COMPUTED_VALUE"""),"Flexget")</f>
        <v>Flexget</v>
      </c>
      <c r="D332" s="4" t="s">
        <v>721</v>
      </c>
      <c r="E332" s="5">
        <v>40624.815092592595</v>
      </c>
      <c r="F332" s="5">
        <v>44294.483182870368</v>
      </c>
      <c r="G332" s="13">
        <f t="shared" si="30"/>
        <v>3669.6680902777734</v>
      </c>
      <c r="H332" s="6" t="b">
        <v>0</v>
      </c>
      <c r="I332" s="7" t="b">
        <v>1</v>
      </c>
      <c r="J332" s="8">
        <v>1288</v>
      </c>
      <c r="K332" s="8">
        <v>92</v>
      </c>
      <c r="L332" s="8">
        <v>456</v>
      </c>
      <c r="M332" s="8">
        <v>34</v>
      </c>
      <c r="N332" s="8">
        <v>290</v>
      </c>
      <c r="O332" s="8">
        <v>284</v>
      </c>
      <c r="P332" s="8">
        <v>1528</v>
      </c>
      <c r="Q332" s="8">
        <v>50</v>
      </c>
      <c r="R332" s="8">
        <v>1321</v>
      </c>
      <c r="S332" s="8">
        <v>123</v>
      </c>
      <c r="T332" s="3" t="s">
        <v>72</v>
      </c>
      <c r="U332" s="10">
        <v>54083</v>
      </c>
      <c r="V332" s="32">
        <v>1922</v>
      </c>
      <c r="W332" s="27">
        <v>3.5537969417376997E-2</v>
      </c>
      <c r="X332" s="34">
        <v>1143</v>
      </c>
      <c r="Y332" s="27">
        <v>0.59469302809573366</v>
      </c>
      <c r="Z332" s="27">
        <v>2.1134182645193497E-2</v>
      </c>
      <c r="AA332" s="35">
        <v>256</v>
      </c>
      <c r="AB332" s="27">
        <v>0.13319458896982311</v>
      </c>
      <c r="AC332" s="27">
        <f t="shared" si="31"/>
        <v>4.7334652293696726E-3</v>
      </c>
      <c r="AD332" s="36">
        <v>185</v>
      </c>
      <c r="AE332" s="27">
        <v>9.6253902185223728E-2</v>
      </c>
      <c r="AF332" s="27">
        <f t="shared" si="32"/>
        <v>3.4206682321616774E-3</v>
      </c>
      <c r="AG332" s="37">
        <v>251</v>
      </c>
      <c r="AH332" s="27">
        <v>0.13059313215400625</v>
      </c>
      <c r="AI332" s="27">
        <f t="shared" si="33"/>
        <v>4.6410147366085465E-3</v>
      </c>
      <c r="AJ332" s="38">
        <v>58</v>
      </c>
      <c r="AK332" s="27">
        <v>3.0176899063475548E-2</v>
      </c>
      <c r="AL332" s="27">
        <f t="shared" si="34"/>
        <v>1.0724257160290664E-3</v>
      </c>
      <c r="AM332" s="40">
        <v>5</v>
      </c>
      <c r="AN332" s="27">
        <v>2.6014568158168575E-3</v>
      </c>
      <c r="AO332" s="27">
        <f t="shared" si="35"/>
        <v>9.2450492761126415E-5</v>
      </c>
      <c r="AP332" s="7" t="b">
        <v>1</v>
      </c>
      <c r="AQ332" s="6" t="b">
        <v>0</v>
      </c>
      <c r="AR332" s="6" t="b">
        <v>0</v>
      </c>
      <c r="AS332" s="6" t="b">
        <v>0</v>
      </c>
      <c r="AT332" s="7" t="b">
        <v>1</v>
      </c>
      <c r="AU332" s="6" t="b">
        <v>0</v>
      </c>
      <c r="AV332" s="6" t="b">
        <v>0</v>
      </c>
      <c r="AW332" s="6" t="b">
        <v>0</v>
      </c>
      <c r="AX332" s="7" t="b">
        <v>1</v>
      </c>
      <c r="AY332" s="6" t="b">
        <v>0</v>
      </c>
      <c r="AZ332" s="6" t="b">
        <v>0</v>
      </c>
      <c r="BA332" s="6" t="b">
        <v>0</v>
      </c>
      <c r="BB332" s="6" t="b">
        <v>0</v>
      </c>
    </row>
    <row r="333" spans="1:54" ht="15" x14ac:dyDescent="0.25">
      <c r="A333" s="3" t="s">
        <v>722</v>
      </c>
      <c r="B333" s="3" t="str">
        <f ca="1">IFERROR(__xludf.DUMMYFUNCTION("SPLIT(A333,""/"")"),"flexxui")</f>
        <v>flexxui</v>
      </c>
      <c r="C333" s="3" t="str">
        <f ca="1">IFERROR(__xludf.DUMMYFUNCTION("""COMPUTED_VALUE"""),"flexx")</f>
        <v>flexx</v>
      </c>
      <c r="D333" s="4" t="s">
        <v>723</v>
      </c>
      <c r="E333" s="5">
        <v>41885.359722222223</v>
      </c>
      <c r="F333" s="5">
        <v>44291.624583333331</v>
      </c>
      <c r="G333" s="13">
        <f t="shared" si="30"/>
        <v>2406.2648611111072</v>
      </c>
      <c r="H333" s="6" t="b">
        <v>0</v>
      </c>
      <c r="I333" s="7" t="b">
        <v>1</v>
      </c>
      <c r="J333" s="8">
        <v>2614</v>
      </c>
      <c r="K333" s="8">
        <v>152</v>
      </c>
      <c r="L333" s="8">
        <v>238</v>
      </c>
      <c r="M333" s="8">
        <v>0</v>
      </c>
      <c r="N333" s="8">
        <v>19</v>
      </c>
      <c r="O333" s="8">
        <v>33</v>
      </c>
      <c r="P333" s="8">
        <v>282</v>
      </c>
      <c r="Q333" s="8">
        <v>1</v>
      </c>
      <c r="R333" s="8">
        <v>410</v>
      </c>
      <c r="S333" s="8">
        <v>75</v>
      </c>
      <c r="T333" s="3" t="s">
        <v>153</v>
      </c>
      <c r="U333" s="10">
        <v>18559</v>
      </c>
      <c r="V333" s="32">
        <v>83</v>
      </c>
      <c r="W333" s="27">
        <v>4.4722237189503741E-3</v>
      </c>
      <c r="X333" s="34">
        <v>18</v>
      </c>
      <c r="Y333" s="27">
        <v>0.21686746987951808</v>
      </c>
      <c r="Z333" s="27">
        <v>9.6987984266393666E-4</v>
      </c>
      <c r="AA333" s="35">
        <v>20</v>
      </c>
      <c r="AB333" s="27">
        <v>0.24096385542168675</v>
      </c>
      <c r="AC333" s="27">
        <f t="shared" si="31"/>
        <v>1.0776442696265962E-3</v>
      </c>
      <c r="AD333" s="36">
        <v>29</v>
      </c>
      <c r="AE333" s="27">
        <v>0.3493975903614458</v>
      </c>
      <c r="AF333" s="27">
        <f t="shared" si="32"/>
        <v>1.5625841909585646E-3</v>
      </c>
      <c r="AG333" s="37">
        <v>16</v>
      </c>
      <c r="AH333" s="27">
        <v>0.19277108433734941</v>
      </c>
      <c r="AI333" s="27">
        <f t="shared" si="33"/>
        <v>8.62115415701277E-4</v>
      </c>
      <c r="AJ333" s="38">
        <v>0</v>
      </c>
      <c r="AK333" s="27">
        <v>0</v>
      </c>
      <c r="AL333" s="27">
        <f t="shared" si="34"/>
        <v>0</v>
      </c>
      <c r="AM333" s="40">
        <v>0</v>
      </c>
      <c r="AN333" s="27">
        <v>0</v>
      </c>
      <c r="AO333" s="27">
        <f t="shared" si="35"/>
        <v>0</v>
      </c>
      <c r="AP333" s="7" t="b">
        <v>1</v>
      </c>
      <c r="AQ333" s="6" t="b">
        <v>0</v>
      </c>
      <c r="AR333" s="6" t="b">
        <v>0</v>
      </c>
      <c r="AS333" s="6" t="b">
        <v>0</v>
      </c>
      <c r="AT333" s="7" t="b">
        <v>1</v>
      </c>
      <c r="AU333" s="6" t="b">
        <v>0</v>
      </c>
      <c r="AV333" s="6" t="b">
        <v>0</v>
      </c>
      <c r="AW333" s="6" t="b">
        <v>0</v>
      </c>
      <c r="AX333" s="6" t="b">
        <v>0</v>
      </c>
      <c r="AY333" s="6" t="b">
        <v>0</v>
      </c>
      <c r="AZ333" s="6" t="b">
        <v>0</v>
      </c>
      <c r="BA333" s="6" t="b">
        <v>0</v>
      </c>
      <c r="BB333" s="6" t="b">
        <v>0</v>
      </c>
    </row>
    <row r="334" spans="1:54" ht="15" x14ac:dyDescent="0.25">
      <c r="A334" s="3" t="s">
        <v>724</v>
      </c>
      <c r="B334" s="3" t="str">
        <f ca="1">IFERROR(__xludf.DUMMYFUNCTION("SPLIT(A334,""/"")"),"flipkart-incubator")</f>
        <v>flipkart-incubator</v>
      </c>
      <c r="C334" s="3" t="str">
        <f ca="1">IFERROR(__xludf.DUMMYFUNCTION("""COMPUTED_VALUE"""),"Astra")</f>
        <v>Astra</v>
      </c>
      <c r="D334" s="4" t="s">
        <v>725</v>
      </c>
      <c r="E334" s="5">
        <v>43110.497349537036</v>
      </c>
      <c r="F334" s="5">
        <v>44287.508750000001</v>
      </c>
      <c r="G334" s="13">
        <f t="shared" si="30"/>
        <v>1177.011400462965</v>
      </c>
      <c r="H334" s="6" t="b">
        <v>0</v>
      </c>
      <c r="I334" s="7" t="b">
        <v>1</v>
      </c>
      <c r="J334" s="8">
        <v>1733</v>
      </c>
      <c r="K334" s="8">
        <v>78</v>
      </c>
      <c r="L334" s="8">
        <v>265</v>
      </c>
      <c r="M334" s="8">
        <v>0</v>
      </c>
      <c r="N334" s="8">
        <v>0</v>
      </c>
      <c r="O334" s="8">
        <v>9</v>
      </c>
      <c r="P334" s="8">
        <v>55</v>
      </c>
      <c r="Q334" s="8">
        <v>6</v>
      </c>
      <c r="R334" s="8">
        <v>60</v>
      </c>
      <c r="S334" s="8">
        <v>33</v>
      </c>
      <c r="T334" s="3" t="s">
        <v>69</v>
      </c>
      <c r="U334" s="10">
        <v>2185</v>
      </c>
      <c r="V334" s="32">
        <v>41</v>
      </c>
      <c r="W334" s="27">
        <v>1.8764302059496567E-2</v>
      </c>
      <c r="X334" s="34">
        <v>0</v>
      </c>
      <c r="Y334" s="27">
        <v>0</v>
      </c>
      <c r="Z334" s="27">
        <v>0</v>
      </c>
      <c r="AA334" s="35">
        <v>40</v>
      </c>
      <c r="AB334" s="27">
        <v>0.97560975609756095</v>
      </c>
      <c r="AC334" s="27">
        <f t="shared" si="31"/>
        <v>1.8306636155606407E-2</v>
      </c>
      <c r="AD334" s="36">
        <v>0</v>
      </c>
      <c r="AE334" s="27">
        <v>0</v>
      </c>
      <c r="AF334" s="27">
        <f t="shared" si="32"/>
        <v>0</v>
      </c>
      <c r="AG334" s="37">
        <v>1</v>
      </c>
      <c r="AH334" s="27">
        <v>2.4390243902439025E-2</v>
      </c>
      <c r="AI334" s="27">
        <f t="shared" si="33"/>
        <v>4.5766590389016021E-4</v>
      </c>
      <c r="AJ334" s="38">
        <v>0</v>
      </c>
      <c r="AK334" s="27">
        <v>0</v>
      </c>
      <c r="AL334" s="27">
        <f t="shared" si="34"/>
        <v>0</v>
      </c>
      <c r="AM334" s="40">
        <v>0</v>
      </c>
      <c r="AN334" s="27">
        <v>0</v>
      </c>
      <c r="AO334" s="27">
        <f t="shared" si="35"/>
        <v>0</v>
      </c>
      <c r="AP334" s="7" t="b">
        <v>1</v>
      </c>
      <c r="AQ334" s="6" t="b">
        <v>0</v>
      </c>
      <c r="AR334" s="6" t="b">
        <v>0</v>
      </c>
      <c r="AS334" s="6" t="b">
        <v>0</v>
      </c>
      <c r="AT334" s="7" t="b">
        <v>1</v>
      </c>
      <c r="AU334" s="6" t="b">
        <v>0</v>
      </c>
      <c r="AV334" s="6" t="b">
        <v>0</v>
      </c>
      <c r="AW334" s="6" t="b">
        <v>0</v>
      </c>
      <c r="AX334" s="6" t="b">
        <v>0</v>
      </c>
      <c r="AY334" s="6" t="b">
        <v>0</v>
      </c>
      <c r="AZ334" s="6" t="b">
        <v>0</v>
      </c>
      <c r="BA334" s="6" t="b">
        <v>0</v>
      </c>
      <c r="BB334" s="6" t="b">
        <v>0</v>
      </c>
    </row>
    <row r="335" spans="1:54" ht="15" x14ac:dyDescent="0.25">
      <c r="A335" s="3" t="s">
        <v>726</v>
      </c>
      <c r="B335" s="3" t="str">
        <f ca="1">IFERROR(__xludf.DUMMYFUNCTION("SPLIT(A335,""/"")"),"flipkart-incubator")</f>
        <v>flipkart-incubator</v>
      </c>
      <c r="C335" s="3" t="str">
        <f ca="1">IFERROR(__xludf.DUMMYFUNCTION("""COMPUTED_VALUE"""),"watchdog")</f>
        <v>watchdog</v>
      </c>
      <c r="D335" s="4" t="s">
        <v>727</v>
      </c>
      <c r="E335" s="5">
        <v>43199.291689814818</v>
      </c>
      <c r="F335" s="5">
        <v>44277.482187499998</v>
      </c>
      <c r="G335" s="13">
        <f t="shared" si="30"/>
        <v>1078.1904976851802</v>
      </c>
      <c r="H335" s="6" t="b">
        <v>0</v>
      </c>
      <c r="I335" s="7" t="b">
        <v>1</v>
      </c>
      <c r="J335" s="8">
        <v>347</v>
      </c>
      <c r="K335" s="8">
        <v>27</v>
      </c>
      <c r="L335" s="8">
        <v>80</v>
      </c>
      <c r="M335" s="8">
        <v>0</v>
      </c>
      <c r="N335" s="8">
        <v>0</v>
      </c>
      <c r="O335" s="8">
        <v>3</v>
      </c>
      <c r="P335" s="8">
        <v>5</v>
      </c>
      <c r="Q335" s="8">
        <v>0</v>
      </c>
      <c r="R335" s="8">
        <v>12</v>
      </c>
      <c r="S335" s="8">
        <v>10</v>
      </c>
      <c r="T335" s="3" t="s">
        <v>69</v>
      </c>
      <c r="U335" s="10">
        <v>17654</v>
      </c>
      <c r="V335" s="32">
        <v>76</v>
      </c>
      <c r="W335" s="27">
        <v>4.3049733771383259E-3</v>
      </c>
      <c r="X335" s="34">
        <v>0</v>
      </c>
      <c r="Y335" s="27">
        <v>0</v>
      </c>
      <c r="Z335" s="27">
        <v>0</v>
      </c>
      <c r="AA335" s="35">
        <v>37</v>
      </c>
      <c r="AB335" s="27">
        <v>0.48684210526315791</v>
      </c>
      <c r="AC335" s="27">
        <f t="shared" si="31"/>
        <v>2.095842302027869E-3</v>
      </c>
      <c r="AD335" s="36">
        <v>0</v>
      </c>
      <c r="AE335" s="27">
        <v>0</v>
      </c>
      <c r="AF335" s="27">
        <f t="shared" si="32"/>
        <v>0</v>
      </c>
      <c r="AG335" s="37">
        <v>18</v>
      </c>
      <c r="AH335" s="27">
        <v>0.23684210526315788</v>
      </c>
      <c r="AI335" s="27">
        <f t="shared" si="33"/>
        <v>1.0195989577432877E-3</v>
      </c>
      <c r="AJ335" s="38">
        <v>0</v>
      </c>
      <c r="AK335" s="27">
        <v>0</v>
      </c>
      <c r="AL335" s="27">
        <f t="shared" si="34"/>
        <v>0</v>
      </c>
      <c r="AM335" s="40">
        <v>22</v>
      </c>
      <c r="AN335" s="27">
        <v>0.28947368421052633</v>
      </c>
      <c r="AO335" s="27">
        <f t="shared" si="35"/>
        <v>1.2461765039084626E-3</v>
      </c>
      <c r="AP335" s="7" t="b">
        <v>1</v>
      </c>
      <c r="AQ335" s="6" t="b">
        <v>0</v>
      </c>
      <c r="AR335" s="6" t="b">
        <v>0</v>
      </c>
      <c r="AS335" s="6" t="b">
        <v>0</v>
      </c>
      <c r="AT335" s="7" t="b">
        <v>1</v>
      </c>
      <c r="AU335" s="6" t="b">
        <v>0</v>
      </c>
      <c r="AV335" s="6" t="b">
        <v>0</v>
      </c>
      <c r="AW335" s="6" t="b">
        <v>0</v>
      </c>
      <c r="AX335" s="6" t="b">
        <v>0</v>
      </c>
      <c r="AY335" s="6" t="b">
        <v>0</v>
      </c>
      <c r="AZ335" s="6" t="b">
        <v>0</v>
      </c>
      <c r="BA335" s="6" t="b">
        <v>0</v>
      </c>
      <c r="BB335" s="6" t="b">
        <v>0</v>
      </c>
    </row>
    <row r="336" spans="1:54" ht="15" x14ac:dyDescent="0.25">
      <c r="A336" s="3" t="s">
        <v>728</v>
      </c>
      <c r="B336" s="3" t="str">
        <f ca="1">IFERROR(__xludf.DUMMYFUNCTION("SPLIT(A336,""/"")"),"flosell")</f>
        <v>flosell</v>
      </c>
      <c r="C336" s="3" t="str">
        <f ca="1">IFERROR(__xludf.DUMMYFUNCTION("""COMPUTED_VALUE"""),"trailscraper")</f>
        <v>trailscraper</v>
      </c>
      <c r="D336" s="4" t="s">
        <v>729</v>
      </c>
      <c r="E336" s="5">
        <v>43065.511018518519</v>
      </c>
      <c r="F336" s="5">
        <v>44292.3515162037</v>
      </c>
      <c r="G336" s="13">
        <f t="shared" si="30"/>
        <v>1226.8404976851816</v>
      </c>
      <c r="H336" s="6" t="b">
        <v>0</v>
      </c>
      <c r="I336" s="6" t="b">
        <v>0</v>
      </c>
      <c r="J336" s="8">
        <v>372</v>
      </c>
      <c r="K336" s="8">
        <v>10</v>
      </c>
      <c r="L336" s="8">
        <v>15</v>
      </c>
      <c r="M336" s="8">
        <v>10</v>
      </c>
      <c r="N336" s="8">
        <v>0</v>
      </c>
      <c r="O336" s="8">
        <v>5</v>
      </c>
      <c r="P336" s="8">
        <v>113</v>
      </c>
      <c r="Q336" s="8">
        <v>0</v>
      </c>
      <c r="R336" s="8">
        <v>37</v>
      </c>
      <c r="S336" s="8">
        <v>18</v>
      </c>
      <c r="T336" s="3" t="s">
        <v>69</v>
      </c>
      <c r="U336" s="10">
        <v>1043</v>
      </c>
      <c r="V336" s="32">
        <v>9</v>
      </c>
      <c r="W336" s="27">
        <v>8.6289549376797701E-3</v>
      </c>
      <c r="X336" s="34">
        <v>1</v>
      </c>
      <c r="Y336" s="27">
        <v>0.1111111111111111</v>
      </c>
      <c r="Z336" s="27">
        <v>9.5877277085330771E-4</v>
      </c>
      <c r="AA336" s="35">
        <v>3</v>
      </c>
      <c r="AB336" s="27">
        <v>0.33333333333333331</v>
      </c>
      <c r="AC336" s="27">
        <f t="shared" si="31"/>
        <v>2.8763183125599234E-3</v>
      </c>
      <c r="AD336" s="36">
        <v>5</v>
      </c>
      <c r="AE336" s="27">
        <v>0.55555555555555558</v>
      </c>
      <c r="AF336" s="27">
        <f t="shared" si="32"/>
        <v>4.7938638542665392E-3</v>
      </c>
      <c r="AG336" s="37">
        <v>0</v>
      </c>
      <c r="AH336" s="27">
        <v>0</v>
      </c>
      <c r="AI336" s="27">
        <f t="shared" si="33"/>
        <v>0</v>
      </c>
      <c r="AJ336" s="38">
        <v>0</v>
      </c>
      <c r="AK336" s="27">
        <v>0</v>
      </c>
      <c r="AL336" s="27">
        <f t="shared" si="34"/>
        <v>0</v>
      </c>
      <c r="AM336" s="40">
        <v>0</v>
      </c>
      <c r="AN336" s="27">
        <v>0</v>
      </c>
      <c r="AO336" s="27">
        <f t="shared" si="35"/>
        <v>0</v>
      </c>
      <c r="AP336" s="7" t="b">
        <v>1</v>
      </c>
      <c r="AQ336" s="6" t="b">
        <v>0</v>
      </c>
      <c r="AR336" s="6" t="b">
        <v>0</v>
      </c>
      <c r="AS336" s="6" t="b">
        <v>0</v>
      </c>
      <c r="AT336" s="7" t="b">
        <v>1</v>
      </c>
      <c r="AU336" s="6" t="b">
        <v>0</v>
      </c>
      <c r="AV336" s="6" t="b">
        <v>0</v>
      </c>
      <c r="AW336" s="6" t="b">
        <v>0</v>
      </c>
      <c r="AX336" s="6" t="b">
        <v>0</v>
      </c>
      <c r="AY336" s="6" t="b">
        <v>0</v>
      </c>
      <c r="AZ336" s="6" t="b">
        <v>0</v>
      </c>
      <c r="BA336" s="6" t="b">
        <v>0</v>
      </c>
      <c r="BB336" s="6" t="b">
        <v>0</v>
      </c>
    </row>
    <row r="337" spans="1:54" ht="15" x14ac:dyDescent="0.25">
      <c r="A337" s="3" t="s">
        <v>730</v>
      </c>
      <c r="B337" s="3" t="str">
        <f ca="1">IFERROR(__xludf.DUMMYFUNCTION("SPLIT(A337,""/"")"),"flow-project")</f>
        <v>flow-project</v>
      </c>
      <c r="C337" s="3" t="str">
        <f ca="1">IFERROR(__xludf.DUMMYFUNCTION("""COMPUTED_VALUE"""),"flow")</f>
        <v>flow</v>
      </c>
      <c r="D337" s="4" t="s">
        <v>731</v>
      </c>
      <c r="E337" s="5">
        <v>42971.025034722225</v>
      </c>
      <c r="F337" s="5">
        <v>44293.929606481484</v>
      </c>
      <c r="G337" s="13">
        <f t="shared" si="30"/>
        <v>1322.9045717592599</v>
      </c>
      <c r="H337" s="6" t="b">
        <v>0</v>
      </c>
      <c r="I337" s="7" t="b">
        <v>1</v>
      </c>
      <c r="J337" s="8">
        <v>629</v>
      </c>
      <c r="K337" s="8">
        <v>50</v>
      </c>
      <c r="L337" s="8">
        <v>227</v>
      </c>
      <c r="M337" s="8">
        <v>7</v>
      </c>
      <c r="N337" s="8">
        <v>4</v>
      </c>
      <c r="O337" s="8">
        <v>44</v>
      </c>
      <c r="P337" s="8">
        <v>576</v>
      </c>
      <c r="Q337" s="8">
        <v>38</v>
      </c>
      <c r="R337" s="8">
        <v>464</v>
      </c>
      <c r="S337" s="8">
        <v>156</v>
      </c>
      <c r="T337" s="3" t="s">
        <v>72</v>
      </c>
      <c r="U337" s="10">
        <v>15684</v>
      </c>
      <c r="V337" s="32">
        <v>19</v>
      </c>
      <c r="W337" s="27">
        <v>1.2114256567202243E-3</v>
      </c>
      <c r="X337" s="34">
        <v>4</v>
      </c>
      <c r="Y337" s="27">
        <v>0.21052631578947367</v>
      </c>
      <c r="Z337" s="27">
        <v>2.550369803621525E-4</v>
      </c>
      <c r="AA337" s="35">
        <v>4</v>
      </c>
      <c r="AB337" s="27">
        <v>0.21052631578947367</v>
      </c>
      <c r="AC337" s="27">
        <f t="shared" si="31"/>
        <v>2.550369803621525E-4</v>
      </c>
      <c r="AD337" s="36">
        <v>8</v>
      </c>
      <c r="AE337" s="27">
        <v>0.42105263157894735</v>
      </c>
      <c r="AF337" s="27">
        <f t="shared" si="32"/>
        <v>5.1007396072430501E-4</v>
      </c>
      <c r="AG337" s="37">
        <v>3</v>
      </c>
      <c r="AH337" s="27">
        <v>0.15789473684210525</v>
      </c>
      <c r="AI337" s="27">
        <f t="shared" si="33"/>
        <v>1.9127773527161438E-4</v>
      </c>
      <c r="AJ337" s="38">
        <v>0</v>
      </c>
      <c r="AK337" s="27">
        <v>0</v>
      </c>
      <c r="AL337" s="27">
        <f t="shared" si="34"/>
        <v>0</v>
      </c>
      <c r="AM337" s="40">
        <v>0</v>
      </c>
      <c r="AN337" s="27">
        <v>0</v>
      </c>
      <c r="AO337" s="27">
        <f t="shared" si="35"/>
        <v>0</v>
      </c>
      <c r="AP337" s="7" t="b">
        <v>1</v>
      </c>
      <c r="AQ337" s="6" t="b">
        <v>0</v>
      </c>
      <c r="AR337" s="6" t="b">
        <v>0</v>
      </c>
      <c r="AS337" s="6" t="b">
        <v>0</v>
      </c>
      <c r="AT337" s="7" t="b">
        <v>1</v>
      </c>
      <c r="AU337" s="6" t="b">
        <v>0</v>
      </c>
      <c r="AV337" s="6" t="b">
        <v>0</v>
      </c>
      <c r="AW337" s="6" t="b">
        <v>0</v>
      </c>
      <c r="AX337" s="6" t="b">
        <v>0</v>
      </c>
      <c r="AY337" s="6" t="b">
        <v>0</v>
      </c>
      <c r="AZ337" s="6" t="b">
        <v>0</v>
      </c>
      <c r="BA337" s="6" t="b">
        <v>0</v>
      </c>
      <c r="BB337" s="6" t="b">
        <v>0</v>
      </c>
    </row>
    <row r="338" spans="1:54" ht="15" x14ac:dyDescent="0.25">
      <c r="A338" s="3" t="s">
        <v>732</v>
      </c>
      <c r="B338" s="3" t="str">
        <f ca="1">IFERROR(__xludf.DUMMYFUNCTION("SPLIT(A338,""/"")"),"fofapro")</f>
        <v>fofapro</v>
      </c>
      <c r="C338" s="3" t="str">
        <f ca="1">IFERROR(__xludf.DUMMYFUNCTION("""COMPUTED_VALUE"""),"vulfocus")</f>
        <v>vulfocus</v>
      </c>
      <c r="D338" s="4" t="s">
        <v>733</v>
      </c>
      <c r="E338" s="5">
        <v>43935.184525462966</v>
      </c>
      <c r="F338" s="5">
        <v>44294.384409722225</v>
      </c>
      <c r="G338" s="13">
        <f t="shared" si="30"/>
        <v>359.1998842592584</v>
      </c>
      <c r="H338" s="6" t="b">
        <v>0</v>
      </c>
      <c r="I338" s="7" t="b">
        <v>1</v>
      </c>
      <c r="J338" s="8">
        <v>1103</v>
      </c>
      <c r="K338" s="8">
        <v>31</v>
      </c>
      <c r="L338" s="8">
        <v>158</v>
      </c>
      <c r="M338" s="8">
        <v>10</v>
      </c>
      <c r="N338" s="8">
        <v>0</v>
      </c>
      <c r="O338" s="8">
        <v>14</v>
      </c>
      <c r="P338" s="8">
        <v>99</v>
      </c>
      <c r="Q338" s="8">
        <v>0</v>
      </c>
      <c r="R338" s="8">
        <v>45</v>
      </c>
      <c r="S338" s="8">
        <v>8</v>
      </c>
      <c r="T338" s="3" t="s">
        <v>69</v>
      </c>
      <c r="U338" s="10">
        <v>2642</v>
      </c>
      <c r="V338" s="32">
        <v>3</v>
      </c>
      <c r="W338" s="27">
        <v>1.1355034065102195E-3</v>
      </c>
      <c r="X338" s="34">
        <v>1</v>
      </c>
      <c r="Y338" s="27">
        <v>0.33333333333333331</v>
      </c>
      <c r="Z338" s="27">
        <v>3.7850113550340651E-4</v>
      </c>
      <c r="AA338" s="35">
        <v>2</v>
      </c>
      <c r="AB338" s="27">
        <v>0.66666666666666663</v>
      </c>
      <c r="AC338" s="27">
        <f t="shared" si="31"/>
        <v>7.5700227100681302E-4</v>
      </c>
      <c r="AD338" s="36">
        <v>0</v>
      </c>
      <c r="AE338" s="27">
        <v>0</v>
      </c>
      <c r="AF338" s="27">
        <f t="shared" si="32"/>
        <v>0</v>
      </c>
      <c r="AG338" s="37">
        <v>0</v>
      </c>
      <c r="AH338" s="27">
        <v>0</v>
      </c>
      <c r="AI338" s="27">
        <f t="shared" si="33"/>
        <v>0</v>
      </c>
      <c r="AJ338" s="38">
        <v>0</v>
      </c>
      <c r="AK338" s="27">
        <v>0</v>
      </c>
      <c r="AL338" s="27">
        <f t="shared" si="34"/>
        <v>0</v>
      </c>
      <c r="AM338" s="40">
        <v>0</v>
      </c>
      <c r="AN338" s="27">
        <v>0</v>
      </c>
      <c r="AO338" s="27">
        <f t="shared" si="35"/>
        <v>0</v>
      </c>
      <c r="AP338" s="7" t="b">
        <v>1</v>
      </c>
      <c r="AQ338" s="6" t="b">
        <v>0</v>
      </c>
      <c r="AR338" s="6" t="b">
        <v>0</v>
      </c>
      <c r="AS338" s="6" t="b">
        <v>0</v>
      </c>
      <c r="AT338" s="7" t="b">
        <v>1</v>
      </c>
      <c r="AU338" s="6" t="b">
        <v>0</v>
      </c>
      <c r="AV338" s="6" t="b">
        <v>0</v>
      </c>
      <c r="AW338" s="6" t="b">
        <v>0</v>
      </c>
      <c r="AX338" s="6" t="b">
        <v>0</v>
      </c>
      <c r="AY338" s="6" t="b">
        <v>0</v>
      </c>
      <c r="AZ338" s="6" t="b">
        <v>0</v>
      </c>
      <c r="BA338" s="6" t="b">
        <v>0</v>
      </c>
      <c r="BB338" s="6" t="b">
        <v>0</v>
      </c>
    </row>
    <row r="339" spans="1:54" ht="15" x14ac:dyDescent="0.25">
      <c r="A339" s="3" t="s">
        <v>734</v>
      </c>
      <c r="B339" s="3" t="str">
        <f ca="1">IFERROR(__xludf.DUMMYFUNCTION("SPLIT(A339,""/"")"),"foolcage")</f>
        <v>foolcage</v>
      </c>
      <c r="C339" s="3" t="str">
        <f ca="1">IFERROR(__xludf.DUMMYFUNCTION("""COMPUTED_VALUE"""),"fooltrader")</f>
        <v>fooltrader</v>
      </c>
      <c r="D339" s="4" t="s">
        <v>735</v>
      </c>
      <c r="E339" s="5">
        <v>43005.249050925922</v>
      </c>
      <c r="F339" s="5">
        <v>44294.37164351852</v>
      </c>
      <c r="G339" s="13">
        <f t="shared" si="30"/>
        <v>1289.1225925925974</v>
      </c>
      <c r="H339" s="6" t="b">
        <v>0</v>
      </c>
      <c r="I339" s="6" t="b">
        <v>0</v>
      </c>
      <c r="J339" s="8">
        <v>963</v>
      </c>
      <c r="K339" s="8">
        <v>127</v>
      </c>
      <c r="L339" s="8">
        <v>300</v>
      </c>
      <c r="M339" s="8">
        <v>6</v>
      </c>
      <c r="N339" s="8">
        <v>0</v>
      </c>
      <c r="O339" s="8">
        <v>6</v>
      </c>
      <c r="P339" s="8">
        <v>12</v>
      </c>
      <c r="Q339" s="8">
        <v>0</v>
      </c>
      <c r="R339" s="8">
        <v>23</v>
      </c>
      <c r="S339" s="8">
        <v>2</v>
      </c>
      <c r="T339" s="3" t="s">
        <v>72</v>
      </c>
      <c r="U339" s="10">
        <v>6422</v>
      </c>
      <c r="V339" s="32">
        <v>183</v>
      </c>
      <c r="W339" s="27">
        <v>2.8495795702273435E-2</v>
      </c>
      <c r="X339" s="34">
        <v>7</v>
      </c>
      <c r="Y339" s="27">
        <v>3.825136612021858E-2</v>
      </c>
      <c r="Z339" s="27">
        <v>1.0900031142946122E-3</v>
      </c>
      <c r="AA339" s="35">
        <v>111</v>
      </c>
      <c r="AB339" s="27">
        <v>0.60655737704918034</v>
      </c>
      <c r="AC339" s="27">
        <f t="shared" si="31"/>
        <v>1.7284335098100279E-2</v>
      </c>
      <c r="AD339" s="36">
        <v>16</v>
      </c>
      <c r="AE339" s="27">
        <v>8.7431693989071038E-2</v>
      </c>
      <c r="AF339" s="27">
        <f t="shared" si="32"/>
        <v>2.4914356898162568E-3</v>
      </c>
      <c r="AG339" s="37">
        <v>42</v>
      </c>
      <c r="AH339" s="27">
        <v>0.22950819672131148</v>
      </c>
      <c r="AI339" s="27">
        <f t="shared" si="33"/>
        <v>6.5400186857676734E-3</v>
      </c>
      <c r="AJ339" s="38">
        <v>0</v>
      </c>
      <c r="AK339" s="27">
        <v>0</v>
      </c>
      <c r="AL339" s="27">
        <f t="shared" si="34"/>
        <v>0</v>
      </c>
      <c r="AM339" s="40">
        <v>0</v>
      </c>
      <c r="AN339" s="27">
        <v>0</v>
      </c>
      <c r="AO339" s="27">
        <f t="shared" si="35"/>
        <v>0</v>
      </c>
      <c r="AP339" s="7" t="b">
        <v>1</v>
      </c>
      <c r="AQ339" s="6" t="b">
        <v>0</v>
      </c>
      <c r="AR339" s="6" t="b">
        <v>0</v>
      </c>
      <c r="AS339" s="6" t="b">
        <v>0</v>
      </c>
      <c r="AT339" s="7" t="b">
        <v>1</v>
      </c>
      <c r="AU339" s="6" t="b">
        <v>0</v>
      </c>
      <c r="AV339" s="6" t="b">
        <v>0</v>
      </c>
      <c r="AW339" s="6" t="b">
        <v>0</v>
      </c>
      <c r="AX339" s="6" t="b">
        <v>0</v>
      </c>
      <c r="AY339" s="6" t="b">
        <v>0</v>
      </c>
      <c r="AZ339" s="6" t="b">
        <v>0</v>
      </c>
      <c r="BA339" s="6" t="b">
        <v>0</v>
      </c>
      <c r="BB339" s="6" t="b">
        <v>0</v>
      </c>
    </row>
    <row r="340" spans="1:54" ht="15" x14ac:dyDescent="0.25">
      <c r="A340" s="3" t="s">
        <v>736</v>
      </c>
      <c r="B340" s="3" t="str">
        <f ca="1">IFERROR(__xludf.DUMMYFUNCTION("SPLIT(A340,""/"")"),"forseti-security")</f>
        <v>forseti-security</v>
      </c>
      <c r="C340" s="3" t="str">
        <f ca="1">IFERROR(__xludf.DUMMYFUNCTION("""COMPUTED_VALUE"""),"forseti-security")</f>
        <v>forseti-security</v>
      </c>
      <c r="D340" s="4" t="s">
        <v>737</v>
      </c>
      <c r="E340" s="5">
        <v>42782.75099537037</v>
      </c>
      <c r="F340" s="5">
        <v>44295.11991898148</v>
      </c>
      <c r="G340" s="13">
        <f t="shared" si="30"/>
        <v>1512.3689236111095</v>
      </c>
      <c r="H340" s="6" t="b">
        <v>0</v>
      </c>
      <c r="I340" s="7" t="b">
        <v>1</v>
      </c>
      <c r="J340" s="8">
        <v>1182</v>
      </c>
      <c r="K340" s="8">
        <v>80</v>
      </c>
      <c r="L340" s="8">
        <v>253</v>
      </c>
      <c r="M340" s="8">
        <v>63</v>
      </c>
      <c r="N340" s="8">
        <v>33</v>
      </c>
      <c r="O340" s="8">
        <v>77</v>
      </c>
      <c r="P340" s="8">
        <v>2356</v>
      </c>
      <c r="Q340" s="8">
        <v>2</v>
      </c>
      <c r="R340" s="8">
        <v>1454</v>
      </c>
      <c r="S340" s="8">
        <v>19</v>
      </c>
      <c r="T340" s="3" t="s">
        <v>69</v>
      </c>
      <c r="U340" s="10">
        <v>37522</v>
      </c>
      <c r="V340" s="32">
        <v>646</v>
      </c>
      <c r="W340" s="27">
        <v>1.7216566281115078E-2</v>
      </c>
      <c r="X340" s="34">
        <v>233</v>
      </c>
      <c r="Y340" s="27">
        <v>0.36068111455108359</v>
      </c>
      <c r="Z340" s="27">
        <v>6.2096903150151914E-3</v>
      </c>
      <c r="AA340" s="35">
        <v>140</v>
      </c>
      <c r="AB340" s="27">
        <v>0.21671826625386997</v>
      </c>
      <c r="AC340" s="27">
        <f t="shared" si="31"/>
        <v>3.7311443952880974E-3</v>
      </c>
      <c r="AD340" s="36">
        <v>95</v>
      </c>
      <c r="AE340" s="27">
        <v>0.14705882352941177</v>
      </c>
      <c r="AF340" s="27">
        <f t="shared" si="32"/>
        <v>2.5318479825169236E-3</v>
      </c>
      <c r="AG340" s="37">
        <v>138</v>
      </c>
      <c r="AH340" s="27">
        <v>0.21362229102167182</v>
      </c>
      <c r="AI340" s="27">
        <f t="shared" si="33"/>
        <v>3.6778423324982678E-3</v>
      </c>
      <c r="AJ340" s="38">
        <v>0</v>
      </c>
      <c r="AK340" s="27">
        <v>0</v>
      </c>
      <c r="AL340" s="27">
        <f t="shared" si="34"/>
        <v>0</v>
      </c>
      <c r="AM340" s="40">
        <v>2</v>
      </c>
      <c r="AN340" s="27">
        <v>3.0959752321981426E-3</v>
      </c>
      <c r="AO340" s="27">
        <f t="shared" si="35"/>
        <v>5.3302062789829968E-5</v>
      </c>
      <c r="AP340" s="7" t="b">
        <v>1</v>
      </c>
      <c r="AQ340" s="7" t="b">
        <v>1</v>
      </c>
      <c r="AR340" s="6" t="b">
        <v>0</v>
      </c>
      <c r="AS340" s="6" t="b">
        <v>0</v>
      </c>
      <c r="AT340" s="7" t="b">
        <v>1</v>
      </c>
      <c r="AU340" s="6" t="b">
        <v>0</v>
      </c>
      <c r="AV340" s="6" t="b">
        <v>0</v>
      </c>
      <c r="AW340" s="6" t="b">
        <v>0</v>
      </c>
      <c r="AX340" s="6" t="b">
        <v>0</v>
      </c>
      <c r="AY340" s="6" t="b">
        <v>0</v>
      </c>
      <c r="AZ340" s="6" t="b">
        <v>0</v>
      </c>
      <c r="BA340" s="6" t="b">
        <v>0</v>
      </c>
      <c r="BB340" s="6" t="b">
        <v>0</v>
      </c>
    </row>
    <row r="341" spans="1:54" ht="15" x14ac:dyDescent="0.25">
      <c r="A341" s="3" t="s">
        <v>738</v>
      </c>
      <c r="B341" s="3" t="str">
        <f ca="1">IFERROR(__xludf.DUMMYFUNCTION("SPLIT(A341,""/"")"),"fossasia")</f>
        <v>fossasia</v>
      </c>
      <c r="C341" s="3" t="str">
        <f ca="1">IFERROR(__xludf.DUMMYFUNCTION("""COMPUTED_VALUE"""),"open-event-legacy")</f>
        <v>open-event-legacy</v>
      </c>
      <c r="D341" s="4" t="s">
        <v>739</v>
      </c>
      <c r="E341" s="5">
        <v>43059.639456018522</v>
      </c>
      <c r="F341" s="5">
        <v>44292.69599537037</v>
      </c>
      <c r="G341" s="13">
        <f t="shared" si="30"/>
        <v>1233.0565393518482</v>
      </c>
      <c r="H341" s="6" t="b">
        <v>0</v>
      </c>
      <c r="I341" s="7" t="b">
        <v>1</v>
      </c>
      <c r="J341" s="8">
        <v>1330</v>
      </c>
      <c r="K341" s="8">
        <v>12</v>
      </c>
      <c r="L341" s="8">
        <v>39</v>
      </c>
      <c r="M341" s="8">
        <v>1</v>
      </c>
      <c r="N341" s="8">
        <v>0</v>
      </c>
      <c r="O341" s="8">
        <v>99</v>
      </c>
      <c r="P341" s="8">
        <v>24</v>
      </c>
      <c r="Q341" s="8">
        <v>5</v>
      </c>
      <c r="R341" s="8">
        <v>0</v>
      </c>
      <c r="S341" s="8">
        <v>0</v>
      </c>
      <c r="T341" s="3" t="s">
        <v>92</v>
      </c>
      <c r="U341" s="10">
        <v>20821</v>
      </c>
      <c r="V341" s="32">
        <v>17</v>
      </c>
      <c r="W341" s="27">
        <v>8.1648335814802362E-4</v>
      </c>
      <c r="X341" s="34">
        <v>0</v>
      </c>
      <c r="Y341" s="27">
        <v>0</v>
      </c>
      <c r="Z341" s="27">
        <v>0</v>
      </c>
      <c r="AA341" s="35">
        <v>14</v>
      </c>
      <c r="AB341" s="27">
        <v>0.82352941176470584</v>
      </c>
      <c r="AC341" s="27">
        <f t="shared" si="31"/>
        <v>6.7239805965131356E-4</v>
      </c>
      <c r="AD341" s="36">
        <v>1</v>
      </c>
      <c r="AE341" s="27">
        <v>5.8823529411764705E-2</v>
      </c>
      <c r="AF341" s="27">
        <f t="shared" si="32"/>
        <v>4.8028432832236681E-5</v>
      </c>
      <c r="AG341" s="37">
        <v>2</v>
      </c>
      <c r="AH341" s="27">
        <v>0.11764705882352941</v>
      </c>
      <c r="AI341" s="27">
        <f t="shared" si="33"/>
        <v>9.6056865664473362E-5</v>
      </c>
      <c r="AJ341" s="38">
        <v>0</v>
      </c>
      <c r="AK341" s="27">
        <v>0</v>
      </c>
      <c r="AL341" s="27">
        <f t="shared" si="34"/>
        <v>0</v>
      </c>
      <c r="AM341" s="40">
        <v>0</v>
      </c>
      <c r="AN341" s="27">
        <v>0</v>
      </c>
      <c r="AO341" s="27">
        <f t="shared" si="35"/>
        <v>0</v>
      </c>
      <c r="AP341" s="7" t="b">
        <v>1</v>
      </c>
      <c r="AQ341" s="7" t="b">
        <v>1</v>
      </c>
      <c r="AR341" s="6" t="b">
        <v>0</v>
      </c>
      <c r="AS341" s="6" t="b">
        <v>0</v>
      </c>
      <c r="AT341" s="7" t="b">
        <v>1</v>
      </c>
      <c r="AU341" s="6" t="b">
        <v>0</v>
      </c>
      <c r="AV341" s="6" t="b">
        <v>0</v>
      </c>
      <c r="AW341" s="6" t="b">
        <v>0</v>
      </c>
      <c r="AX341" s="6" t="b">
        <v>0</v>
      </c>
      <c r="AY341" s="6" t="b">
        <v>0</v>
      </c>
      <c r="AZ341" s="6" t="b">
        <v>0</v>
      </c>
      <c r="BA341" s="6" t="b">
        <v>0</v>
      </c>
      <c r="BB341" s="6" t="b">
        <v>0</v>
      </c>
    </row>
    <row r="342" spans="1:54" ht="15" x14ac:dyDescent="0.25">
      <c r="A342" s="3" t="s">
        <v>740</v>
      </c>
      <c r="B342" s="3" t="str">
        <f ca="1">IFERROR(__xludf.DUMMYFUNCTION("SPLIT(A342,""/"")"),"fossasia")</f>
        <v>fossasia</v>
      </c>
      <c r="C342" s="3" t="str">
        <f ca="1">IFERROR(__xludf.DUMMYFUNCTION("""COMPUTED_VALUE"""),"open-event-server")</f>
        <v>open-event-server</v>
      </c>
      <c r="D342" s="4" t="s">
        <v>741</v>
      </c>
      <c r="E342" s="5">
        <v>42132.386331018519</v>
      </c>
      <c r="F342" s="5">
        <v>44294.955995370372</v>
      </c>
      <c r="G342" s="13">
        <f t="shared" si="30"/>
        <v>2162.5696643518531</v>
      </c>
      <c r="H342" s="6" t="b">
        <v>0</v>
      </c>
      <c r="I342" s="7" t="b">
        <v>1</v>
      </c>
      <c r="J342" s="8">
        <v>2652</v>
      </c>
      <c r="K342" s="8">
        <v>51</v>
      </c>
      <c r="L342" s="8">
        <v>1724</v>
      </c>
      <c r="M342" s="8">
        <v>37</v>
      </c>
      <c r="N342" s="8">
        <v>27</v>
      </c>
      <c r="O342" s="8">
        <v>199</v>
      </c>
      <c r="P342" s="8">
        <v>4437</v>
      </c>
      <c r="Q342" s="8">
        <v>41</v>
      </c>
      <c r="R342" s="8">
        <v>3417</v>
      </c>
      <c r="S342" s="8">
        <v>128</v>
      </c>
      <c r="T342" s="3" t="s">
        <v>49</v>
      </c>
      <c r="U342" s="10">
        <v>32439</v>
      </c>
      <c r="V342" s="32">
        <v>122</v>
      </c>
      <c r="W342" s="27">
        <v>3.7609050833872807E-3</v>
      </c>
      <c r="X342" s="34">
        <v>0</v>
      </c>
      <c r="Y342" s="27">
        <v>0</v>
      </c>
      <c r="Z342" s="27">
        <v>0</v>
      </c>
      <c r="AA342" s="35">
        <v>52</v>
      </c>
      <c r="AB342" s="27">
        <v>0.42622950819672129</v>
      </c>
      <c r="AC342" s="27">
        <f t="shared" si="31"/>
        <v>1.6030087240667098E-3</v>
      </c>
      <c r="AD342" s="36">
        <v>30</v>
      </c>
      <c r="AE342" s="27">
        <v>0.24590163934426229</v>
      </c>
      <c r="AF342" s="27">
        <f t="shared" si="32"/>
        <v>9.248127254231018E-4</v>
      </c>
      <c r="AG342" s="37">
        <v>40</v>
      </c>
      <c r="AH342" s="27">
        <v>0.32786885245901637</v>
      </c>
      <c r="AI342" s="27">
        <f t="shared" si="33"/>
        <v>1.2330836338974691E-3</v>
      </c>
      <c r="AJ342" s="38">
        <v>0</v>
      </c>
      <c r="AK342" s="27">
        <v>0</v>
      </c>
      <c r="AL342" s="27">
        <f t="shared" si="34"/>
        <v>0</v>
      </c>
      <c r="AM342" s="40">
        <v>0</v>
      </c>
      <c r="AN342" s="27">
        <v>0</v>
      </c>
      <c r="AO342" s="27">
        <f t="shared" si="35"/>
        <v>0</v>
      </c>
      <c r="AP342" s="7" t="b">
        <v>1</v>
      </c>
      <c r="AQ342" s="7" t="b">
        <v>1</v>
      </c>
      <c r="AR342" s="6" t="b">
        <v>0</v>
      </c>
      <c r="AS342" s="6" t="b">
        <v>0</v>
      </c>
      <c r="AT342" s="7" t="b">
        <v>1</v>
      </c>
      <c r="AU342" s="6" t="b">
        <v>0</v>
      </c>
      <c r="AV342" s="6" t="b">
        <v>0</v>
      </c>
      <c r="AW342" s="6" t="b">
        <v>0</v>
      </c>
      <c r="AX342" s="6" t="b">
        <v>0</v>
      </c>
      <c r="AY342" s="6" t="b">
        <v>0</v>
      </c>
      <c r="AZ342" s="6" t="b">
        <v>0</v>
      </c>
      <c r="BA342" s="6" t="b">
        <v>0</v>
      </c>
      <c r="BB342" s="6" t="b">
        <v>0</v>
      </c>
    </row>
    <row r="343" spans="1:54" ht="15" x14ac:dyDescent="0.25">
      <c r="A343" s="3" t="s">
        <v>742</v>
      </c>
      <c r="B343" s="3" t="str">
        <f ca="1">IFERROR(__xludf.DUMMYFUNCTION("SPLIT(A343,""/"")"),"fox-it")</f>
        <v>fox-it</v>
      </c>
      <c r="C343" s="4" t="str">
        <f ca="1">IFERROR(__xludf.DUMMYFUNCTION("""COMPUTED_VALUE"""),"BloodHound.py")</f>
        <v>BloodHound.py</v>
      </c>
      <c r="D343" s="4" t="s">
        <v>743</v>
      </c>
      <c r="E343" s="5">
        <v>43157.614120370374</v>
      </c>
      <c r="F343" s="5">
        <v>44295.146319444444</v>
      </c>
      <c r="G343" s="13">
        <f t="shared" si="30"/>
        <v>1137.5321990740704</v>
      </c>
      <c r="H343" s="6" t="b">
        <v>0</v>
      </c>
      <c r="I343" s="7" t="b">
        <v>1</v>
      </c>
      <c r="J343" s="8">
        <v>755</v>
      </c>
      <c r="K343" s="8">
        <v>30</v>
      </c>
      <c r="L343" s="8">
        <v>117</v>
      </c>
      <c r="M343" s="8">
        <v>0</v>
      </c>
      <c r="N343" s="8">
        <v>0</v>
      </c>
      <c r="O343" s="8">
        <v>13</v>
      </c>
      <c r="P343" s="8">
        <v>26</v>
      </c>
      <c r="Q343" s="8">
        <v>1</v>
      </c>
      <c r="R343" s="8">
        <v>40</v>
      </c>
      <c r="S343" s="8">
        <v>3</v>
      </c>
      <c r="T343" s="3" t="s">
        <v>72</v>
      </c>
      <c r="U343" s="10">
        <v>3337</v>
      </c>
      <c r="V343" s="32">
        <v>137</v>
      </c>
      <c r="W343" s="27">
        <v>4.1054839676356009E-2</v>
      </c>
      <c r="X343" s="34">
        <v>69</v>
      </c>
      <c r="Y343" s="27">
        <v>0.5036496350364964</v>
      </c>
      <c r="Z343" s="27">
        <v>2.0677255019478574E-2</v>
      </c>
      <c r="AA343" s="35">
        <v>24</v>
      </c>
      <c r="AB343" s="27">
        <v>0.17518248175182483</v>
      </c>
      <c r="AC343" s="27">
        <f t="shared" si="31"/>
        <v>7.19208870242733E-3</v>
      </c>
      <c r="AD343" s="36">
        <v>28</v>
      </c>
      <c r="AE343" s="27">
        <v>0.20437956204379562</v>
      </c>
      <c r="AF343" s="27">
        <f t="shared" si="32"/>
        <v>8.3907701528318848E-3</v>
      </c>
      <c r="AG343" s="37">
        <v>16</v>
      </c>
      <c r="AH343" s="27">
        <v>0.11678832116788321</v>
      </c>
      <c r="AI343" s="27">
        <f t="shared" si="33"/>
        <v>4.7947258016182203E-3</v>
      </c>
      <c r="AJ343" s="38">
        <v>0</v>
      </c>
      <c r="AK343" s="27">
        <v>0</v>
      </c>
      <c r="AL343" s="27">
        <f t="shared" si="34"/>
        <v>0</v>
      </c>
      <c r="AM343" s="40">
        <v>0</v>
      </c>
      <c r="AN343" s="27">
        <v>0</v>
      </c>
      <c r="AO343" s="27">
        <f t="shared" si="35"/>
        <v>0</v>
      </c>
      <c r="AP343" s="7" t="b">
        <v>1</v>
      </c>
      <c r="AQ343" s="6" t="b">
        <v>0</v>
      </c>
      <c r="AR343" s="6" t="b">
        <v>0</v>
      </c>
      <c r="AS343" s="6" t="b">
        <v>0</v>
      </c>
      <c r="AT343" s="7" t="b">
        <v>1</v>
      </c>
      <c r="AU343" s="6" t="b">
        <v>0</v>
      </c>
      <c r="AV343" s="6" t="b">
        <v>0</v>
      </c>
      <c r="AW343" s="6" t="b">
        <v>0</v>
      </c>
      <c r="AX343" s="6" t="b">
        <v>0</v>
      </c>
      <c r="AY343" s="6" t="b">
        <v>0</v>
      </c>
      <c r="AZ343" s="6" t="b">
        <v>0</v>
      </c>
      <c r="BA343" s="6" t="b">
        <v>0</v>
      </c>
      <c r="BB343" s="6" t="b">
        <v>0</v>
      </c>
    </row>
    <row r="344" spans="1:54" ht="15" x14ac:dyDescent="0.25">
      <c r="A344" s="3" t="s">
        <v>744</v>
      </c>
      <c r="B344" s="3" t="str">
        <f ca="1">IFERROR(__xludf.DUMMYFUNCTION("SPLIT(A344,""/"")"),"foxmask")</f>
        <v>foxmask</v>
      </c>
      <c r="C344" s="3" t="str">
        <f ca="1">IFERROR(__xludf.DUMMYFUNCTION("""COMPUTED_VALUE"""),"django-th")</f>
        <v>django-th</v>
      </c>
      <c r="D344" s="4" t="s">
        <v>745</v>
      </c>
      <c r="E344" s="5">
        <v>41290.891446759262</v>
      </c>
      <c r="F344" s="5">
        <v>44282.572453703702</v>
      </c>
      <c r="G344" s="13">
        <f t="shared" si="30"/>
        <v>2991.68100694444</v>
      </c>
      <c r="H344" s="6" t="b">
        <v>0</v>
      </c>
      <c r="I344" s="6" t="b">
        <v>0</v>
      </c>
      <c r="J344" s="8">
        <v>1357</v>
      </c>
      <c r="K344" s="8">
        <v>40</v>
      </c>
      <c r="L344" s="8">
        <v>124</v>
      </c>
      <c r="M344" s="8">
        <v>19</v>
      </c>
      <c r="N344" s="8">
        <v>6</v>
      </c>
      <c r="O344" s="8">
        <v>17</v>
      </c>
      <c r="P344" s="8">
        <v>64</v>
      </c>
      <c r="Q344" s="8">
        <v>0</v>
      </c>
      <c r="R344" s="8">
        <v>242</v>
      </c>
      <c r="S344" s="8">
        <v>5</v>
      </c>
      <c r="T344" s="3" t="s">
        <v>57</v>
      </c>
      <c r="U344" s="10">
        <v>6029</v>
      </c>
      <c r="V344" s="32">
        <v>57</v>
      </c>
      <c r="W344" s="27">
        <v>9.4543041963841435E-3</v>
      </c>
      <c r="X344" s="34">
        <v>14</v>
      </c>
      <c r="Y344" s="27">
        <v>0.24561403508771928</v>
      </c>
      <c r="Z344" s="27">
        <v>2.3221098026206667E-3</v>
      </c>
      <c r="AA344" s="35">
        <v>4</v>
      </c>
      <c r="AB344" s="27">
        <v>7.0175438596491224E-2</v>
      </c>
      <c r="AC344" s="27">
        <f t="shared" si="31"/>
        <v>6.6345994360590482E-4</v>
      </c>
      <c r="AD344" s="36">
        <v>9</v>
      </c>
      <c r="AE344" s="27">
        <v>0.15789473684210525</v>
      </c>
      <c r="AF344" s="27">
        <f t="shared" si="32"/>
        <v>1.4927848731132857E-3</v>
      </c>
      <c r="AG344" s="37">
        <v>7</v>
      </c>
      <c r="AH344" s="27">
        <v>0.12280701754385964</v>
      </c>
      <c r="AI344" s="27">
        <f t="shared" si="33"/>
        <v>1.1610549013103333E-3</v>
      </c>
      <c r="AJ344" s="38">
        <v>13</v>
      </c>
      <c r="AK344" s="27">
        <v>0.22807017543859648</v>
      </c>
      <c r="AL344" s="27">
        <f t="shared" si="34"/>
        <v>2.1562448167191904E-3</v>
      </c>
      <c r="AM344" s="40">
        <v>0</v>
      </c>
      <c r="AN344" s="27">
        <v>0</v>
      </c>
      <c r="AO344" s="27">
        <f t="shared" si="35"/>
        <v>0</v>
      </c>
      <c r="AP344" s="7" t="b">
        <v>1</v>
      </c>
      <c r="AQ344" s="7" t="b">
        <v>1</v>
      </c>
      <c r="AR344" s="6" t="b">
        <v>0</v>
      </c>
      <c r="AS344" s="6" t="b">
        <v>0</v>
      </c>
      <c r="AT344" s="7" t="b">
        <v>1</v>
      </c>
      <c r="AU344" s="6" t="b">
        <v>0</v>
      </c>
      <c r="AV344" s="6" t="b">
        <v>0</v>
      </c>
      <c r="AW344" s="6" t="b">
        <v>0</v>
      </c>
      <c r="AX344" s="6" t="b">
        <v>0</v>
      </c>
      <c r="AY344" s="6" t="b">
        <v>0</v>
      </c>
      <c r="AZ344" s="6" t="b">
        <v>0</v>
      </c>
      <c r="BA344" s="6" t="b">
        <v>0</v>
      </c>
      <c r="BB344" s="6" t="b">
        <v>0</v>
      </c>
    </row>
    <row r="345" spans="1:54" ht="15" x14ac:dyDescent="0.25">
      <c r="A345" s="3" t="s">
        <v>746</v>
      </c>
      <c r="B345" s="3" t="str">
        <f ca="1">IFERROR(__xludf.DUMMYFUNCTION("SPLIT(A345,""/"")"),"freedomofpress")</f>
        <v>freedomofpress</v>
      </c>
      <c r="C345" s="3" t="str">
        <f ca="1">IFERROR(__xludf.DUMMYFUNCTION("""COMPUTED_VALUE"""),"securedrop")</f>
        <v>securedrop</v>
      </c>
      <c r="D345" s="4" t="s">
        <v>747</v>
      </c>
      <c r="E345" s="5">
        <v>40919.831886574073</v>
      </c>
      <c r="F345" s="5">
        <v>44295.000937500001</v>
      </c>
      <c r="G345" s="13">
        <f t="shared" si="30"/>
        <v>3375.1690509259279</v>
      </c>
      <c r="H345" s="6" t="b">
        <v>0</v>
      </c>
      <c r="I345" s="7" t="b">
        <v>1</v>
      </c>
      <c r="J345" s="8">
        <v>3034</v>
      </c>
      <c r="K345" s="8">
        <v>155</v>
      </c>
      <c r="L345" s="8">
        <v>571</v>
      </c>
      <c r="M345" s="8">
        <v>27</v>
      </c>
      <c r="N345" s="8">
        <v>82</v>
      </c>
      <c r="O345" s="8">
        <v>172</v>
      </c>
      <c r="P345" s="8">
        <v>3218</v>
      </c>
      <c r="Q345" s="8">
        <v>13</v>
      </c>
      <c r="R345" s="8">
        <v>2613</v>
      </c>
      <c r="S345" s="8">
        <v>360</v>
      </c>
      <c r="T345" s="3" t="s">
        <v>366</v>
      </c>
      <c r="U345" s="10">
        <v>18364</v>
      </c>
      <c r="V345" s="32">
        <v>159</v>
      </c>
      <c r="W345" s="27">
        <v>8.6582443912001737E-3</v>
      </c>
      <c r="X345" s="34">
        <v>31</v>
      </c>
      <c r="Y345" s="27">
        <v>0.19496855345911951</v>
      </c>
      <c r="Z345" s="27">
        <v>1.6880853844478327E-3</v>
      </c>
      <c r="AA345" s="35">
        <v>60</v>
      </c>
      <c r="AB345" s="27">
        <v>0.37735849056603776</v>
      </c>
      <c r="AC345" s="27">
        <f t="shared" si="31"/>
        <v>3.2672620344151599E-3</v>
      </c>
      <c r="AD345" s="36">
        <v>9</v>
      </c>
      <c r="AE345" s="27">
        <v>5.6603773584905662E-2</v>
      </c>
      <c r="AF345" s="27">
        <f t="shared" si="32"/>
        <v>4.9008930516227401E-4</v>
      </c>
      <c r="AG345" s="37">
        <v>57</v>
      </c>
      <c r="AH345" s="27">
        <v>0.35849056603773582</v>
      </c>
      <c r="AI345" s="27">
        <f t="shared" si="33"/>
        <v>3.1038989326944021E-3</v>
      </c>
      <c r="AJ345" s="38">
        <v>0</v>
      </c>
      <c r="AK345" s="27">
        <v>0</v>
      </c>
      <c r="AL345" s="27">
        <f t="shared" si="34"/>
        <v>0</v>
      </c>
      <c r="AM345" s="40">
        <v>0</v>
      </c>
      <c r="AN345" s="27">
        <v>0</v>
      </c>
      <c r="AO345" s="27">
        <f t="shared" si="35"/>
        <v>0</v>
      </c>
      <c r="AP345" s="7" t="b">
        <v>1</v>
      </c>
      <c r="AQ345" s="6" t="b">
        <v>0</v>
      </c>
      <c r="AR345" s="6" t="b">
        <v>0</v>
      </c>
      <c r="AS345" s="6" t="b">
        <v>0</v>
      </c>
      <c r="AT345" s="7" t="b">
        <v>1</v>
      </c>
      <c r="AU345" s="6" t="b">
        <v>0</v>
      </c>
      <c r="AV345" s="6" t="b">
        <v>0</v>
      </c>
      <c r="AW345" s="6" t="b">
        <v>0</v>
      </c>
      <c r="AX345" s="6" t="b">
        <v>0</v>
      </c>
      <c r="AY345" s="6" t="b">
        <v>0</v>
      </c>
      <c r="AZ345" s="6" t="b">
        <v>0</v>
      </c>
      <c r="BA345" s="6" t="b">
        <v>0</v>
      </c>
      <c r="BB345" s="6" t="b">
        <v>0</v>
      </c>
    </row>
    <row r="346" spans="1:54" ht="15" x14ac:dyDescent="0.25">
      <c r="A346" s="3" t="s">
        <v>748</v>
      </c>
      <c r="B346" s="3" t="str">
        <f ca="1">IFERROR(__xludf.DUMMYFUNCTION("SPLIT(A346,""/"")"),"freeipa")</f>
        <v>freeipa</v>
      </c>
      <c r="C346" s="3" t="str">
        <f ca="1">IFERROR(__xludf.DUMMYFUNCTION("""COMPUTED_VALUE"""),"freeipa")</f>
        <v>freeipa</v>
      </c>
      <c r="D346" s="4" t="s">
        <v>749</v>
      </c>
      <c r="E346" s="5">
        <v>41044.857407407406</v>
      </c>
      <c r="F346" s="5">
        <v>44293.36378472222</v>
      </c>
      <c r="G346" s="13">
        <f t="shared" si="30"/>
        <v>3248.506377314814</v>
      </c>
      <c r="H346" s="6" t="b">
        <v>0</v>
      </c>
      <c r="I346" s="7" t="b">
        <v>1</v>
      </c>
      <c r="J346" s="8">
        <v>524</v>
      </c>
      <c r="K346" s="8">
        <v>54</v>
      </c>
      <c r="L346" s="8">
        <v>232</v>
      </c>
      <c r="M346" s="8">
        <v>0</v>
      </c>
      <c r="N346" s="8">
        <v>45</v>
      </c>
      <c r="O346" s="8">
        <v>138</v>
      </c>
      <c r="P346" s="8">
        <v>5706</v>
      </c>
      <c r="Q346" s="8">
        <v>34</v>
      </c>
      <c r="R346" s="8">
        <v>0</v>
      </c>
      <c r="S346" s="8">
        <v>0</v>
      </c>
      <c r="T346" s="3" t="s">
        <v>92</v>
      </c>
      <c r="U346" s="10">
        <v>128111</v>
      </c>
      <c r="V346" s="32">
        <v>1969</v>
      </c>
      <c r="W346" s="27">
        <v>1.5369484275354965E-2</v>
      </c>
      <c r="X346" s="34">
        <v>905</v>
      </c>
      <c r="Y346" s="27">
        <v>0.45962417470797357</v>
      </c>
      <c r="Z346" s="27">
        <v>7.0641865257472037E-3</v>
      </c>
      <c r="AA346" s="35">
        <v>416</v>
      </c>
      <c r="AB346" s="27">
        <v>0.21127475876079227</v>
      </c>
      <c r="AC346" s="27">
        <f t="shared" si="31"/>
        <v>3.2471840825534109E-3</v>
      </c>
      <c r="AD346" s="36">
        <v>189</v>
      </c>
      <c r="AE346" s="27">
        <v>9.598781107160996E-2</v>
      </c>
      <c r="AF346" s="27">
        <f t="shared" si="32"/>
        <v>1.4752831528908525E-3</v>
      </c>
      <c r="AG346" s="37">
        <v>415</v>
      </c>
      <c r="AH346" s="27">
        <v>0.21076688674454039</v>
      </c>
      <c r="AI346" s="27">
        <f t="shared" si="33"/>
        <v>3.2393783515857343E-3</v>
      </c>
      <c r="AJ346" s="38">
        <v>42</v>
      </c>
      <c r="AK346" s="27">
        <v>2.1330624682579988E-2</v>
      </c>
      <c r="AL346" s="27">
        <f t="shared" si="34"/>
        <v>3.2784070064241163E-4</v>
      </c>
      <c r="AM346" s="40">
        <v>1</v>
      </c>
      <c r="AN346" s="27">
        <v>5.0787201625190448E-4</v>
      </c>
      <c r="AO346" s="27">
        <f t="shared" si="35"/>
        <v>7.8057309676764675E-6</v>
      </c>
      <c r="AP346" s="6" t="b">
        <v>0</v>
      </c>
      <c r="AQ346" s="7" t="b">
        <v>1</v>
      </c>
      <c r="AR346" s="6" t="b">
        <v>0</v>
      </c>
      <c r="AS346" s="6" t="b">
        <v>0</v>
      </c>
      <c r="AT346" s="7" t="b">
        <v>1</v>
      </c>
      <c r="AU346" s="6" t="b">
        <v>0</v>
      </c>
      <c r="AV346" s="6" t="b">
        <v>0</v>
      </c>
      <c r="AW346" s="6" t="b">
        <v>0</v>
      </c>
      <c r="AX346" s="6" t="b">
        <v>0</v>
      </c>
      <c r="AY346" s="6" t="b">
        <v>0</v>
      </c>
      <c r="AZ346" s="6" t="b">
        <v>0</v>
      </c>
      <c r="BA346" s="6" t="b">
        <v>0</v>
      </c>
      <c r="BB346" s="6" t="b">
        <v>0</v>
      </c>
    </row>
    <row r="347" spans="1:54" ht="15" x14ac:dyDescent="0.25">
      <c r="A347" s="3" t="s">
        <v>750</v>
      </c>
      <c r="B347" s="3" t="str">
        <f ca="1">IFERROR(__xludf.DUMMYFUNCTION("SPLIT(A347,""/"")"),"FreeOpcUa")</f>
        <v>FreeOpcUa</v>
      </c>
      <c r="C347" s="3" t="str">
        <f ca="1">IFERROR(__xludf.DUMMYFUNCTION("""COMPUTED_VALUE"""),"python-opcua")</f>
        <v>python-opcua</v>
      </c>
      <c r="D347" s="4" t="s">
        <v>751</v>
      </c>
      <c r="E347" s="5">
        <v>42055.699224537035</v>
      </c>
      <c r="F347" s="5">
        <v>44295.033067129632</v>
      </c>
      <c r="G347" s="13">
        <f t="shared" si="30"/>
        <v>2239.3338425925976</v>
      </c>
      <c r="H347" s="6" t="b">
        <v>0</v>
      </c>
      <c r="I347" s="7" t="b">
        <v>1</v>
      </c>
      <c r="J347" s="8">
        <v>879</v>
      </c>
      <c r="K347" s="8">
        <v>91</v>
      </c>
      <c r="L347" s="8">
        <v>489</v>
      </c>
      <c r="M347" s="8">
        <v>0</v>
      </c>
      <c r="N347" s="8">
        <v>43</v>
      </c>
      <c r="O347" s="8">
        <v>81</v>
      </c>
      <c r="P347" s="8">
        <v>465</v>
      </c>
      <c r="Q347" s="8">
        <v>18</v>
      </c>
      <c r="R347" s="8">
        <v>735</v>
      </c>
      <c r="S347" s="8">
        <v>364</v>
      </c>
      <c r="T347" s="3" t="s">
        <v>160</v>
      </c>
      <c r="U347" s="10">
        <v>213828</v>
      </c>
      <c r="V347" s="32">
        <v>302</v>
      </c>
      <c r="W347" s="27">
        <v>1.4123501131750754E-3</v>
      </c>
      <c r="X347" s="34">
        <v>68</v>
      </c>
      <c r="Y347" s="27">
        <v>0.2251655629139073</v>
      </c>
      <c r="Z347" s="27">
        <v>3.1801260826458649E-4</v>
      </c>
      <c r="AA347" s="35">
        <v>161</v>
      </c>
      <c r="AB347" s="27">
        <v>0.5331125827814569</v>
      </c>
      <c r="AC347" s="27">
        <f t="shared" si="31"/>
        <v>7.5294161662644741E-4</v>
      </c>
      <c r="AD347" s="36">
        <v>47</v>
      </c>
      <c r="AE347" s="27">
        <v>0.15562913907284767</v>
      </c>
      <c r="AF347" s="27">
        <f t="shared" si="32"/>
        <v>2.1980283218287595E-4</v>
      </c>
      <c r="AG347" s="37">
        <v>25</v>
      </c>
      <c r="AH347" s="27">
        <v>8.2781456953642391E-2</v>
      </c>
      <c r="AI347" s="27">
        <f t="shared" si="33"/>
        <v>1.1691640009727445E-4</v>
      </c>
      <c r="AJ347" s="38">
        <v>1</v>
      </c>
      <c r="AK347" s="27">
        <v>3.3112582781456954E-3</v>
      </c>
      <c r="AL347" s="27">
        <f t="shared" si="34"/>
        <v>4.6766560038909781E-6</v>
      </c>
      <c r="AM347" s="40">
        <v>0</v>
      </c>
      <c r="AN347" s="27">
        <v>0</v>
      </c>
      <c r="AO347" s="27">
        <f t="shared" si="35"/>
        <v>0</v>
      </c>
      <c r="AP347" s="7" t="b">
        <v>1</v>
      </c>
      <c r="AQ347" s="6" t="b">
        <v>0</v>
      </c>
      <c r="AR347" s="6" t="b">
        <v>0</v>
      </c>
      <c r="AS347" s="6" t="b">
        <v>0</v>
      </c>
      <c r="AT347" s="7" t="b">
        <v>1</v>
      </c>
      <c r="AU347" s="6" t="b">
        <v>0</v>
      </c>
      <c r="AV347" s="6" t="b">
        <v>0</v>
      </c>
      <c r="AW347" s="6" t="b">
        <v>0</v>
      </c>
      <c r="AX347" s="6" t="b">
        <v>0</v>
      </c>
      <c r="AY347" s="6" t="b">
        <v>0</v>
      </c>
      <c r="AZ347" s="6" t="b">
        <v>0</v>
      </c>
      <c r="BA347" s="6" t="b">
        <v>0</v>
      </c>
      <c r="BB347" s="6" t="b">
        <v>0</v>
      </c>
    </row>
    <row r="348" spans="1:54" ht="15" x14ac:dyDescent="0.25">
      <c r="A348" s="3" t="s">
        <v>752</v>
      </c>
      <c r="B348" s="3" t="str">
        <f ca="1">IFERROR(__xludf.DUMMYFUNCTION("SPLIT(A348,""/"")"),"freqtrade")</f>
        <v>freqtrade</v>
      </c>
      <c r="C348" s="3" t="str">
        <f ca="1">IFERROR(__xludf.DUMMYFUNCTION("""COMPUTED_VALUE"""),"freqtrade")</f>
        <v>freqtrade</v>
      </c>
      <c r="D348" s="4" t="s">
        <v>753</v>
      </c>
      <c r="E348" s="5">
        <v>42872.992280092592</v>
      </c>
      <c r="F348" s="5">
        <v>44295.154467592591</v>
      </c>
      <c r="G348" s="13">
        <f t="shared" si="30"/>
        <v>1422.1621874999983</v>
      </c>
      <c r="H348" s="6" t="b">
        <v>0</v>
      </c>
      <c r="I348" s="7" t="b">
        <v>1</v>
      </c>
      <c r="J348" s="8">
        <v>7519</v>
      </c>
      <c r="K348" s="8">
        <v>425</v>
      </c>
      <c r="L348" s="8">
        <v>1734</v>
      </c>
      <c r="M348" s="8">
        <v>40</v>
      </c>
      <c r="N348" s="8">
        <v>54</v>
      </c>
      <c r="O348" s="8">
        <v>123</v>
      </c>
      <c r="P348" s="8">
        <v>2856</v>
      </c>
      <c r="Q348" s="8">
        <v>11</v>
      </c>
      <c r="R348" s="8">
        <v>1828</v>
      </c>
      <c r="S348" s="8">
        <v>70</v>
      </c>
      <c r="T348" s="3" t="s">
        <v>49</v>
      </c>
      <c r="U348" s="10">
        <v>25690</v>
      </c>
      <c r="V348" s="32">
        <v>409</v>
      </c>
      <c r="W348" s="27">
        <v>1.5920591669910472E-2</v>
      </c>
      <c r="X348" s="34">
        <v>89</v>
      </c>
      <c r="Y348" s="27">
        <v>0.2176039119804401</v>
      </c>
      <c r="Z348" s="27">
        <v>3.4643830284157261E-3</v>
      </c>
      <c r="AA348" s="35">
        <v>198</v>
      </c>
      <c r="AB348" s="27">
        <v>0.4841075794621027</v>
      </c>
      <c r="AC348" s="27">
        <f t="shared" si="31"/>
        <v>7.7072790969248735E-3</v>
      </c>
      <c r="AD348" s="36">
        <v>88</v>
      </c>
      <c r="AE348" s="27">
        <v>0.21515892420537897</v>
      </c>
      <c r="AF348" s="27">
        <f t="shared" si="32"/>
        <v>3.4254573764110549E-3</v>
      </c>
      <c r="AG348" s="37">
        <v>31</v>
      </c>
      <c r="AH348" s="27">
        <v>7.5794621026894868E-2</v>
      </c>
      <c r="AI348" s="27">
        <f t="shared" si="33"/>
        <v>1.2066952121448035E-3</v>
      </c>
      <c r="AJ348" s="38">
        <v>3</v>
      </c>
      <c r="AK348" s="27">
        <v>7.3349633251833741E-3</v>
      </c>
      <c r="AL348" s="27">
        <f t="shared" si="34"/>
        <v>1.1677695601401323E-4</v>
      </c>
      <c r="AM348" s="40">
        <v>0</v>
      </c>
      <c r="AN348" s="27">
        <v>0</v>
      </c>
      <c r="AO348" s="27">
        <f t="shared" si="35"/>
        <v>0</v>
      </c>
      <c r="AP348" s="7" t="b">
        <v>1</v>
      </c>
      <c r="AQ348" s="7" t="b">
        <v>1</v>
      </c>
      <c r="AR348" s="6" t="b">
        <v>0</v>
      </c>
      <c r="AS348" s="6" t="b">
        <v>0</v>
      </c>
      <c r="AT348" s="7" t="b">
        <v>1</v>
      </c>
      <c r="AU348" s="6" t="b">
        <v>0</v>
      </c>
      <c r="AV348" s="6" t="b">
        <v>0</v>
      </c>
      <c r="AW348" s="6" t="b">
        <v>0</v>
      </c>
      <c r="AX348" s="6" t="b">
        <v>0</v>
      </c>
      <c r="AY348" s="6" t="b">
        <v>0</v>
      </c>
      <c r="AZ348" s="6" t="b">
        <v>0</v>
      </c>
      <c r="BA348" s="6" t="b">
        <v>0</v>
      </c>
      <c r="BB348" s="6" t="b">
        <v>0</v>
      </c>
    </row>
    <row r="349" spans="1:54" ht="15" x14ac:dyDescent="0.25">
      <c r="A349" s="3" t="s">
        <v>754</v>
      </c>
      <c r="B349" s="3" t="str">
        <f ca="1">IFERROR(__xludf.DUMMYFUNCTION("SPLIT(A349,""/"")"),"frol")</f>
        <v>frol</v>
      </c>
      <c r="C349" s="3" t="str">
        <f ca="1">IFERROR(__xludf.DUMMYFUNCTION("""COMPUTED_VALUE"""),"flask-restplus-server-example")</f>
        <v>flask-restplus-server-example</v>
      </c>
      <c r="D349" s="4" t="s">
        <v>755</v>
      </c>
      <c r="E349" s="5">
        <v>42326.571921296294</v>
      </c>
      <c r="F349" s="5">
        <v>44294.386250000003</v>
      </c>
      <c r="G349" s="13">
        <f t="shared" si="30"/>
        <v>1967.8143287037092</v>
      </c>
      <c r="H349" s="6" t="b">
        <v>0</v>
      </c>
      <c r="I349" s="6" t="b">
        <v>0</v>
      </c>
      <c r="J349" s="8">
        <v>1245</v>
      </c>
      <c r="K349" s="8">
        <v>62</v>
      </c>
      <c r="L349" s="8">
        <v>308</v>
      </c>
      <c r="M349" s="8">
        <v>0</v>
      </c>
      <c r="N349" s="8">
        <v>8</v>
      </c>
      <c r="O349" s="8">
        <v>11</v>
      </c>
      <c r="P349" s="8">
        <v>35</v>
      </c>
      <c r="Q349" s="8">
        <v>1</v>
      </c>
      <c r="R349" s="8">
        <v>119</v>
      </c>
      <c r="S349" s="8">
        <v>19</v>
      </c>
      <c r="T349" s="3" t="s">
        <v>72</v>
      </c>
      <c r="U349" s="10">
        <v>3371</v>
      </c>
      <c r="V349" s="32">
        <v>32</v>
      </c>
      <c r="W349" s="27">
        <v>9.4927321269652927E-3</v>
      </c>
      <c r="X349" s="34">
        <v>3</v>
      </c>
      <c r="Y349" s="27">
        <v>9.375E-2</v>
      </c>
      <c r="Z349" s="27">
        <v>8.8994363690299619E-4</v>
      </c>
      <c r="AA349" s="35">
        <v>17</v>
      </c>
      <c r="AB349" s="27">
        <v>0.53125</v>
      </c>
      <c r="AC349" s="27">
        <f t="shared" si="31"/>
        <v>5.0430139424503112E-3</v>
      </c>
      <c r="AD349" s="36">
        <v>3</v>
      </c>
      <c r="AE349" s="27">
        <v>9.375E-2</v>
      </c>
      <c r="AF349" s="27">
        <f t="shared" si="32"/>
        <v>8.8994363690299619E-4</v>
      </c>
      <c r="AG349" s="37">
        <v>5</v>
      </c>
      <c r="AH349" s="27">
        <v>0.15625</v>
      </c>
      <c r="AI349" s="27">
        <f t="shared" si="33"/>
        <v>1.4832393948383269E-3</v>
      </c>
      <c r="AJ349" s="38">
        <v>4</v>
      </c>
      <c r="AK349" s="27">
        <v>0.125</v>
      </c>
      <c r="AL349" s="27">
        <f t="shared" si="34"/>
        <v>1.1865915158706616E-3</v>
      </c>
      <c r="AM349" s="40">
        <v>0</v>
      </c>
      <c r="AN349" s="27">
        <v>0</v>
      </c>
      <c r="AO349" s="27">
        <f t="shared" si="35"/>
        <v>0</v>
      </c>
      <c r="AP349" s="7" t="b">
        <v>1</v>
      </c>
      <c r="AQ349" s="7" t="b">
        <v>1</v>
      </c>
      <c r="AR349" s="6" t="b">
        <v>0</v>
      </c>
      <c r="AS349" s="6" t="b">
        <v>0</v>
      </c>
      <c r="AT349" s="7" t="b">
        <v>1</v>
      </c>
      <c r="AU349" s="6" t="b">
        <v>0</v>
      </c>
      <c r="AV349" s="6" t="b">
        <v>0</v>
      </c>
      <c r="AW349" s="6" t="b">
        <v>0</v>
      </c>
      <c r="AX349" s="6" t="b">
        <v>0</v>
      </c>
      <c r="AY349" s="6" t="b">
        <v>0</v>
      </c>
      <c r="AZ349" s="6" t="b">
        <v>0</v>
      </c>
      <c r="BA349" s="6" t="b">
        <v>0</v>
      </c>
      <c r="BB349" s="6" t="b">
        <v>0</v>
      </c>
    </row>
    <row r="350" spans="1:54" ht="15" x14ac:dyDescent="0.25">
      <c r="A350" s="3" t="s">
        <v>756</v>
      </c>
      <c r="B350" s="3" t="str">
        <f ca="1">IFERROR(__xludf.DUMMYFUNCTION("SPLIT(A350,""/"")"),"FSecureLABS")</f>
        <v>FSecureLABS</v>
      </c>
      <c r="C350" s="3" t="str">
        <f ca="1">IFERROR(__xludf.DUMMYFUNCTION("""COMPUTED_VALUE"""),"awspx")</f>
        <v>awspx</v>
      </c>
      <c r="D350" s="4" t="s">
        <v>757</v>
      </c>
      <c r="E350" s="5">
        <v>43803.635925925926</v>
      </c>
      <c r="F350" s="5">
        <v>44295.120868055557</v>
      </c>
      <c r="G350" s="13">
        <f t="shared" si="30"/>
        <v>491.48494212963124</v>
      </c>
      <c r="H350" s="6" t="b">
        <v>0</v>
      </c>
      <c r="I350" s="7" t="b">
        <v>1</v>
      </c>
      <c r="J350" s="8">
        <v>553</v>
      </c>
      <c r="K350" s="8">
        <v>23</v>
      </c>
      <c r="L350" s="8">
        <v>54</v>
      </c>
      <c r="M350" s="8">
        <v>7</v>
      </c>
      <c r="N350" s="8">
        <v>0</v>
      </c>
      <c r="O350" s="8">
        <v>6</v>
      </c>
      <c r="P350" s="8">
        <v>17</v>
      </c>
      <c r="Q350" s="8">
        <v>0</v>
      </c>
      <c r="R350" s="8">
        <v>26</v>
      </c>
      <c r="S350" s="8">
        <v>1</v>
      </c>
      <c r="T350" s="3" t="s">
        <v>49</v>
      </c>
      <c r="U350" s="10">
        <v>1797</v>
      </c>
      <c r="V350" s="32">
        <v>7</v>
      </c>
      <c r="W350" s="27">
        <v>3.8953811908736783E-3</v>
      </c>
      <c r="X350" s="34">
        <v>3</v>
      </c>
      <c r="Y350" s="27">
        <v>0.42857142857142855</v>
      </c>
      <c r="Z350" s="27">
        <v>1.6694490818030051E-3</v>
      </c>
      <c r="AA350" s="35">
        <v>1</v>
      </c>
      <c r="AB350" s="27">
        <v>0.14285714285714285</v>
      </c>
      <c r="AC350" s="27">
        <f t="shared" si="31"/>
        <v>5.5648302726766835E-4</v>
      </c>
      <c r="AD350" s="36">
        <v>1</v>
      </c>
      <c r="AE350" s="27">
        <v>0.14285714285714285</v>
      </c>
      <c r="AF350" s="27">
        <f t="shared" si="32"/>
        <v>5.5648302726766835E-4</v>
      </c>
      <c r="AG350" s="37">
        <v>1</v>
      </c>
      <c r="AH350" s="27">
        <v>0.14285714285714285</v>
      </c>
      <c r="AI350" s="27">
        <f t="shared" si="33"/>
        <v>5.5648302726766835E-4</v>
      </c>
      <c r="AJ350" s="38">
        <v>1</v>
      </c>
      <c r="AK350" s="27">
        <v>0.14285714285714285</v>
      </c>
      <c r="AL350" s="27">
        <f t="shared" si="34"/>
        <v>5.5648302726766835E-4</v>
      </c>
      <c r="AM350" s="40">
        <v>0</v>
      </c>
      <c r="AN350" s="27">
        <v>0</v>
      </c>
      <c r="AO350" s="27">
        <f t="shared" si="35"/>
        <v>0</v>
      </c>
      <c r="AP350" s="7" t="b">
        <v>1</v>
      </c>
      <c r="AQ350" s="6" t="b">
        <v>0</v>
      </c>
      <c r="AR350" s="6" t="b">
        <v>0</v>
      </c>
      <c r="AS350" s="6" t="b">
        <v>0</v>
      </c>
      <c r="AT350" s="7" t="b">
        <v>1</v>
      </c>
      <c r="AU350" s="6" t="b">
        <v>0</v>
      </c>
      <c r="AV350" s="6" t="b">
        <v>0</v>
      </c>
      <c r="AW350" s="6" t="b">
        <v>0</v>
      </c>
      <c r="AX350" s="6" t="b">
        <v>0</v>
      </c>
      <c r="AY350" s="6" t="b">
        <v>0</v>
      </c>
      <c r="AZ350" s="6" t="b">
        <v>0</v>
      </c>
      <c r="BA350" s="6" t="b">
        <v>0</v>
      </c>
      <c r="BB350" s="6" t="b">
        <v>0</v>
      </c>
    </row>
    <row r="351" spans="1:54" ht="15" x14ac:dyDescent="0.25">
      <c r="A351" s="3" t="s">
        <v>758</v>
      </c>
      <c r="B351" s="3" t="str">
        <f ca="1">IFERROR(__xludf.DUMMYFUNCTION("SPLIT(A351,""/"")"),"FSecureLABS")</f>
        <v>FSecureLABS</v>
      </c>
      <c r="C351" s="3" t="str">
        <f ca="1">IFERROR(__xludf.DUMMYFUNCTION("""COMPUTED_VALUE"""),"drozer")</f>
        <v>drozer</v>
      </c>
      <c r="D351" s="4" t="s">
        <v>759</v>
      </c>
      <c r="E351" s="5">
        <v>40963.626747685186</v>
      </c>
      <c r="F351" s="5">
        <v>44293.818379629629</v>
      </c>
      <c r="G351" s="13">
        <f t="shared" si="30"/>
        <v>3330.1916319444426</v>
      </c>
      <c r="H351" s="6" t="b">
        <v>0</v>
      </c>
      <c r="I351" s="7" t="b">
        <v>1</v>
      </c>
      <c r="J351" s="8">
        <v>2489</v>
      </c>
      <c r="K351" s="8">
        <v>167</v>
      </c>
      <c r="L351" s="8">
        <v>607</v>
      </c>
      <c r="M351" s="8">
        <v>6</v>
      </c>
      <c r="N351" s="8">
        <v>3</v>
      </c>
      <c r="O351" s="8">
        <v>25</v>
      </c>
      <c r="P351" s="8">
        <v>110</v>
      </c>
      <c r="Q351" s="8">
        <v>6</v>
      </c>
      <c r="R351" s="8">
        <v>281</v>
      </c>
      <c r="S351" s="8">
        <v>23</v>
      </c>
      <c r="T351" s="3" t="s">
        <v>92</v>
      </c>
      <c r="U351" s="10">
        <v>12344</v>
      </c>
      <c r="V351" s="32">
        <v>10</v>
      </c>
      <c r="W351" s="27">
        <v>8.101101749837978E-4</v>
      </c>
      <c r="X351" s="34">
        <v>2</v>
      </c>
      <c r="Y351" s="27">
        <v>0.2</v>
      </c>
      <c r="Z351" s="27">
        <v>1.6202203499675956E-4</v>
      </c>
      <c r="AA351" s="35">
        <v>6</v>
      </c>
      <c r="AB351" s="27">
        <v>0.6</v>
      </c>
      <c r="AC351" s="27">
        <f t="shared" si="31"/>
        <v>4.8606610499027868E-4</v>
      </c>
      <c r="AD351" s="36">
        <v>0</v>
      </c>
      <c r="AE351" s="27">
        <v>0</v>
      </c>
      <c r="AF351" s="27">
        <f t="shared" si="32"/>
        <v>0</v>
      </c>
      <c r="AG351" s="37">
        <v>2</v>
      </c>
      <c r="AH351" s="27">
        <v>0.2</v>
      </c>
      <c r="AI351" s="27">
        <f t="shared" si="33"/>
        <v>1.6202203499675956E-4</v>
      </c>
      <c r="AJ351" s="38">
        <v>0</v>
      </c>
      <c r="AK351" s="27">
        <v>0</v>
      </c>
      <c r="AL351" s="27">
        <f t="shared" si="34"/>
        <v>0</v>
      </c>
      <c r="AM351" s="40">
        <v>0</v>
      </c>
      <c r="AN351" s="27">
        <v>0</v>
      </c>
      <c r="AO351" s="27">
        <f t="shared" si="35"/>
        <v>0</v>
      </c>
      <c r="AP351" s="7" t="b">
        <v>1</v>
      </c>
      <c r="AQ351" s="6" t="b">
        <v>0</v>
      </c>
      <c r="AR351" s="6" t="b">
        <v>0</v>
      </c>
      <c r="AS351" s="6" t="b">
        <v>0</v>
      </c>
      <c r="AT351" s="7" t="b">
        <v>1</v>
      </c>
      <c r="AU351" s="6" t="b">
        <v>0</v>
      </c>
      <c r="AV351" s="6" t="b">
        <v>0</v>
      </c>
      <c r="AW351" s="6" t="b">
        <v>0</v>
      </c>
      <c r="AX351" s="6" t="b">
        <v>0</v>
      </c>
      <c r="AY351" s="6" t="b">
        <v>0</v>
      </c>
      <c r="AZ351" s="6" t="b">
        <v>0</v>
      </c>
      <c r="BA351" s="6" t="b">
        <v>0</v>
      </c>
      <c r="BB351" s="6" t="b">
        <v>0</v>
      </c>
    </row>
    <row r="352" spans="1:54" ht="15" x14ac:dyDescent="0.25">
      <c r="A352" s="3" t="s">
        <v>760</v>
      </c>
      <c r="B352" s="3" t="str">
        <f ca="1">IFERROR(__xludf.DUMMYFUNCTION("SPLIT(A352,""/"")"),"FZambia")</f>
        <v>FZambia</v>
      </c>
      <c r="C352" s="3" t="str">
        <f ca="1">IFERROR(__xludf.DUMMYFUNCTION("""COMPUTED_VALUE"""),"centrifuge")</f>
        <v>centrifuge</v>
      </c>
      <c r="D352" s="4" t="s">
        <v>761</v>
      </c>
      <c r="E352" s="5">
        <v>41336.488645833335</v>
      </c>
      <c r="F352" s="5">
        <v>44177.501076388886</v>
      </c>
      <c r="G352" s="13">
        <f t="shared" si="30"/>
        <v>2841.012430555551</v>
      </c>
      <c r="H352" s="6" t="b">
        <v>0</v>
      </c>
      <c r="I352" s="6" t="b">
        <v>0</v>
      </c>
      <c r="J352" s="8">
        <v>690</v>
      </c>
      <c r="K352" s="8">
        <v>36</v>
      </c>
      <c r="L352" s="8">
        <v>37</v>
      </c>
      <c r="M352" s="8">
        <v>0</v>
      </c>
      <c r="N352" s="8">
        <v>0</v>
      </c>
      <c r="O352" s="8">
        <v>10</v>
      </c>
      <c r="P352" s="8">
        <v>32</v>
      </c>
      <c r="Q352" s="8">
        <v>0</v>
      </c>
      <c r="R352" s="8">
        <v>0</v>
      </c>
      <c r="S352" s="8">
        <v>0</v>
      </c>
      <c r="T352" s="11" t="s">
        <v>52</v>
      </c>
      <c r="U352" s="10">
        <v>2769</v>
      </c>
      <c r="V352" s="32">
        <v>48</v>
      </c>
      <c r="W352" s="27">
        <v>1.7334777898158179E-2</v>
      </c>
      <c r="X352" s="34">
        <v>5</v>
      </c>
      <c r="Y352" s="27">
        <v>0.10416666666666667</v>
      </c>
      <c r="Z352" s="27">
        <v>1.8057060310581437E-3</v>
      </c>
      <c r="AA352" s="35">
        <v>14</v>
      </c>
      <c r="AB352" s="27">
        <v>0.29166666666666669</v>
      </c>
      <c r="AC352" s="27">
        <f t="shared" si="31"/>
        <v>5.055976886962802E-3</v>
      </c>
      <c r="AD352" s="36">
        <v>2</v>
      </c>
      <c r="AE352" s="27">
        <v>4.1666666666666664E-2</v>
      </c>
      <c r="AF352" s="27">
        <f t="shared" si="32"/>
        <v>7.2228241242325753E-4</v>
      </c>
      <c r="AG352" s="37">
        <v>25</v>
      </c>
      <c r="AH352" s="27">
        <v>0.52083333333333337</v>
      </c>
      <c r="AI352" s="27">
        <f t="shared" si="33"/>
        <v>9.0285301552907194E-3</v>
      </c>
      <c r="AJ352" s="38">
        <v>0</v>
      </c>
      <c r="AK352" s="27">
        <v>0</v>
      </c>
      <c r="AL352" s="27">
        <f t="shared" si="34"/>
        <v>0</v>
      </c>
      <c r="AM352" s="40">
        <v>0</v>
      </c>
      <c r="AN352" s="27">
        <v>0</v>
      </c>
      <c r="AO352" s="27">
        <f t="shared" si="35"/>
        <v>0</v>
      </c>
      <c r="AP352" s="7" t="b">
        <v>1</v>
      </c>
      <c r="AQ352" s="6" t="b">
        <v>0</v>
      </c>
      <c r="AR352" s="6" t="b">
        <v>0</v>
      </c>
      <c r="AS352" s="6" t="b">
        <v>0</v>
      </c>
      <c r="AT352" s="7" t="b">
        <v>1</v>
      </c>
      <c r="AU352" s="6" t="b">
        <v>0</v>
      </c>
      <c r="AV352" s="6" t="b">
        <v>0</v>
      </c>
      <c r="AW352" s="6" t="b">
        <v>0</v>
      </c>
      <c r="AX352" s="6" t="b">
        <v>0</v>
      </c>
      <c r="AY352" s="6" t="b">
        <v>0</v>
      </c>
      <c r="AZ352" s="6" t="b">
        <v>0</v>
      </c>
      <c r="BA352" s="6" t="b">
        <v>0</v>
      </c>
      <c r="BB352" s="6" t="b">
        <v>0</v>
      </c>
    </row>
    <row r="353" spans="1:54" ht="15" x14ac:dyDescent="0.25">
      <c r="A353" s="3" t="s">
        <v>762</v>
      </c>
      <c r="B353" s="3" t="str">
        <f ca="1">IFERROR(__xludf.DUMMYFUNCTION("SPLIT(A353,""/"")"),"GadgetReactor")</f>
        <v>GadgetReactor</v>
      </c>
      <c r="C353" s="3" t="str">
        <f ca="1">IFERROR(__xludf.DUMMYFUNCTION("""COMPUTED_VALUE"""),"pyHS100")</f>
        <v>pyHS100</v>
      </c>
      <c r="D353" s="4" t="s">
        <v>763</v>
      </c>
      <c r="E353" s="5">
        <v>42558.383159722223</v>
      </c>
      <c r="F353" s="5">
        <v>44283.80846064815</v>
      </c>
      <c r="G353" s="13">
        <f t="shared" si="30"/>
        <v>1725.4253009259264</v>
      </c>
      <c r="H353" s="6" t="b">
        <v>0</v>
      </c>
      <c r="I353" s="6" t="b">
        <v>0</v>
      </c>
      <c r="J353" s="8">
        <v>382</v>
      </c>
      <c r="K353" s="8">
        <v>44</v>
      </c>
      <c r="L353" s="8">
        <v>127</v>
      </c>
      <c r="M353" s="8">
        <v>11</v>
      </c>
      <c r="N353" s="8">
        <v>2</v>
      </c>
      <c r="O353" s="8">
        <v>27</v>
      </c>
      <c r="P353" s="8">
        <v>109</v>
      </c>
      <c r="Q353" s="8">
        <v>0</v>
      </c>
      <c r="R353" s="8">
        <v>93</v>
      </c>
      <c r="S353" s="8">
        <v>0</v>
      </c>
      <c r="T353" s="3" t="s">
        <v>92</v>
      </c>
      <c r="U353" s="10">
        <v>1902</v>
      </c>
      <c r="V353" s="32">
        <v>28</v>
      </c>
      <c r="W353" s="27">
        <v>1.4721345951629864E-2</v>
      </c>
      <c r="X353" s="34">
        <v>23</v>
      </c>
      <c r="Y353" s="27">
        <v>0.8214285714285714</v>
      </c>
      <c r="Z353" s="27">
        <v>1.2092534174553101E-2</v>
      </c>
      <c r="AA353" s="35">
        <v>3</v>
      </c>
      <c r="AB353" s="27">
        <v>0.10714285714285714</v>
      </c>
      <c r="AC353" s="27">
        <f t="shared" si="31"/>
        <v>1.5772870662460567E-3</v>
      </c>
      <c r="AD353" s="36">
        <v>1</v>
      </c>
      <c r="AE353" s="27">
        <v>3.5714285714285712E-2</v>
      </c>
      <c r="AF353" s="27">
        <f t="shared" si="32"/>
        <v>5.2576235541535224E-4</v>
      </c>
      <c r="AG353" s="37">
        <v>1</v>
      </c>
      <c r="AH353" s="27">
        <v>3.5714285714285712E-2</v>
      </c>
      <c r="AI353" s="27">
        <f t="shared" si="33"/>
        <v>5.2576235541535224E-4</v>
      </c>
      <c r="AJ353" s="38">
        <v>0</v>
      </c>
      <c r="AK353" s="27">
        <v>0</v>
      </c>
      <c r="AL353" s="27">
        <f t="shared" si="34"/>
        <v>0</v>
      </c>
      <c r="AM353" s="40">
        <v>0</v>
      </c>
      <c r="AN353" s="27">
        <v>0</v>
      </c>
      <c r="AO353" s="27">
        <f t="shared" si="35"/>
        <v>0</v>
      </c>
      <c r="AP353" s="7" t="b">
        <v>1</v>
      </c>
      <c r="AQ353" s="6" t="b">
        <v>0</v>
      </c>
      <c r="AR353" s="6" t="b">
        <v>0</v>
      </c>
      <c r="AS353" s="6" t="b">
        <v>0</v>
      </c>
      <c r="AT353" s="7" t="b">
        <v>1</v>
      </c>
      <c r="AU353" s="6" t="b">
        <v>0</v>
      </c>
      <c r="AV353" s="6" t="b">
        <v>0</v>
      </c>
      <c r="AW353" s="6" t="b">
        <v>0</v>
      </c>
      <c r="AX353" s="6" t="b">
        <v>0</v>
      </c>
      <c r="AY353" s="6" t="b">
        <v>0</v>
      </c>
      <c r="AZ353" s="6" t="b">
        <v>0</v>
      </c>
      <c r="BA353" s="6" t="b">
        <v>0</v>
      </c>
      <c r="BB353" s="6" t="b">
        <v>0</v>
      </c>
    </row>
    <row r="354" spans="1:54" ht="15" x14ac:dyDescent="0.25">
      <c r="A354" s="3" t="s">
        <v>764</v>
      </c>
      <c r="B354" s="3" t="str">
        <f ca="1">IFERROR(__xludf.DUMMYFUNCTION("SPLIT(A354,""/"")"),"galaxyproject")</f>
        <v>galaxyproject</v>
      </c>
      <c r="C354" s="3" t="str">
        <f ca="1">IFERROR(__xludf.DUMMYFUNCTION("""COMPUTED_VALUE"""),"galaxy")</f>
        <v>galaxy</v>
      </c>
      <c r="D354" s="4" t="s">
        <v>765</v>
      </c>
      <c r="E354" s="5">
        <v>42058.595902777779</v>
      </c>
      <c r="F354" s="5">
        <v>44295.058182870373</v>
      </c>
      <c r="G354" s="13">
        <f t="shared" si="30"/>
        <v>2236.4622800925936</v>
      </c>
      <c r="H354" s="6" t="b">
        <v>0</v>
      </c>
      <c r="I354" s="7" t="b">
        <v>1</v>
      </c>
      <c r="J354" s="8">
        <v>817</v>
      </c>
      <c r="K354" s="8">
        <v>68</v>
      </c>
      <c r="L354" s="8">
        <v>596</v>
      </c>
      <c r="M354" s="8">
        <v>0</v>
      </c>
      <c r="N354" s="8">
        <v>434</v>
      </c>
      <c r="O354" s="8">
        <v>260</v>
      </c>
      <c r="P354" s="8">
        <v>7862</v>
      </c>
      <c r="Q354" s="8">
        <v>147</v>
      </c>
      <c r="R354" s="8">
        <v>3921</v>
      </c>
      <c r="S354" s="8">
        <v>1471</v>
      </c>
      <c r="T354" s="3" t="s">
        <v>92</v>
      </c>
      <c r="U354" s="10">
        <v>209016</v>
      </c>
      <c r="V354" s="32">
        <v>2775</v>
      </c>
      <c r="W354" s="27">
        <v>1.3276495579285796E-2</v>
      </c>
      <c r="X354" s="34">
        <v>881</v>
      </c>
      <c r="Y354" s="27">
        <v>0.31747747747747745</v>
      </c>
      <c r="Z354" s="27">
        <v>4.2149883262525356E-3</v>
      </c>
      <c r="AA354" s="35">
        <v>385</v>
      </c>
      <c r="AB354" s="27">
        <v>0.13873873873873874</v>
      </c>
      <c r="AC354" s="27">
        <f t="shared" si="31"/>
        <v>1.8419642515405518E-3</v>
      </c>
      <c r="AD354" s="36">
        <v>373</v>
      </c>
      <c r="AE354" s="27">
        <v>0.1344144144144144</v>
      </c>
      <c r="AF354" s="27">
        <f t="shared" si="32"/>
        <v>1.784552378765262E-3</v>
      </c>
      <c r="AG354" s="37">
        <v>851</v>
      </c>
      <c r="AH354" s="27">
        <v>0.30666666666666664</v>
      </c>
      <c r="AI354" s="27">
        <f t="shared" si="33"/>
        <v>4.0714586443143111E-3</v>
      </c>
      <c r="AJ354" s="38">
        <v>8</v>
      </c>
      <c r="AK354" s="27">
        <v>2.8828828828828829E-3</v>
      </c>
      <c r="AL354" s="27">
        <f t="shared" si="34"/>
        <v>3.8274581850193284E-5</v>
      </c>
      <c r="AM354" s="40">
        <v>256</v>
      </c>
      <c r="AN354" s="27">
        <v>9.2252252252252254E-2</v>
      </c>
      <c r="AO354" s="27">
        <f t="shared" si="35"/>
        <v>1.2247866192061851E-3</v>
      </c>
      <c r="AP354" s="7" t="b">
        <v>1</v>
      </c>
      <c r="AQ354" s="6" t="b">
        <v>0</v>
      </c>
      <c r="AR354" s="6" t="b">
        <v>0</v>
      </c>
      <c r="AS354" s="6" t="b">
        <v>0</v>
      </c>
      <c r="AT354" s="7" t="b">
        <v>1</v>
      </c>
      <c r="AU354" s="6" t="b">
        <v>0</v>
      </c>
      <c r="AV354" s="6" t="b">
        <v>0</v>
      </c>
      <c r="AW354" s="6" t="b">
        <v>0</v>
      </c>
      <c r="AX354" s="6" t="b">
        <v>0</v>
      </c>
      <c r="AY354" s="6" t="b">
        <v>0</v>
      </c>
      <c r="AZ354" s="6" t="b">
        <v>0</v>
      </c>
      <c r="BA354" s="6" t="b">
        <v>0</v>
      </c>
      <c r="BB354" s="6" t="b">
        <v>0</v>
      </c>
    </row>
    <row r="355" spans="1:54" ht="15" x14ac:dyDescent="0.25">
      <c r="A355" s="3" t="s">
        <v>766</v>
      </c>
      <c r="B355" s="3" t="str">
        <f ca="1">IFERROR(__xludf.DUMMYFUNCTION("SPLIT(A355,""/"")"),"Gallopsled")</f>
        <v>Gallopsled</v>
      </c>
      <c r="C355" s="3" t="str">
        <f ca="1">IFERROR(__xludf.DUMMYFUNCTION("""COMPUTED_VALUE"""),"pwntools")</f>
        <v>pwntools</v>
      </c>
      <c r="D355" s="4" t="s">
        <v>767</v>
      </c>
      <c r="E355" s="5">
        <v>41393.613229166665</v>
      </c>
      <c r="F355" s="5">
        <v>44295.134745370371</v>
      </c>
      <c r="G355" s="13">
        <f t="shared" si="30"/>
        <v>2901.5215162037057</v>
      </c>
      <c r="H355" s="6" t="b">
        <v>0</v>
      </c>
      <c r="I355" s="7" t="b">
        <v>1</v>
      </c>
      <c r="J355" s="8">
        <v>7734</v>
      </c>
      <c r="K355" s="8">
        <v>290</v>
      </c>
      <c r="L355" s="8">
        <v>1242</v>
      </c>
      <c r="M355" s="8">
        <v>49</v>
      </c>
      <c r="N355" s="8">
        <v>28</v>
      </c>
      <c r="O355" s="8">
        <v>151</v>
      </c>
      <c r="P355" s="8">
        <v>1081</v>
      </c>
      <c r="Q355" s="8">
        <v>30</v>
      </c>
      <c r="R355" s="8">
        <v>773</v>
      </c>
      <c r="S355" s="8">
        <v>90</v>
      </c>
      <c r="T355" s="3" t="s">
        <v>92</v>
      </c>
      <c r="U355" s="10">
        <v>38515</v>
      </c>
      <c r="V355" s="32">
        <v>342</v>
      </c>
      <c r="W355" s="27">
        <v>8.8796572763858231E-3</v>
      </c>
      <c r="X355" s="34">
        <v>54</v>
      </c>
      <c r="Y355" s="27">
        <v>0.15789473684210525</v>
      </c>
      <c r="Z355" s="27">
        <v>1.4020511489030248E-3</v>
      </c>
      <c r="AA355" s="35">
        <v>49</v>
      </c>
      <c r="AB355" s="27">
        <v>0.14327485380116958</v>
      </c>
      <c r="AC355" s="27">
        <f t="shared" si="31"/>
        <v>1.2722315980786705E-3</v>
      </c>
      <c r="AD355" s="36">
        <v>33</v>
      </c>
      <c r="AE355" s="27">
        <v>9.6491228070175433E-2</v>
      </c>
      <c r="AF355" s="27">
        <f t="shared" si="32"/>
        <v>8.5680903544073741E-4</v>
      </c>
      <c r="AG355" s="37">
        <v>200</v>
      </c>
      <c r="AH355" s="27">
        <v>0.58479532163742687</v>
      </c>
      <c r="AI355" s="27">
        <f t="shared" si="33"/>
        <v>5.1927820329741659E-3</v>
      </c>
      <c r="AJ355" s="38">
        <v>5</v>
      </c>
      <c r="AK355" s="27">
        <v>1.4619883040935672E-2</v>
      </c>
      <c r="AL355" s="27">
        <f t="shared" si="34"/>
        <v>1.2981955082435416E-4</v>
      </c>
      <c r="AM355" s="40">
        <v>1</v>
      </c>
      <c r="AN355" s="27">
        <v>2.9239766081871343E-3</v>
      </c>
      <c r="AO355" s="27">
        <f t="shared" si="35"/>
        <v>2.5963910164870831E-5</v>
      </c>
      <c r="AP355" s="7" t="b">
        <v>1</v>
      </c>
      <c r="AQ355" s="6" t="b">
        <v>0</v>
      </c>
      <c r="AR355" s="6" t="b">
        <v>0</v>
      </c>
      <c r="AS355" s="6" t="b">
        <v>0</v>
      </c>
      <c r="AT355" s="7" t="b">
        <v>1</v>
      </c>
      <c r="AU355" s="6" t="b">
        <v>0</v>
      </c>
      <c r="AV355" s="6" t="b">
        <v>0</v>
      </c>
      <c r="AW355" s="6" t="b">
        <v>0</v>
      </c>
      <c r="AX355" s="6" t="b">
        <v>0</v>
      </c>
      <c r="AY355" s="6" t="b">
        <v>0</v>
      </c>
      <c r="AZ355" s="6" t="b">
        <v>0</v>
      </c>
      <c r="BA355" s="6" t="b">
        <v>0</v>
      </c>
      <c r="BB355" s="6" t="b">
        <v>0</v>
      </c>
    </row>
    <row r="356" spans="1:54" ht="15" x14ac:dyDescent="0.25">
      <c r="A356" s="3" t="s">
        <v>768</v>
      </c>
      <c r="B356" s="3" t="str">
        <f ca="1">IFERROR(__xludf.DUMMYFUNCTION("SPLIT(A356,""/"")"),"gamechanger")</f>
        <v>gamechanger</v>
      </c>
      <c r="C356" s="3" t="str">
        <f ca="1">IFERROR(__xludf.DUMMYFUNCTION("""COMPUTED_VALUE"""),"dusty")</f>
        <v>dusty</v>
      </c>
      <c r="D356" s="4" t="s">
        <v>769</v>
      </c>
      <c r="E356" s="5">
        <v>42135.602731481478</v>
      </c>
      <c r="F356" s="5">
        <v>44083.592986111114</v>
      </c>
      <c r="G356" s="13">
        <f t="shared" si="30"/>
        <v>1947.9902546296362</v>
      </c>
      <c r="H356" s="6" t="b">
        <v>0</v>
      </c>
      <c r="I356" s="7" t="b">
        <v>1</v>
      </c>
      <c r="J356" s="8">
        <v>379</v>
      </c>
      <c r="K356" s="8">
        <v>52</v>
      </c>
      <c r="L356" s="8">
        <v>10</v>
      </c>
      <c r="M356" s="8">
        <v>58</v>
      </c>
      <c r="N356" s="8">
        <v>12</v>
      </c>
      <c r="O356" s="8">
        <v>14</v>
      </c>
      <c r="P356" s="8">
        <v>583</v>
      </c>
      <c r="Q356" s="8">
        <v>2</v>
      </c>
      <c r="R356" s="8">
        <v>114</v>
      </c>
      <c r="S356" s="8">
        <v>23</v>
      </c>
      <c r="T356" s="3" t="s">
        <v>72</v>
      </c>
      <c r="U356" s="10">
        <v>7781</v>
      </c>
      <c r="V356" s="32">
        <v>55</v>
      </c>
      <c r="W356" s="27">
        <v>7.0685001927772778E-3</v>
      </c>
      <c r="X356" s="34">
        <v>5</v>
      </c>
      <c r="Y356" s="27">
        <v>9.0909090909090912E-2</v>
      </c>
      <c r="Z356" s="27">
        <v>6.4259092661611615E-4</v>
      </c>
      <c r="AA356" s="35">
        <v>34</v>
      </c>
      <c r="AB356" s="27">
        <v>0.61818181818181817</v>
      </c>
      <c r="AC356" s="27">
        <f t="shared" si="31"/>
        <v>4.3696183009895896E-3</v>
      </c>
      <c r="AD356" s="36">
        <v>11</v>
      </c>
      <c r="AE356" s="27">
        <v>0.2</v>
      </c>
      <c r="AF356" s="27">
        <f t="shared" si="32"/>
        <v>1.4137000385554556E-3</v>
      </c>
      <c r="AG356" s="37">
        <v>5</v>
      </c>
      <c r="AH356" s="27">
        <v>9.0909090909090912E-2</v>
      </c>
      <c r="AI356" s="27">
        <f t="shared" si="33"/>
        <v>6.4259092661611615E-4</v>
      </c>
      <c r="AJ356" s="38">
        <v>0</v>
      </c>
      <c r="AK356" s="27">
        <v>0</v>
      </c>
      <c r="AL356" s="27">
        <f t="shared" si="34"/>
        <v>0</v>
      </c>
      <c r="AM356" s="40">
        <v>0</v>
      </c>
      <c r="AN356" s="27">
        <v>0</v>
      </c>
      <c r="AO356" s="27">
        <f t="shared" si="35"/>
        <v>0</v>
      </c>
      <c r="AP356" s="6" t="b">
        <v>0</v>
      </c>
      <c r="AQ356" s="7" t="b">
        <v>1</v>
      </c>
      <c r="AR356" s="6" t="b">
        <v>0</v>
      </c>
      <c r="AS356" s="6" t="b">
        <v>0</v>
      </c>
      <c r="AT356" s="7" t="b">
        <v>1</v>
      </c>
      <c r="AU356" s="6" t="b">
        <v>0</v>
      </c>
      <c r="AV356" s="6" t="b">
        <v>0</v>
      </c>
      <c r="AW356" s="6" t="b">
        <v>0</v>
      </c>
      <c r="AX356" s="6" t="b">
        <v>0</v>
      </c>
      <c r="AY356" s="6" t="b">
        <v>0</v>
      </c>
      <c r="AZ356" s="6" t="b">
        <v>0</v>
      </c>
      <c r="BA356" s="6" t="b">
        <v>0</v>
      </c>
      <c r="BB356" s="6" t="b">
        <v>0</v>
      </c>
    </row>
    <row r="357" spans="1:54" ht="15" x14ac:dyDescent="0.25">
      <c r="A357" s="3" t="s">
        <v>770</v>
      </c>
      <c r="B357" s="3" t="str">
        <f ca="1">IFERROR(__xludf.DUMMYFUNCTION("SPLIT(A357,""/"")"),"gamenet")</f>
        <v>gamenet</v>
      </c>
      <c r="C357" s="3" t="str">
        <f ca="1">IFERROR(__xludf.DUMMYFUNCTION("""COMPUTED_VALUE"""),"redis-memory-analyzer")</f>
        <v>redis-memory-analyzer</v>
      </c>
      <c r="D357" s="4" t="s">
        <v>771</v>
      </c>
      <c r="E357" s="5">
        <v>42395.48060185185</v>
      </c>
      <c r="F357" s="5">
        <v>44292.188391203701</v>
      </c>
      <c r="G357" s="13">
        <f t="shared" si="30"/>
        <v>1896.7077893518508</v>
      </c>
      <c r="H357" s="6" t="b">
        <v>0</v>
      </c>
      <c r="I357" s="7" t="b">
        <v>1</v>
      </c>
      <c r="J357" s="8">
        <v>600</v>
      </c>
      <c r="K357" s="8">
        <v>16</v>
      </c>
      <c r="L357" s="8">
        <v>58</v>
      </c>
      <c r="M357" s="8">
        <v>2</v>
      </c>
      <c r="N357" s="8">
        <v>0</v>
      </c>
      <c r="O357" s="8">
        <v>12</v>
      </c>
      <c r="P357" s="8">
        <v>18</v>
      </c>
      <c r="Q357" s="8">
        <v>3</v>
      </c>
      <c r="R357" s="8">
        <v>40</v>
      </c>
      <c r="S357" s="8">
        <v>15</v>
      </c>
      <c r="T357" s="3" t="s">
        <v>72</v>
      </c>
      <c r="U357" s="10">
        <v>1113</v>
      </c>
      <c r="V357" s="32">
        <v>7</v>
      </c>
      <c r="W357" s="27">
        <v>6.2893081761006293E-3</v>
      </c>
      <c r="X357" s="34">
        <v>3</v>
      </c>
      <c r="Y357" s="27">
        <v>0.42857142857142855</v>
      </c>
      <c r="Z357" s="27">
        <v>2.6954177897574125E-3</v>
      </c>
      <c r="AA357" s="35">
        <v>1</v>
      </c>
      <c r="AB357" s="27">
        <v>0.14285714285714285</v>
      </c>
      <c r="AC357" s="27">
        <f t="shared" si="31"/>
        <v>8.9847259658580418E-4</v>
      </c>
      <c r="AD357" s="36">
        <v>3</v>
      </c>
      <c r="AE357" s="27">
        <v>0.42857142857142855</v>
      </c>
      <c r="AF357" s="27">
        <f t="shared" si="32"/>
        <v>2.6954177897574125E-3</v>
      </c>
      <c r="AG357" s="37">
        <v>0</v>
      </c>
      <c r="AH357" s="27">
        <v>0</v>
      </c>
      <c r="AI357" s="27">
        <f t="shared" si="33"/>
        <v>0</v>
      </c>
      <c r="AJ357" s="38">
        <v>0</v>
      </c>
      <c r="AK357" s="27">
        <v>0</v>
      </c>
      <c r="AL357" s="27">
        <f t="shared" si="34"/>
        <v>0</v>
      </c>
      <c r="AM357" s="40">
        <v>0</v>
      </c>
      <c r="AN357" s="27">
        <v>0</v>
      </c>
      <c r="AO357" s="27">
        <f t="shared" si="35"/>
        <v>0</v>
      </c>
      <c r="AP357" s="7" t="b">
        <v>1</v>
      </c>
      <c r="AQ357" s="6" t="b">
        <v>0</v>
      </c>
      <c r="AR357" s="6" t="b">
        <v>0</v>
      </c>
      <c r="AS357" s="6" t="b">
        <v>0</v>
      </c>
      <c r="AT357" s="7" t="b">
        <v>1</v>
      </c>
      <c r="AU357" s="6" t="b">
        <v>0</v>
      </c>
      <c r="AV357" s="6" t="b">
        <v>0</v>
      </c>
      <c r="AW357" s="6" t="b">
        <v>0</v>
      </c>
      <c r="AX357" s="6" t="b">
        <v>0</v>
      </c>
      <c r="AY357" s="6" t="b">
        <v>0</v>
      </c>
      <c r="AZ357" s="6" t="b">
        <v>0</v>
      </c>
      <c r="BA357" s="6" t="b">
        <v>0</v>
      </c>
      <c r="BB357" s="6" t="b">
        <v>0</v>
      </c>
    </row>
    <row r="358" spans="1:54" ht="15" x14ac:dyDescent="0.25">
      <c r="A358" s="3" t="s">
        <v>772</v>
      </c>
      <c r="B358" s="3" t="str">
        <f ca="1">IFERROR(__xludf.DUMMYFUNCTION("SPLIT(A358,""/"")"),"gautamajay52")</f>
        <v>gautamajay52</v>
      </c>
      <c r="C358" s="3" t="str">
        <f ca="1">IFERROR(__xludf.DUMMYFUNCTION("""COMPUTED_VALUE"""),"TorrentLeech-Gdrive")</f>
        <v>TorrentLeech-Gdrive</v>
      </c>
      <c r="D358" s="4" t="s">
        <v>773</v>
      </c>
      <c r="E358" s="5">
        <v>44000.253692129627</v>
      </c>
      <c r="F358" s="5">
        <v>44294.521597222221</v>
      </c>
      <c r="G358" s="13">
        <f t="shared" si="30"/>
        <v>294.26790509259445</v>
      </c>
      <c r="H358" s="6" t="b">
        <v>0</v>
      </c>
      <c r="I358" s="6" t="b">
        <v>0</v>
      </c>
      <c r="J358" s="8">
        <v>370</v>
      </c>
      <c r="K358" s="8">
        <v>29</v>
      </c>
      <c r="L358" s="8">
        <v>846</v>
      </c>
      <c r="M358" s="8">
        <v>0</v>
      </c>
      <c r="N358" s="8">
        <v>4</v>
      </c>
      <c r="O358" s="8">
        <v>7</v>
      </c>
      <c r="P358" s="8">
        <v>142</v>
      </c>
      <c r="Q358" s="8">
        <v>0</v>
      </c>
      <c r="R358" s="8">
        <v>90</v>
      </c>
      <c r="S358" s="8">
        <v>14</v>
      </c>
      <c r="T358" s="3" t="s">
        <v>366</v>
      </c>
      <c r="U358" s="10">
        <v>2084</v>
      </c>
      <c r="V358" s="32">
        <v>171</v>
      </c>
      <c r="W358" s="27">
        <v>8.2053742802303264E-2</v>
      </c>
      <c r="X358" s="34">
        <v>0</v>
      </c>
      <c r="Y358" s="27">
        <v>0</v>
      </c>
      <c r="Z358" s="27">
        <v>0</v>
      </c>
      <c r="AA358" s="35">
        <v>152</v>
      </c>
      <c r="AB358" s="27">
        <v>0.88888888888888884</v>
      </c>
      <c r="AC358" s="27">
        <f t="shared" si="31"/>
        <v>7.293666026871401E-2</v>
      </c>
      <c r="AD358" s="36">
        <v>7</v>
      </c>
      <c r="AE358" s="27">
        <v>4.0935672514619881E-2</v>
      </c>
      <c r="AF358" s="27">
        <f t="shared" si="32"/>
        <v>3.3589251439539347E-3</v>
      </c>
      <c r="AG358" s="37">
        <v>2</v>
      </c>
      <c r="AH358" s="27">
        <v>1.1695906432748537E-2</v>
      </c>
      <c r="AI358" s="27">
        <f t="shared" si="33"/>
        <v>9.5969289827255275E-4</v>
      </c>
      <c r="AJ358" s="38">
        <v>1</v>
      </c>
      <c r="AK358" s="27">
        <v>5.8479532163742687E-3</v>
      </c>
      <c r="AL358" s="27">
        <f t="shared" si="34"/>
        <v>4.7984644913627637E-4</v>
      </c>
      <c r="AM358" s="40">
        <v>0</v>
      </c>
      <c r="AN358" s="27">
        <v>0</v>
      </c>
      <c r="AO358" s="27">
        <f t="shared" si="35"/>
        <v>0</v>
      </c>
      <c r="AP358" s="7" t="b">
        <v>1</v>
      </c>
      <c r="AQ358" s="6" t="b">
        <v>0</v>
      </c>
      <c r="AR358" s="6" t="b">
        <v>0</v>
      </c>
      <c r="AS358" s="6" t="b">
        <v>0</v>
      </c>
      <c r="AT358" s="7" t="b">
        <v>1</v>
      </c>
      <c r="AU358" s="6" t="b">
        <v>0</v>
      </c>
      <c r="AV358" s="6" t="b">
        <v>0</v>
      </c>
      <c r="AW358" s="6" t="b">
        <v>0</v>
      </c>
      <c r="AX358" s="6" t="b">
        <v>0</v>
      </c>
      <c r="AY358" s="6" t="b">
        <v>0</v>
      </c>
      <c r="AZ358" s="6" t="b">
        <v>0</v>
      </c>
      <c r="BA358" s="6" t="b">
        <v>0</v>
      </c>
      <c r="BB358" s="6" t="b">
        <v>0</v>
      </c>
    </row>
    <row r="359" spans="1:54" ht="15" x14ac:dyDescent="0.25">
      <c r="A359" s="3" t="s">
        <v>774</v>
      </c>
      <c r="B359" s="3" t="str">
        <f ca="1">IFERROR(__xludf.DUMMYFUNCTION("SPLIT(A359,""/"")"),"gbeced")</f>
        <v>gbeced</v>
      </c>
      <c r="C359" s="3" t="str">
        <f ca="1">IFERROR(__xludf.DUMMYFUNCTION("""COMPUTED_VALUE"""),"pyalgotrade")</f>
        <v>pyalgotrade</v>
      </c>
      <c r="D359" s="4" t="s">
        <v>775</v>
      </c>
      <c r="E359" s="5">
        <v>40975.048541666663</v>
      </c>
      <c r="F359" s="5">
        <v>44294.433865740742</v>
      </c>
      <c r="G359" s="13">
        <f t="shared" si="30"/>
        <v>3319.3853240740791</v>
      </c>
      <c r="H359" s="6" t="b">
        <v>0</v>
      </c>
      <c r="I359" s="6" t="b">
        <v>0</v>
      </c>
      <c r="J359" s="8">
        <v>3266</v>
      </c>
      <c r="K359" s="8">
        <v>350</v>
      </c>
      <c r="L359" s="8">
        <v>1140</v>
      </c>
      <c r="M359" s="8">
        <v>0</v>
      </c>
      <c r="N359" s="8">
        <v>4</v>
      </c>
      <c r="O359" s="8">
        <v>8</v>
      </c>
      <c r="P359" s="8">
        <v>47</v>
      </c>
      <c r="Q359" s="8">
        <v>11</v>
      </c>
      <c r="R359" s="8">
        <v>115</v>
      </c>
      <c r="S359" s="8">
        <v>34</v>
      </c>
      <c r="T359" s="3" t="s">
        <v>92</v>
      </c>
      <c r="U359" s="10">
        <v>17397</v>
      </c>
      <c r="V359" s="32">
        <v>122</v>
      </c>
      <c r="W359" s="27">
        <v>7.0127033396562627E-3</v>
      </c>
      <c r="X359" s="34">
        <v>4</v>
      </c>
      <c r="Y359" s="27">
        <v>3.2786885245901641E-2</v>
      </c>
      <c r="Z359" s="27">
        <v>2.2992469966086107E-4</v>
      </c>
      <c r="AA359" s="35">
        <v>82</v>
      </c>
      <c r="AB359" s="27">
        <v>0.67213114754098358</v>
      </c>
      <c r="AC359" s="27">
        <f t="shared" si="31"/>
        <v>4.7134563430476515E-3</v>
      </c>
      <c r="AD359" s="36">
        <v>7</v>
      </c>
      <c r="AE359" s="27">
        <v>5.737704918032787E-2</v>
      </c>
      <c r="AF359" s="27">
        <f t="shared" si="32"/>
        <v>4.0236822440650689E-4</v>
      </c>
      <c r="AG359" s="37">
        <v>25</v>
      </c>
      <c r="AH359" s="27">
        <v>0.20491803278688525</v>
      </c>
      <c r="AI359" s="27">
        <f t="shared" si="33"/>
        <v>1.4370293728803818E-3</v>
      </c>
      <c r="AJ359" s="38">
        <v>4</v>
      </c>
      <c r="AK359" s="27">
        <v>3.2786885245901641E-2</v>
      </c>
      <c r="AL359" s="27">
        <f t="shared" si="34"/>
        <v>2.2992469966086107E-4</v>
      </c>
      <c r="AM359" s="40">
        <v>0</v>
      </c>
      <c r="AN359" s="27">
        <v>0</v>
      </c>
      <c r="AO359" s="27">
        <f t="shared" si="35"/>
        <v>0</v>
      </c>
      <c r="AP359" s="7" t="b">
        <v>1</v>
      </c>
      <c r="AQ359" s="6" t="b">
        <v>0</v>
      </c>
      <c r="AR359" s="6" t="b">
        <v>0</v>
      </c>
      <c r="AS359" s="6" t="b">
        <v>0</v>
      </c>
      <c r="AT359" s="7" t="b">
        <v>1</v>
      </c>
      <c r="AU359" s="6" t="b">
        <v>0</v>
      </c>
      <c r="AV359" s="6" t="b">
        <v>0</v>
      </c>
      <c r="AW359" s="6" t="b">
        <v>0</v>
      </c>
      <c r="AX359" s="6" t="b">
        <v>0</v>
      </c>
      <c r="AY359" s="6" t="b">
        <v>0</v>
      </c>
      <c r="AZ359" s="6" t="b">
        <v>0</v>
      </c>
      <c r="BA359" s="6" t="b">
        <v>0</v>
      </c>
      <c r="BB359" s="6" t="b">
        <v>0</v>
      </c>
    </row>
    <row r="360" spans="1:54" ht="15" x14ac:dyDescent="0.25">
      <c r="A360" s="3" t="s">
        <v>776</v>
      </c>
      <c r="B360" s="3" t="str">
        <f ca="1">IFERROR(__xludf.DUMMYFUNCTION("SPLIT(A360,""/"")"),"gboeing")</f>
        <v>gboeing</v>
      </c>
      <c r="C360" s="3" t="str">
        <f ca="1">IFERROR(__xludf.DUMMYFUNCTION("""COMPUTED_VALUE"""),"osmnx")</f>
        <v>osmnx</v>
      </c>
      <c r="D360" s="4" t="s">
        <v>777</v>
      </c>
      <c r="E360" s="5">
        <v>42575.123460648145</v>
      </c>
      <c r="F360" s="5">
        <v>44294.539259259262</v>
      </c>
      <c r="G360" s="13">
        <f t="shared" si="30"/>
        <v>1719.4157986111168</v>
      </c>
      <c r="H360" s="6" t="b">
        <v>0</v>
      </c>
      <c r="I360" s="6" t="b">
        <v>0</v>
      </c>
      <c r="J360" s="8">
        <v>2915</v>
      </c>
      <c r="K360" s="8">
        <v>111</v>
      </c>
      <c r="L360" s="8">
        <v>475</v>
      </c>
      <c r="M360" s="8">
        <v>0</v>
      </c>
      <c r="N360" s="8">
        <v>20</v>
      </c>
      <c r="O360" s="8">
        <v>52</v>
      </c>
      <c r="P360" s="8">
        <v>260</v>
      </c>
      <c r="Q360" s="8">
        <v>2</v>
      </c>
      <c r="R360" s="8">
        <v>432</v>
      </c>
      <c r="S360" s="8">
        <v>3</v>
      </c>
      <c r="T360" s="3" t="s">
        <v>72</v>
      </c>
      <c r="U360" s="10">
        <v>3233</v>
      </c>
      <c r="V360" s="32">
        <v>121</v>
      </c>
      <c r="W360" s="27">
        <v>3.7426538818434892E-2</v>
      </c>
      <c r="X360" s="34">
        <v>2</v>
      </c>
      <c r="Y360" s="27">
        <v>1.6528925619834711E-2</v>
      </c>
      <c r="Z360" s="27">
        <v>6.1862047633776682E-4</v>
      </c>
      <c r="AA360" s="35">
        <v>2</v>
      </c>
      <c r="AB360" s="27">
        <v>1.6528925619834711E-2</v>
      </c>
      <c r="AC360" s="27">
        <f t="shared" si="31"/>
        <v>6.1862047633776682E-4</v>
      </c>
      <c r="AD360" s="36">
        <v>24</v>
      </c>
      <c r="AE360" s="27">
        <v>0.19834710743801653</v>
      </c>
      <c r="AF360" s="27">
        <f t="shared" si="32"/>
        <v>7.423445716053201E-3</v>
      </c>
      <c r="AG360" s="37">
        <v>7</v>
      </c>
      <c r="AH360" s="27">
        <v>5.7851239669421489E-2</v>
      </c>
      <c r="AI360" s="27">
        <f t="shared" si="33"/>
        <v>2.1651716671821837E-3</v>
      </c>
      <c r="AJ360" s="38">
        <v>0</v>
      </c>
      <c r="AK360" s="27">
        <v>0</v>
      </c>
      <c r="AL360" s="27">
        <f t="shared" si="34"/>
        <v>0</v>
      </c>
      <c r="AM360" s="40">
        <v>85</v>
      </c>
      <c r="AN360" s="27">
        <v>0.7024793388429752</v>
      </c>
      <c r="AO360" s="27">
        <f t="shared" si="35"/>
        <v>2.629137024435509E-2</v>
      </c>
      <c r="AP360" s="7" t="b">
        <v>1</v>
      </c>
      <c r="AQ360" s="6" t="b">
        <v>0</v>
      </c>
      <c r="AR360" s="6" t="b">
        <v>0</v>
      </c>
      <c r="AS360" s="6" t="b">
        <v>0</v>
      </c>
      <c r="AT360" s="7" t="b">
        <v>1</v>
      </c>
      <c r="AU360" s="6" t="b">
        <v>0</v>
      </c>
      <c r="AV360" s="6" t="b">
        <v>0</v>
      </c>
      <c r="AW360" s="6" t="b">
        <v>0</v>
      </c>
      <c r="AX360" s="6" t="b">
        <v>0</v>
      </c>
      <c r="AY360" s="6" t="b">
        <v>0</v>
      </c>
      <c r="AZ360" s="6" t="b">
        <v>0</v>
      </c>
      <c r="BA360" s="6" t="b">
        <v>0</v>
      </c>
      <c r="BB360" s="6" t="b">
        <v>0</v>
      </c>
    </row>
    <row r="361" spans="1:54" ht="15" x14ac:dyDescent="0.25">
      <c r="A361" s="3" t="s">
        <v>778</v>
      </c>
      <c r="B361" s="3" t="str">
        <f ca="1">IFERROR(__xludf.DUMMYFUNCTION("SPLIT(A361,""/"")"),"Gerapy")</f>
        <v>Gerapy</v>
      </c>
      <c r="C361" s="3" t="str">
        <f ca="1">IFERROR(__xludf.DUMMYFUNCTION("""COMPUTED_VALUE"""),"Gerapy")</f>
        <v>Gerapy</v>
      </c>
      <c r="D361" s="4" t="s">
        <v>779</v>
      </c>
      <c r="E361" s="5">
        <v>42916.165590277778</v>
      </c>
      <c r="F361" s="5">
        <v>44294.338437500002</v>
      </c>
      <c r="G361" s="13">
        <f t="shared" si="30"/>
        <v>1378.1728472222239</v>
      </c>
      <c r="H361" s="6" t="b">
        <v>0</v>
      </c>
      <c r="I361" s="7" t="b">
        <v>1</v>
      </c>
      <c r="J361" s="8">
        <v>2379</v>
      </c>
      <c r="K361" s="8">
        <v>118</v>
      </c>
      <c r="L361" s="8">
        <v>506</v>
      </c>
      <c r="M361" s="8">
        <v>10</v>
      </c>
      <c r="N361" s="8">
        <v>11</v>
      </c>
      <c r="O361" s="8">
        <v>7</v>
      </c>
      <c r="P361" s="8">
        <v>29</v>
      </c>
      <c r="Q361" s="8">
        <v>1</v>
      </c>
      <c r="R361" s="8">
        <v>161</v>
      </c>
      <c r="S361" s="8">
        <v>47</v>
      </c>
      <c r="T361" s="3" t="s">
        <v>72</v>
      </c>
      <c r="U361" s="10">
        <v>2243</v>
      </c>
      <c r="V361" s="32">
        <v>26</v>
      </c>
      <c r="W361" s="27">
        <v>1.15916183682568E-2</v>
      </c>
      <c r="X361" s="34">
        <v>18</v>
      </c>
      <c r="Y361" s="27">
        <v>0.69230769230769229</v>
      </c>
      <c r="Z361" s="27">
        <v>8.024966562639322E-3</v>
      </c>
      <c r="AA361" s="35">
        <v>5</v>
      </c>
      <c r="AB361" s="27">
        <v>0.19230769230769232</v>
      </c>
      <c r="AC361" s="27">
        <f t="shared" si="31"/>
        <v>2.229157378510923E-3</v>
      </c>
      <c r="AD361" s="36">
        <v>0</v>
      </c>
      <c r="AE361" s="27">
        <v>0</v>
      </c>
      <c r="AF361" s="27">
        <f t="shared" si="32"/>
        <v>0</v>
      </c>
      <c r="AG361" s="37">
        <v>3</v>
      </c>
      <c r="AH361" s="27">
        <v>0.11538461538461539</v>
      </c>
      <c r="AI361" s="27">
        <f t="shared" si="33"/>
        <v>1.3374944271065537E-3</v>
      </c>
      <c r="AJ361" s="38">
        <v>0</v>
      </c>
      <c r="AK361" s="27">
        <v>0</v>
      </c>
      <c r="AL361" s="27">
        <f t="shared" si="34"/>
        <v>0</v>
      </c>
      <c r="AM361" s="40">
        <v>0</v>
      </c>
      <c r="AN361" s="27">
        <v>0</v>
      </c>
      <c r="AO361" s="27">
        <f t="shared" si="35"/>
        <v>0</v>
      </c>
      <c r="AP361" s="7" t="b">
        <v>1</v>
      </c>
      <c r="AQ361" s="6" t="b">
        <v>0</v>
      </c>
      <c r="AR361" s="6" t="b">
        <v>0</v>
      </c>
      <c r="AS361" s="6" t="b">
        <v>0</v>
      </c>
      <c r="AT361" s="7" t="b">
        <v>1</v>
      </c>
      <c r="AU361" s="6" t="b">
        <v>0</v>
      </c>
      <c r="AV361" s="6" t="b">
        <v>0</v>
      </c>
      <c r="AW361" s="6" t="b">
        <v>0</v>
      </c>
      <c r="AX361" s="6" t="b">
        <v>0</v>
      </c>
      <c r="AY361" s="6" t="b">
        <v>0</v>
      </c>
      <c r="AZ361" s="6" t="b">
        <v>0</v>
      </c>
      <c r="BA361" s="6" t="b">
        <v>0</v>
      </c>
      <c r="BB361" s="6" t="b">
        <v>0</v>
      </c>
    </row>
    <row r="362" spans="1:54" ht="15" x14ac:dyDescent="0.25">
      <c r="A362" s="3" t="s">
        <v>780</v>
      </c>
      <c r="B362" s="3" t="str">
        <f ca="1">IFERROR(__xludf.DUMMYFUNCTION("SPLIT(A362,""/"")"),"getredash")</f>
        <v>getredash</v>
      </c>
      <c r="C362" s="3" t="str">
        <f ca="1">IFERROR(__xludf.DUMMYFUNCTION("""COMPUTED_VALUE"""),"redash")</f>
        <v>redash</v>
      </c>
      <c r="D362" s="4" t="s">
        <v>781</v>
      </c>
      <c r="E362" s="5">
        <v>41575.555312500001</v>
      </c>
      <c r="F362" s="5">
        <v>44295.098692129628</v>
      </c>
      <c r="G362" s="13">
        <f t="shared" si="30"/>
        <v>2719.5433796296275</v>
      </c>
      <c r="H362" s="6" t="b">
        <v>0</v>
      </c>
      <c r="I362" s="7" t="b">
        <v>1</v>
      </c>
      <c r="J362" s="8">
        <v>18534</v>
      </c>
      <c r="K362" s="8">
        <v>594</v>
      </c>
      <c r="L362" s="8">
        <v>3030</v>
      </c>
      <c r="M362" s="8">
        <v>95</v>
      </c>
      <c r="N362" s="8">
        <v>165</v>
      </c>
      <c r="O362" s="8">
        <v>348</v>
      </c>
      <c r="P362" s="8">
        <v>3387</v>
      </c>
      <c r="Q362" s="8">
        <v>180</v>
      </c>
      <c r="R362" s="8">
        <v>2073</v>
      </c>
      <c r="S362" s="8">
        <v>432</v>
      </c>
      <c r="T362" s="3" t="s">
        <v>153</v>
      </c>
      <c r="U362" s="10">
        <v>19251</v>
      </c>
      <c r="V362" s="32">
        <v>176</v>
      </c>
      <c r="W362" s="27">
        <v>9.1423822139109663E-3</v>
      </c>
      <c r="X362" s="34">
        <v>53</v>
      </c>
      <c r="Y362" s="27">
        <v>0.30113636363636365</v>
      </c>
      <c r="Z362" s="27">
        <v>2.7531037348709157E-3</v>
      </c>
      <c r="AA362" s="35">
        <v>51</v>
      </c>
      <c r="AB362" s="27">
        <v>0.28977272727272729</v>
      </c>
      <c r="AC362" s="27">
        <f t="shared" si="31"/>
        <v>2.649213027894655E-3</v>
      </c>
      <c r="AD362" s="36">
        <v>16</v>
      </c>
      <c r="AE362" s="27">
        <v>9.0909090909090912E-2</v>
      </c>
      <c r="AF362" s="27">
        <f t="shared" si="32"/>
        <v>8.3112565581008782E-4</v>
      </c>
      <c r="AG362" s="37">
        <v>42</v>
      </c>
      <c r="AH362" s="27">
        <v>0.23863636363636365</v>
      </c>
      <c r="AI362" s="27">
        <f t="shared" si="33"/>
        <v>2.1817048465014805E-3</v>
      </c>
      <c r="AJ362" s="38">
        <v>0</v>
      </c>
      <c r="AK362" s="27">
        <v>0</v>
      </c>
      <c r="AL362" s="27">
        <f t="shared" si="34"/>
        <v>0</v>
      </c>
      <c r="AM362" s="40">
        <v>0</v>
      </c>
      <c r="AN362" s="27">
        <v>0</v>
      </c>
      <c r="AO362" s="27">
        <f t="shared" si="35"/>
        <v>0</v>
      </c>
      <c r="AP362" s="7" t="b">
        <v>1</v>
      </c>
      <c r="AQ362" s="7" t="b">
        <v>1</v>
      </c>
      <c r="AR362" s="6" t="b">
        <v>0</v>
      </c>
      <c r="AS362" s="6" t="b">
        <v>0</v>
      </c>
      <c r="AT362" s="7" t="b">
        <v>1</v>
      </c>
      <c r="AU362" s="6" t="b">
        <v>0</v>
      </c>
      <c r="AV362" s="6" t="b">
        <v>0</v>
      </c>
      <c r="AW362" s="6" t="b">
        <v>0</v>
      </c>
      <c r="AX362" s="6" t="b">
        <v>0</v>
      </c>
      <c r="AY362" s="6" t="b">
        <v>0</v>
      </c>
      <c r="AZ362" s="6" t="b">
        <v>0</v>
      </c>
      <c r="BA362" s="6" t="b">
        <v>0</v>
      </c>
      <c r="BB362" s="6" t="b">
        <v>0</v>
      </c>
    </row>
    <row r="363" spans="1:54" ht="15" x14ac:dyDescent="0.25">
      <c r="A363" s="3" t="s">
        <v>782</v>
      </c>
      <c r="B363" s="3" t="str">
        <f ca="1">IFERROR(__xludf.DUMMYFUNCTION("SPLIT(A363,""/"")"),"getsentry")</f>
        <v>getsentry</v>
      </c>
      <c r="C363" s="3" t="str">
        <f ca="1">IFERROR(__xludf.DUMMYFUNCTION("""COMPUTED_VALUE"""),"freight")</f>
        <v>freight</v>
      </c>
      <c r="D363" s="4" t="s">
        <v>783</v>
      </c>
      <c r="E363" s="5">
        <v>42029.970243055555</v>
      </c>
      <c r="F363" s="5">
        <v>44281.184039351851</v>
      </c>
      <c r="G363" s="13">
        <f t="shared" si="30"/>
        <v>2251.2137962962952</v>
      </c>
      <c r="H363" s="6" t="b">
        <v>0</v>
      </c>
      <c r="I363" s="7" t="b">
        <v>1</v>
      </c>
      <c r="J363" s="8">
        <v>607</v>
      </c>
      <c r="K363" s="8">
        <v>39</v>
      </c>
      <c r="L363" s="8">
        <v>39</v>
      </c>
      <c r="M363" s="8">
        <v>0</v>
      </c>
      <c r="N363" s="8">
        <v>11</v>
      </c>
      <c r="O363" s="8">
        <v>31</v>
      </c>
      <c r="P363" s="8">
        <v>194</v>
      </c>
      <c r="Q363" s="8">
        <v>34</v>
      </c>
      <c r="R363" s="8">
        <v>48</v>
      </c>
      <c r="S363" s="8">
        <v>18</v>
      </c>
      <c r="T363" s="3" t="s">
        <v>69</v>
      </c>
      <c r="U363" s="10">
        <v>4834</v>
      </c>
      <c r="V363" s="32">
        <v>39</v>
      </c>
      <c r="W363" s="27">
        <v>8.0678527099710389E-3</v>
      </c>
      <c r="X363" s="34">
        <v>9</v>
      </c>
      <c r="Y363" s="27">
        <v>0.23076923076923078</v>
      </c>
      <c r="Z363" s="27">
        <v>1.8618121638394704E-3</v>
      </c>
      <c r="AA363" s="35">
        <v>18</v>
      </c>
      <c r="AB363" s="27">
        <v>0.46153846153846156</v>
      </c>
      <c r="AC363" s="27">
        <f t="shared" si="31"/>
        <v>3.7236243276789409E-3</v>
      </c>
      <c r="AD363" s="36">
        <v>3</v>
      </c>
      <c r="AE363" s="27">
        <v>7.6923076923076927E-2</v>
      </c>
      <c r="AF363" s="27">
        <f t="shared" si="32"/>
        <v>6.2060405461315685E-4</v>
      </c>
      <c r="AG363" s="37">
        <v>8</v>
      </c>
      <c r="AH363" s="27">
        <v>0.20512820512820512</v>
      </c>
      <c r="AI363" s="27">
        <f t="shared" si="33"/>
        <v>1.6549441456350847E-3</v>
      </c>
      <c r="AJ363" s="38">
        <v>0</v>
      </c>
      <c r="AK363" s="27">
        <v>0</v>
      </c>
      <c r="AL363" s="27">
        <f t="shared" si="34"/>
        <v>0</v>
      </c>
      <c r="AM363" s="40">
        <v>0</v>
      </c>
      <c r="AN363" s="27">
        <v>0</v>
      </c>
      <c r="AO363" s="27">
        <f t="shared" si="35"/>
        <v>0</v>
      </c>
      <c r="AP363" s="7" t="b">
        <v>1</v>
      </c>
      <c r="AQ363" s="7" t="b">
        <v>1</v>
      </c>
      <c r="AR363" s="6" t="b">
        <v>0</v>
      </c>
      <c r="AS363" s="6" t="b">
        <v>0</v>
      </c>
      <c r="AT363" s="7" t="b">
        <v>1</v>
      </c>
      <c r="AU363" s="6" t="b">
        <v>0</v>
      </c>
      <c r="AV363" s="6" t="b">
        <v>0</v>
      </c>
      <c r="AW363" s="6" t="b">
        <v>0</v>
      </c>
      <c r="AX363" s="6" t="b">
        <v>0</v>
      </c>
      <c r="AY363" s="6" t="b">
        <v>0</v>
      </c>
      <c r="AZ363" s="6" t="b">
        <v>0</v>
      </c>
      <c r="BA363" s="6" t="b">
        <v>0</v>
      </c>
      <c r="BB363" s="6" t="b">
        <v>0</v>
      </c>
    </row>
    <row r="364" spans="1:54" ht="15" x14ac:dyDescent="0.25">
      <c r="A364" s="3" t="s">
        <v>784</v>
      </c>
      <c r="B364" s="3" t="str">
        <f ca="1">IFERROR(__xludf.DUMMYFUNCTION("SPLIT(A364,""/"")"),"getsentry")</f>
        <v>getsentry</v>
      </c>
      <c r="C364" s="3" t="str">
        <f ca="1">IFERROR(__xludf.DUMMYFUNCTION("""COMPUTED_VALUE"""),"sentry")</f>
        <v>sentry</v>
      </c>
      <c r="D364" s="4" t="s">
        <v>785</v>
      </c>
      <c r="E364" s="5">
        <v>40420.921307870369</v>
      </c>
      <c r="F364" s="5">
        <v>44295.130601851852</v>
      </c>
      <c r="G364" s="13">
        <f t="shared" si="30"/>
        <v>3874.2092939814829</v>
      </c>
      <c r="H364" s="6" t="b">
        <v>0</v>
      </c>
      <c r="I364" s="7" t="b">
        <v>1</v>
      </c>
      <c r="J364" s="8">
        <v>27726</v>
      </c>
      <c r="K364" s="8">
        <v>666</v>
      </c>
      <c r="L364" s="8">
        <v>3010</v>
      </c>
      <c r="M364" s="8">
        <v>70</v>
      </c>
      <c r="N364" s="8">
        <v>719</v>
      </c>
      <c r="O364" s="8">
        <v>500</v>
      </c>
      <c r="P364" s="8">
        <v>20457</v>
      </c>
      <c r="Q364" s="8">
        <v>97</v>
      </c>
      <c r="R364" s="8">
        <v>4431</v>
      </c>
      <c r="S364" s="8">
        <v>206</v>
      </c>
      <c r="T364" s="3" t="s">
        <v>92</v>
      </c>
      <c r="U364" s="10">
        <v>180031</v>
      </c>
      <c r="V364" s="32">
        <v>743</v>
      </c>
      <c r="W364" s="27">
        <v>4.1270670051268945E-3</v>
      </c>
      <c r="X364" s="34">
        <v>90</v>
      </c>
      <c r="Y364" s="27">
        <v>0.12113055181695828</v>
      </c>
      <c r="Z364" s="27">
        <v>4.999139037165822E-4</v>
      </c>
      <c r="AA364" s="35">
        <v>320</v>
      </c>
      <c r="AB364" s="27">
        <v>0.4306864064602961</v>
      </c>
      <c r="AC364" s="27">
        <f t="shared" si="31"/>
        <v>1.7774716576589586E-3</v>
      </c>
      <c r="AD364" s="36">
        <v>129</v>
      </c>
      <c r="AE364" s="27">
        <v>0.17362045760430686</v>
      </c>
      <c r="AF364" s="27">
        <f t="shared" si="32"/>
        <v>7.1654326199376776E-4</v>
      </c>
      <c r="AG364" s="37">
        <v>184</v>
      </c>
      <c r="AH364" s="27">
        <v>0.24764468371467024</v>
      </c>
      <c r="AI364" s="27">
        <f t="shared" si="33"/>
        <v>1.0220462031539012E-3</v>
      </c>
      <c r="AJ364" s="38">
        <v>3</v>
      </c>
      <c r="AK364" s="27">
        <v>4.0376850605652759E-3</v>
      </c>
      <c r="AL364" s="27">
        <f t="shared" si="34"/>
        <v>1.6663796790552736E-5</v>
      </c>
      <c r="AM364" s="40">
        <v>9</v>
      </c>
      <c r="AN364" s="27">
        <v>1.2113055181695828E-2</v>
      </c>
      <c r="AO364" s="27">
        <f t="shared" si="35"/>
        <v>4.9991390371658213E-5</v>
      </c>
      <c r="AP364" s="7" t="b">
        <v>1</v>
      </c>
      <c r="AQ364" s="6" t="b">
        <v>0</v>
      </c>
      <c r="AR364" s="6" t="b">
        <v>0</v>
      </c>
      <c r="AS364" s="6" t="b">
        <v>0</v>
      </c>
      <c r="AT364" s="7" t="b">
        <v>1</v>
      </c>
      <c r="AU364" s="6" t="b">
        <v>0</v>
      </c>
      <c r="AV364" s="6" t="b">
        <v>0</v>
      </c>
      <c r="AW364" s="6" t="b">
        <v>0</v>
      </c>
      <c r="AX364" s="6" t="b">
        <v>0</v>
      </c>
      <c r="AY364" s="6" t="b">
        <v>0</v>
      </c>
      <c r="AZ364" s="6" t="b">
        <v>0</v>
      </c>
      <c r="BA364" s="7" t="b">
        <v>1</v>
      </c>
      <c r="BB364" s="6" t="b">
        <v>0</v>
      </c>
    </row>
    <row r="365" spans="1:54" ht="15" x14ac:dyDescent="0.25">
      <c r="A365" s="3" t="s">
        <v>786</v>
      </c>
      <c r="B365" s="3" t="str">
        <f ca="1">IFERROR(__xludf.DUMMYFUNCTION("SPLIT(A365,""/"")"),"getsentry")</f>
        <v>getsentry</v>
      </c>
      <c r="C365" s="3" t="str">
        <f ca="1">IFERROR(__xludf.DUMMYFUNCTION("""COMPUTED_VALUE"""),"sentry-kubernetes")</f>
        <v>sentry-kubernetes</v>
      </c>
      <c r="D365" s="4" t="s">
        <v>787</v>
      </c>
      <c r="E365" s="5">
        <v>43045.761006944442</v>
      </c>
      <c r="F365" s="5">
        <v>44295.173518518517</v>
      </c>
      <c r="G365" s="13">
        <f t="shared" si="30"/>
        <v>1249.4125115740753</v>
      </c>
      <c r="H365" s="6" t="b">
        <v>0</v>
      </c>
      <c r="I365" s="7" t="b">
        <v>1</v>
      </c>
      <c r="J365" s="8">
        <v>351</v>
      </c>
      <c r="K365" s="8">
        <v>13</v>
      </c>
      <c r="L365" s="8">
        <v>49</v>
      </c>
      <c r="M365" s="8">
        <v>0</v>
      </c>
      <c r="N365" s="8">
        <v>0</v>
      </c>
      <c r="O365" s="8">
        <v>13</v>
      </c>
      <c r="P365" s="8">
        <v>26</v>
      </c>
      <c r="Q365" s="8">
        <v>12</v>
      </c>
      <c r="R365" s="8">
        <v>20</v>
      </c>
      <c r="S365" s="8">
        <v>9</v>
      </c>
      <c r="T365" s="3" t="s">
        <v>69</v>
      </c>
      <c r="U365" s="10">
        <v>149</v>
      </c>
      <c r="V365" s="32">
        <v>8</v>
      </c>
      <c r="W365" s="27">
        <v>5.3691275167785234E-2</v>
      </c>
      <c r="X365" s="34">
        <v>3</v>
      </c>
      <c r="Y365" s="27">
        <v>0.375</v>
      </c>
      <c r="Z365" s="27">
        <v>2.0134228187919462E-2</v>
      </c>
      <c r="AA365" s="35">
        <v>2</v>
      </c>
      <c r="AB365" s="27">
        <v>0.25</v>
      </c>
      <c r="AC365" s="27">
        <f t="shared" si="31"/>
        <v>1.3422818791946308E-2</v>
      </c>
      <c r="AD365" s="36">
        <v>1</v>
      </c>
      <c r="AE365" s="27">
        <v>0.125</v>
      </c>
      <c r="AF365" s="27">
        <f t="shared" si="32"/>
        <v>6.7114093959731542E-3</v>
      </c>
      <c r="AG365" s="37">
        <v>2</v>
      </c>
      <c r="AH365" s="27">
        <v>0.25</v>
      </c>
      <c r="AI365" s="27">
        <f t="shared" si="33"/>
        <v>1.3422818791946308E-2</v>
      </c>
      <c r="AJ365" s="38">
        <v>0</v>
      </c>
      <c r="AK365" s="27">
        <v>0</v>
      </c>
      <c r="AL365" s="27">
        <f t="shared" si="34"/>
        <v>0</v>
      </c>
      <c r="AM365" s="40">
        <v>0</v>
      </c>
      <c r="AN365" s="27">
        <v>0</v>
      </c>
      <c r="AO365" s="27">
        <f t="shared" si="35"/>
        <v>0</v>
      </c>
      <c r="AP365" s="7" t="b">
        <v>1</v>
      </c>
      <c r="AQ365" s="6" t="b">
        <v>0</v>
      </c>
      <c r="AR365" s="6" t="b">
        <v>0</v>
      </c>
      <c r="AS365" s="6" t="b">
        <v>0</v>
      </c>
      <c r="AT365" s="7" t="b">
        <v>1</v>
      </c>
      <c r="AU365" s="6" t="b">
        <v>0</v>
      </c>
      <c r="AV365" s="6" t="b">
        <v>0</v>
      </c>
      <c r="AW365" s="6" t="b">
        <v>0</v>
      </c>
      <c r="AX365" s="6" t="b">
        <v>0</v>
      </c>
      <c r="AY365" s="6" t="b">
        <v>0</v>
      </c>
      <c r="AZ365" s="6" t="b">
        <v>0</v>
      </c>
      <c r="BA365" s="6" t="b">
        <v>0</v>
      </c>
      <c r="BB365" s="6" t="b">
        <v>0</v>
      </c>
    </row>
    <row r="366" spans="1:54" ht="15" x14ac:dyDescent="0.25">
      <c r="A366" s="3" t="s">
        <v>788</v>
      </c>
      <c r="B366" s="3" t="str">
        <f ca="1">IFERROR(__xludf.DUMMYFUNCTION("SPLIT(A366,""/"")"),"Ghadjeres")</f>
        <v>Ghadjeres</v>
      </c>
      <c r="C366" s="3" t="str">
        <f ca="1">IFERROR(__xludf.DUMMYFUNCTION("""COMPUTED_VALUE"""),"DeepBach")</f>
        <v>DeepBach</v>
      </c>
      <c r="D366" s="4" t="s">
        <v>789</v>
      </c>
      <c r="E366" s="5">
        <v>42692.596655092595</v>
      </c>
      <c r="F366" s="5">
        <v>44290.136180555557</v>
      </c>
      <c r="G366" s="13">
        <f t="shared" si="30"/>
        <v>1597.539525462962</v>
      </c>
      <c r="H366" s="6" t="b">
        <v>0</v>
      </c>
      <c r="I366" s="6" t="b">
        <v>0</v>
      </c>
      <c r="J366" s="8">
        <v>419</v>
      </c>
      <c r="K366" s="8">
        <v>33</v>
      </c>
      <c r="L366" s="8">
        <v>108</v>
      </c>
      <c r="M366" s="8">
        <v>2</v>
      </c>
      <c r="N366" s="8">
        <v>0</v>
      </c>
      <c r="O366" s="8">
        <v>5</v>
      </c>
      <c r="P366" s="8">
        <v>19</v>
      </c>
      <c r="Q366" s="8">
        <v>0</v>
      </c>
      <c r="R366" s="8">
        <v>57</v>
      </c>
      <c r="S366" s="8">
        <v>18</v>
      </c>
      <c r="T366" s="3" t="s">
        <v>72</v>
      </c>
      <c r="U366" s="10">
        <v>1623</v>
      </c>
      <c r="V366" s="32">
        <v>0</v>
      </c>
      <c r="W366" s="27">
        <v>0</v>
      </c>
      <c r="X366" s="34">
        <v>0</v>
      </c>
      <c r="Y366" s="27">
        <v>0</v>
      </c>
      <c r="Z366" s="27">
        <v>0</v>
      </c>
      <c r="AA366" s="35">
        <v>0</v>
      </c>
      <c r="AB366" s="27">
        <v>0</v>
      </c>
      <c r="AC366" s="27">
        <f t="shared" si="31"/>
        <v>0</v>
      </c>
      <c r="AD366" s="36">
        <v>0</v>
      </c>
      <c r="AE366" s="27">
        <v>0</v>
      </c>
      <c r="AF366" s="27">
        <f t="shared" si="32"/>
        <v>0</v>
      </c>
      <c r="AG366" s="37">
        <v>0</v>
      </c>
      <c r="AH366" s="27">
        <v>0</v>
      </c>
      <c r="AI366" s="27">
        <f t="shared" si="33"/>
        <v>0</v>
      </c>
      <c r="AJ366" s="38">
        <v>0</v>
      </c>
      <c r="AK366" s="27">
        <v>0</v>
      </c>
      <c r="AL366" s="27">
        <f t="shared" si="34"/>
        <v>0</v>
      </c>
      <c r="AM366" s="40">
        <v>0</v>
      </c>
      <c r="AN366" s="27">
        <v>0</v>
      </c>
      <c r="AO366" s="27">
        <f t="shared" si="35"/>
        <v>0</v>
      </c>
      <c r="AP366" s="7" t="b">
        <v>1</v>
      </c>
      <c r="AQ366" s="6" t="b">
        <v>0</v>
      </c>
      <c r="AR366" s="6" t="b">
        <v>0</v>
      </c>
      <c r="AS366" s="6" t="b">
        <v>0</v>
      </c>
      <c r="AT366" s="7" t="b">
        <v>1</v>
      </c>
      <c r="AU366" s="6" t="b">
        <v>0</v>
      </c>
      <c r="AV366" s="6" t="b">
        <v>0</v>
      </c>
      <c r="AW366" s="6" t="b">
        <v>0</v>
      </c>
      <c r="AX366" s="6" t="b">
        <v>0</v>
      </c>
      <c r="AY366" s="6" t="b">
        <v>0</v>
      </c>
      <c r="AZ366" s="6" t="b">
        <v>0</v>
      </c>
      <c r="BA366" s="6" t="b">
        <v>0</v>
      </c>
      <c r="BB366" s="6" t="b">
        <v>0</v>
      </c>
    </row>
    <row r="367" spans="1:54" ht="15" x14ac:dyDescent="0.25">
      <c r="A367" s="3" t="s">
        <v>790</v>
      </c>
      <c r="B367" s="3" t="str">
        <f ca="1">IFERROR(__xludf.DUMMYFUNCTION("SPLIT(A367,""/"")"),"GhostManager")</f>
        <v>GhostManager</v>
      </c>
      <c r="C367" s="3" t="str">
        <f ca="1">IFERROR(__xludf.DUMMYFUNCTION("""COMPUTED_VALUE"""),"Ghostwriter")</f>
        <v>Ghostwriter</v>
      </c>
      <c r="D367" s="4" t="s">
        <v>791</v>
      </c>
      <c r="E367" s="5">
        <v>43662.888692129629</v>
      </c>
      <c r="F367" s="5">
        <v>44283.447858796295</v>
      </c>
      <c r="G367" s="13">
        <f t="shared" si="30"/>
        <v>620.55916666666599</v>
      </c>
      <c r="H367" s="6" t="b">
        <v>0</v>
      </c>
      <c r="I367" s="7" t="b">
        <v>1</v>
      </c>
      <c r="J367" s="8">
        <v>397</v>
      </c>
      <c r="K367" s="8">
        <v>20</v>
      </c>
      <c r="L367" s="8">
        <v>75</v>
      </c>
      <c r="M367" s="8">
        <v>3</v>
      </c>
      <c r="N367" s="8">
        <v>0</v>
      </c>
      <c r="O367" s="8">
        <v>6</v>
      </c>
      <c r="P367" s="8">
        <v>71</v>
      </c>
      <c r="Q367" s="8">
        <v>6</v>
      </c>
      <c r="R367" s="8">
        <v>83</v>
      </c>
      <c r="S367" s="8">
        <v>21</v>
      </c>
      <c r="T367" s="3" t="s">
        <v>57</v>
      </c>
      <c r="U367" s="10">
        <v>10391</v>
      </c>
      <c r="V367" s="32">
        <v>284</v>
      </c>
      <c r="W367" s="27">
        <v>2.733134443268213E-2</v>
      </c>
      <c r="X367" s="34">
        <v>2</v>
      </c>
      <c r="Y367" s="27">
        <v>7.0422535211267607E-3</v>
      </c>
      <c r="Z367" s="27">
        <v>1.92474256568184E-4</v>
      </c>
      <c r="AA367" s="35">
        <v>113</v>
      </c>
      <c r="AB367" s="27">
        <v>0.397887323943662</v>
      </c>
      <c r="AC367" s="27">
        <f t="shared" si="31"/>
        <v>1.0874795496102397E-2</v>
      </c>
      <c r="AD367" s="36">
        <v>48</v>
      </c>
      <c r="AE367" s="27">
        <v>0.16901408450704225</v>
      </c>
      <c r="AF367" s="27">
        <f t="shared" si="32"/>
        <v>4.6193821576364161E-3</v>
      </c>
      <c r="AG367" s="37">
        <v>121</v>
      </c>
      <c r="AH367" s="27">
        <v>0.426056338028169</v>
      </c>
      <c r="AI367" s="27">
        <f t="shared" si="33"/>
        <v>1.1644692522375133E-2</v>
      </c>
      <c r="AJ367" s="38">
        <v>0</v>
      </c>
      <c r="AK367" s="27">
        <v>0</v>
      </c>
      <c r="AL367" s="27">
        <f t="shared" si="34"/>
        <v>0</v>
      </c>
      <c r="AM367" s="40">
        <v>0</v>
      </c>
      <c r="AN367" s="27">
        <v>0</v>
      </c>
      <c r="AO367" s="27">
        <f t="shared" si="35"/>
        <v>0</v>
      </c>
      <c r="AP367" s="7" t="b">
        <v>1</v>
      </c>
      <c r="AQ367" s="6" t="b">
        <v>0</v>
      </c>
      <c r="AR367" s="6" t="b">
        <v>0</v>
      </c>
      <c r="AS367" s="6" t="b">
        <v>0</v>
      </c>
      <c r="AT367" s="7" t="b">
        <v>1</v>
      </c>
      <c r="AU367" s="6" t="b">
        <v>0</v>
      </c>
      <c r="AV367" s="6" t="b">
        <v>0</v>
      </c>
      <c r="AW367" s="6" t="b">
        <v>0</v>
      </c>
      <c r="AX367" s="6" t="b">
        <v>0</v>
      </c>
      <c r="AY367" s="6" t="b">
        <v>0</v>
      </c>
      <c r="AZ367" s="6" t="b">
        <v>0</v>
      </c>
      <c r="BA367" s="6" t="b">
        <v>0</v>
      </c>
      <c r="BB367" s="6" t="b">
        <v>0</v>
      </c>
    </row>
    <row r="368" spans="1:54" ht="15" x14ac:dyDescent="0.25">
      <c r="A368" s="3" t="s">
        <v>792</v>
      </c>
      <c r="B368" s="3" t="str">
        <f ca="1">IFERROR(__xludf.DUMMYFUNCTION("SPLIT(A368,""/"")"),"gilesknap")</f>
        <v>gilesknap</v>
      </c>
      <c r="C368" s="3" t="str">
        <f ca="1">IFERROR(__xludf.DUMMYFUNCTION("""COMPUTED_VALUE"""),"gphotos-sync")</f>
        <v>gphotos-sync</v>
      </c>
      <c r="D368" s="4" t="s">
        <v>793</v>
      </c>
      <c r="E368" s="5">
        <v>42944.566053240742</v>
      </c>
      <c r="F368" s="5">
        <v>44294.156192129631</v>
      </c>
      <c r="G368" s="13">
        <f t="shared" si="30"/>
        <v>1349.5901388888888</v>
      </c>
      <c r="H368" s="6" t="b">
        <v>0</v>
      </c>
      <c r="I368" s="6" t="b">
        <v>0</v>
      </c>
      <c r="J368" s="8">
        <v>1085</v>
      </c>
      <c r="K368" s="8">
        <v>28</v>
      </c>
      <c r="L368" s="8">
        <v>86</v>
      </c>
      <c r="M368" s="8">
        <v>23</v>
      </c>
      <c r="N368" s="8">
        <v>4</v>
      </c>
      <c r="O368" s="8">
        <v>27</v>
      </c>
      <c r="P368" s="8">
        <v>63</v>
      </c>
      <c r="Q368" s="8">
        <v>1</v>
      </c>
      <c r="R368" s="8">
        <v>246</v>
      </c>
      <c r="S368" s="8">
        <v>26</v>
      </c>
      <c r="T368" s="3" t="s">
        <v>72</v>
      </c>
      <c r="U368" s="10">
        <v>3019</v>
      </c>
      <c r="V368" s="32">
        <v>104</v>
      </c>
      <c r="W368" s="27">
        <v>3.4448492878436571E-2</v>
      </c>
      <c r="X368" s="34">
        <v>40</v>
      </c>
      <c r="Y368" s="27">
        <v>0.38461538461538464</v>
      </c>
      <c r="Z368" s="27">
        <v>1.3249420337860219E-2</v>
      </c>
      <c r="AA368" s="35">
        <v>21</v>
      </c>
      <c r="AB368" s="27">
        <v>0.20192307692307693</v>
      </c>
      <c r="AC368" s="27">
        <f t="shared" si="31"/>
        <v>6.9559456773766147E-3</v>
      </c>
      <c r="AD368" s="36">
        <v>30</v>
      </c>
      <c r="AE368" s="27">
        <v>0.28846153846153844</v>
      </c>
      <c r="AF368" s="27">
        <f t="shared" si="32"/>
        <v>9.9370652533951644E-3</v>
      </c>
      <c r="AG368" s="37">
        <v>13</v>
      </c>
      <c r="AH368" s="27">
        <v>0.125</v>
      </c>
      <c r="AI368" s="27">
        <f t="shared" si="33"/>
        <v>4.3060616098045713E-3</v>
      </c>
      <c r="AJ368" s="38">
        <v>0</v>
      </c>
      <c r="AK368" s="27">
        <v>0</v>
      </c>
      <c r="AL368" s="27">
        <f t="shared" si="34"/>
        <v>0</v>
      </c>
      <c r="AM368" s="40">
        <v>0</v>
      </c>
      <c r="AN368" s="27">
        <v>0</v>
      </c>
      <c r="AO368" s="27">
        <f t="shared" si="35"/>
        <v>0</v>
      </c>
      <c r="AP368" s="7" t="b">
        <v>1</v>
      </c>
      <c r="AQ368" s="6" t="b">
        <v>0</v>
      </c>
      <c r="AR368" s="6" t="b">
        <v>0</v>
      </c>
      <c r="AS368" s="6" t="b">
        <v>0</v>
      </c>
      <c r="AT368" s="7" t="b">
        <v>1</v>
      </c>
      <c r="AU368" s="6" t="b">
        <v>0</v>
      </c>
      <c r="AV368" s="6" t="b">
        <v>0</v>
      </c>
      <c r="AW368" s="6" t="b">
        <v>0</v>
      </c>
      <c r="AX368" s="6" t="b">
        <v>0</v>
      </c>
      <c r="AY368" s="6" t="b">
        <v>0</v>
      </c>
      <c r="AZ368" s="6" t="b">
        <v>0</v>
      </c>
      <c r="BA368" s="6" t="b">
        <v>0</v>
      </c>
      <c r="BB368" s="6" t="b">
        <v>0</v>
      </c>
    </row>
    <row r="369" spans="1:54" ht="15" x14ac:dyDescent="0.25">
      <c r="A369" s="3" t="s">
        <v>794</v>
      </c>
      <c r="B369" s="3" t="str">
        <f ca="1">IFERROR(__xludf.DUMMYFUNCTION("SPLIT(A369,""/"")"),"Giphy")</f>
        <v>Giphy</v>
      </c>
      <c r="C369" s="3" t="str">
        <f ca="1">IFERROR(__xludf.DUMMYFUNCTION("""COMPUTED_VALUE"""),"celeb-detection-oss")</f>
        <v>celeb-detection-oss</v>
      </c>
      <c r="D369" s="4" t="s">
        <v>795</v>
      </c>
      <c r="E369" s="5">
        <v>43529.707719907405</v>
      </c>
      <c r="F369" s="5">
        <v>44293.510879629626</v>
      </c>
      <c r="G369" s="13">
        <f t="shared" si="30"/>
        <v>763.80315972222161</v>
      </c>
      <c r="H369" s="6" t="b">
        <v>0</v>
      </c>
      <c r="I369" s="7" t="b">
        <v>1</v>
      </c>
      <c r="J369" s="8">
        <v>669</v>
      </c>
      <c r="K369" s="8">
        <v>51</v>
      </c>
      <c r="L369" s="8">
        <v>61</v>
      </c>
      <c r="M369" s="8">
        <v>0</v>
      </c>
      <c r="N369" s="8">
        <v>0</v>
      </c>
      <c r="O369" s="8">
        <v>5</v>
      </c>
      <c r="P369" s="8">
        <v>11</v>
      </c>
      <c r="Q369" s="8">
        <v>3</v>
      </c>
      <c r="R369" s="8">
        <v>7</v>
      </c>
      <c r="S369" s="8">
        <v>1</v>
      </c>
      <c r="T369" s="3" t="s">
        <v>75</v>
      </c>
      <c r="U369" s="10">
        <v>1609</v>
      </c>
      <c r="V369" s="32">
        <v>16</v>
      </c>
      <c r="W369" s="27">
        <v>9.9440646364201361E-3</v>
      </c>
      <c r="X369" s="34">
        <v>1</v>
      </c>
      <c r="Y369" s="27">
        <v>6.25E-2</v>
      </c>
      <c r="Z369" s="27">
        <v>6.215040397762585E-4</v>
      </c>
      <c r="AA369" s="35">
        <v>10</v>
      </c>
      <c r="AB369" s="27">
        <v>0.625</v>
      </c>
      <c r="AC369" s="27">
        <f t="shared" si="31"/>
        <v>6.2150403977625857E-3</v>
      </c>
      <c r="AD369" s="36">
        <v>4</v>
      </c>
      <c r="AE369" s="27">
        <v>0.25</v>
      </c>
      <c r="AF369" s="27">
        <f t="shared" si="32"/>
        <v>2.486016159105034E-3</v>
      </c>
      <c r="AG369" s="37">
        <v>0</v>
      </c>
      <c r="AH369" s="27">
        <v>0</v>
      </c>
      <c r="AI369" s="27">
        <f t="shared" si="33"/>
        <v>0</v>
      </c>
      <c r="AJ369" s="38">
        <v>1</v>
      </c>
      <c r="AK369" s="27">
        <v>6.25E-2</v>
      </c>
      <c r="AL369" s="27">
        <f t="shared" si="34"/>
        <v>6.215040397762585E-4</v>
      </c>
      <c r="AM369" s="40">
        <v>0</v>
      </c>
      <c r="AN369" s="27">
        <v>0</v>
      </c>
      <c r="AO369" s="27">
        <f t="shared" si="35"/>
        <v>0</v>
      </c>
      <c r="AP369" s="7" t="b">
        <v>1</v>
      </c>
      <c r="AQ369" s="7" t="b">
        <v>1</v>
      </c>
      <c r="AR369" s="6" t="b">
        <v>0</v>
      </c>
      <c r="AS369" s="6" t="b">
        <v>0</v>
      </c>
      <c r="AT369" s="7" t="b">
        <v>1</v>
      </c>
      <c r="AU369" s="6" t="b">
        <v>0</v>
      </c>
      <c r="AV369" s="6" t="b">
        <v>0</v>
      </c>
      <c r="AW369" s="6" t="b">
        <v>0</v>
      </c>
      <c r="AX369" s="6" t="b">
        <v>0</v>
      </c>
      <c r="AY369" s="6" t="b">
        <v>0</v>
      </c>
      <c r="AZ369" s="6" t="b">
        <v>0</v>
      </c>
      <c r="BA369" s="6" t="b">
        <v>0</v>
      </c>
      <c r="BB369" s="6" t="b">
        <v>0</v>
      </c>
    </row>
    <row r="370" spans="1:54" ht="15" x14ac:dyDescent="0.25">
      <c r="A370" s="3" t="s">
        <v>796</v>
      </c>
      <c r="B370" s="3" t="str">
        <f ca="1">IFERROR(__xludf.DUMMYFUNCTION("SPLIT(A370,""/"")"),"girder")</f>
        <v>girder</v>
      </c>
      <c r="C370" s="3" t="str">
        <f ca="1">IFERROR(__xludf.DUMMYFUNCTION("""COMPUTED_VALUE"""),"girder")</f>
        <v>girder</v>
      </c>
      <c r="D370" s="4" t="s">
        <v>797</v>
      </c>
      <c r="E370" s="5">
        <v>41488.997152777774</v>
      </c>
      <c r="F370" s="5">
        <v>44292.459629629629</v>
      </c>
      <c r="G370" s="13">
        <f t="shared" si="30"/>
        <v>2803.4624768518552</v>
      </c>
      <c r="H370" s="6" t="b">
        <v>0</v>
      </c>
      <c r="I370" s="7" t="b">
        <v>1</v>
      </c>
      <c r="J370" s="8">
        <v>354</v>
      </c>
      <c r="K370" s="8">
        <v>36</v>
      </c>
      <c r="L370" s="8">
        <v>130</v>
      </c>
      <c r="M370" s="8">
        <v>0</v>
      </c>
      <c r="N370" s="8">
        <v>270</v>
      </c>
      <c r="O370" s="8">
        <v>58</v>
      </c>
      <c r="P370" s="8">
        <v>2259</v>
      </c>
      <c r="Q370" s="8">
        <v>23</v>
      </c>
      <c r="R370" s="8">
        <v>1095</v>
      </c>
      <c r="S370" s="8">
        <v>334</v>
      </c>
      <c r="T370" s="3" t="s">
        <v>69</v>
      </c>
      <c r="U370" s="10">
        <v>26747</v>
      </c>
      <c r="V370" s="32">
        <v>81</v>
      </c>
      <c r="W370" s="27">
        <v>3.0283770142445882E-3</v>
      </c>
      <c r="X370" s="34">
        <v>8</v>
      </c>
      <c r="Y370" s="27">
        <v>9.8765432098765427E-2</v>
      </c>
      <c r="Z370" s="27">
        <v>2.9909896436983586E-4</v>
      </c>
      <c r="AA370" s="35">
        <v>23</v>
      </c>
      <c r="AB370" s="27">
        <v>0.2839506172839506</v>
      </c>
      <c r="AC370" s="27">
        <f t="shared" si="31"/>
        <v>8.5990952256327809E-4</v>
      </c>
      <c r="AD370" s="36">
        <v>19</v>
      </c>
      <c r="AE370" s="27">
        <v>0.23456790123456789</v>
      </c>
      <c r="AF370" s="27">
        <f t="shared" si="32"/>
        <v>7.1036004037836021E-4</v>
      </c>
      <c r="AG370" s="37">
        <v>29</v>
      </c>
      <c r="AH370" s="27">
        <v>0.35802469135802467</v>
      </c>
      <c r="AI370" s="27">
        <f t="shared" si="33"/>
        <v>1.0842337458406551E-3</v>
      </c>
      <c r="AJ370" s="38">
        <v>0</v>
      </c>
      <c r="AK370" s="27">
        <v>0</v>
      </c>
      <c r="AL370" s="27">
        <f t="shared" si="34"/>
        <v>0</v>
      </c>
      <c r="AM370" s="40">
        <v>2</v>
      </c>
      <c r="AN370" s="27">
        <v>2.4691358024691357E-2</v>
      </c>
      <c r="AO370" s="27">
        <f t="shared" si="35"/>
        <v>7.4774741092458965E-5</v>
      </c>
      <c r="AP370" s="7" t="b">
        <v>1</v>
      </c>
      <c r="AQ370" s="7" t="b">
        <v>1</v>
      </c>
      <c r="AR370" s="6" t="b">
        <v>0</v>
      </c>
      <c r="AS370" s="6" t="b">
        <v>0</v>
      </c>
      <c r="AT370" s="7" t="b">
        <v>1</v>
      </c>
      <c r="AU370" s="6" t="b">
        <v>0</v>
      </c>
      <c r="AV370" s="6" t="b">
        <v>0</v>
      </c>
      <c r="AW370" s="6" t="b">
        <v>0</v>
      </c>
      <c r="AX370" s="6" t="b">
        <v>0</v>
      </c>
      <c r="AY370" s="6" t="b">
        <v>0</v>
      </c>
      <c r="AZ370" s="6" t="b">
        <v>0</v>
      </c>
      <c r="BA370" s="6" t="b">
        <v>0</v>
      </c>
      <c r="BB370" s="6" t="b">
        <v>0</v>
      </c>
    </row>
    <row r="371" spans="1:54" ht="15" x14ac:dyDescent="0.25">
      <c r="A371" s="3" t="s">
        <v>798</v>
      </c>
      <c r="B371" s="3" t="str">
        <f ca="1">IFERROR(__xludf.DUMMYFUNCTION("SPLIT(A371,""/"")"),"githublitao")</f>
        <v>githublitao</v>
      </c>
      <c r="C371" s="3" t="str">
        <f ca="1">IFERROR(__xludf.DUMMYFUNCTION("""COMPUTED_VALUE"""),"api_automation_test")</f>
        <v>api_automation_test</v>
      </c>
      <c r="D371" s="4" t="s">
        <v>799</v>
      </c>
      <c r="E371" s="5">
        <v>43110.441284722219</v>
      </c>
      <c r="F371" s="5">
        <v>44294.426805555559</v>
      </c>
      <c r="G371" s="13">
        <f t="shared" si="30"/>
        <v>1183.9855208333393</v>
      </c>
      <c r="H371" s="6" t="b">
        <v>0</v>
      </c>
      <c r="I371" s="6" t="b">
        <v>0</v>
      </c>
      <c r="J371" s="8">
        <v>1113</v>
      </c>
      <c r="K371" s="8">
        <v>87</v>
      </c>
      <c r="L371" s="8">
        <v>654</v>
      </c>
      <c r="M371" s="8">
        <v>0</v>
      </c>
      <c r="N371" s="8">
        <v>0</v>
      </c>
      <c r="O371" s="8">
        <v>2</v>
      </c>
      <c r="P371" s="8">
        <v>8</v>
      </c>
      <c r="Q371" s="8">
        <v>5</v>
      </c>
      <c r="R371" s="8">
        <v>77</v>
      </c>
      <c r="S371" s="8">
        <v>5</v>
      </c>
      <c r="T371" s="11" t="s">
        <v>52</v>
      </c>
      <c r="U371" s="10">
        <v>5026</v>
      </c>
      <c r="V371" s="32">
        <v>41</v>
      </c>
      <c r="W371" s="27">
        <v>8.1575805809789102E-3</v>
      </c>
      <c r="X371" s="34">
        <v>0</v>
      </c>
      <c r="Y371" s="27">
        <v>0</v>
      </c>
      <c r="Z371" s="27">
        <v>0</v>
      </c>
      <c r="AA371" s="35">
        <v>12</v>
      </c>
      <c r="AB371" s="27">
        <v>0.29268292682926828</v>
      </c>
      <c r="AC371" s="27">
        <f t="shared" si="31"/>
        <v>2.3875845602865102E-3</v>
      </c>
      <c r="AD371" s="36">
        <v>0</v>
      </c>
      <c r="AE371" s="27">
        <v>0</v>
      </c>
      <c r="AF371" s="27">
        <f t="shared" si="32"/>
        <v>0</v>
      </c>
      <c r="AG371" s="37">
        <v>11</v>
      </c>
      <c r="AH371" s="27">
        <v>0.26829268292682928</v>
      </c>
      <c r="AI371" s="27">
        <f t="shared" si="33"/>
        <v>2.1886191802626344E-3</v>
      </c>
      <c r="AJ371" s="38">
        <v>0</v>
      </c>
      <c r="AK371" s="27">
        <v>0</v>
      </c>
      <c r="AL371" s="27">
        <f t="shared" si="34"/>
        <v>0</v>
      </c>
      <c r="AM371" s="40">
        <v>0</v>
      </c>
      <c r="AN371" s="27">
        <v>0</v>
      </c>
      <c r="AO371" s="27">
        <f t="shared" si="35"/>
        <v>0</v>
      </c>
      <c r="AP371" s="7" t="b">
        <v>1</v>
      </c>
      <c r="AQ371" s="7" t="b">
        <v>1</v>
      </c>
      <c r="AR371" s="6" t="b">
        <v>0</v>
      </c>
      <c r="AS371" s="6" t="b">
        <v>0</v>
      </c>
      <c r="AT371" s="7" t="b">
        <v>1</v>
      </c>
      <c r="AU371" s="6" t="b">
        <v>0</v>
      </c>
      <c r="AV371" s="6" t="b">
        <v>0</v>
      </c>
      <c r="AW371" s="6" t="b">
        <v>0</v>
      </c>
      <c r="AX371" s="6" t="b">
        <v>0</v>
      </c>
      <c r="AY371" s="6" t="b">
        <v>0</v>
      </c>
      <c r="AZ371" s="6" t="b">
        <v>0</v>
      </c>
      <c r="BA371" s="6" t="b">
        <v>0</v>
      </c>
      <c r="BB371" s="6" t="b">
        <v>0</v>
      </c>
    </row>
    <row r="372" spans="1:54" ht="15" x14ac:dyDescent="0.25">
      <c r="A372" s="3" t="s">
        <v>800</v>
      </c>
      <c r="B372" s="3" t="str">
        <f ca="1">IFERROR(__xludf.DUMMYFUNCTION("SPLIT(A372,""/"")"),"gitpython-developers")</f>
        <v>gitpython-developers</v>
      </c>
      <c r="C372" s="3" t="str">
        <f ca="1">IFERROR(__xludf.DUMMYFUNCTION("""COMPUTED_VALUE"""),"GitPython")</f>
        <v>GitPython</v>
      </c>
      <c r="D372" s="4" t="s">
        <v>801</v>
      </c>
      <c r="E372" s="5">
        <v>40512.731979166667</v>
      </c>
      <c r="F372" s="5">
        <v>44294.819791666669</v>
      </c>
      <c r="G372" s="13">
        <f t="shared" si="30"/>
        <v>3782.0878125000017</v>
      </c>
      <c r="H372" s="6" t="b">
        <v>0</v>
      </c>
      <c r="I372" s="7" t="b">
        <v>1</v>
      </c>
      <c r="J372" s="8">
        <v>3056</v>
      </c>
      <c r="K372" s="8">
        <v>96</v>
      </c>
      <c r="L372" s="8">
        <v>671</v>
      </c>
      <c r="M372" s="8">
        <v>1</v>
      </c>
      <c r="N372" s="8">
        <v>44</v>
      </c>
      <c r="O372" s="8">
        <v>192</v>
      </c>
      <c r="P372" s="8">
        <v>405</v>
      </c>
      <c r="Q372" s="8">
        <v>2</v>
      </c>
      <c r="R372" s="8">
        <v>742</v>
      </c>
      <c r="S372" s="8">
        <v>115</v>
      </c>
      <c r="T372" s="3" t="s">
        <v>57</v>
      </c>
      <c r="U372" s="10">
        <v>11917</v>
      </c>
      <c r="V372" s="32">
        <v>44</v>
      </c>
      <c r="W372" s="27">
        <v>3.6922044138625494E-3</v>
      </c>
      <c r="X372" s="34">
        <v>12</v>
      </c>
      <c r="Y372" s="27">
        <v>0.27272727272727271</v>
      </c>
      <c r="Z372" s="27">
        <v>1.0069648401443317E-3</v>
      </c>
      <c r="AA372" s="35">
        <v>11</v>
      </c>
      <c r="AB372" s="27">
        <v>0.25</v>
      </c>
      <c r="AC372" s="27">
        <f t="shared" si="31"/>
        <v>9.2305110346563735E-4</v>
      </c>
      <c r="AD372" s="36">
        <v>8</v>
      </c>
      <c r="AE372" s="27">
        <v>0.18181818181818182</v>
      </c>
      <c r="AF372" s="27">
        <f t="shared" si="32"/>
        <v>6.7130989342955444E-4</v>
      </c>
      <c r="AG372" s="37">
        <v>9</v>
      </c>
      <c r="AH372" s="27">
        <v>0.20454545454545456</v>
      </c>
      <c r="AI372" s="27">
        <f t="shared" si="33"/>
        <v>7.5522363010824874E-4</v>
      </c>
      <c r="AJ372" s="38">
        <v>0</v>
      </c>
      <c r="AK372" s="27">
        <v>0</v>
      </c>
      <c r="AL372" s="27">
        <f t="shared" si="34"/>
        <v>0</v>
      </c>
      <c r="AM372" s="40">
        <v>4</v>
      </c>
      <c r="AN372" s="27">
        <v>9.0909090909090912E-2</v>
      </c>
      <c r="AO372" s="27">
        <f t="shared" si="35"/>
        <v>3.3565494671477722E-4</v>
      </c>
      <c r="AP372" s="7" t="b">
        <v>1</v>
      </c>
      <c r="AQ372" s="6" t="b">
        <v>0</v>
      </c>
      <c r="AR372" s="6" t="b">
        <v>0</v>
      </c>
      <c r="AS372" s="6" t="b">
        <v>0</v>
      </c>
      <c r="AT372" s="7" t="b">
        <v>1</v>
      </c>
      <c r="AU372" s="6" t="b">
        <v>0</v>
      </c>
      <c r="AV372" s="6" t="b">
        <v>0</v>
      </c>
      <c r="AW372" s="6" t="b">
        <v>0</v>
      </c>
      <c r="AX372" s="6" t="b">
        <v>0</v>
      </c>
      <c r="AY372" s="6" t="b">
        <v>0</v>
      </c>
      <c r="AZ372" s="6" t="b">
        <v>0</v>
      </c>
      <c r="BA372" s="6" t="b">
        <v>0</v>
      </c>
      <c r="BB372" s="6" t="b">
        <v>0</v>
      </c>
    </row>
    <row r="373" spans="1:54" ht="15" x14ac:dyDescent="0.25">
      <c r="A373" s="3" t="s">
        <v>802</v>
      </c>
      <c r="B373" s="3" t="str">
        <f ca="1">IFERROR(__xludf.DUMMYFUNCTION("SPLIT(A373,""/"")"),"GNS3")</f>
        <v>GNS3</v>
      </c>
      <c r="C373" s="3" t="str">
        <f ca="1">IFERROR(__xludf.DUMMYFUNCTION("""COMPUTED_VALUE"""),"gns3-gui")</f>
        <v>gns3-gui</v>
      </c>
      <c r="D373" s="4" t="s">
        <v>803</v>
      </c>
      <c r="E373" s="5">
        <v>41543.116678240738</v>
      </c>
      <c r="F373" s="5">
        <v>44292.438981481479</v>
      </c>
      <c r="G373" s="13">
        <f t="shared" si="30"/>
        <v>2749.3223032407404</v>
      </c>
      <c r="H373" s="6" t="b">
        <v>0</v>
      </c>
      <c r="I373" s="7" t="b">
        <v>1</v>
      </c>
      <c r="J373" s="8">
        <v>1315</v>
      </c>
      <c r="K373" s="8">
        <v>168</v>
      </c>
      <c r="L373" s="8">
        <v>333</v>
      </c>
      <c r="M373" s="8">
        <v>153</v>
      </c>
      <c r="N373" s="8">
        <v>97</v>
      </c>
      <c r="O373" s="8">
        <v>29</v>
      </c>
      <c r="P373" s="8">
        <v>358</v>
      </c>
      <c r="Q373" s="8">
        <v>2</v>
      </c>
      <c r="R373" s="8">
        <v>2794</v>
      </c>
      <c r="S373" s="8">
        <v>189</v>
      </c>
      <c r="T373" s="3" t="s">
        <v>92</v>
      </c>
      <c r="U373" s="10">
        <v>36003</v>
      </c>
      <c r="V373" s="32">
        <v>598</v>
      </c>
      <c r="W373" s="27">
        <v>1.6609726967197178E-2</v>
      </c>
      <c r="X373" s="34">
        <v>114</v>
      </c>
      <c r="Y373" s="27">
        <v>0.19063545150501673</v>
      </c>
      <c r="Z373" s="27">
        <v>3.1664027997666861E-3</v>
      </c>
      <c r="AA373" s="35">
        <v>21</v>
      </c>
      <c r="AB373" s="27">
        <v>3.5117056856187288E-2</v>
      </c>
      <c r="AC373" s="27">
        <f t="shared" si="31"/>
        <v>5.8328472627281055E-4</v>
      </c>
      <c r="AD373" s="36">
        <v>87</v>
      </c>
      <c r="AE373" s="27">
        <v>0.14548494983277591</v>
      </c>
      <c r="AF373" s="27">
        <f t="shared" si="32"/>
        <v>2.4164652945587867E-3</v>
      </c>
      <c r="AG373" s="37">
        <v>110</v>
      </c>
      <c r="AH373" s="27">
        <v>0.18394648829431437</v>
      </c>
      <c r="AI373" s="27">
        <f t="shared" si="33"/>
        <v>3.0553009471432934E-3</v>
      </c>
      <c r="AJ373" s="38">
        <v>265</v>
      </c>
      <c r="AK373" s="27">
        <v>0.44314381270903008</v>
      </c>
      <c r="AL373" s="27">
        <f t="shared" si="34"/>
        <v>7.3604977362997526E-3</v>
      </c>
      <c r="AM373" s="40">
        <v>0</v>
      </c>
      <c r="AN373" s="27">
        <v>0</v>
      </c>
      <c r="AO373" s="27">
        <f t="shared" si="35"/>
        <v>0</v>
      </c>
      <c r="AP373" s="7" t="b">
        <v>1</v>
      </c>
      <c r="AQ373" s="6" t="b">
        <v>0</v>
      </c>
      <c r="AR373" s="6" t="b">
        <v>0</v>
      </c>
      <c r="AS373" s="6" t="b">
        <v>0</v>
      </c>
      <c r="AT373" s="7" t="b">
        <v>1</v>
      </c>
      <c r="AU373" s="6" t="b">
        <v>0</v>
      </c>
      <c r="AV373" s="6" t="b">
        <v>0</v>
      </c>
      <c r="AW373" s="6" t="b">
        <v>0</v>
      </c>
      <c r="AX373" s="6" t="b">
        <v>0</v>
      </c>
      <c r="AY373" s="6" t="b">
        <v>0</v>
      </c>
      <c r="AZ373" s="6" t="b">
        <v>0</v>
      </c>
      <c r="BA373" s="6" t="b">
        <v>0</v>
      </c>
      <c r="BB373" s="6" t="b">
        <v>0</v>
      </c>
    </row>
    <row r="374" spans="1:54" ht="15" x14ac:dyDescent="0.25">
      <c r="A374" s="3" t="s">
        <v>804</v>
      </c>
      <c r="B374" s="3" t="str">
        <f ca="1">IFERROR(__xludf.DUMMYFUNCTION("SPLIT(A374,""/"")"),"GNS3")</f>
        <v>GNS3</v>
      </c>
      <c r="C374" s="3" t="str">
        <f ca="1">IFERROR(__xludf.DUMMYFUNCTION("""COMPUTED_VALUE"""),"gns3-server")</f>
        <v>gns3-server</v>
      </c>
      <c r="D374" s="4" t="s">
        <v>805</v>
      </c>
      <c r="E374" s="5">
        <v>41543.114687499998</v>
      </c>
      <c r="F374" s="5">
        <v>44294.47997685185</v>
      </c>
      <c r="G374" s="13">
        <f t="shared" si="30"/>
        <v>2751.365289351852</v>
      </c>
      <c r="H374" s="6" t="b">
        <v>0</v>
      </c>
      <c r="I374" s="7" t="b">
        <v>1</v>
      </c>
      <c r="J374" s="8">
        <v>481</v>
      </c>
      <c r="K374" s="8">
        <v>76</v>
      </c>
      <c r="L374" s="8">
        <v>186</v>
      </c>
      <c r="M374" s="8">
        <v>152</v>
      </c>
      <c r="N374" s="8">
        <v>106</v>
      </c>
      <c r="O374" s="8">
        <v>42</v>
      </c>
      <c r="P374" s="8">
        <v>387</v>
      </c>
      <c r="Q374" s="8">
        <v>8</v>
      </c>
      <c r="R374" s="8">
        <v>1495</v>
      </c>
      <c r="S374" s="8">
        <v>123</v>
      </c>
      <c r="T374" s="3" t="s">
        <v>49</v>
      </c>
      <c r="U374" s="10">
        <v>33556</v>
      </c>
      <c r="V374" s="32">
        <v>730</v>
      </c>
      <c r="W374" s="27">
        <v>2.1754678745976874E-2</v>
      </c>
      <c r="X374" s="34">
        <v>105</v>
      </c>
      <c r="Y374" s="27">
        <v>0.14383561643835616</v>
      </c>
      <c r="Z374" s="27">
        <v>3.1290976278459887E-3</v>
      </c>
      <c r="AA374" s="35">
        <v>393</v>
      </c>
      <c r="AB374" s="27">
        <v>0.5383561643835616</v>
      </c>
      <c r="AC374" s="27">
        <f t="shared" si="31"/>
        <v>1.1711765407080701E-2</v>
      </c>
      <c r="AD374" s="36">
        <v>136</v>
      </c>
      <c r="AE374" s="27">
        <v>0.18630136986301371</v>
      </c>
      <c r="AF374" s="27">
        <f t="shared" si="32"/>
        <v>4.0529264513052806E-3</v>
      </c>
      <c r="AG374" s="37">
        <v>78</v>
      </c>
      <c r="AH374" s="27">
        <v>0.10684931506849316</v>
      </c>
      <c r="AI374" s="27">
        <f t="shared" si="33"/>
        <v>2.3244725235427345E-3</v>
      </c>
      <c r="AJ374" s="38">
        <v>17</v>
      </c>
      <c r="AK374" s="27">
        <v>2.3287671232876714E-2</v>
      </c>
      <c r="AL374" s="27">
        <f t="shared" si="34"/>
        <v>5.0661580641316007E-4</v>
      </c>
      <c r="AM374" s="40">
        <v>1</v>
      </c>
      <c r="AN374" s="27">
        <v>1.3698630136986301E-3</v>
      </c>
      <c r="AO374" s="27">
        <f t="shared" si="35"/>
        <v>2.9800929789009416E-5</v>
      </c>
      <c r="AP374" s="7" t="b">
        <v>1</v>
      </c>
      <c r="AQ374" s="6" t="b">
        <v>0</v>
      </c>
      <c r="AR374" s="6" t="b">
        <v>0</v>
      </c>
      <c r="AS374" s="6" t="b">
        <v>0</v>
      </c>
      <c r="AT374" s="7" t="b">
        <v>1</v>
      </c>
      <c r="AU374" s="6" t="b">
        <v>0</v>
      </c>
      <c r="AV374" s="6" t="b">
        <v>0</v>
      </c>
      <c r="AW374" s="6" t="b">
        <v>0</v>
      </c>
      <c r="AX374" s="6" t="b">
        <v>0</v>
      </c>
      <c r="AY374" s="6" t="b">
        <v>0</v>
      </c>
      <c r="AZ374" s="6" t="b">
        <v>0</v>
      </c>
      <c r="BA374" s="6" t="b">
        <v>0</v>
      </c>
      <c r="BB374" s="6" t="b">
        <v>0</v>
      </c>
    </row>
    <row r="375" spans="1:54" ht="15" x14ac:dyDescent="0.25">
      <c r="A375" s="3" t="s">
        <v>806</v>
      </c>
      <c r="B375" s="3" t="str">
        <f ca="1">IFERROR(__xludf.DUMMYFUNCTION("SPLIT(A375,""/"")"),"godotengine")</f>
        <v>godotengine</v>
      </c>
      <c r="C375" s="3" t="str">
        <f ca="1">IFERROR(__xludf.DUMMYFUNCTION("""COMPUTED_VALUE"""),"godot-blender-exporter")</f>
        <v>godot-blender-exporter</v>
      </c>
      <c r="D375" s="4" t="s">
        <v>807</v>
      </c>
      <c r="E375" s="5">
        <v>43128.700740740744</v>
      </c>
      <c r="F375" s="5">
        <v>44293.614895833336</v>
      </c>
      <c r="G375" s="13">
        <f t="shared" si="30"/>
        <v>1164.9141550925924</v>
      </c>
      <c r="H375" s="6" t="b">
        <v>0</v>
      </c>
      <c r="I375" s="7" t="b">
        <v>1</v>
      </c>
      <c r="J375" s="8">
        <v>580</v>
      </c>
      <c r="K375" s="8">
        <v>65</v>
      </c>
      <c r="L375" s="8">
        <v>85</v>
      </c>
      <c r="M375" s="8">
        <v>0</v>
      </c>
      <c r="N375" s="8">
        <v>0</v>
      </c>
      <c r="O375" s="8">
        <v>23</v>
      </c>
      <c r="P375" s="8">
        <v>166</v>
      </c>
      <c r="Q375" s="8">
        <v>7</v>
      </c>
      <c r="R375" s="8">
        <v>223</v>
      </c>
      <c r="S375" s="8">
        <v>94</v>
      </c>
      <c r="T375" s="3" t="s">
        <v>64</v>
      </c>
      <c r="U375" s="10">
        <v>3578</v>
      </c>
      <c r="V375" s="32">
        <v>26</v>
      </c>
      <c r="W375" s="27">
        <v>7.2666294019005035E-3</v>
      </c>
      <c r="X375" s="34">
        <v>0</v>
      </c>
      <c r="Y375" s="27">
        <v>0</v>
      </c>
      <c r="Z375" s="27">
        <v>0</v>
      </c>
      <c r="AA375" s="35">
        <v>4</v>
      </c>
      <c r="AB375" s="27">
        <v>0.15384615384615385</v>
      </c>
      <c r="AC375" s="27">
        <f t="shared" si="31"/>
        <v>1.1179429849077697E-3</v>
      </c>
      <c r="AD375" s="36">
        <v>20</v>
      </c>
      <c r="AE375" s="27">
        <v>0.76923076923076927</v>
      </c>
      <c r="AF375" s="27">
        <f t="shared" si="32"/>
        <v>5.5897149245388482E-3</v>
      </c>
      <c r="AG375" s="37">
        <v>2</v>
      </c>
      <c r="AH375" s="27">
        <v>7.6923076923076927E-2</v>
      </c>
      <c r="AI375" s="27">
        <f t="shared" si="33"/>
        <v>5.5897149245388487E-4</v>
      </c>
      <c r="AJ375" s="38">
        <v>0</v>
      </c>
      <c r="AK375" s="27">
        <v>0</v>
      </c>
      <c r="AL375" s="27">
        <f t="shared" si="34"/>
        <v>0</v>
      </c>
      <c r="AM375" s="40">
        <v>0</v>
      </c>
      <c r="AN375" s="27">
        <v>0</v>
      </c>
      <c r="AO375" s="27">
        <f t="shared" si="35"/>
        <v>0</v>
      </c>
      <c r="AP375" s="7" t="b">
        <v>1</v>
      </c>
      <c r="AQ375" s="6" t="b">
        <v>0</v>
      </c>
      <c r="AR375" s="6" t="b">
        <v>0</v>
      </c>
      <c r="AS375" s="6" t="b">
        <v>0</v>
      </c>
      <c r="AT375" s="7" t="b">
        <v>1</v>
      </c>
      <c r="AU375" s="6" t="b">
        <v>0</v>
      </c>
      <c r="AV375" s="6" t="b">
        <v>0</v>
      </c>
      <c r="AW375" s="6" t="b">
        <v>0</v>
      </c>
      <c r="AX375" s="6" t="b">
        <v>0</v>
      </c>
      <c r="AY375" s="6" t="b">
        <v>0</v>
      </c>
      <c r="AZ375" s="6" t="b">
        <v>0</v>
      </c>
      <c r="BA375" s="6" t="b">
        <v>0</v>
      </c>
      <c r="BB375" s="6" t="b">
        <v>0</v>
      </c>
    </row>
    <row r="376" spans="1:54" ht="15" x14ac:dyDescent="0.25">
      <c r="A376" s="3" t="s">
        <v>808</v>
      </c>
      <c r="B376" s="3" t="str">
        <f ca="1">IFERROR(__xludf.DUMMYFUNCTION("SPLIT(A376,""/"")"),"golemfactory")</f>
        <v>golemfactory</v>
      </c>
      <c r="C376" s="3" t="str">
        <f ca="1">IFERROR(__xludf.DUMMYFUNCTION("""COMPUTED_VALUE"""),"clay")</f>
        <v>clay</v>
      </c>
      <c r="D376" s="4" t="s">
        <v>809</v>
      </c>
      <c r="E376" s="5">
        <v>42326.710127314815</v>
      </c>
      <c r="F376" s="5">
        <v>44293.314756944441</v>
      </c>
      <c r="G376" s="13">
        <f t="shared" si="30"/>
        <v>1966.6046296296263</v>
      </c>
      <c r="H376" s="6" t="b">
        <v>0</v>
      </c>
      <c r="I376" s="7" t="b">
        <v>1</v>
      </c>
      <c r="J376" s="8">
        <v>2973</v>
      </c>
      <c r="K376" s="8">
        <v>258</v>
      </c>
      <c r="L376" s="8">
        <v>281</v>
      </c>
      <c r="M376" s="8">
        <v>37</v>
      </c>
      <c r="N376" s="8">
        <v>24</v>
      </c>
      <c r="O376" s="8">
        <v>50</v>
      </c>
      <c r="P376" s="8">
        <v>3249</v>
      </c>
      <c r="Q376" s="8">
        <v>7</v>
      </c>
      <c r="R376" s="8">
        <v>1958</v>
      </c>
      <c r="S376" s="8">
        <v>75</v>
      </c>
      <c r="T376" s="3" t="s">
        <v>49</v>
      </c>
      <c r="U376" s="10">
        <v>64755</v>
      </c>
      <c r="V376" s="32">
        <v>1243</v>
      </c>
      <c r="W376" s="27">
        <v>1.9195428924407381E-2</v>
      </c>
      <c r="X376" s="34">
        <v>481</v>
      </c>
      <c r="Y376" s="27">
        <v>0.38696701528559935</v>
      </c>
      <c r="Z376" s="27">
        <v>7.4279978380047875E-3</v>
      </c>
      <c r="AA376" s="35">
        <v>361</v>
      </c>
      <c r="AB376" s="27">
        <v>0.29042638777152052</v>
      </c>
      <c r="AC376" s="27">
        <f t="shared" si="31"/>
        <v>5.5748590842405995E-3</v>
      </c>
      <c r="AD376" s="36">
        <v>203</v>
      </c>
      <c r="AE376" s="27">
        <v>0.16331456154465004</v>
      </c>
      <c r="AF376" s="27">
        <f t="shared" si="32"/>
        <v>3.1348930584510848E-3</v>
      </c>
      <c r="AG376" s="37">
        <v>190</v>
      </c>
      <c r="AH376" s="27">
        <v>0.15285599356395815</v>
      </c>
      <c r="AI376" s="27">
        <f t="shared" si="33"/>
        <v>2.9341363601266312E-3</v>
      </c>
      <c r="AJ376" s="38">
        <v>5</v>
      </c>
      <c r="AK376" s="27">
        <v>4.0225261464199519E-3</v>
      </c>
      <c r="AL376" s="27">
        <f t="shared" si="34"/>
        <v>7.7214114740174498E-5</v>
      </c>
      <c r="AM376" s="40">
        <v>1</v>
      </c>
      <c r="AN376" s="27">
        <v>8.045052292839903E-4</v>
      </c>
      <c r="AO376" s="27">
        <f t="shared" si="35"/>
        <v>1.5442822948034902E-5</v>
      </c>
      <c r="AP376" s="7" t="b">
        <v>1</v>
      </c>
      <c r="AQ376" s="6" t="b">
        <v>0</v>
      </c>
      <c r="AR376" s="6" t="b">
        <v>0</v>
      </c>
      <c r="AS376" s="6" t="b">
        <v>0</v>
      </c>
      <c r="AT376" s="7" t="b">
        <v>1</v>
      </c>
      <c r="AU376" s="6" t="b">
        <v>0</v>
      </c>
      <c r="AV376" s="6" t="b">
        <v>0</v>
      </c>
      <c r="AW376" s="6" t="b">
        <v>0</v>
      </c>
      <c r="AX376" s="6" t="b">
        <v>0</v>
      </c>
      <c r="AY376" s="6" t="b">
        <v>0</v>
      </c>
      <c r="AZ376" s="6" t="b">
        <v>0</v>
      </c>
      <c r="BA376" s="6" t="b">
        <v>0</v>
      </c>
      <c r="BB376" s="6" t="b">
        <v>0</v>
      </c>
    </row>
    <row r="377" spans="1:54" ht="15" x14ac:dyDescent="0.25">
      <c r="A377" s="3" t="s">
        <v>810</v>
      </c>
      <c r="B377" s="3" t="str">
        <f ca="1">IFERROR(__xludf.DUMMYFUNCTION("SPLIT(A377,""/"")"),"golismero")</f>
        <v>golismero</v>
      </c>
      <c r="C377" s="3" t="str">
        <f ca="1">IFERROR(__xludf.DUMMYFUNCTION("""COMPUTED_VALUE"""),"golismero")</f>
        <v>golismero</v>
      </c>
      <c r="D377" s="4" t="s">
        <v>811</v>
      </c>
      <c r="E377" s="5">
        <v>41485.453125</v>
      </c>
      <c r="F377" s="5">
        <v>44293.468726851854</v>
      </c>
      <c r="G377" s="13">
        <f t="shared" si="30"/>
        <v>2808.0156018518537</v>
      </c>
      <c r="H377" s="6" t="b">
        <v>0</v>
      </c>
      <c r="I377" s="7" t="b">
        <v>1</v>
      </c>
      <c r="J377" s="8">
        <v>741</v>
      </c>
      <c r="K377" s="8">
        <v>86</v>
      </c>
      <c r="L377" s="8">
        <v>231</v>
      </c>
      <c r="M377" s="8">
        <v>0</v>
      </c>
      <c r="N377" s="8">
        <v>2</v>
      </c>
      <c r="O377" s="8">
        <v>11</v>
      </c>
      <c r="P377" s="8">
        <v>17</v>
      </c>
      <c r="Q377" s="8">
        <v>3</v>
      </c>
      <c r="R377" s="8">
        <v>40</v>
      </c>
      <c r="S377" s="8">
        <v>22</v>
      </c>
      <c r="T377" s="3" t="s">
        <v>64</v>
      </c>
      <c r="U377" s="10">
        <v>176505</v>
      </c>
      <c r="V377" s="32">
        <v>1156</v>
      </c>
      <c r="W377" s="27">
        <v>6.5493895357072035E-3</v>
      </c>
      <c r="X377" s="34">
        <v>268</v>
      </c>
      <c r="Y377" s="27">
        <v>0.23183391003460208</v>
      </c>
      <c r="Z377" s="27">
        <v>1.5183705844027081E-3</v>
      </c>
      <c r="AA377" s="35">
        <v>320</v>
      </c>
      <c r="AB377" s="27">
        <v>0.27681660899653981</v>
      </c>
      <c r="AC377" s="27">
        <f t="shared" si="31"/>
        <v>1.8129798022718904E-3</v>
      </c>
      <c r="AD377" s="36">
        <v>343</v>
      </c>
      <c r="AE377" s="27">
        <v>0.29671280276816608</v>
      </c>
      <c r="AF377" s="27">
        <f t="shared" si="32"/>
        <v>1.9432877255601824E-3</v>
      </c>
      <c r="AG377" s="37">
        <v>111</v>
      </c>
      <c r="AH377" s="27">
        <v>9.6020761245674741E-2</v>
      </c>
      <c r="AI377" s="27">
        <f t="shared" si="33"/>
        <v>6.288773689130619E-4</v>
      </c>
      <c r="AJ377" s="38">
        <v>29</v>
      </c>
      <c r="AK377" s="27">
        <v>2.5086505190311418E-2</v>
      </c>
      <c r="AL377" s="27">
        <f t="shared" si="34"/>
        <v>1.6430129458089006E-4</v>
      </c>
      <c r="AM377" s="40">
        <v>71</v>
      </c>
      <c r="AN377" s="27">
        <v>6.1418685121107264E-2</v>
      </c>
      <c r="AO377" s="27">
        <f t="shared" si="35"/>
        <v>4.0225489362907569E-4</v>
      </c>
      <c r="AP377" s="7" t="b">
        <v>1</v>
      </c>
      <c r="AQ377" s="6" t="b">
        <v>0</v>
      </c>
      <c r="AR377" s="6" t="b">
        <v>0</v>
      </c>
      <c r="AS377" s="6" t="b">
        <v>0</v>
      </c>
      <c r="AT377" s="7" t="b">
        <v>1</v>
      </c>
      <c r="AU377" s="6" t="b">
        <v>0</v>
      </c>
      <c r="AV377" s="6" t="b">
        <v>0</v>
      </c>
      <c r="AW377" s="6" t="b">
        <v>0</v>
      </c>
      <c r="AX377" s="6" t="b">
        <v>0</v>
      </c>
      <c r="AY377" s="6" t="b">
        <v>0</v>
      </c>
      <c r="AZ377" s="6" t="b">
        <v>0</v>
      </c>
      <c r="BA377" s="6" t="b">
        <v>0</v>
      </c>
      <c r="BB377" s="6" t="b">
        <v>0</v>
      </c>
    </row>
    <row r="378" spans="1:54" ht="15" x14ac:dyDescent="0.25">
      <c r="A378" s="3" t="s">
        <v>812</v>
      </c>
      <c r="B378" s="3" t="str">
        <f ca="1">IFERROR(__xludf.DUMMYFUNCTION("SPLIT(A378,""/"")"),"google-research")</f>
        <v>google-research</v>
      </c>
      <c r="C378" s="3" t="str">
        <f ca="1">IFERROR(__xludf.DUMMYFUNCTION("""COMPUTED_VALUE"""),"football")</f>
        <v>football</v>
      </c>
      <c r="D378" s="4" t="s">
        <v>813</v>
      </c>
      <c r="E378" s="5">
        <v>43619.541481481479</v>
      </c>
      <c r="F378" s="5">
        <v>44295.02</v>
      </c>
      <c r="G378" s="13">
        <f t="shared" si="30"/>
        <v>675.47851851851738</v>
      </c>
      <c r="H378" s="6" t="b">
        <v>0</v>
      </c>
      <c r="I378" s="7" t="b">
        <v>1</v>
      </c>
      <c r="J378" s="8">
        <v>2662</v>
      </c>
      <c r="K378" s="8">
        <v>101</v>
      </c>
      <c r="L378" s="8">
        <v>911</v>
      </c>
      <c r="M378" s="8">
        <v>8</v>
      </c>
      <c r="N378" s="8">
        <v>3</v>
      </c>
      <c r="O378" s="8">
        <v>20</v>
      </c>
      <c r="P378" s="8">
        <v>47</v>
      </c>
      <c r="Q378" s="8">
        <v>0</v>
      </c>
      <c r="R378" s="8">
        <v>219</v>
      </c>
      <c r="S378" s="8">
        <v>12</v>
      </c>
      <c r="T378" s="3" t="s">
        <v>69</v>
      </c>
      <c r="U378" s="10">
        <v>4342</v>
      </c>
      <c r="V378" s="32">
        <v>28</v>
      </c>
      <c r="W378" s="27">
        <v>6.4486411791801011E-3</v>
      </c>
      <c r="X378" s="34">
        <v>3</v>
      </c>
      <c r="Y378" s="27">
        <v>0.10714285714285714</v>
      </c>
      <c r="Z378" s="27">
        <v>6.9092584062643945E-4</v>
      </c>
      <c r="AA378" s="35">
        <v>8</v>
      </c>
      <c r="AB378" s="27">
        <v>0.2857142857142857</v>
      </c>
      <c r="AC378" s="27">
        <f t="shared" si="31"/>
        <v>1.8424689083371719E-3</v>
      </c>
      <c r="AD378" s="36">
        <v>11</v>
      </c>
      <c r="AE378" s="27">
        <v>0.39285714285714285</v>
      </c>
      <c r="AF378" s="27">
        <f t="shared" si="32"/>
        <v>2.5333947489636112E-3</v>
      </c>
      <c r="AG378" s="37">
        <v>4</v>
      </c>
      <c r="AH378" s="27">
        <v>0.14285714285714285</v>
      </c>
      <c r="AI378" s="27">
        <f t="shared" si="33"/>
        <v>9.2123445416858593E-4</v>
      </c>
      <c r="AJ378" s="38">
        <v>0</v>
      </c>
      <c r="AK378" s="27">
        <v>0</v>
      </c>
      <c r="AL378" s="27">
        <f t="shared" si="34"/>
        <v>0</v>
      </c>
      <c r="AM378" s="40">
        <v>0</v>
      </c>
      <c r="AN378" s="27">
        <v>0</v>
      </c>
      <c r="AO378" s="27">
        <f t="shared" si="35"/>
        <v>0</v>
      </c>
      <c r="AP378" s="7" t="b">
        <v>1</v>
      </c>
      <c r="AQ378" s="6" t="b">
        <v>0</v>
      </c>
      <c r="AR378" s="6" t="b">
        <v>0</v>
      </c>
      <c r="AS378" s="6" t="b">
        <v>0</v>
      </c>
      <c r="AT378" s="7" t="b">
        <v>1</v>
      </c>
      <c r="AU378" s="6" t="b">
        <v>0</v>
      </c>
      <c r="AV378" s="6" t="b">
        <v>0</v>
      </c>
      <c r="AW378" s="6" t="b">
        <v>0</v>
      </c>
      <c r="AX378" s="6" t="b">
        <v>0</v>
      </c>
      <c r="AY378" s="6" t="b">
        <v>0</v>
      </c>
      <c r="AZ378" s="6" t="b">
        <v>0</v>
      </c>
      <c r="BA378" s="6" t="b">
        <v>0</v>
      </c>
      <c r="BB378" s="6" t="b">
        <v>0</v>
      </c>
    </row>
    <row r="379" spans="1:54" ht="15" x14ac:dyDescent="0.25">
      <c r="A379" s="3" t="s">
        <v>814</v>
      </c>
      <c r="B379" s="3" t="str">
        <f ca="1">IFERROR(__xludf.DUMMYFUNCTION("SPLIT(A379,""/"")"),"google")</f>
        <v>google</v>
      </c>
      <c r="C379" s="3" t="str">
        <f ca="1">IFERROR(__xludf.DUMMYFUNCTION("""COMPUTED_VALUE"""),"android-emulator-container-scripts")</f>
        <v>android-emulator-container-scripts</v>
      </c>
      <c r="D379" s="4" t="s">
        <v>815</v>
      </c>
      <c r="E379" s="5">
        <v>43691.599189814813</v>
      </c>
      <c r="F379" s="5">
        <v>44294.966782407406</v>
      </c>
      <c r="G379" s="13">
        <f t="shared" si="30"/>
        <v>603.3675925925927</v>
      </c>
      <c r="H379" s="6" t="b">
        <v>0</v>
      </c>
      <c r="I379" s="7" t="b">
        <v>1</v>
      </c>
      <c r="J379" s="8">
        <v>1061</v>
      </c>
      <c r="K379" s="8">
        <v>50</v>
      </c>
      <c r="L379" s="8">
        <v>119</v>
      </c>
      <c r="M379" s="8">
        <v>0</v>
      </c>
      <c r="N379" s="8">
        <v>0</v>
      </c>
      <c r="O379" s="8">
        <v>18</v>
      </c>
      <c r="P379" s="8">
        <v>129</v>
      </c>
      <c r="Q379" s="8">
        <v>5</v>
      </c>
      <c r="R379" s="8">
        <v>118</v>
      </c>
      <c r="S379" s="8">
        <v>35</v>
      </c>
      <c r="T379" s="3" t="s">
        <v>69</v>
      </c>
      <c r="U379" s="10">
        <v>2254</v>
      </c>
      <c r="V379" s="32">
        <v>36</v>
      </c>
      <c r="W379" s="27">
        <v>1.5971606033717833E-2</v>
      </c>
      <c r="X379" s="34">
        <v>0</v>
      </c>
      <c r="Y379" s="27">
        <v>0</v>
      </c>
      <c r="Z379" s="27">
        <v>0</v>
      </c>
      <c r="AA379" s="35">
        <v>22</v>
      </c>
      <c r="AB379" s="27">
        <v>0.61111111111111116</v>
      </c>
      <c r="AC379" s="27">
        <f t="shared" si="31"/>
        <v>9.7604259094942331E-3</v>
      </c>
      <c r="AD379" s="36">
        <v>9</v>
      </c>
      <c r="AE379" s="27">
        <v>0.25</v>
      </c>
      <c r="AF379" s="27">
        <f t="shared" si="32"/>
        <v>3.9929015084294583E-3</v>
      </c>
      <c r="AG379" s="37">
        <v>5</v>
      </c>
      <c r="AH379" s="27">
        <v>0.1388888888888889</v>
      </c>
      <c r="AI379" s="27">
        <f t="shared" si="33"/>
        <v>2.2182786157941437E-3</v>
      </c>
      <c r="AJ379" s="38">
        <v>0</v>
      </c>
      <c r="AK379" s="27">
        <v>0</v>
      </c>
      <c r="AL379" s="27">
        <f t="shared" si="34"/>
        <v>0</v>
      </c>
      <c r="AM379" s="40">
        <v>0</v>
      </c>
      <c r="AN379" s="27">
        <v>0</v>
      </c>
      <c r="AO379" s="27">
        <f t="shared" si="35"/>
        <v>0</v>
      </c>
      <c r="AP379" s="7" t="b">
        <v>1</v>
      </c>
      <c r="AQ379" s="7" t="b">
        <v>1</v>
      </c>
      <c r="AR379" s="6" t="b">
        <v>0</v>
      </c>
      <c r="AS379" s="6" t="b">
        <v>0</v>
      </c>
      <c r="AT379" s="7" t="b">
        <v>1</v>
      </c>
      <c r="AU379" s="6" t="b">
        <v>0</v>
      </c>
      <c r="AV379" s="6" t="b">
        <v>0</v>
      </c>
      <c r="AW379" s="6" t="b">
        <v>0</v>
      </c>
      <c r="AX379" s="6" t="b">
        <v>0</v>
      </c>
      <c r="AY379" s="6" t="b">
        <v>0</v>
      </c>
      <c r="AZ379" s="6" t="b">
        <v>0</v>
      </c>
      <c r="BA379" s="6" t="b">
        <v>0</v>
      </c>
      <c r="BB379" s="6" t="b">
        <v>0</v>
      </c>
    </row>
    <row r="380" spans="1:54" ht="15" x14ac:dyDescent="0.25">
      <c r="A380" s="3" t="s">
        <v>816</v>
      </c>
      <c r="B380" s="3" t="str">
        <f ca="1">IFERROR(__xludf.DUMMYFUNCTION("SPLIT(A380,""/"")"),"google")</f>
        <v>google</v>
      </c>
      <c r="C380" s="3" t="str">
        <f ca="1">IFERROR(__xludf.DUMMYFUNCTION("""COMPUTED_VALUE"""),"brain-tokyo-workshop")</f>
        <v>brain-tokyo-workshop</v>
      </c>
      <c r="D380" s="4" t="s">
        <v>817</v>
      </c>
      <c r="E380" s="5">
        <v>43656.283101851855</v>
      </c>
      <c r="F380" s="5">
        <v>44286.529907407406</v>
      </c>
      <c r="G380" s="13">
        <f t="shared" si="30"/>
        <v>630.24680555555096</v>
      </c>
      <c r="H380" s="6" t="b">
        <v>0</v>
      </c>
      <c r="I380" s="7" t="b">
        <v>1</v>
      </c>
      <c r="J380" s="8">
        <v>851</v>
      </c>
      <c r="K380" s="8">
        <v>50</v>
      </c>
      <c r="L380" s="8">
        <v>244</v>
      </c>
      <c r="M380" s="8">
        <v>0</v>
      </c>
      <c r="N380" s="8">
        <v>1</v>
      </c>
      <c r="O380" s="8">
        <v>7</v>
      </c>
      <c r="P380" s="8">
        <v>7</v>
      </c>
      <c r="Q380" s="8">
        <v>2</v>
      </c>
      <c r="R380" s="8">
        <v>21</v>
      </c>
      <c r="S380" s="8">
        <v>12</v>
      </c>
      <c r="T380" s="3" t="s">
        <v>69</v>
      </c>
      <c r="U380" s="10">
        <v>17586</v>
      </c>
      <c r="V380" s="32">
        <v>32</v>
      </c>
      <c r="W380" s="27">
        <v>1.8196292505402024E-3</v>
      </c>
      <c r="X380" s="34">
        <v>0</v>
      </c>
      <c r="Y380" s="27">
        <v>0</v>
      </c>
      <c r="Z380" s="27">
        <v>0</v>
      </c>
      <c r="AA380" s="35">
        <v>28</v>
      </c>
      <c r="AB380" s="27">
        <v>0.875</v>
      </c>
      <c r="AC380" s="27">
        <f t="shared" si="31"/>
        <v>1.5921755942226771E-3</v>
      </c>
      <c r="AD380" s="36">
        <v>2</v>
      </c>
      <c r="AE380" s="27">
        <v>6.25E-2</v>
      </c>
      <c r="AF380" s="27">
        <f t="shared" si="32"/>
        <v>1.1372682815876265E-4</v>
      </c>
      <c r="AG380" s="37">
        <v>1</v>
      </c>
      <c r="AH380" s="27">
        <v>3.125E-2</v>
      </c>
      <c r="AI380" s="27">
        <f t="shared" si="33"/>
        <v>5.6863414079381326E-5</v>
      </c>
      <c r="AJ380" s="38">
        <v>0</v>
      </c>
      <c r="AK380" s="27">
        <v>0</v>
      </c>
      <c r="AL380" s="27">
        <f t="shared" si="34"/>
        <v>0</v>
      </c>
      <c r="AM380" s="40">
        <v>0</v>
      </c>
      <c r="AN380" s="27">
        <v>0</v>
      </c>
      <c r="AO380" s="27">
        <f t="shared" si="35"/>
        <v>0</v>
      </c>
      <c r="AP380" s="7" t="b">
        <v>1</v>
      </c>
      <c r="AQ380" s="6" t="b">
        <v>0</v>
      </c>
      <c r="AR380" s="6" t="b">
        <v>0</v>
      </c>
      <c r="AS380" s="6" t="b">
        <v>0</v>
      </c>
      <c r="AT380" s="7" t="b">
        <v>1</v>
      </c>
      <c r="AU380" s="6" t="b">
        <v>0</v>
      </c>
      <c r="AV380" s="6" t="b">
        <v>0</v>
      </c>
      <c r="AW380" s="6" t="b">
        <v>0</v>
      </c>
      <c r="AX380" s="6" t="b">
        <v>0</v>
      </c>
      <c r="AY380" s="6" t="b">
        <v>0</v>
      </c>
      <c r="AZ380" s="6" t="b">
        <v>0</v>
      </c>
      <c r="BA380" s="6" t="b">
        <v>0</v>
      </c>
      <c r="BB380" s="6" t="b">
        <v>0</v>
      </c>
    </row>
    <row r="381" spans="1:54" ht="15" x14ac:dyDescent="0.25">
      <c r="A381" s="3" t="s">
        <v>818</v>
      </c>
      <c r="B381" s="3" t="str">
        <f ca="1">IFERROR(__xludf.DUMMYFUNCTION("SPLIT(A381,""/"")"),"google")</f>
        <v>google</v>
      </c>
      <c r="C381" s="3" t="str">
        <f ca="1">IFERROR(__xludf.DUMMYFUNCTION("""COMPUTED_VALUE"""),"caliban")</f>
        <v>caliban</v>
      </c>
      <c r="D381" s="4" t="s">
        <v>819</v>
      </c>
      <c r="E381" s="5">
        <v>43984.758912037039</v>
      </c>
      <c r="F381" s="5">
        <v>44275.983993055554</v>
      </c>
      <c r="G381" s="13">
        <f t="shared" si="30"/>
        <v>291.22508101851417</v>
      </c>
      <c r="H381" s="6" t="b">
        <v>0</v>
      </c>
      <c r="I381" s="7" t="b">
        <v>1</v>
      </c>
      <c r="J381" s="8">
        <v>334</v>
      </c>
      <c r="K381" s="8">
        <v>17</v>
      </c>
      <c r="L381" s="8">
        <v>32</v>
      </c>
      <c r="M381" s="8">
        <v>6</v>
      </c>
      <c r="N381" s="8">
        <v>0</v>
      </c>
      <c r="O381" s="8">
        <v>7</v>
      </c>
      <c r="P381" s="8">
        <v>78</v>
      </c>
      <c r="Q381" s="8">
        <v>11</v>
      </c>
      <c r="R381" s="8">
        <v>22</v>
      </c>
      <c r="S381" s="8">
        <v>10</v>
      </c>
      <c r="T381" s="3" t="s">
        <v>92</v>
      </c>
      <c r="U381" s="10">
        <v>7111</v>
      </c>
      <c r="V381" s="32">
        <v>155</v>
      </c>
      <c r="W381" s="27">
        <v>2.1797215581493459E-2</v>
      </c>
      <c r="X381" s="34">
        <v>1</v>
      </c>
      <c r="Y381" s="27">
        <v>6.4516129032258064E-3</v>
      </c>
      <c r="Z381" s="27">
        <v>1.4062719729995781E-4</v>
      </c>
      <c r="AA381" s="35">
        <v>82</v>
      </c>
      <c r="AB381" s="27">
        <v>0.52903225806451615</v>
      </c>
      <c r="AC381" s="27">
        <f t="shared" si="31"/>
        <v>1.1531430178596541E-2</v>
      </c>
      <c r="AD381" s="36">
        <v>2</v>
      </c>
      <c r="AE381" s="27">
        <v>1.2903225806451613E-2</v>
      </c>
      <c r="AF381" s="27">
        <f t="shared" si="32"/>
        <v>2.8125439459991561E-4</v>
      </c>
      <c r="AG381" s="37">
        <v>67</v>
      </c>
      <c r="AH381" s="27">
        <v>0.43225806451612903</v>
      </c>
      <c r="AI381" s="27">
        <f t="shared" si="33"/>
        <v>9.4220222190971731E-3</v>
      </c>
      <c r="AJ381" s="38">
        <v>0</v>
      </c>
      <c r="AK381" s="27">
        <v>0</v>
      </c>
      <c r="AL381" s="27">
        <f t="shared" si="34"/>
        <v>0</v>
      </c>
      <c r="AM381" s="40">
        <v>1</v>
      </c>
      <c r="AN381" s="27">
        <v>6.4516129032258064E-3</v>
      </c>
      <c r="AO381" s="27">
        <f t="shared" si="35"/>
        <v>1.4062719729995781E-4</v>
      </c>
      <c r="AP381" s="7" t="b">
        <v>1</v>
      </c>
      <c r="AQ381" s="6" t="b">
        <v>0</v>
      </c>
      <c r="AR381" s="6" t="b">
        <v>0</v>
      </c>
      <c r="AS381" s="6" t="b">
        <v>0</v>
      </c>
      <c r="AT381" s="7" t="b">
        <v>1</v>
      </c>
      <c r="AU381" s="6" t="b">
        <v>0</v>
      </c>
      <c r="AV381" s="6" t="b">
        <v>0</v>
      </c>
      <c r="AW381" s="6" t="b">
        <v>0</v>
      </c>
      <c r="AX381" s="6" t="b">
        <v>0</v>
      </c>
      <c r="AY381" s="6" t="b">
        <v>0</v>
      </c>
      <c r="AZ381" s="6" t="b">
        <v>0</v>
      </c>
      <c r="BA381" s="6" t="b">
        <v>0</v>
      </c>
      <c r="BB381" s="6" t="b">
        <v>0</v>
      </c>
    </row>
    <row r="382" spans="1:54" ht="15" x14ac:dyDescent="0.25">
      <c r="A382" s="3" t="s">
        <v>820</v>
      </c>
      <c r="B382" s="3" t="str">
        <f ca="1">IFERROR(__xludf.DUMMYFUNCTION("SPLIT(A382,""/"")"),"google")</f>
        <v>google</v>
      </c>
      <c r="C382" s="3" t="str">
        <f ca="1">IFERROR(__xludf.DUMMYFUNCTION("""COMPUTED_VALUE"""),"capirca")</f>
        <v>capirca</v>
      </c>
      <c r="D382" s="4" t="s">
        <v>821</v>
      </c>
      <c r="E382" s="5">
        <v>42220.725821759261</v>
      </c>
      <c r="F382" s="5">
        <v>44293.348124999997</v>
      </c>
      <c r="G382" s="13">
        <f t="shared" si="30"/>
        <v>2072.6223032407361</v>
      </c>
      <c r="H382" s="6" t="b">
        <v>0</v>
      </c>
      <c r="I382" s="7" t="b">
        <v>1</v>
      </c>
      <c r="J382" s="8">
        <v>498</v>
      </c>
      <c r="K382" s="8">
        <v>64</v>
      </c>
      <c r="L382" s="8">
        <v>152</v>
      </c>
      <c r="M382" s="8">
        <v>3</v>
      </c>
      <c r="N382" s="8">
        <v>1</v>
      </c>
      <c r="O382" s="8">
        <v>53</v>
      </c>
      <c r="P382" s="8">
        <v>139</v>
      </c>
      <c r="Q382" s="8">
        <v>15</v>
      </c>
      <c r="R382" s="8">
        <v>120</v>
      </c>
      <c r="S382" s="8">
        <v>20</v>
      </c>
      <c r="T382" s="3" t="s">
        <v>69</v>
      </c>
      <c r="U382" s="10">
        <v>18397</v>
      </c>
      <c r="V382" s="32">
        <v>184</v>
      </c>
      <c r="W382" s="27">
        <v>1.0001630700657715E-2</v>
      </c>
      <c r="X382" s="34">
        <v>62</v>
      </c>
      <c r="Y382" s="27">
        <v>0.33695652173913043</v>
      </c>
      <c r="Z382" s="27">
        <v>3.3701146926129262E-3</v>
      </c>
      <c r="AA382" s="35">
        <v>60</v>
      </c>
      <c r="AB382" s="27">
        <v>0.32608695652173914</v>
      </c>
      <c r="AC382" s="27">
        <f t="shared" si="31"/>
        <v>3.2614013154318639E-3</v>
      </c>
      <c r="AD382" s="36">
        <v>61</v>
      </c>
      <c r="AE382" s="27">
        <v>0.33152173913043476</v>
      </c>
      <c r="AF382" s="27">
        <f t="shared" si="32"/>
        <v>3.3157580040223951E-3</v>
      </c>
      <c r="AG382" s="37">
        <v>0</v>
      </c>
      <c r="AH382" s="27">
        <v>0</v>
      </c>
      <c r="AI382" s="27">
        <f t="shared" si="33"/>
        <v>0</v>
      </c>
      <c r="AJ382" s="38">
        <v>1</v>
      </c>
      <c r="AK382" s="27">
        <v>5.434782608695652E-3</v>
      </c>
      <c r="AL382" s="27">
        <f t="shared" si="34"/>
        <v>5.4356688590531064E-5</v>
      </c>
      <c r="AM382" s="40">
        <v>0</v>
      </c>
      <c r="AN382" s="27">
        <v>0</v>
      </c>
      <c r="AO382" s="27">
        <f t="shared" si="35"/>
        <v>0</v>
      </c>
      <c r="AP382" s="7" t="b">
        <v>1</v>
      </c>
      <c r="AQ382" s="6" t="b">
        <v>0</v>
      </c>
      <c r="AR382" s="6" t="b">
        <v>0</v>
      </c>
      <c r="AS382" s="6" t="b">
        <v>0</v>
      </c>
      <c r="AT382" s="7" t="b">
        <v>1</v>
      </c>
      <c r="AU382" s="6" t="b">
        <v>0</v>
      </c>
      <c r="AV382" s="6" t="b">
        <v>0</v>
      </c>
      <c r="AW382" s="6" t="b">
        <v>0</v>
      </c>
      <c r="AX382" s="6" t="b">
        <v>0</v>
      </c>
      <c r="AY382" s="6" t="b">
        <v>0</v>
      </c>
      <c r="AZ382" s="6" t="b">
        <v>0</v>
      </c>
      <c r="BA382" s="6" t="b">
        <v>0</v>
      </c>
      <c r="BB382" s="6" t="b">
        <v>0</v>
      </c>
    </row>
    <row r="383" spans="1:54" ht="15" x14ac:dyDescent="0.25">
      <c r="A383" s="3" t="s">
        <v>822</v>
      </c>
      <c r="B383" s="3" t="str">
        <f ca="1">IFERROR(__xludf.DUMMYFUNCTION("SPLIT(A383,""/"")"),"google")</f>
        <v>google</v>
      </c>
      <c r="C383" s="3" t="str">
        <f ca="1">IFERROR(__xludf.DUMMYFUNCTION("""COMPUTED_VALUE"""),"clif")</f>
        <v>clif</v>
      </c>
      <c r="D383" s="4" t="s">
        <v>823</v>
      </c>
      <c r="E383" s="5">
        <v>42842.983402777776</v>
      </c>
      <c r="F383" s="5">
        <v>44294.907071759262</v>
      </c>
      <c r="G383" s="13">
        <f t="shared" si="30"/>
        <v>1451.9236689814861</v>
      </c>
      <c r="H383" s="6" t="b">
        <v>0</v>
      </c>
      <c r="I383" s="7" t="b">
        <v>1</v>
      </c>
      <c r="J383" s="8">
        <v>847</v>
      </c>
      <c r="K383" s="8">
        <v>60</v>
      </c>
      <c r="L383" s="8">
        <v>98</v>
      </c>
      <c r="M383" s="8">
        <v>1</v>
      </c>
      <c r="N383" s="8">
        <v>6</v>
      </c>
      <c r="O383" s="8">
        <v>9</v>
      </c>
      <c r="P383" s="8">
        <v>7</v>
      </c>
      <c r="Q383" s="8">
        <v>0</v>
      </c>
      <c r="R383" s="8">
        <v>34</v>
      </c>
      <c r="S383" s="8">
        <v>3</v>
      </c>
      <c r="T383" s="3" t="s">
        <v>69</v>
      </c>
      <c r="U383" s="10">
        <v>9328</v>
      </c>
      <c r="V383" s="32">
        <v>1</v>
      </c>
      <c r="W383" s="27">
        <v>1.072041166380789E-4</v>
      </c>
      <c r="X383" s="34">
        <v>0</v>
      </c>
      <c r="Y383" s="27">
        <v>0</v>
      </c>
      <c r="Z383" s="27">
        <v>0</v>
      </c>
      <c r="AA383" s="35">
        <v>1</v>
      </c>
      <c r="AB383" s="27">
        <v>1</v>
      </c>
      <c r="AC383" s="27">
        <f t="shared" si="31"/>
        <v>1.072041166380789E-4</v>
      </c>
      <c r="AD383" s="36">
        <v>0</v>
      </c>
      <c r="AE383" s="27">
        <v>0</v>
      </c>
      <c r="AF383" s="27">
        <f t="shared" si="32"/>
        <v>0</v>
      </c>
      <c r="AG383" s="37">
        <v>0</v>
      </c>
      <c r="AH383" s="27">
        <v>0</v>
      </c>
      <c r="AI383" s="27">
        <f t="shared" si="33"/>
        <v>0</v>
      </c>
      <c r="AJ383" s="38">
        <v>0</v>
      </c>
      <c r="AK383" s="27">
        <v>0</v>
      </c>
      <c r="AL383" s="27">
        <f t="shared" si="34"/>
        <v>0</v>
      </c>
      <c r="AM383" s="40">
        <v>0</v>
      </c>
      <c r="AN383" s="27">
        <v>0</v>
      </c>
      <c r="AO383" s="27">
        <f t="shared" si="35"/>
        <v>0</v>
      </c>
      <c r="AP383" s="7" t="b">
        <v>1</v>
      </c>
      <c r="AQ383" s="6" t="b">
        <v>0</v>
      </c>
      <c r="AR383" s="6" t="b">
        <v>0</v>
      </c>
      <c r="AS383" s="6" t="b">
        <v>0</v>
      </c>
      <c r="AT383" s="7" t="b">
        <v>1</v>
      </c>
      <c r="AU383" s="6" t="b">
        <v>0</v>
      </c>
      <c r="AV383" s="6" t="b">
        <v>0</v>
      </c>
      <c r="AW383" s="6" t="b">
        <v>0</v>
      </c>
      <c r="AX383" s="6" t="b">
        <v>0</v>
      </c>
      <c r="AY383" s="6" t="b">
        <v>0</v>
      </c>
      <c r="AZ383" s="6" t="b">
        <v>0</v>
      </c>
      <c r="BA383" s="6" t="b">
        <v>0</v>
      </c>
      <c r="BB383" s="6" t="b">
        <v>0</v>
      </c>
    </row>
    <row r="384" spans="1:54" ht="15" x14ac:dyDescent="0.25">
      <c r="A384" s="3" t="s">
        <v>824</v>
      </c>
      <c r="B384" s="3" t="str">
        <f ca="1">IFERROR(__xludf.DUMMYFUNCTION("SPLIT(A384,""/"")"),"google")</f>
        <v>google</v>
      </c>
      <c r="C384" s="3" t="str">
        <f ca="1">IFERROR(__xludf.DUMMYFUNCTION("""COMPUTED_VALUE"""),"clusterfuzz")</f>
        <v>clusterfuzz</v>
      </c>
      <c r="D384" s="4" t="s">
        <v>825</v>
      </c>
      <c r="E384" s="5">
        <v>43494.013657407406</v>
      </c>
      <c r="F384" s="5">
        <v>44295.089606481481</v>
      </c>
      <c r="G384" s="13">
        <f t="shared" si="30"/>
        <v>801.07594907407474</v>
      </c>
      <c r="H384" s="6" t="b">
        <v>0</v>
      </c>
      <c r="I384" s="7" t="b">
        <v>1</v>
      </c>
      <c r="J384" s="8">
        <v>4482</v>
      </c>
      <c r="K384" s="8">
        <v>119</v>
      </c>
      <c r="L384" s="8">
        <v>406</v>
      </c>
      <c r="M384" s="8">
        <v>24</v>
      </c>
      <c r="N384" s="8">
        <v>8</v>
      </c>
      <c r="O384" s="8">
        <v>38</v>
      </c>
      <c r="P384" s="8">
        <v>1793</v>
      </c>
      <c r="Q384" s="8">
        <v>3</v>
      </c>
      <c r="R384" s="8">
        <v>498</v>
      </c>
      <c r="S384" s="8">
        <v>163</v>
      </c>
      <c r="T384" s="3" t="s">
        <v>69</v>
      </c>
      <c r="U384" s="10">
        <v>67548</v>
      </c>
      <c r="V384" s="32">
        <v>430</v>
      </c>
      <c r="W384" s="27">
        <v>6.3658435482915852E-3</v>
      </c>
      <c r="X384" s="34">
        <v>1</v>
      </c>
      <c r="Y384" s="27">
        <v>2.3255813953488372E-3</v>
      </c>
      <c r="Z384" s="27">
        <v>1.4804287321608338E-5</v>
      </c>
      <c r="AA384" s="35">
        <v>34</v>
      </c>
      <c r="AB384" s="27">
        <v>7.9069767441860464E-2</v>
      </c>
      <c r="AC384" s="27">
        <f t="shared" si="31"/>
        <v>5.0334576893468349E-4</v>
      </c>
      <c r="AD384" s="36">
        <v>3</v>
      </c>
      <c r="AE384" s="27">
        <v>6.9767441860465115E-3</v>
      </c>
      <c r="AF384" s="27">
        <f t="shared" si="32"/>
        <v>4.4412861964825011E-5</v>
      </c>
      <c r="AG384" s="37">
        <v>17</v>
      </c>
      <c r="AH384" s="27">
        <v>3.9534883720930232E-2</v>
      </c>
      <c r="AI384" s="27">
        <f t="shared" si="33"/>
        <v>2.5167288446734175E-4</v>
      </c>
      <c r="AJ384" s="38">
        <v>0</v>
      </c>
      <c r="AK384" s="27">
        <v>0</v>
      </c>
      <c r="AL384" s="27">
        <f t="shared" si="34"/>
        <v>0</v>
      </c>
      <c r="AM384" s="40">
        <v>375</v>
      </c>
      <c r="AN384" s="27">
        <v>0.87209302325581395</v>
      </c>
      <c r="AO384" s="27">
        <f t="shared" si="35"/>
        <v>5.5516077456031271E-3</v>
      </c>
      <c r="AP384" s="7" t="b">
        <v>1</v>
      </c>
      <c r="AQ384" s="6" t="b">
        <v>0</v>
      </c>
      <c r="AR384" s="6" t="b">
        <v>0</v>
      </c>
      <c r="AS384" s="6" t="b">
        <v>0</v>
      </c>
      <c r="AT384" s="7" t="b">
        <v>1</v>
      </c>
      <c r="AU384" s="6" t="b">
        <v>0</v>
      </c>
      <c r="AV384" s="6" t="b">
        <v>0</v>
      </c>
      <c r="AW384" s="6" t="b">
        <v>0</v>
      </c>
      <c r="AX384" s="6" t="b">
        <v>0</v>
      </c>
      <c r="AY384" s="6" t="b">
        <v>0</v>
      </c>
      <c r="AZ384" s="6" t="b">
        <v>0</v>
      </c>
      <c r="BA384" s="6" t="b">
        <v>0</v>
      </c>
      <c r="BB384" s="6" t="b">
        <v>0</v>
      </c>
    </row>
    <row r="385" spans="1:54" ht="15" x14ac:dyDescent="0.25">
      <c r="A385" s="3" t="s">
        <v>826</v>
      </c>
      <c r="B385" s="3" t="str">
        <f ca="1">IFERROR(__xludf.DUMMYFUNCTION("SPLIT(A385,""/"")"),"google")</f>
        <v>google</v>
      </c>
      <c r="C385" s="3" t="str">
        <f ca="1">IFERROR(__xludf.DUMMYFUNCTION("""COMPUTED_VALUE"""),"deepvariant")</f>
        <v>deepvariant</v>
      </c>
      <c r="D385" s="4" t="s">
        <v>827</v>
      </c>
      <c r="E385" s="5">
        <v>43062.080810185187</v>
      </c>
      <c r="F385" s="5">
        <v>44293.852141203701</v>
      </c>
      <c r="G385" s="13">
        <f t="shared" si="30"/>
        <v>1231.7713310185136</v>
      </c>
      <c r="H385" s="6" t="b">
        <v>0</v>
      </c>
      <c r="I385" s="7" t="b">
        <v>1</v>
      </c>
      <c r="J385" s="8">
        <v>2241</v>
      </c>
      <c r="K385" s="8">
        <v>163</v>
      </c>
      <c r="L385" s="8">
        <v>540</v>
      </c>
      <c r="M385" s="8">
        <v>15</v>
      </c>
      <c r="N385" s="8">
        <v>2</v>
      </c>
      <c r="O385" s="8">
        <v>18</v>
      </c>
      <c r="P385" s="8">
        <v>42</v>
      </c>
      <c r="Q385" s="8">
        <v>1</v>
      </c>
      <c r="R385" s="8">
        <v>393</v>
      </c>
      <c r="S385" s="8">
        <v>1</v>
      </c>
      <c r="T385" s="3" t="s">
        <v>57</v>
      </c>
      <c r="U385" s="10">
        <v>19201</v>
      </c>
      <c r="V385" s="32">
        <v>114</v>
      </c>
      <c r="W385" s="27">
        <v>5.9371907713139938E-3</v>
      </c>
      <c r="X385" s="34">
        <v>2</v>
      </c>
      <c r="Y385" s="27">
        <v>1.7543859649122806E-2</v>
      </c>
      <c r="Z385" s="27">
        <v>1.041612416019999E-4</v>
      </c>
      <c r="AA385" s="35">
        <v>87</v>
      </c>
      <c r="AB385" s="27">
        <v>0.76315789473684215</v>
      </c>
      <c r="AC385" s="27">
        <f t="shared" si="31"/>
        <v>4.5310140096869959E-3</v>
      </c>
      <c r="AD385" s="36">
        <v>20</v>
      </c>
      <c r="AE385" s="27">
        <v>0.17543859649122806</v>
      </c>
      <c r="AF385" s="27">
        <f t="shared" si="32"/>
        <v>1.041612416019999E-3</v>
      </c>
      <c r="AG385" s="37">
        <v>5</v>
      </c>
      <c r="AH385" s="27">
        <v>4.3859649122807015E-2</v>
      </c>
      <c r="AI385" s="27">
        <f t="shared" si="33"/>
        <v>2.6040310400499974E-4</v>
      </c>
      <c r="AJ385" s="38">
        <v>0</v>
      </c>
      <c r="AK385" s="27">
        <v>0</v>
      </c>
      <c r="AL385" s="27">
        <f t="shared" si="34"/>
        <v>0</v>
      </c>
      <c r="AM385" s="40">
        <v>0</v>
      </c>
      <c r="AN385" s="27">
        <v>0</v>
      </c>
      <c r="AO385" s="27">
        <f t="shared" si="35"/>
        <v>0</v>
      </c>
      <c r="AP385" s="7" t="b">
        <v>1</v>
      </c>
      <c r="AQ385" s="6" t="b">
        <v>0</v>
      </c>
      <c r="AR385" s="6" t="b">
        <v>0</v>
      </c>
      <c r="AS385" s="6" t="b">
        <v>0</v>
      </c>
      <c r="AT385" s="7" t="b">
        <v>1</v>
      </c>
      <c r="AU385" s="6" t="b">
        <v>0</v>
      </c>
      <c r="AV385" s="6" t="b">
        <v>0</v>
      </c>
      <c r="AW385" s="6" t="b">
        <v>0</v>
      </c>
      <c r="AX385" s="6" t="b">
        <v>0</v>
      </c>
      <c r="AY385" s="6" t="b">
        <v>0</v>
      </c>
      <c r="AZ385" s="6" t="b">
        <v>0</v>
      </c>
      <c r="BA385" s="6" t="b">
        <v>0</v>
      </c>
      <c r="BB385" s="6" t="b">
        <v>0</v>
      </c>
    </row>
    <row r="386" spans="1:54" ht="15" x14ac:dyDescent="0.25">
      <c r="A386" s="3" t="s">
        <v>828</v>
      </c>
      <c r="B386" s="3" t="str">
        <f ca="1">IFERROR(__xludf.DUMMYFUNCTION("SPLIT(A386,""/"")"),"google")</f>
        <v>google</v>
      </c>
      <c r="C386" s="3" t="str">
        <f ca="1">IFERROR(__xludf.DUMMYFUNCTION("""COMPUTED_VALUE"""),"fuzzbench")</f>
        <v>fuzzbench</v>
      </c>
      <c r="D386" s="4" t="s">
        <v>829</v>
      </c>
      <c r="E386" s="5">
        <v>43865.098819444444</v>
      </c>
      <c r="F386" s="5">
        <v>44295.015902777777</v>
      </c>
      <c r="G386" s="13">
        <f t="shared" si="30"/>
        <v>429.91708333333372</v>
      </c>
      <c r="H386" s="6" t="b">
        <v>0</v>
      </c>
      <c r="I386" s="7" t="b">
        <v>1</v>
      </c>
      <c r="J386" s="8">
        <v>619</v>
      </c>
      <c r="K386" s="8">
        <v>33</v>
      </c>
      <c r="L386" s="8">
        <v>99</v>
      </c>
      <c r="M386" s="8">
        <v>0</v>
      </c>
      <c r="N386" s="8">
        <v>12</v>
      </c>
      <c r="O386" s="8">
        <v>33</v>
      </c>
      <c r="P386" s="8">
        <v>820</v>
      </c>
      <c r="Q386" s="8">
        <v>19</v>
      </c>
      <c r="R386" s="8">
        <v>308</v>
      </c>
      <c r="S386" s="8">
        <v>114</v>
      </c>
      <c r="T386" s="3" t="s">
        <v>69</v>
      </c>
      <c r="U386" s="10">
        <v>10395</v>
      </c>
      <c r="V386" s="32">
        <v>152</v>
      </c>
      <c r="W386" s="27">
        <v>1.4622414622414622E-2</v>
      </c>
      <c r="X386" s="34">
        <v>13</v>
      </c>
      <c r="Y386" s="27">
        <v>8.5526315789473686E-2</v>
      </c>
      <c r="Z386" s="27">
        <v>1.2506012506012505E-3</v>
      </c>
      <c r="AA386" s="35">
        <v>63</v>
      </c>
      <c r="AB386" s="27">
        <v>0.41447368421052633</v>
      </c>
      <c r="AC386" s="27">
        <f t="shared" si="31"/>
        <v>6.0606060606060606E-3</v>
      </c>
      <c r="AD386" s="36">
        <v>14</v>
      </c>
      <c r="AE386" s="27">
        <v>9.2105263157894732E-2</v>
      </c>
      <c r="AF386" s="27">
        <f t="shared" si="32"/>
        <v>1.3468013468013469E-3</v>
      </c>
      <c r="AG386" s="37">
        <v>61</v>
      </c>
      <c r="AH386" s="27">
        <v>0.40131578947368424</v>
      </c>
      <c r="AI386" s="27">
        <f t="shared" si="33"/>
        <v>5.8682058682058679E-3</v>
      </c>
      <c r="AJ386" s="38">
        <v>0</v>
      </c>
      <c r="AK386" s="27">
        <v>0</v>
      </c>
      <c r="AL386" s="27">
        <f t="shared" si="34"/>
        <v>0</v>
      </c>
      <c r="AM386" s="40">
        <v>1</v>
      </c>
      <c r="AN386" s="27">
        <v>6.5789473684210523E-3</v>
      </c>
      <c r="AO386" s="27">
        <f t="shared" si="35"/>
        <v>9.6200096200096195E-5</v>
      </c>
      <c r="AP386" s="7" t="b">
        <v>1</v>
      </c>
      <c r="AQ386" s="6" t="b">
        <v>0</v>
      </c>
      <c r="AR386" s="6" t="b">
        <v>0</v>
      </c>
      <c r="AS386" s="6" t="b">
        <v>0</v>
      </c>
      <c r="AT386" s="7" t="b">
        <v>1</v>
      </c>
      <c r="AU386" s="6" t="b">
        <v>0</v>
      </c>
      <c r="AV386" s="6" t="b">
        <v>0</v>
      </c>
      <c r="AW386" s="6" t="b">
        <v>0</v>
      </c>
      <c r="AX386" s="6" t="b">
        <v>0</v>
      </c>
      <c r="AY386" s="6" t="b">
        <v>0</v>
      </c>
      <c r="AZ386" s="6" t="b">
        <v>0</v>
      </c>
      <c r="BA386" s="6" t="b">
        <v>0</v>
      </c>
      <c r="BB386" s="6" t="b">
        <v>0</v>
      </c>
    </row>
    <row r="387" spans="1:54" ht="15" x14ac:dyDescent="0.25">
      <c r="A387" s="3" t="s">
        <v>830</v>
      </c>
      <c r="B387" s="3" t="str">
        <f ca="1">IFERROR(__xludf.DUMMYFUNCTION("SPLIT(A387,""/"")"),"google")</f>
        <v>google</v>
      </c>
      <c r="C387" s="3" t="str">
        <f ca="1">IFERROR(__xludf.DUMMYFUNCTION("""COMPUTED_VALUE"""),"grr")</f>
        <v>grr</v>
      </c>
      <c r="D387" s="4" t="s">
        <v>831</v>
      </c>
      <c r="E387" s="5">
        <v>41612.012418981481</v>
      </c>
      <c r="F387" s="5">
        <v>44295.087002314816</v>
      </c>
      <c r="G387" s="13">
        <f t="shared" ref="G387:G450" si="36">F387-E387</f>
        <v>2683.0745833333349</v>
      </c>
      <c r="H387" s="6" t="b">
        <v>0</v>
      </c>
      <c r="I387" s="7" t="b">
        <v>1</v>
      </c>
      <c r="J387" s="8">
        <v>3754</v>
      </c>
      <c r="K387" s="8">
        <v>331</v>
      </c>
      <c r="L387" s="8">
        <v>641</v>
      </c>
      <c r="M387" s="8">
        <v>21</v>
      </c>
      <c r="N387" s="8">
        <v>14</v>
      </c>
      <c r="O387" s="8">
        <v>40</v>
      </c>
      <c r="P387" s="8">
        <v>287</v>
      </c>
      <c r="Q387" s="8">
        <v>23</v>
      </c>
      <c r="R387" s="8">
        <v>633</v>
      </c>
      <c r="S387" s="8">
        <v>109</v>
      </c>
      <c r="T387" s="3" t="s">
        <v>69</v>
      </c>
      <c r="U387" s="10">
        <v>124197</v>
      </c>
      <c r="V387" s="32">
        <v>571</v>
      </c>
      <c r="W387" s="27">
        <v>4.5975345620264578E-3</v>
      </c>
      <c r="X387" s="34">
        <v>94</v>
      </c>
      <c r="Y387" s="27">
        <v>0.16462346760070051</v>
      </c>
      <c r="Z387" s="27">
        <v>7.5686208201486351E-4</v>
      </c>
      <c r="AA387" s="35">
        <v>174</v>
      </c>
      <c r="AB387" s="27">
        <v>0.30472854640980734</v>
      </c>
      <c r="AC387" s="27">
        <f t="shared" ref="AC387:AC450" si="37">AA387/U387</f>
        <v>1.4010000241551728E-3</v>
      </c>
      <c r="AD387" s="36">
        <v>53</v>
      </c>
      <c r="AE387" s="27">
        <v>9.2819614711033269E-2</v>
      </c>
      <c r="AF387" s="27">
        <f t="shared" ref="AF387:AF450" si="38">AD387/U387</f>
        <v>4.2674138666795494E-4</v>
      </c>
      <c r="AG387" s="37">
        <v>137</v>
      </c>
      <c r="AH387" s="27">
        <v>0.23992994746059546</v>
      </c>
      <c r="AI387" s="27">
        <f t="shared" ref="AI387:AI450" si="39">AG387/U387</f>
        <v>1.1030862259152798E-3</v>
      </c>
      <c r="AJ387" s="38">
        <v>4</v>
      </c>
      <c r="AK387" s="27">
        <v>7.0052539404553416E-3</v>
      </c>
      <c r="AL387" s="27">
        <f t="shared" ref="AL387:AL450" si="40">AJ387/U387</f>
        <v>3.2206897107015467E-5</v>
      </c>
      <c r="AM387" s="40">
        <v>99</v>
      </c>
      <c r="AN387" s="27">
        <v>0.1733800350262697</v>
      </c>
      <c r="AO387" s="27">
        <f t="shared" ref="AO387:AO450" si="41">AM387/U387</f>
        <v>7.9712070339863286E-4</v>
      </c>
      <c r="AP387" s="7" t="b">
        <v>1</v>
      </c>
      <c r="AQ387" s="6" t="b">
        <v>0</v>
      </c>
      <c r="AR387" s="6" t="b">
        <v>0</v>
      </c>
      <c r="AS387" s="6" t="b">
        <v>0</v>
      </c>
      <c r="AT387" s="7" t="b">
        <v>1</v>
      </c>
      <c r="AU387" s="6" t="b">
        <v>0</v>
      </c>
      <c r="AV387" s="6" t="b">
        <v>0</v>
      </c>
      <c r="AW387" s="6" t="b">
        <v>0</v>
      </c>
      <c r="AX387" s="6" t="b">
        <v>0</v>
      </c>
      <c r="AY387" s="6" t="b">
        <v>0</v>
      </c>
      <c r="AZ387" s="6" t="b">
        <v>0</v>
      </c>
      <c r="BA387" s="6" t="b">
        <v>0</v>
      </c>
      <c r="BB387" s="6" t="b">
        <v>0</v>
      </c>
    </row>
    <row r="388" spans="1:54" ht="15" x14ac:dyDescent="0.25">
      <c r="A388" s="3" t="s">
        <v>832</v>
      </c>
      <c r="B388" s="3" t="str">
        <f ca="1">IFERROR(__xludf.DUMMYFUNCTION("SPLIT(A388,""/"")"),"google")</f>
        <v>google</v>
      </c>
      <c r="C388" s="3" t="str">
        <f ca="1">IFERROR(__xludf.DUMMYFUNCTION("""COMPUTED_VALUE"""),"jax")</f>
        <v>jax</v>
      </c>
      <c r="D388" s="4" t="s">
        <v>833</v>
      </c>
      <c r="E388" s="5">
        <v>43398.892384259256</v>
      </c>
      <c r="F388" s="5">
        <v>44295.138240740744</v>
      </c>
      <c r="G388" s="13">
        <f t="shared" si="36"/>
        <v>896.24585648148786</v>
      </c>
      <c r="H388" s="6" t="b">
        <v>0</v>
      </c>
      <c r="I388" s="7" t="b">
        <v>1</v>
      </c>
      <c r="J388" s="8">
        <v>12294</v>
      </c>
      <c r="K388" s="8">
        <v>246</v>
      </c>
      <c r="L388" s="8">
        <v>1062</v>
      </c>
      <c r="M388" s="8">
        <v>5</v>
      </c>
      <c r="N388" s="8">
        <v>27</v>
      </c>
      <c r="O388" s="8">
        <v>269</v>
      </c>
      <c r="P388" s="8">
        <v>3916</v>
      </c>
      <c r="Q388" s="8">
        <v>134</v>
      </c>
      <c r="R388" s="8">
        <v>2186</v>
      </c>
      <c r="S388" s="8">
        <v>647</v>
      </c>
      <c r="T388" s="3" t="s">
        <v>92</v>
      </c>
      <c r="U388" s="10">
        <v>63035</v>
      </c>
      <c r="V388" s="32">
        <v>74</v>
      </c>
      <c r="W388" s="27">
        <v>1.1739509796145E-3</v>
      </c>
      <c r="X388" s="34">
        <v>0</v>
      </c>
      <c r="Y388" s="27">
        <v>0</v>
      </c>
      <c r="Z388" s="27">
        <v>0</v>
      </c>
      <c r="AA388" s="35">
        <v>37</v>
      </c>
      <c r="AB388" s="27">
        <v>0.5</v>
      </c>
      <c r="AC388" s="27">
        <f t="shared" si="37"/>
        <v>5.8697548980724999E-4</v>
      </c>
      <c r="AD388" s="36">
        <v>25</v>
      </c>
      <c r="AE388" s="27">
        <v>0.33783783783783783</v>
      </c>
      <c r="AF388" s="27">
        <f t="shared" si="38"/>
        <v>3.966050606805743E-4</v>
      </c>
      <c r="AG388" s="37">
        <v>4</v>
      </c>
      <c r="AH388" s="27">
        <v>5.4054054054054057E-2</v>
      </c>
      <c r="AI388" s="27">
        <f t="shared" si="39"/>
        <v>6.3456809708891892E-5</v>
      </c>
      <c r="AJ388" s="38">
        <v>0</v>
      </c>
      <c r="AK388" s="27">
        <v>0</v>
      </c>
      <c r="AL388" s="27">
        <f t="shared" si="40"/>
        <v>0</v>
      </c>
      <c r="AM388" s="40">
        <v>8</v>
      </c>
      <c r="AN388" s="27">
        <v>0.10810810810810811</v>
      </c>
      <c r="AO388" s="27">
        <f t="shared" si="41"/>
        <v>1.2691361941778378E-4</v>
      </c>
      <c r="AP388" s="7" t="b">
        <v>1</v>
      </c>
      <c r="AQ388" s="6" t="b">
        <v>0</v>
      </c>
      <c r="AR388" s="6" t="b">
        <v>0</v>
      </c>
      <c r="AS388" s="6" t="b">
        <v>0</v>
      </c>
      <c r="AT388" s="7" t="b">
        <v>1</v>
      </c>
      <c r="AU388" s="6" t="b">
        <v>0</v>
      </c>
      <c r="AV388" s="6" t="b">
        <v>0</v>
      </c>
      <c r="AW388" s="6" t="b">
        <v>0</v>
      </c>
      <c r="AX388" s="6" t="b">
        <v>0</v>
      </c>
      <c r="AY388" s="6" t="b">
        <v>0</v>
      </c>
      <c r="AZ388" s="6" t="b">
        <v>0</v>
      </c>
      <c r="BA388" s="6" t="b">
        <v>0</v>
      </c>
      <c r="BB388" s="6" t="b">
        <v>0</v>
      </c>
    </row>
    <row r="389" spans="1:54" ht="15" x14ac:dyDescent="0.25">
      <c r="A389" s="3" t="s">
        <v>834</v>
      </c>
      <c r="B389" s="3" t="str">
        <f ca="1">IFERROR(__xludf.DUMMYFUNCTION("SPLIT(A389,""/"")"),"google")</f>
        <v>google</v>
      </c>
      <c r="C389" s="3" t="str">
        <f ca="1">IFERROR(__xludf.DUMMYFUNCTION("""COMPUTED_VALUE"""),"personfinder")</f>
        <v>personfinder</v>
      </c>
      <c r="D389" s="4" t="s">
        <v>835</v>
      </c>
      <c r="E389" s="5">
        <v>41929.733622685184</v>
      </c>
      <c r="F389" s="5">
        <v>44292.105520833335</v>
      </c>
      <c r="G389" s="13">
        <f t="shared" si="36"/>
        <v>2362.3718981481506</v>
      </c>
      <c r="H389" s="6" t="b">
        <v>0</v>
      </c>
      <c r="I389" s="7" t="b">
        <v>1</v>
      </c>
      <c r="J389" s="8">
        <v>471</v>
      </c>
      <c r="K389" s="8">
        <v>102</v>
      </c>
      <c r="L389" s="8">
        <v>178</v>
      </c>
      <c r="M389" s="8">
        <v>0</v>
      </c>
      <c r="N389" s="8">
        <v>33</v>
      </c>
      <c r="O389" s="8">
        <v>43</v>
      </c>
      <c r="P389" s="8">
        <v>507</v>
      </c>
      <c r="Q389" s="8">
        <v>8</v>
      </c>
      <c r="R389" s="8">
        <v>271</v>
      </c>
      <c r="S389" s="8">
        <v>107</v>
      </c>
      <c r="T389" s="3" t="s">
        <v>69</v>
      </c>
      <c r="U389" s="10">
        <v>19304</v>
      </c>
      <c r="V389" s="32">
        <v>108</v>
      </c>
      <c r="W389" s="27">
        <v>5.5946953999171153E-3</v>
      </c>
      <c r="X389" s="34">
        <v>9</v>
      </c>
      <c r="Y389" s="27">
        <v>8.3333333333333329E-2</v>
      </c>
      <c r="Z389" s="27">
        <v>4.6622461665975966E-4</v>
      </c>
      <c r="AA389" s="35">
        <v>62</v>
      </c>
      <c r="AB389" s="27">
        <v>0.57407407407407407</v>
      </c>
      <c r="AC389" s="27">
        <f t="shared" si="37"/>
        <v>3.2117695814338999E-3</v>
      </c>
      <c r="AD389" s="36">
        <v>4</v>
      </c>
      <c r="AE389" s="27">
        <v>3.7037037037037035E-2</v>
      </c>
      <c r="AF389" s="27">
        <f t="shared" si="38"/>
        <v>2.0721094073767094E-4</v>
      </c>
      <c r="AG389" s="37">
        <v>33</v>
      </c>
      <c r="AH389" s="27">
        <v>0.30555555555555558</v>
      </c>
      <c r="AI389" s="27">
        <f t="shared" si="39"/>
        <v>1.7094902610857853E-3</v>
      </c>
      <c r="AJ389" s="38">
        <v>0</v>
      </c>
      <c r="AK389" s="27">
        <v>0</v>
      </c>
      <c r="AL389" s="27">
        <f t="shared" si="40"/>
        <v>0</v>
      </c>
      <c r="AM389" s="40">
        <v>1</v>
      </c>
      <c r="AN389" s="27">
        <v>9.2592592592592587E-3</v>
      </c>
      <c r="AO389" s="27">
        <f t="shared" si="41"/>
        <v>5.1802735184417735E-5</v>
      </c>
      <c r="AP389" s="7" t="b">
        <v>1</v>
      </c>
      <c r="AQ389" s="7" t="b">
        <v>1</v>
      </c>
      <c r="AR389" s="6" t="b">
        <v>0</v>
      </c>
      <c r="AS389" s="6" t="b">
        <v>0</v>
      </c>
      <c r="AT389" s="7" t="b">
        <v>1</v>
      </c>
      <c r="AU389" s="6" t="b">
        <v>0</v>
      </c>
      <c r="AV389" s="6" t="b">
        <v>0</v>
      </c>
      <c r="AW389" s="6" t="b">
        <v>0</v>
      </c>
      <c r="AX389" s="6" t="b">
        <v>0</v>
      </c>
      <c r="AY389" s="6" t="b">
        <v>0</v>
      </c>
      <c r="AZ389" s="6" t="b">
        <v>0</v>
      </c>
      <c r="BA389" s="6" t="b">
        <v>0</v>
      </c>
      <c r="BB389" s="6" t="b">
        <v>0</v>
      </c>
    </row>
    <row r="390" spans="1:54" ht="15" x14ac:dyDescent="0.25">
      <c r="A390" s="3" t="s">
        <v>836</v>
      </c>
      <c r="B390" s="3" t="str">
        <f ca="1">IFERROR(__xludf.DUMMYFUNCTION("SPLIT(A390,""/"")"),"google")</f>
        <v>google</v>
      </c>
      <c r="C390" s="3" t="str">
        <f ca="1">IFERROR(__xludf.DUMMYFUNCTION("""COMPUTED_VALUE"""),"subpar")</f>
        <v>subpar</v>
      </c>
      <c r="D390" s="4" t="s">
        <v>837</v>
      </c>
      <c r="E390" s="5">
        <v>42585.841377314813</v>
      </c>
      <c r="F390" s="5">
        <v>44261.941157407404</v>
      </c>
      <c r="G390" s="13">
        <f t="shared" si="36"/>
        <v>1676.0997800925907</v>
      </c>
      <c r="H390" s="6" t="b">
        <v>0</v>
      </c>
      <c r="I390" s="7" t="b">
        <v>1</v>
      </c>
      <c r="J390" s="8">
        <v>471</v>
      </c>
      <c r="K390" s="8">
        <v>17</v>
      </c>
      <c r="L390" s="8">
        <v>62</v>
      </c>
      <c r="M390" s="8">
        <v>5</v>
      </c>
      <c r="N390" s="8">
        <v>0</v>
      </c>
      <c r="O390" s="8">
        <v>12</v>
      </c>
      <c r="P390" s="8">
        <v>70</v>
      </c>
      <c r="Q390" s="8">
        <v>8</v>
      </c>
      <c r="R390" s="8">
        <v>60</v>
      </c>
      <c r="S390" s="8">
        <v>30</v>
      </c>
      <c r="T390" s="3" t="s">
        <v>69</v>
      </c>
      <c r="U390" s="10">
        <v>1023</v>
      </c>
      <c r="V390" s="32">
        <v>10</v>
      </c>
      <c r="W390" s="27">
        <v>9.7751710654936461E-3</v>
      </c>
      <c r="X390" s="34">
        <v>5</v>
      </c>
      <c r="Y390" s="27">
        <v>0.5</v>
      </c>
      <c r="Z390" s="27">
        <v>4.8875855327468231E-3</v>
      </c>
      <c r="AA390" s="35">
        <v>3</v>
      </c>
      <c r="AB390" s="27">
        <v>0.3</v>
      </c>
      <c r="AC390" s="27">
        <f t="shared" si="37"/>
        <v>2.9325513196480938E-3</v>
      </c>
      <c r="AD390" s="36">
        <v>2</v>
      </c>
      <c r="AE390" s="27">
        <v>0.2</v>
      </c>
      <c r="AF390" s="27">
        <f t="shared" si="38"/>
        <v>1.9550342130987292E-3</v>
      </c>
      <c r="AG390" s="37">
        <v>0</v>
      </c>
      <c r="AH390" s="27">
        <v>0</v>
      </c>
      <c r="AI390" s="27">
        <f t="shared" si="39"/>
        <v>0</v>
      </c>
      <c r="AJ390" s="38">
        <v>0</v>
      </c>
      <c r="AK390" s="27">
        <v>0</v>
      </c>
      <c r="AL390" s="27">
        <f t="shared" si="40"/>
        <v>0</v>
      </c>
      <c r="AM390" s="40">
        <v>0</v>
      </c>
      <c r="AN390" s="27">
        <v>0</v>
      </c>
      <c r="AO390" s="27">
        <f t="shared" si="41"/>
        <v>0</v>
      </c>
      <c r="AP390" s="7" t="b">
        <v>1</v>
      </c>
      <c r="AQ390" s="6" t="b">
        <v>0</v>
      </c>
      <c r="AR390" s="6" t="b">
        <v>0</v>
      </c>
      <c r="AS390" s="6" t="b">
        <v>0</v>
      </c>
      <c r="AT390" s="7" t="b">
        <v>1</v>
      </c>
      <c r="AU390" s="6" t="b">
        <v>0</v>
      </c>
      <c r="AV390" s="6" t="b">
        <v>0</v>
      </c>
      <c r="AW390" s="6" t="b">
        <v>0</v>
      </c>
      <c r="AX390" s="6" t="b">
        <v>0</v>
      </c>
      <c r="AY390" s="6" t="b">
        <v>0</v>
      </c>
      <c r="AZ390" s="6" t="b">
        <v>0</v>
      </c>
      <c r="BA390" s="6" t="b">
        <v>0</v>
      </c>
      <c r="BB390" s="6" t="b">
        <v>0</v>
      </c>
    </row>
    <row r="391" spans="1:54" ht="15" x14ac:dyDescent="0.25">
      <c r="A391" s="3" t="s">
        <v>838</v>
      </c>
      <c r="B391" s="3" t="str">
        <f ca="1">IFERROR(__xludf.DUMMYFUNCTION("SPLIT(A391,""/"")"),"google")</f>
        <v>google</v>
      </c>
      <c r="C391" s="3" t="str">
        <f ca="1">IFERROR(__xludf.DUMMYFUNCTION("""COMPUTED_VALUE"""),"tf-quant-finance")</f>
        <v>tf-quant-finance</v>
      </c>
      <c r="D391" s="4" t="s">
        <v>839</v>
      </c>
      <c r="E391" s="5">
        <v>43670.673495370371</v>
      </c>
      <c r="F391" s="5">
        <v>44294.793900462966</v>
      </c>
      <c r="G391" s="13">
        <f t="shared" si="36"/>
        <v>624.12040509259532</v>
      </c>
      <c r="H391" s="6" t="b">
        <v>0</v>
      </c>
      <c r="I391" s="7" t="b">
        <v>1</v>
      </c>
      <c r="J391" s="8">
        <v>2558</v>
      </c>
      <c r="K391" s="8">
        <v>154</v>
      </c>
      <c r="L391" s="8">
        <v>317</v>
      </c>
      <c r="M391" s="8">
        <v>4</v>
      </c>
      <c r="N391" s="8">
        <v>0</v>
      </c>
      <c r="O391" s="8">
        <v>28</v>
      </c>
      <c r="P391" s="8">
        <v>24</v>
      </c>
      <c r="Q391" s="8">
        <v>4</v>
      </c>
      <c r="R391" s="8">
        <v>23</v>
      </c>
      <c r="S391" s="8">
        <v>12</v>
      </c>
      <c r="T391" s="3" t="s">
        <v>69</v>
      </c>
      <c r="U391" s="10">
        <v>23893</v>
      </c>
      <c r="V391" s="32">
        <v>16</v>
      </c>
      <c r="W391" s="27">
        <v>6.6965219938894239E-4</v>
      </c>
      <c r="X391" s="34">
        <v>0</v>
      </c>
      <c r="Y391" s="27">
        <v>0</v>
      </c>
      <c r="Z391" s="27">
        <v>0</v>
      </c>
      <c r="AA391" s="35">
        <v>15</v>
      </c>
      <c r="AB391" s="27">
        <v>0.9375</v>
      </c>
      <c r="AC391" s="27">
        <f t="shared" si="37"/>
        <v>6.2779893692713347E-4</v>
      </c>
      <c r="AD391" s="36">
        <v>1</v>
      </c>
      <c r="AE391" s="27">
        <v>6.25E-2</v>
      </c>
      <c r="AF391" s="27">
        <f t="shared" si="38"/>
        <v>4.1853262461808899E-5</v>
      </c>
      <c r="AG391" s="37">
        <v>0</v>
      </c>
      <c r="AH391" s="27">
        <v>0</v>
      </c>
      <c r="AI391" s="27">
        <f t="shared" si="39"/>
        <v>0</v>
      </c>
      <c r="AJ391" s="38">
        <v>0</v>
      </c>
      <c r="AK391" s="27">
        <v>0</v>
      </c>
      <c r="AL391" s="27">
        <f t="shared" si="40"/>
        <v>0</v>
      </c>
      <c r="AM391" s="40">
        <v>0</v>
      </c>
      <c r="AN391" s="27">
        <v>0</v>
      </c>
      <c r="AO391" s="27">
        <f t="shared" si="41"/>
        <v>0</v>
      </c>
      <c r="AP391" s="7" t="b">
        <v>1</v>
      </c>
      <c r="AQ391" s="6" t="b">
        <v>0</v>
      </c>
      <c r="AR391" s="6" t="b">
        <v>0</v>
      </c>
      <c r="AS391" s="6" t="b">
        <v>0</v>
      </c>
      <c r="AT391" s="7" t="b">
        <v>1</v>
      </c>
      <c r="AU391" s="6" t="b">
        <v>0</v>
      </c>
      <c r="AV391" s="6" t="b">
        <v>0</v>
      </c>
      <c r="AW391" s="6" t="b">
        <v>0</v>
      </c>
      <c r="AX391" s="6" t="b">
        <v>0</v>
      </c>
      <c r="AY391" s="6" t="b">
        <v>0</v>
      </c>
      <c r="AZ391" s="6" t="b">
        <v>0</v>
      </c>
      <c r="BA391" s="6" t="b">
        <v>0</v>
      </c>
      <c r="BB391" s="6" t="b">
        <v>0</v>
      </c>
    </row>
    <row r="392" spans="1:54" ht="15" x14ac:dyDescent="0.25">
      <c r="A392" s="3" t="s">
        <v>840</v>
      </c>
      <c r="B392" s="3" t="str">
        <f ca="1">IFERROR(__xludf.DUMMYFUNCTION("SPLIT(A392,""/"")"),"google")</f>
        <v>google</v>
      </c>
      <c r="C392" s="3" t="str">
        <f ca="1">IFERROR(__xludf.DUMMYFUNCTION("""COMPUTED_VALUE"""),"timesketch")</f>
        <v>timesketch</v>
      </c>
      <c r="D392" s="4" t="s">
        <v>841</v>
      </c>
      <c r="E392" s="5">
        <v>41809.742881944447</v>
      </c>
      <c r="F392" s="5">
        <v>44294.902673611112</v>
      </c>
      <c r="G392" s="13">
        <f t="shared" si="36"/>
        <v>2485.1597916666651</v>
      </c>
      <c r="H392" s="6" t="b">
        <v>0</v>
      </c>
      <c r="I392" s="7" t="b">
        <v>1</v>
      </c>
      <c r="J392" s="8">
        <v>1551</v>
      </c>
      <c r="K392" s="8">
        <v>135</v>
      </c>
      <c r="L392" s="8">
        <v>328</v>
      </c>
      <c r="M392" s="8">
        <v>22</v>
      </c>
      <c r="N392" s="8">
        <v>8</v>
      </c>
      <c r="O392" s="8">
        <v>66</v>
      </c>
      <c r="P392" s="8">
        <v>977</v>
      </c>
      <c r="Q392" s="8">
        <v>8</v>
      </c>
      <c r="R392" s="8">
        <v>746</v>
      </c>
      <c r="S392" s="8">
        <v>149</v>
      </c>
      <c r="T392" s="3" t="s">
        <v>69</v>
      </c>
      <c r="U392" s="10">
        <v>20765</v>
      </c>
      <c r="V392" s="32">
        <v>207</v>
      </c>
      <c r="W392" s="27">
        <v>9.9686973272333258E-3</v>
      </c>
      <c r="X392" s="34">
        <v>5</v>
      </c>
      <c r="Y392" s="27">
        <v>2.4154589371980676E-2</v>
      </c>
      <c r="Z392" s="27">
        <v>2.4078979051288225E-4</v>
      </c>
      <c r="AA392" s="35">
        <v>37</v>
      </c>
      <c r="AB392" s="27">
        <v>0.17874396135265699</v>
      </c>
      <c r="AC392" s="27">
        <f t="shared" si="37"/>
        <v>1.7818444497953287E-3</v>
      </c>
      <c r="AD392" s="36">
        <v>61</v>
      </c>
      <c r="AE392" s="27">
        <v>0.29468599033816423</v>
      </c>
      <c r="AF392" s="27">
        <f t="shared" si="38"/>
        <v>2.9376354442571637E-3</v>
      </c>
      <c r="AG392" s="37">
        <v>103</v>
      </c>
      <c r="AH392" s="27">
        <v>0.49758454106280192</v>
      </c>
      <c r="AI392" s="27">
        <f t="shared" si="39"/>
        <v>4.9602696845653747E-3</v>
      </c>
      <c r="AJ392" s="38">
        <v>0</v>
      </c>
      <c r="AK392" s="27">
        <v>0</v>
      </c>
      <c r="AL392" s="27">
        <f t="shared" si="40"/>
        <v>0</v>
      </c>
      <c r="AM392" s="40">
        <v>0</v>
      </c>
      <c r="AN392" s="27">
        <v>0</v>
      </c>
      <c r="AO392" s="27">
        <f t="shared" si="41"/>
        <v>0</v>
      </c>
      <c r="AP392" s="7" t="b">
        <v>1</v>
      </c>
      <c r="AQ392" s="7" t="b">
        <v>1</v>
      </c>
      <c r="AR392" s="6" t="b">
        <v>0</v>
      </c>
      <c r="AS392" s="6" t="b">
        <v>0</v>
      </c>
      <c r="AT392" s="7" t="b">
        <v>1</v>
      </c>
      <c r="AU392" s="6" t="b">
        <v>0</v>
      </c>
      <c r="AV392" s="6" t="b">
        <v>0</v>
      </c>
      <c r="AW392" s="6" t="b">
        <v>0</v>
      </c>
      <c r="AX392" s="6" t="b">
        <v>0</v>
      </c>
      <c r="AY392" s="6" t="b">
        <v>0</v>
      </c>
      <c r="AZ392" s="6" t="b">
        <v>0</v>
      </c>
      <c r="BA392" s="6" t="b">
        <v>0</v>
      </c>
      <c r="BB392" s="6" t="b">
        <v>0</v>
      </c>
    </row>
    <row r="393" spans="1:54" ht="15" x14ac:dyDescent="0.25">
      <c r="A393" s="3" t="s">
        <v>842</v>
      </c>
      <c r="B393" s="3" t="str">
        <f ca="1">IFERROR(__xludf.DUMMYFUNCTION("SPLIT(A393,""/"")"),"google")</f>
        <v>google</v>
      </c>
      <c r="C393" s="3" t="str">
        <f ca="1">IFERROR(__xludf.DUMMYFUNCTION("""COMPUTED_VALUE"""),"turbinia")</f>
        <v>turbinia</v>
      </c>
      <c r="D393" s="4" t="s">
        <v>843</v>
      </c>
      <c r="E393" s="5">
        <v>42262.701851851853</v>
      </c>
      <c r="F393" s="5">
        <v>44293.125983796293</v>
      </c>
      <c r="G393" s="13">
        <f t="shared" si="36"/>
        <v>2030.4241319444409</v>
      </c>
      <c r="H393" s="6" t="b">
        <v>0</v>
      </c>
      <c r="I393" s="7" t="b">
        <v>1</v>
      </c>
      <c r="J393" s="8">
        <v>467</v>
      </c>
      <c r="K393" s="8">
        <v>35</v>
      </c>
      <c r="L393" s="8">
        <v>106</v>
      </c>
      <c r="M393" s="8">
        <v>21</v>
      </c>
      <c r="N393" s="8">
        <v>0</v>
      </c>
      <c r="O393" s="8">
        <v>34</v>
      </c>
      <c r="P393" s="8">
        <v>489</v>
      </c>
      <c r="Q393" s="8">
        <v>10</v>
      </c>
      <c r="R393" s="8">
        <v>301</v>
      </c>
      <c r="S393" s="8">
        <v>100</v>
      </c>
      <c r="T393" s="3" t="s">
        <v>69</v>
      </c>
      <c r="U393" s="10">
        <v>8436</v>
      </c>
      <c r="V393" s="32">
        <v>295</v>
      </c>
      <c r="W393" s="27">
        <v>3.4969179706021813E-2</v>
      </c>
      <c r="X393" s="34">
        <v>60</v>
      </c>
      <c r="Y393" s="27">
        <v>0.20338983050847459</v>
      </c>
      <c r="Z393" s="27">
        <v>7.1123755334281651E-3</v>
      </c>
      <c r="AA393" s="35">
        <v>105</v>
      </c>
      <c r="AB393" s="27">
        <v>0.3559322033898305</v>
      </c>
      <c r="AC393" s="27">
        <f t="shared" si="37"/>
        <v>1.2446657183499289E-2</v>
      </c>
      <c r="AD393" s="36">
        <v>27</v>
      </c>
      <c r="AE393" s="27">
        <v>9.152542372881356E-2</v>
      </c>
      <c r="AF393" s="27">
        <f t="shared" si="38"/>
        <v>3.2005689900426741E-3</v>
      </c>
      <c r="AG393" s="37">
        <v>68</v>
      </c>
      <c r="AH393" s="27">
        <v>0.23050847457627119</v>
      </c>
      <c r="AI393" s="27">
        <f t="shared" si="39"/>
        <v>8.060692271218587E-3</v>
      </c>
      <c r="AJ393" s="38">
        <v>1</v>
      </c>
      <c r="AK393" s="27">
        <v>3.3898305084745762E-3</v>
      </c>
      <c r="AL393" s="27">
        <f t="shared" si="40"/>
        <v>1.1853959222380275E-4</v>
      </c>
      <c r="AM393" s="40">
        <v>32</v>
      </c>
      <c r="AN393" s="27">
        <v>0.10847457627118644</v>
      </c>
      <c r="AO393" s="27">
        <f t="shared" si="41"/>
        <v>3.793266951161688E-3</v>
      </c>
      <c r="AP393" s="7" t="b">
        <v>1</v>
      </c>
      <c r="AQ393" s="7" t="b">
        <v>1</v>
      </c>
      <c r="AR393" s="6" t="b">
        <v>0</v>
      </c>
      <c r="AS393" s="6" t="b">
        <v>0</v>
      </c>
      <c r="AT393" s="7" t="b">
        <v>1</v>
      </c>
      <c r="AU393" s="6" t="b">
        <v>0</v>
      </c>
      <c r="AV393" s="6" t="b">
        <v>0</v>
      </c>
      <c r="AW393" s="6" t="b">
        <v>0</v>
      </c>
      <c r="AX393" s="6" t="b">
        <v>0</v>
      </c>
      <c r="AY393" s="6" t="b">
        <v>0</v>
      </c>
      <c r="AZ393" s="6" t="b">
        <v>0</v>
      </c>
      <c r="BA393" s="6" t="b">
        <v>0</v>
      </c>
      <c r="BB393" s="6" t="b">
        <v>0</v>
      </c>
    </row>
    <row r="394" spans="1:54" ht="15" x14ac:dyDescent="0.25">
      <c r="A394" s="3" t="s">
        <v>844</v>
      </c>
      <c r="B394" s="3" t="str">
        <f ca="1">IFERROR(__xludf.DUMMYFUNCTION("SPLIT(A394,""/"")"),"google")</f>
        <v>google</v>
      </c>
      <c r="C394" s="3" t="str">
        <f ca="1">IFERROR(__xludf.DUMMYFUNCTION("""COMPUTED_VALUE"""),"vulncode-db")</f>
        <v>vulncode-db</v>
      </c>
      <c r="D394" s="4" t="s">
        <v>845</v>
      </c>
      <c r="E394" s="5">
        <v>43529.491018518522</v>
      </c>
      <c r="F394" s="5">
        <v>44294.251469907409</v>
      </c>
      <c r="G394" s="13">
        <f t="shared" si="36"/>
        <v>764.7604513888873</v>
      </c>
      <c r="H394" s="6" t="b">
        <v>0</v>
      </c>
      <c r="I394" s="7" t="b">
        <v>1</v>
      </c>
      <c r="J394" s="8">
        <v>535</v>
      </c>
      <c r="K394" s="8">
        <v>23</v>
      </c>
      <c r="L394" s="8">
        <v>59</v>
      </c>
      <c r="M394" s="8">
        <v>0</v>
      </c>
      <c r="N394" s="8">
        <v>0</v>
      </c>
      <c r="O394" s="8">
        <v>9</v>
      </c>
      <c r="P394" s="8">
        <v>30</v>
      </c>
      <c r="Q394" s="8">
        <v>0</v>
      </c>
      <c r="R394" s="8">
        <v>72</v>
      </c>
      <c r="S394" s="8">
        <v>27</v>
      </c>
      <c r="T394" s="3" t="s">
        <v>69</v>
      </c>
      <c r="U394" s="10">
        <v>5706</v>
      </c>
      <c r="V394" s="32">
        <v>58</v>
      </c>
      <c r="W394" s="27">
        <v>1.0164738871363477E-2</v>
      </c>
      <c r="X394" s="34">
        <v>31</v>
      </c>
      <c r="Y394" s="27">
        <v>0.53448275862068961</v>
      </c>
      <c r="Z394" s="27">
        <v>5.432877672625307E-3</v>
      </c>
      <c r="AA394" s="35">
        <v>11</v>
      </c>
      <c r="AB394" s="27">
        <v>0.18965517241379309</v>
      </c>
      <c r="AC394" s="27">
        <f t="shared" si="37"/>
        <v>1.927795303189625E-3</v>
      </c>
      <c r="AD394" s="36">
        <v>10</v>
      </c>
      <c r="AE394" s="27">
        <v>0.17241379310344829</v>
      </c>
      <c r="AF394" s="27">
        <f t="shared" si="38"/>
        <v>1.7525411847178409E-3</v>
      </c>
      <c r="AG394" s="37">
        <v>6</v>
      </c>
      <c r="AH394" s="27">
        <v>0.10344827586206896</v>
      </c>
      <c r="AI394" s="27">
        <f t="shared" si="39"/>
        <v>1.0515247108307045E-3</v>
      </c>
      <c r="AJ394" s="38">
        <v>0</v>
      </c>
      <c r="AK394" s="27">
        <v>0</v>
      </c>
      <c r="AL394" s="27">
        <f t="shared" si="40"/>
        <v>0</v>
      </c>
      <c r="AM394" s="40">
        <v>0</v>
      </c>
      <c r="AN394" s="27">
        <v>0</v>
      </c>
      <c r="AO394" s="27">
        <f t="shared" si="41"/>
        <v>0</v>
      </c>
      <c r="AP394" s="7" t="b">
        <v>1</v>
      </c>
      <c r="AQ394" s="7" t="b">
        <v>1</v>
      </c>
      <c r="AR394" s="6" t="b">
        <v>0</v>
      </c>
      <c r="AS394" s="6" t="b">
        <v>0</v>
      </c>
      <c r="AT394" s="7" t="b">
        <v>1</v>
      </c>
      <c r="AU394" s="6" t="b">
        <v>0</v>
      </c>
      <c r="AV394" s="6" t="b">
        <v>0</v>
      </c>
      <c r="AW394" s="6" t="b">
        <v>0</v>
      </c>
      <c r="AX394" s="6" t="b">
        <v>0</v>
      </c>
      <c r="AY394" s="6" t="b">
        <v>0</v>
      </c>
      <c r="AZ394" s="6" t="b">
        <v>0</v>
      </c>
      <c r="BA394" s="6" t="b">
        <v>0</v>
      </c>
      <c r="BB394" s="6" t="b">
        <v>0</v>
      </c>
    </row>
    <row r="395" spans="1:54" ht="15" x14ac:dyDescent="0.25">
      <c r="A395" s="3" t="s">
        <v>846</v>
      </c>
      <c r="B395" s="3" t="str">
        <f ca="1">IFERROR(__xludf.DUMMYFUNCTION("SPLIT(A395,""/"")"),"googleapis")</f>
        <v>googleapis</v>
      </c>
      <c r="C395" s="3" t="str">
        <f ca="1">IFERROR(__xludf.DUMMYFUNCTION("""COMPUTED_VALUE"""),"google-auth-library-python")</f>
        <v>google-auth-library-python</v>
      </c>
      <c r="D395" s="4" t="s">
        <v>847</v>
      </c>
      <c r="E395" s="5">
        <v>42639.027071759258</v>
      </c>
      <c r="F395" s="5">
        <v>44294.853819444441</v>
      </c>
      <c r="G395" s="13">
        <f t="shared" si="36"/>
        <v>1655.8267476851834</v>
      </c>
      <c r="H395" s="6" t="b">
        <v>0</v>
      </c>
      <c r="I395" s="7" t="b">
        <v>1</v>
      </c>
      <c r="J395" s="8">
        <v>400</v>
      </c>
      <c r="K395" s="8">
        <v>49</v>
      </c>
      <c r="L395" s="8">
        <v>180</v>
      </c>
      <c r="M395" s="8">
        <v>76</v>
      </c>
      <c r="N395" s="8">
        <v>19</v>
      </c>
      <c r="O395" s="8">
        <v>73</v>
      </c>
      <c r="P395" s="8">
        <v>459</v>
      </c>
      <c r="Q395" s="8">
        <v>7</v>
      </c>
      <c r="R395" s="8">
        <v>269</v>
      </c>
      <c r="S395" s="8">
        <v>55</v>
      </c>
      <c r="T395" s="3" t="s">
        <v>69</v>
      </c>
      <c r="U395" s="10">
        <v>11433</v>
      </c>
      <c r="V395" s="32">
        <v>25</v>
      </c>
      <c r="W395" s="27">
        <v>2.1866526720895653E-3</v>
      </c>
      <c r="X395" s="34">
        <v>11</v>
      </c>
      <c r="Y395" s="27">
        <v>0.44</v>
      </c>
      <c r="Z395" s="27">
        <v>9.6212717571940876E-4</v>
      </c>
      <c r="AA395" s="35">
        <v>3</v>
      </c>
      <c r="AB395" s="27">
        <v>0.12</v>
      </c>
      <c r="AC395" s="27">
        <f t="shared" si="37"/>
        <v>2.6239832065074782E-4</v>
      </c>
      <c r="AD395" s="36">
        <v>9</v>
      </c>
      <c r="AE395" s="27">
        <v>0.36</v>
      </c>
      <c r="AF395" s="27">
        <f t="shared" si="38"/>
        <v>7.8719496195224351E-4</v>
      </c>
      <c r="AG395" s="37">
        <v>1</v>
      </c>
      <c r="AH395" s="27">
        <v>0.04</v>
      </c>
      <c r="AI395" s="27">
        <f t="shared" si="39"/>
        <v>8.7466106883582611E-5</v>
      </c>
      <c r="AJ395" s="38">
        <v>0</v>
      </c>
      <c r="AK395" s="27">
        <v>0</v>
      </c>
      <c r="AL395" s="27">
        <f t="shared" si="40"/>
        <v>0</v>
      </c>
      <c r="AM395" s="40">
        <v>1</v>
      </c>
      <c r="AN395" s="27">
        <v>0.04</v>
      </c>
      <c r="AO395" s="27">
        <f t="shared" si="41"/>
        <v>8.7466106883582611E-5</v>
      </c>
      <c r="AP395" s="7" t="b">
        <v>1</v>
      </c>
      <c r="AQ395" s="6" t="b">
        <v>0</v>
      </c>
      <c r="AR395" s="6" t="b">
        <v>0</v>
      </c>
      <c r="AS395" s="6" t="b">
        <v>0</v>
      </c>
      <c r="AT395" s="7" t="b">
        <v>1</v>
      </c>
      <c r="AU395" s="6" t="b">
        <v>0</v>
      </c>
      <c r="AV395" s="6" t="b">
        <v>0</v>
      </c>
      <c r="AW395" s="6" t="b">
        <v>0</v>
      </c>
      <c r="AX395" s="6" t="b">
        <v>0</v>
      </c>
      <c r="AY395" s="6" t="b">
        <v>0</v>
      </c>
      <c r="AZ395" s="6" t="b">
        <v>0</v>
      </c>
      <c r="BA395" s="6" t="b">
        <v>0</v>
      </c>
      <c r="BB395" s="6" t="b">
        <v>0</v>
      </c>
    </row>
    <row r="396" spans="1:54" ht="15" x14ac:dyDescent="0.25">
      <c r="A396" s="3" t="s">
        <v>848</v>
      </c>
      <c r="B396" s="3" t="str">
        <f ca="1">IFERROR(__xludf.DUMMYFUNCTION("SPLIT(A396,""/"")"),"GoogleCloudPlatform")</f>
        <v>GoogleCloudPlatform</v>
      </c>
      <c r="C396" s="3" t="str">
        <f ca="1">IFERROR(__xludf.DUMMYFUNCTION("""COMPUTED_VALUE"""),"cloudml-samples")</f>
        <v>cloudml-samples</v>
      </c>
      <c r="D396" s="4" t="s">
        <v>849</v>
      </c>
      <c r="E396" s="5">
        <v>42642.608472222222</v>
      </c>
      <c r="F396" s="5">
        <v>44294.641701388886</v>
      </c>
      <c r="G396" s="13">
        <f t="shared" si="36"/>
        <v>1652.0332291666637</v>
      </c>
      <c r="H396" s="6" t="b">
        <v>0</v>
      </c>
      <c r="I396" s="7" t="b">
        <v>1</v>
      </c>
      <c r="J396" s="8">
        <v>1402</v>
      </c>
      <c r="K396" s="8">
        <v>105</v>
      </c>
      <c r="L396" s="8">
        <v>799</v>
      </c>
      <c r="M396" s="8">
        <v>0</v>
      </c>
      <c r="N396" s="8">
        <v>13</v>
      </c>
      <c r="O396" s="8">
        <v>69</v>
      </c>
      <c r="P396" s="8">
        <v>292</v>
      </c>
      <c r="Q396" s="8">
        <v>4</v>
      </c>
      <c r="R396" s="8">
        <v>204</v>
      </c>
      <c r="S396" s="8">
        <v>8</v>
      </c>
      <c r="T396" s="3" t="s">
        <v>69</v>
      </c>
      <c r="U396" s="10">
        <v>12160</v>
      </c>
      <c r="V396" s="32">
        <v>251</v>
      </c>
      <c r="W396" s="27">
        <v>2.0641447368421054E-2</v>
      </c>
      <c r="X396" s="34">
        <v>1</v>
      </c>
      <c r="Y396" s="27">
        <v>3.9840637450199202E-3</v>
      </c>
      <c r="Z396" s="27">
        <v>8.2236842105263156E-5</v>
      </c>
      <c r="AA396" s="35">
        <v>243</v>
      </c>
      <c r="AB396" s="27">
        <v>0.96812749003984067</v>
      </c>
      <c r="AC396" s="27">
        <f t="shared" si="37"/>
        <v>1.9983552631578947E-2</v>
      </c>
      <c r="AD396" s="36">
        <v>2</v>
      </c>
      <c r="AE396" s="27">
        <v>7.9681274900398405E-3</v>
      </c>
      <c r="AF396" s="27">
        <f t="shared" si="38"/>
        <v>1.6447368421052631E-4</v>
      </c>
      <c r="AG396" s="37">
        <v>2</v>
      </c>
      <c r="AH396" s="27">
        <v>7.9681274900398405E-3</v>
      </c>
      <c r="AI396" s="27">
        <f t="shared" si="39"/>
        <v>1.6447368421052631E-4</v>
      </c>
      <c r="AJ396" s="38">
        <v>0</v>
      </c>
      <c r="AK396" s="27">
        <v>0</v>
      </c>
      <c r="AL396" s="27">
        <f t="shared" si="40"/>
        <v>0</v>
      </c>
      <c r="AM396" s="40">
        <v>3</v>
      </c>
      <c r="AN396" s="27">
        <v>1.1952191235059761E-2</v>
      </c>
      <c r="AO396" s="27">
        <f t="shared" si="41"/>
        <v>2.4671052631578948E-4</v>
      </c>
      <c r="AP396" s="7" t="b">
        <v>1</v>
      </c>
      <c r="AQ396" s="6" t="b">
        <v>0</v>
      </c>
      <c r="AR396" s="6" t="b">
        <v>0</v>
      </c>
      <c r="AS396" s="6" t="b">
        <v>0</v>
      </c>
      <c r="AT396" s="7" t="b">
        <v>1</v>
      </c>
      <c r="AU396" s="6" t="b">
        <v>0</v>
      </c>
      <c r="AV396" s="6" t="b">
        <v>0</v>
      </c>
      <c r="AW396" s="6" t="b">
        <v>0</v>
      </c>
      <c r="AX396" s="6" t="b">
        <v>0</v>
      </c>
      <c r="AY396" s="6" t="b">
        <v>0</v>
      </c>
      <c r="AZ396" s="6" t="b">
        <v>0</v>
      </c>
      <c r="BA396" s="6" t="b">
        <v>0</v>
      </c>
      <c r="BB396" s="6" t="b">
        <v>0</v>
      </c>
    </row>
    <row r="397" spans="1:54" ht="15" x14ac:dyDescent="0.25">
      <c r="A397" s="3" t="s">
        <v>850</v>
      </c>
      <c r="B397" s="3" t="str">
        <f ca="1">IFERROR(__xludf.DUMMYFUNCTION("SPLIT(A397,""/"")"),"GoogleCloudPlatform")</f>
        <v>GoogleCloudPlatform</v>
      </c>
      <c r="C397" s="3" t="str">
        <f ca="1">IFERROR(__xludf.DUMMYFUNCTION("""COMPUTED_VALUE"""),"deploymentmanager-samples")</f>
        <v>deploymentmanager-samples</v>
      </c>
      <c r="D397" s="4" t="s">
        <v>851</v>
      </c>
      <c r="E397" s="5">
        <v>42065.808796296296</v>
      </c>
      <c r="F397" s="5">
        <v>44295.02171296296</v>
      </c>
      <c r="G397" s="13">
        <f t="shared" si="36"/>
        <v>2229.2129166666637</v>
      </c>
      <c r="H397" s="6" t="b">
        <v>0</v>
      </c>
      <c r="I397" s="7" t="b">
        <v>1</v>
      </c>
      <c r="J397" s="8">
        <v>827</v>
      </c>
      <c r="K397" s="8">
        <v>75</v>
      </c>
      <c r="L397" s="8">
        <v>598</v>
      </c>
      <c r="M397" s="8">
        <v>0</v>
      </c>
      <c r="N397" s="8">
        <v>11</v>
      </c>
      <c r="O397" s="8">
        <v>109</v>
      </c>
      <c r="P397" s="8">
        <v>406</v>
      </c>
      <c r="Q397" s="8">
        <v>22</v>
      </c>
      <c r="R397" s="8">
        <v>226</v>
      </c>
      <c r="S397" s="8">
        <v>89</v>
      </c>
      <c r="T397" s="3" t="s">
        <v>69</v>
      </c>
      <c r="U397" s="10">
        <v>2995</v>
      </c>
      <c r="V397" s="32">
        <v>1</v>
      </c>
      <c r="W397" s="27">
        <v>3.33889816360601E-4</v>
      </c>
      <c r="X397" s="34">
        <v>0</v>
      </c>
      <c r="Y397" s="27">
        <v>0</v>
      </c>
      <c r="Z397" s="27">
        <v>0</v>
      </c>
      <c r="AA397" s="35">
        <v>0</v>
      </c>
      <c r="AB397" s="27">
        <v>0</v>
      </c>
      <c r="AC397" s="27">
        <f t="shared" si="37"/>
        <v>0</v>
      </c>
      <c r="AD397" s="36">
        <v>0</v>
      </c>
      <c r="AE397" s="27">
        <v>0</v>
      </c>
      <c r="AF397" s="27">
        <f t="shared" si="38"/>
        <v>0</v>
      </c>
      <c r="AG397" s="37">
        <v>1</v>
      </c>
      <c r="AH397" s="27">
        <v>1</v>
      </c>
      <c r="AI397" s="27">
        <f t="shared" si="39"/>
        <v>3.33889816360601E-4</v>
      </c>
      <c r="AJ397" s="38">
        <v>0</v>
      </c>
      <c r="AK397" s="27">
        <v>0</v>
      </c>
      <c r="AL397" s="27">
        <f t="shared" si="40"/>
        <v>0</v>
      </c>
      <c r="AM397" s="40">
        <v>0</v>
      </c>
      <c r="AN397" s="27">
        <v>0</v>
      </c>
      <c r="AO397" s="27">
        <f t="shared" si="41"/>
        <v>0</v>
      </c>
      <c r="AP397" s="7" t="b">
        <v>1</v>
      </c>
      <c r="AQ397" s="6" t="b">
        <v>0</v>
      </c>
      <c r="AR397" s="6" t="b">
        <v>0</v>
      </c>
      <c r="AS397" s="6" t="b">
        <v>0</v>
      </c>
      <c r="AT397" s="7" t="b">
        <v>1</v>
      </c>
      <c r="AU397" s="6" t="b">
        <v>0</v>
      </c>
      <c r="AV397" s="6" t="b">
        <v>0</v>
      </c>
      <c r="AW397" s="6" t="b">
        <v>0</v>
      </c>
      <c r="AX397" s="6" t="b">
        <v>0</v>
      </c>
      <c r="AY397" s="6" t="b">
        <v>0</v>
      </c>
      <c r="AZ397" s="6" t="b">
        <v>0</v>
      </c>
      <c r="BA397" s="6" t="b">
        <v>0</v>
      </c>
      <c r="BB397" s="6" t="b">
        <v>0</v>
      </c>
    </row>
    <row r="398" spans="1:54" ht="15" x14ac:dyDescent="0.25">
      <c r="A398" s="3" t="s">
        <v>852</v>
      </c>
      <c r="B398" s="3" t="str">
        <f ca="1">IFERROR(__xludf.DUMMYFUNCTION("SPLIT(A398,""/"")"),"GoogleCloudPlatform")</f>
        <v>GoogleCloudPlatform</v>
      </c>
      <c r="C398" s="3" t="str">
        <f ca="1">IFERROR(__xludf.DUMMYFUNCTION("""COMPUTED_VALUE"""),"getting-started-python")</f>
        <v>getting-started-python</v>
      </c>
      <c r="D398" s="4" t="s">
        <v>853</v>
      </c>
      <c r="E398" s="5">
        <v>42222.864722222221</v>
      </c>
      <c r="F398" s="5">
        <v>44287.778101851851</v>
      </c>
      <c r="G398" s="13">
        <f t="shared" si="36"/>
        <v>2064.9133796296301</v>
      </c>
      <c r="H398" s="6" t="b">
        <v>0</v>
      </c>
      <c r="I398" s="7" t="b">
        <v>1</v>
      </c>
      <c r="J398" s="8">
        <v>614</v>
      </c>
      <c r="K398" s="8">
        <v>76</v>
      </c>
      <c r="L398" s="8">
        <v>374</v>
      </c>
      <c r="M398" s="8">
        <v>0</v>
      </c>
      <c r="N398" s="8">
        <v>2</v>
      </c>
      <c r="O398" s="8">
        <v>35</v>
      </c>
      <c r="P398" s="8">
        <v>288</v>
      </c>
      <c r="Q398" s="8">
        <v>8</v>
      </c>
      <c r="R398" s="8">
        <v>52</v>
      </c>
      <c r="S398" s="8">
        <v>2</v>
      </c>
      <c r="T398" s="3" t="s">
        <v>69</v>
      </c>
      <c r="U398" s="10">
        <v>1124</v>
      </c>
      <c r="V398" s="32">
        <v>9</v>
      </c>
      <c r="W398" s="27">
        <v>8.0071174377224202E-3</v>
      </c>
      <c r="X398" s="34">
        <v>0</v>
      </c>
      <c r="Y398" s="27">
        <v>0</v>
      </c>
      <c r="Z398" s="27">
        <v>0</v>
      </c>
      <c r="AA398" s="35">
        <v>6</v>
      </c>
      <c r="AB398" s="27">
        <v>0.66666666666666663</v>
      </c>
      <c r="AC398" s="27">
        <f t="shared" si="37"/>
        <v>5.3380782918149468E-3</v>
      </c>
      <c r="AD398" s="36">
        <v>2</v>
      </c>
      <c r="AE398" s="27">
        <v>0.22222222222222221</v>
      </c>
      <c r="AF398" s="27">
        <f t="shared" si="38"/>
        <v>1.7793594306049821E-3</v>
      </c>
      <c r="AG398" s="37">
        <v>1</v>
      </c>
      <c r="AH398" s="27">
        <v>0.1111111111111111</v>
      </c>
      <c r="AI398" s="27">
        <f t="shared" si="39"/>
        <v>8.8967971530249106E-4</v>
      </c>
      <c r="AJ398" s="38">
        <v>0</v>
      </c>
      <c r="AK398" s="27">
        <v>0</v>
      </c>
      <c r="AL398" s="27">
        <f t="shared" si="40"/>
        <v>0</v>
      </c>
      <c r="AM398" s="40">
        <v>0</v>
      </c>
      <c r="AN398" s="27">
        <v>0</v>
      </c>
      <c r="AO398" s="27">
        <f t="shared" si="41"/>
        <v>0</v>
      </c>
      <c r="AP398" s="7" t="b">
        <v>1</v>
      </c>
      <c r="AQ398" s="6" t="b">
        <v>0</v>
      </c>
      <c r="AR398" s="6" t="b">
        <v>0</v>
      </c>
      <c r="AS398" s="6" t="b">
        <v>0</v>
      </c>
      <c r="AT398" s="7" t="b">
        <v>1</v>
      </c>
      <c r="AU398" s="6" t="b">
        <v>0</v>
      </c>
      <c r="AV398" s="6" t="b">
        <v>0</v>
      </c>
      <c r="AW398" s="6" t="b">
        <v>0</v>
      </c>
      <c r="AX398" s="6" t="b">
        <v>0</v>
      </c>
      <c r="AY398" s="6" t="b">
        <v>0</v>
      </c>
      <c r="AZ398" s="6" t="b">
        <v>0</v>
      </c>
      <c r="BA398" s="6" t="b">
        <v>0</v>
      </c>
      <c r="BB398" s="6" t="b">
        <v>0</v>
      </c>
    </row>
    <row r="399" spans="1:54" ht="15" x14ac:dyDescent="0.25">
      <c r="A399" s="3" t="s">
        <v>854</v>
      </c>
      <c r="B399" s="3" t="str">
        <f ca="1">IFERROR(__xludf.DUMMYFUNCTION("SPLIT(A399,""/"")"),"GoogleCloudPlatform")</f>
        <v>GoogleCloudPlatform</v>
      </c>
      <c r="C399" s="3" t="str">
        <f ca="1">IFERROR(__xludf.DUMMYFUNCTION("""COMPUTED_VALUE"""),"microservices-demo")</f>
        <v>microservices-demo</v>
      </c>
      <c r="D399" s="4" t="s">
        <v>855</v>
      </c>
      <c r="E399" s="5">
        <v>43315.772430555553</v>
      </c>
      <c r="F399" s="5">
        <v>44294.978773148148</v>
      </c>
      <c r="G399" s="13">
        <f t="shared" si="36"/>
        <v>979.20634259259532</v>
      </c>
      <c r="H399" s="6" t="b">
        <v>0</v>
      </c>
      <c r="I399" s="7" t="b">
        <v>1</v>
      </c>
      <c r="J399" s="8">
        <v>9838</v>
      </c>
      <c r="K399" s="8">
        <v>260</v>
      </c>
      <c r="L399" s="8">
        <v>2218</v>
      </c>
      <c r="M399" s="8">
        <v>2</v>
      </c>
      <c r="N399" s="8">
        <v>2</v>
      </c>
      <c r="O399" s="8">
        <v>75</v>
      </c>
      <c r="P399" s="8">
        <v>328</v>
      </c>
      <c r="Q399" s="8">
        <v>5</v>
      </c>
      <c r="R399" s="8">
        <v>203</v>
      </c>
      <c r="S399" s="8">
        <v>12</v>
      </c>
      <c r="T399" s="3" t="s">
        <v>69</v>
      </c>
      <c r="U399" s="10">
        <v>1103</v>
      </c>
      <c r="V399" s="32">
        <v>34</v>
      </c>
      <c r="W399" s="27">
        <v>3.0825022665457842E-2</v>
      </c>
      <c r="X399" s="34">
        <v>0</v>
      </c>
      <c r="Y399" s="27">
        <v>0</v>
      </c>
      <c r="Z399" s="27">
        <v>0</v>
      </c>
      <c r="AA399" s="35">
        <v>27</v>
      </c>
      <c r="AB399" s="27">
        <v>0.79411764705882348</v>
      </c>
      <c r="AC399" s="27">
        <f t="shared" si="37"/>
        <v>2.4478694469628286E-2</v>
      </c>
      <c r="AD399" s="36">
        <v>2</v>
      </c>
      <c r="AE399" s="27">
        <v>5.8823529411764705E-2</v>
      </c>
      <c r="AF399" s="27">
        <f t="shared" si="38"/>
        <v>1.8132366273798731E-3</v>
      </c>
      <c r="AG399" s="37">
        <v>5</v>
      </c>
      <c r="AH399" s="27">
        <v>0.14705882352941177</v>
      </c>
      <c r="AI399" s="27">
        <f t="shared" si="39"/>
        <v>4.5330915684496827E-3</v>
      </c>
      <c r="AJ399" s="38">
        <v>0</v>
      </c>
      <c r="AK399" s="27">
        <v>0</v>
      </c>
      <c r="AL399" s="27">
        <f t="shared" si="40"/>
        <v>0</v>
      </c>
      <c r="AM399" s="40">
        <v>0</v>
      </c>
      <c r="AN399" s="27">
        <v>0</v>
      </c>
      <c r="AO399" s="27">
        <f t="shared" si="41"/>
        <v>0</v>
      </c>
      <c r="AP399" s="7" t="b">
        <v>1</v>
      </c>
      <c r="AQ399" s="6" t="b">
        <v>0</v>
      </c>
      <c r="AR399" s="6" t="b">
        <v>0</v>
      </c>
      <c r="AS399" s="6" t="b">
        <v>0</v>
      </c>
      <c r="AT399" s="7" t="b">
        <v>1</v>
      </c>
      <c r="AU399" s="6" t="b">
        <v>0</v>
      </c>
      <c r="AV399" s="6" t="b">
        <v>0</v>
      </c>
      <c r="AW399" s="6" t="b">
        <v>0</v>
      </c>
      <c r="AX399" s="6" t="b">
        <v>0</v>
      </c>
      <c r="AY399" s="6" t="b">
        <v>0</v>
      </c>
      <c r="AZ399" s="6" t="b">
        <v>0</v>
      </c>
      <c r="BA399" s="6" t="b">
        <v>0</v>
      </c>
      <c r="BB399" s="6" t="b">
        <v>0</v>
      </c>
    </row>
    <row r="400" spans="1:54" ht="15" x14ac:dyDescent="0.25">
      <c r="A400" s="3" t="s">
        <v>856</v>
      </c>
      <c r="B400" s="3" t="str">
        <f ca="1">IFERROR(__xludf.DUMMYFUNCTION("SPLIT(A400,""/"")"),"GoogleCloudPlatform")</f>
        <v>GoogleCloudPlatform</v>
      </c>
      <c r="C400" s="3" t="str">
        <f ca="1">IFERROR(__xludf.DUMMYFUNCTION("""COMPUTED_VALUE"""),"ml-on-gcp")</f>
        <v>ml-on-gcp</v>
      </c>
      <c r="D400" s="4" t="s">
        <v>857</v>
      </c>
      <c r="E400" s="5">
        <v>42968.878680555557</v>
      </c>
      <c r="F400" s="5">
        <v>44292.660092592596</v>
      </c>
      <c r="G400" s="13">
        <f t="shared" si="36"/>
        <v>1323.7814120370385</v>
      </c>
      <c r="H400" s="6" t="b">
        <v>0</v>
      </c>
      <c r="I400" s="7" t="b">
        <v>1</v>
      </c>
      <c r="J400" s="8">
        <v>397</v>
      </c>
      <c r="K400" s="8">
        <v>63</v>
      </c>
      <c r="L400" s="8">
        <v>150</v>
      </c>
      <c r="M400" s="8">
        <v>0</v>
      </c>
      <c r="N400" s="8">
        <v>0</v>
      </c>
      <c r="O400" s="8">
        <v>26</v>
      </c>
      <c r="P400" s="8">
        <v>102</v>
      </c>
      <c r="Q400" s="8">
        <v>7</v>
      </c>
      <c r="R400" s="8">
        <v>20</v>
      </c>
      <c r="S400" s="8">
        <v>9</v>
      </c>
      <c r="T400" s="3" t="s">
        <v>69</v>
      </c>
      <c r="U400" s="10">
        <v>9566</v>
      </c>
      <c r="V400" s="32">
        <v>130</v>
      </c>
      <c r="W400" s="27">
        <v>1.3589797198411038E-2</v>
      </c>
      <c r="X400" s="34">
        <v>2</v>
      </c>
      <c r="Y400" s="27">
        <v>1.5384615384615385E-2</v>
      </c>
      <c r="Z400" s="27">
        <v>2.0907380305247751E-4</v>
      </c>
      <c r="AA400" s="35">
        <v>67</v>
      </c>
      <c r="AB400" s="27">
        <v>0.51538461538461533</v>
      </c>
      <c r="AC400" s="27">
        <f t="shared" si="37"/>
        <v>7.0039724022579967E-3</v>
      </c>
      <c r="AD400" s="36">
        <v>39</v>
      </c>
      <c r="AE400" s="27">
        <v>0.3</v>
      </c>
      <c r="AF400" s="27">
        <f t="shared" si="38"/>
        <v>4.076939159523312E-3</v>
      </c>
      <c r="AG400" s="37">
        <v>21</v>
      </c>
      <c r="AH400" s="27">
        <v>0.16153846153846155</v>
      </c>
      <c r="AI400" s="27">
        <f t="shared" si="39"/>
        <v>2.1952749320510142E-3</v>
      </c>
      <c r="AJ400" s="38">
        <v>1</v>
      </c>
      <c r="AK400" s="27">
        <v>7.6923076923076927E-3</v>
      </c>
      <c r="AL400" s="27">
        <f t="shared" si="40"/>
        <v>1.0453690152623876E-4</v>
      </c>
      <c r="AM400" s="40">
        <v>0</v>
      </c>
      <c r="AN400" s="27">
        <v>0</v>
      </c>
      <c r="AO400" s="27">
        <f t="shared" si="41"/>
        <v>0</v>
      </c>
      <c r="AP400" s="7" t="b">
        <v>1</v>
      </c>
      <c r="AQ400" s="6" t="b">
        <v>0</v>
      </c>
      <c r="AR400" s="6" t="b">
        <v>0</v>
      </c>
      <c r="AS400" s="6" t="b">
        <v>0</v>
      </c>
      <c r="AT400" s="7" t="b">
        <v>1</v>
      </c>
      <c r="AU400" s="6" t="b">
        <v>0</v>
      </c>
      <c r="AV400" s="6" t="b">
        <v>0</v>
      </c>
      <c r="AW400" s="6" t="b">
        <v>0</v>
      </c>
      <c r="AX400" s="6" t="b">
        <v>0</v>
      </c>
      <c r="AY400" s="6" t="b">
        <v>0</v>
      </c>
      <c r="AZ400" s="6" t="b">
        <v>0</v>
      </c>
      <c r="BA400" s="6" t="b">
        <v>0</v>
      </c>
      <c r="BB400" s="6" t="b">
        <v>0</v>
      </c>
    </row>
    <row r="401" spans="1:54" ht="15" x14ac:dyDescent="0.25">
      <c r="A401" s="3" t="s">
        <v>858</v>
      </c>
      <c r="B401" s="3" t="str">
        <f ca="1">IFERROR(__xludf.DUMMYFUNCTION("SPLIT(A401,""/"")"),"GoogleCloudPlatform")</f>
        <v>GoogleCloudPlatform</v>
      </c>
      <c r="C401" s="3" t="str">
        <f ca="1">IFERROR(__xludf.DUMMYFUNCTION("""COMPUTED_VALUE"""),"PerfKitBenchmarker")</f>
        <v>PerfKitBenchmarker</v>
      </c>
      <c r="D401" s="4" t="s">
        <v>859</v>
      </c>
      <c r="E401" s="5">
        <v>41837.724606481483</v>
      </c>
      <c r="F401" s="5">
        <v>44294.916481481479</v>
      </c>
      <c r="G401" s="13">
        <f t="shared" si="36"/>
        <v>2457.1918749999968</v>
      </c>
      <c r="H401" s="6" t="b">
        <v>0</v>
      </c>
      <c r="I401" s="7" t="b">
        <v>1</v>
      </c>
      <c r="J401" s="8">
        <v>1537</v>
      </c>
      <c r="K401" s="8">
        <v>111</v>
      </c>
      <c r="L401" s="8">
        <v>371</v>
      </c>
      <c r="M401" s="8">
        <v>17</v>
      </c>
      <c r="N401" s="8">
        <v>73</v>
      </c>
      <c r="O401" s="8">
        <v>116</v>
      </c>
      <c r="P401" s="8">
        <v>2284</v>
      </c>
      <c r="Q401" s="8">
        <v>15</v>
      </c>
      <c r="R401" s="8">
        <v>560</v>
      </c>
      <c r="S401" s="8">
        <v>201</v>
      </c>
      <c r="T401" s="3" t="s">
        <v>69</v>
      </c>
      <c r="U401" s="10">
        <v>59462</v>
      </c>
      <c r="V401" s="32">
        <v>847</v>
      </c>
      <c r="W401" s="27">
        <v>1.4244391376004844E-2</v>
      </c>
      <c r="X401" s="34">
        <v>50</v>
      </c>
      <c r="Y401" s="27">
        <v>5.9031877213695398E-2</v>
      </c>
      <c r="Z401" s="27">
        <v>8.408731626921395E-4</v>
      </c>
      <c r="AA401" s="35">
        <v>605</v>
      </c>
      <c r="AB401" s="27">
        <v>0.7142857142857143</v>
      </c>
      <c r="AC401" s="27">
        <f t="shared" si="37"/>
        <v>1.0174565268574888E-2</v>
      </c>
      <c r="AD401" s="36">
        <v>95</v>
      </c>
      <c r="AE401" s="27">
        <v>0.11216056670602124</v>
      </c>
      <c r="AF401" s="27">
        <f t="shared" si="38"/>
        <v>1.597659009115065E-3</v>
      </c>
      <c r="AG401" s="37">
        <v>91</v>
      </c>
      <c r="AH401" s="27">
        <v>0.10743801652892562</v>
      </c>
      <c r="AI401" s="27">
        <f t="shared" si="39"/>
        <v>1.530389156099694E-3</v>
      </c>
      <c r="AJ401" s="38">
        <v>0</v>
      </c>
      <c r="AK401" s="27">
        <v>0</v>
      </c>
      <c r="AL401" s="27">
        <f t="shared" si="40"/>
        <v>0</v>
      </c>
      <c r="AM401" s="40">
        <v>2</v>
      </c>
      <c r="AN401" s="27">
        <v>2.3612750885478157E-3</v>
      </c>
      <c r="AO401" s="27">
        <f t="shared" si="41"/>
        <v>3.3634926507685578E-5</v>
      </c>
      <c r="AP401" s="7" t="b">
        <v>1</v>
      </c>
      <c r="AQ401" s="6" t="b">
        <v>0</v>
      </c>
      <c r="AR401" s="6" t="b">
        <v>0</v>
      </c>
      <c r="AS401" s="6" t="b">
        <v>0</v>
      </c>
      <c r="AT401" s="7" t="b">
        <v>1</v>
      </c>
      <c r="AU401" s="6" t="b">
        <v>0</v>
      </c>
      <c r="AV401" s="6" t="b">
        <v>0</v>
      </c>
      <c r="AW401" s="6" t="b">
        <v>0</v>
      </c>
      <c r="AX401" s="6" t="b">
        <v>0</v>
      </c>
      <c r="AY401" s="6" t="b">
        <v>0</v>
      </c>
      <c r="AZ401" s="6" t="b">
        <v>0</v>
      </c>
      <c r="BA401" s="6" t="b">
        <v>0</v>
      </c>
      <c r="BB401" s="6" t="b">
        <v>0</v>
      </c>
    </row>
    <row r="402" spans="1:54" ht="15" x14ac:dyDescent="0.25">
      <c r="A402" s="3" t="s">
        <v>860</v>
      </c>
      <c r="B402" s="3" t="str">
        <f ca="1">IFERROR(__xludf.DUMMYFUNCTION("SPLIT(A402,""/"")"),"GoogleCloudPlatform")</f>
        <v>GoogleCloudPlatform</v>
      </c>
      <c r="C402" s="3" t="str">
        <f ca="1">IFERROR(__xludf.DUMMYFUNCTION("""COMPUTED_VALUE"""),"professional-services")</f>
        <v>professional-services</v>
      </c>
      <c r="D402" s="4" t="s">
        <v>861</v>
      </c>
      <c r="E402" s="5">
        <v>42873.812118055554</v>
      </c>
      <c r="F402" s="5">
        <v>44294.327743055554</v>
      </c>
      <c r="G402" s="13">
        <f t="shared" si="36"/>
        <v>1420.515625</v>
      </c>
      <c r="H402" s="6" t="b">
        <v>0</v>
      </c>
      <c r="I402" s="7" t="b">
        <v>1</v>
      </c>
      <c r="J402" s="8">
        <v>1571</v>
      </c>
      <c r="K402" s="8">
        <v>138</v>
      </c>
      <c r="L402" s="8">
        <v>740</v>
      </c>
      <c r="M402" s="8">
        <v>0</v>
      </c>
      <c r="N402" s="8">
        <v>3</v>
      </c>
      <c r="O402" s="8">
        <v>137</v>
      </c>
      <c r="P402" s="8">
        <v>528</v>
      </c>
      <c r="Q402" s="8">
        <v>12</v>
      </c>
      <c r="R402" s="8">
        <v>105</v>
      </c>
      <c r="S402" s="8">
        <v>51</v>
      </c>
      <c r="T402" s="3" t="s">
        <v>69</v>
      </c>
      <c r="U402" s="10">
        <v>28829</v>
      </c>
      <c r="V402" s="32">
        <v>911</v>
      </c>
      <c r="W402" s="27">
        <v>3.1600124874258562E-2</v>
      </c>
      <c r="X402" s="34">
        <v>197</v>
      </c>
      <c r="Y402" s="27">
        <v>0.21624588364434688</v>
      </c>
      <c r="Z402" s="27">
        <v>6.833396926705748E-3</v>
      </c>
      <c r="AA402" s="35">
        <v>495</v>
      </c>
      <c r="AB402" s="27">
        <v>0.54335894621295278</v>
      </c>
      <c r="AC402" s="27">
        <f t="shared" si="37"/>
        <v>1.717021055187485E-2</v>
      </c>
      <c r="AD402" s="36">
        <v>25</v>
      </c>
      <c r="AE402" s="27">
        <v>2.7442371020856202E-2</v>
      </c>
      <c r="AF402" s="27">
        <f t="shared" si="38"/>
        <v>8.6718235110479029E-4</v>
      </c>
      <c r="AG402" s="37">
        <v>165</v>
      </c>
      <c r="AH402" s="27">
        <v>0.18111964873765093</v>
      </c>
      <c r="AI402" s="27">
        <f t="shared" si="39"/>
        <v>5.723403517291616E-3</v>
      </c>
      <c r="AJ402" s="38">
        <v>3</v>
      </c>
      <c r="AK402" s="27">
        <v>3.2930845225027441E-3</v>
      </c>
      <c r="AL402" s="27">
        <f t="shared" si="40"/>
        <v>1.0406188213257484E-4</v>
      </c>
      <c r="AM402" s="40">
        <v>1</v>
      </c>
      <c r="AN402" s="27">
        <v>1.0976948408342481E-3</v>
      </c>
      <c r="AO402" s="27">
        <f t="shared" si="41"/>
        <v>3.4687294044191612E-5</v>
      </c>
      <c r="AP402" s="7" t="b">
        <v>1</v>
      </c>
      <c r="AQ402" s="6" t="b">
        <v>0</v>
      </c>
      <c r="AR402" s="6" t="b">
        <v>0</v>
      </c>
      <c r="AS402" s="6" t="b">
        <v>0</v>
      </c>
      <c r="AT402" s="7" t="b">
        <v>1</v>
      </c>
      <c r="AU402" s="6" t="b">
        <v>0</v>
      </c>
      <c r="AV402" s="6" t="b">
        <v>0</v>
      </c>
      <c r="AW402" s="6" t="b">
        <v>0</v>
      </c>
      <c r="AX402" s="6" t="b">
        <v>0</v>
      </c>
      <c r="AY402" s="6" t="b">
        <v>0</v>
      </c>
      <c r="AZ402" s="6" t="b">
        <v>0</v>
      </c>
      <c r="BA402" s="6" t="b">
        <v>0</v>
      </c>
      <c r="BB402" s="6" t="b">
        <v>0</v>
      </c>
    </row>
    <row r="403" spans="1:54" ht="15" x14ac:dyDescent="0.25">
      <c r="A403" s="3" t="s">
        <v>862</v>
      </c>
      <c r="B403" s="3" t="str">
        <f ca="1">IFERROR(__xludf.DUMMYFUNCTION("SPLIT(A403,""/"")"),"GoogleCloudPlatform")</f>
        <v>GoogleCloudPlatform</v>
      </c>
      <c r="C403" s="3" t="str">
        <f ca="1">IFERROR(__xludf.DUMMYFUNCTION("""COMPUTED_VALUE"""),"python-docs-samples")</f>
        <v>python-docs-samples</v>
      </c>
      <c r="D403" s="4" t="s">
        <v>863</v>
      </c>
      <c r="E403" s="5">
        <v>42128.976539351854</v>
      </c>
      <c r="F403" s="5">
        <v>44294.93822916667</v>
      </c>
      <c r="G403" s="13">
        <f t="shared" si="36"/>
        <v>2165.9616898148161</v>
      </c>
      <c r="H403" s="6" t="b">
        <v>0</v>
      </c>
      <c r="I403" s="7" t="b">
        <v>1</v>
      </c>
      <c r="J403" s="8">
        <v>4921</v>
      </c>
      <c r="K403" s="8">
        <v>276</v>
      </c>
      <c r="L403" s="8">
        <v>4894</v>
      </c>
      <c r="M403" s="8">
        <v>0</v>
      </c>
      <c r="N403" s="8">
        <v>63</v>
      </c>
      <c r="O403" s="8">
        <v>367</v>
      </c>
      <c r="P403" s="8">
        <v>3974</v>
      </c>
      <c r="Q403" s="8">
        <v>24</v>
      </c>
      <c r="R403" s="8">
        <v>1683</v>
      </c>
      <c r="S403" s="8">
        <v>37</v>
      </c>
      <c r="T403" s="3" t="s">
        <v>69</v>
      </c>
      <c r="U403" s="10">
        <v>29071</v>
      </c>
      <c r="V403" s="32">
        <v>144</v>
      </c>
      <c r="W403" s="27">
        <v>4.9533899762650062E-3</v>
      </c>
      <c r="X403" s="34">
        <v>1</v>
      </c>
      <c r="Y403" s="27">
        <v>6.9444444444444441E-3</v>
      </c>
      <c r="Z403" s="27">
        <v>3.4398541501840321E-5</v>
      </c>
      <c r="AA403" s="35">
        <v>72</v>
      </c>
      <c r="AB403" s="27">
        <v>0.5</v>
      </c>
      <c r="AC403" s="27">
        <f t="shared" si="37"/>
        <v>2.4766949881325031E-3</v>
      </c>
      <c r="AD403" s="36">
        <v>14</v>
      </c>
      <c r="AE403" s="27">
        <v>9.7222222222222224E-2</v>
      </c>
      <c r="AF403" s="27">
        <f t="shared" si="38"/>
        <v>4.8157958102576449E-4</v>
      </c>
      <c r="AG403" s="37">
        <v>43</v>
      </c>
      <c r="AH403" s="27">
        <v>0.2986111111111111</v>
      </c>
      <c r="AI403" s="27">
        <f t="shared" si="39"/>
        <v>1.4791372845791339E-3</v>
      </c>
      <c r="AJ403" s="38">
        <v>1</v>
      </c>
      <c r="AK403" s="27">
        <v>6.9444444444444441E-3</v>
      </c>
      <c r="AL403" s="27">
        <f t="shared" si="40"/>
        <v>3.4398541501840321E-5</v>
      </c>
      <c r="AM403" s="40">
        <v>0</v>
      </c>
      <c r="AN403" s="27">
        <v>0</v>
      </c>
      <c r="AO403" s="27">
        <f t="shared" si="41"/>
        <v>0</v>
      </c>
      <c r="AP403" s="7" t="b">
        <v>1</v>
      </c>
      <c r="AQ403" s="6" t="b">
        <v>0</v>
      </c>
      <c r="AR403" s="6" t="b">
        <v>0</v>
      </c>
      <c r="AS403" s="6" t="b">
        <v>0</v>
      </c>
      <c r="AT403" s="7" t="b">
        <v>1</v>
      </c>
      <c r="AU403" s="6" t="b">
        <v>0</v>
      </c>
      <c r="AV403" s="6" t="b">
        <v>0</v>
      </c>
      <c r="AW403" s="6" t="b">
        <v>0</v>
      </c>
      <c r="AX403" s="6" t="b">
        <v>0</v>
      </c>
      <c r="AY403" s="6" t="b">
        <v>0</v>
      </c>
      <c r="AZ403" s="6" t="b">
        <v>0</v>
      </c>
      <c r="BA403" s="7" t="b">
        <v>1</v>
      </c>
      <c r="BB403" s="6" t="b">
        <v>0</v>
      </c>
    </row>
    <row r="404" spans="1:54" ht="15" x14ac:dyDescent="0.25">
      <c r="A404" s="3" t="s">
        <v>864</v>
      </c>
      <c r="B404" s="3" t="str">
        <f ca="1">IFERROR(__xludf.DUMMYFUNCTION("SPLIT(A404,""/"")"),"GoSecure")</f>
        <v>GoSecure</v>
      </c>
      <c r="C404" s="3" t="str">
        <f ca="1">IFERROR(__xludf.DUMMYFUNCTION("""COMPUTED_VALUE"""),"pyrdp")</f>
        <v>pyrdp</v>
      </c>
      <c r="D404" s="4" t="s">
        <v>865</v>
      </c>
      <c r="E404" s="5">
        <v>43350.803946759261</v>
      </c>
      <c r="F404" s="5">
        <v>44293.639074074075</v>
      </c>
      <c r="G404" s="13">
        <f t="shared" si="36"/>
        <v>942.8351273148146</v>
      </c>
      <c r="H404" s="6" t="b">
        <v>0</v>
      </c>
      <c r="I404" s="7" t="b">
        <v>1</v>
      </c>
      <c r="J404" s="8">
        <v>578</v>
      </c>
      <c r="K404" s="8">
        <v>30</v>
      </c>
      <c r="L404" s="8">
        <v>122</v>
      </c>
      <c r="M404" s="8">
        <v>6</v>
      </c>
      <c r="N404" s="8">
        <v>13</v>
      </c>
      <c r="O404" s="8">
        <v>13</v>
      </c>
      <c r="P404" s="8">
        <v>112</v>
      </c>
      <c r="Q404" s="8">
        <v>3</v>
      </c>
      <c r="R404" s="8">
        <v>197</v>
      </c>
      <c r="S404" s="8">
        <v>20</v>
      </c>
      <c r="T404" s="3" t="s">
        <v>49</v>
      </c>
      <c r="U404" s="10">
        <v>15780</v>
      </c>
      <c r="V404" s="32">
        <v>181</v>
      </c>
      <c r="W404" s="27">
        <v>1.14702154626109E-2</v>
      </c>
      <c r="X404" s="34">
        <v>67</v>
      </c>
      <c r="Y404" s="27">
        <v>0.37016574585635359</v>
      </c>
      <c r="Z404" s="27">
        <v>4.2458808618504439E-3</v>
      </c>
      <c r="AA404" s="35">
        <v>58</v>
      </c>
      <c r="AB404" s="27">
        <v>0.32044198895027626</v>
      </c>
      <c r="AC404" s="27">
        <f t="shared" si="37"/>
        <v>3.6755386565272496E-3</v>
      </c>
      <c r="AD404" s="36">
        <v>15</v>
      </c>
      <c r="AE404" s="27">
        <v>8.2872928176795577E-2</v>
      </c>
      <c r="AF404" s="27">
        <f t="shared" si="38"/>
        <v>9.5057034220532319E-4</v>
      </c>
      <c r="AG404" s="37">
        <v>36</v>
      </c>
      <c r="AH404" s="27">
        <v>0.19889502762430938</v>
      </c>
      <c r="AI404" s="27">
        <f t="shared" si="39"/>
        <v>2.2813688212927757E-3</v>
      </c>
      <c r="AJ404" s="38">
        <v>3</v>
      </c>
      <c r="AK404" s="27">
        <v>1.6574585635359115E-2</v>
      </c>
      <c r="AL404" s="27">
        <f t="shared" si="40"/>
        <v>1.9011406844106463E-4</v>
      </c>
      <c r="AM404" s="40">
        <v>0</v>
      </c>
      <c r="AN404" s="27">
        <v>0</v>
      </c>
      <c r="AO404" s="27">
        <f t="shared" si="41"/>
        <v>0</v>
      </c>
      <c r="AP404" s="7" t="b">
        <v>1</v>
      </c>
      <c r="AQ404" s="7" t="b">
        <v>1</v>
      </c>
      <c r="AR404" s="6" t="b">
        <v>0</v>
      </c>
      <c r="AS404" s="6" t="b">
        <v>0</v>
      </c>
      <c r="AT404" s="7" t="b">
        <v>1</v>
      </c>
      <c r="AU404" s="6" t="b">
        <v>0</v>
      </c>
      <c r="AV404" s="6" t="b">
        <v>0</v>
      </c>
      <c r="AW404" s="6" t="b">
        <v>0</v>
      </c>
      <c r="AX404" s="6" t="b">
        <v>0</v>
      </c>
      <c r="AY404" s="6" t="b">
        <v>0</v>
      </c>
      <c r="AZ404" s="6" t="b">
        <v>0</v>
      </c>
      <c r="BA404" s="6" t="b">
        <v>0</v>
      </c>
      <c r="BB404" s="6" t="b">
        <v>0</v>
      </c>
    </row>
    <row r="405" spans="1:54" ht="15" x14ac:dyDescent="0.25">
      <c r="A405" s="3" t="s">
        <v>866</v>
      </c>
      <c r="B405" s="3" t="str">
        <f ca="1">IFERROR(__xludf.DUMMYFUNCTION("SPLIT(A405,""/"")"),"gouthambs")</f>
        <v>gouthambs</v>
      </c>
      <c r="C405" s="3" t="str">
        <f ca="1">IFERROR(__xludf.DUMMYFUNCTION("""COMPUTED_VALUE"""),"Flask-Blogging")</f>
        <v>Flask-Blogging</v>
      </c>
      <c r="D405" s="4" t="s">
        <v>867</v>
      </c>
      <c r="E405" s="5">
        <v>42151.898333333331</v>
      </c>
      <c r="F405" s="5">
        <v>44293.526956018519</v>
      </c>
      <c r="G405" s="13">
        <f t="shared" si="36"/>
        <v>2141.628622685188</v>
      </c>
      <c r="H405" s="6" t="b">
        <v>0</v>
      </c>
      <c r="I405" s="6" t="b">
        <v>0</v>
      </c>
      <c r="J405" s="8">
        <v>609</v>
      </c>
      <c r="K405" s="8">
        <v>37</v>
      </c>
      <c r="L405" s="8">
        <v>143</v>
      </c>
      <c r="M405" s="8">
        <v>0</v>
      </c>
      <c r="N405" s="8">
        <v>5</v>
      </c>
      <c r="O405" s="8">
        <v>18</v>
      </c>
      <c r="P405" s="8">
        <v>42</v>
      </c>
      <c r="Q405" s="8">
        <v>0</v>
      </c>
      <c r="R405" s="8">
        <v>100</v>
      </c>
      <c r="S405" s="8">
        <v>20</v>
      </c>
      <c r="T405" s="3" t="s">
        <v>72</v>
      </c>
      <c r="U405" s="10">
        <v>2700</v>
      </c>
      <c r="V405" s="32">
        <v>28</v>
      </c>
      <c r="W405" s="27">
        <v>1.037037037037037E-2</v>
      </c>
      <c r="X405" s="34">
        <v>8</v>
      </c>
      <c r="Y405" s="27">
        <v>0.2857142857142857</v>
      </c>
      <c r="Z405" s="27">
        <v>2.9629629629629628E-3</v>
      </c>
      <c r="AA405" s="35">
        <v>0</v>
      </c>
      <c r="AB405" s="27">
        <v>0</v>
      </c>
      <c r="AC405" s="27">
        <f t="shared" si="37"/>
        <v>0</v>
      </c>
      <c r="AD405" s="36">
        <v>0</v>
      </c>
      <c r="AE405" s="27">
        <v>0</v>
      </c>
      <c r="AF405" s="27">
        <f t="shared" si="38"/>
        <v>0</v>
      </c>
      <c r="AG405" s="37">
        <v>20</v>
      </c>
      <c r="AH405" s="27">
        <v>0.7142857142857143</v>
      </c>
      <c r="AI405" s="27">
        <f t="shared" si="39"/>
        <v>7.4074074074074077E-3</v>
      </c>
      <c r="AJ405" s="38">
        <v>0</v>
      </c>
      <c r="AK405" s="27">
        <v>0</v>
      </c>
      <c r="AL405" s="27">
        <f t="shared" si="40"/>
        <v>0</v>
      </c>
      <c r="AM405" s="40">
        <v>0</v>
      </c>
      <c r="AN405" s="27">
        <v>0</v>
      </c>
      <c r="AO405" s="27">
        <f t="shared" si="41"/>
        <v>0</v>
      </c>
      <c r="AP405" s="7" t="b">
        <v>1</v>
      </c>
      <c r="AQ405" s="7" t="b">
        <v>1</v>
      </c>
      <c r="AR405" s="6" t="b">
        <v>0</v>
      </c>
      <c r="AS405" s="6" t="b">
        <v>0</v>
      </c>
      <c r="AT405" s="7" t="b">
        <v>1</v>
      </c>
      <c r="AU405" s="6" t="b">
        <v>0</v>
      </c>
      <c r="AV405" s="6" t="b">
        <v>0</v>
      </c>
      <c r="AW405" s="6" t="b">
        <v>0</v>
      </c>
      <c r="AX405" s="6" t="b">
        <v>0</v>
      </c>
      <c r="AY405" s="6" t="b">
        <v>0</v>
      </c>
      <c r="AZ405" s="6" t="b">
        <v>0</v>
      </c>
      <c r="BA405" s="6" t="b">
        <v>0</v>
      </c>
      <c r="BB405" s="6" t="b">
        <v>0</v>
      </c>
    </row>
    <row r="406" spans="1:54" ht="15" x14ac:dyDescent="0.25">
      <c r="A406" s="3" t="s">
        <v>868</v>
      </c>
      <c r="B406" s="3" t="str">
        <f ca="1">IFERROR(__xludf.DUMMYFUNCTION("SPLIT(A406,""/"")"),"GoVanguard")</f>
        <v>GoVanguard</v>
      </c>
      <c r="C406" s="3" t="str">
        <f ca="1">IFERROR(__xludf.DUMMYFUNCTION("""COMPUTED_VALUE"""),"legion")</f>
        <v>legion</v>
      </c>
      <c r="D406" s="4" t="s">
        <v>869</v>
      </c>
      <c r="E406" s="5">
        <v>43362.378055555557</v>
      </c>
      <c r="F406" s="5">
        <v>44292.974259259259</v>
      </c>
      <c r="G406" s="13">
        <f t="shared" si="36"/>
        <v>930.59620370370249</v>
      </c>
      <c r="H406" s="6" t="b">
        <v>0</v>
      </c>
      <c r="I406" s="7" t="b">
        <v>1</v>
      </c>
      <c r="J406" s="8">
        <v>584</v>
      </c>
      <c r="K406" s="8">
        <v>36</v>
      </c>
      <c r="L406" s="8">
        <v>114</v>
      </c>
      <c r="M406" s="8">
        <v>10</v>
      </c>
      <c r="N406" s="8">
        <v>0</v>
      </c>
      <c r="O406" s="8">
        <v>14</v>
      </c>
      <c r="P406" s="8">
        <v>65</v>
      </c>
      <c r="Q406" s="8">
        <v>3</v>
      </c>
      <c r="R406" s="8">
        <v>135</v>
      </c>
      <c r="S406" s="8">
        <v>57</v>
      </c>
      <c r="T406" s="3" t="s">
        <v>49</v>
      </c>
      <c r="U406" s="10">
        <v>8798</v>
      </c>
      <c r="V406" s="32">
        <v>199</v>
      </c>
      <c r="W406" s="27">
        <v>2.261877699477154E-2</v>
      </c>
      <c r="X406" s="34">
        <v>12</v>
      </c>
      <c r="Y406" s="27">
        <v>6.030150753768844E-2</v>
      </c>
      <c r="Z406" s="27">
        <v>1.3639463514435099E-3</v>
      </c>
      <c r="AA406" s="35">
        <v>160</v>
      </c>
      <c r="AB406" s="27">
        <v>0.8040201005025126</v>
      </c>
      <c r="AC406" s="27">
        <f t="shared" si="37"/>
        <v>1.8185951352580131E-2</v>
      </c>
      <c r="AD406" s="36">
        <v>2</v>
      </c>
      <c r="AE406" s="27">
        <v>1.0050251256281407E-2</v>
      </c>
      <c r="AF406" s="27">
        <f t="shared" si="38"/>
        <v>2.2732439190725165E-4</v>
      </c>
      <c r="AG406" s="37">
        <v>17</v>
      </c>
      <c r="AH406" s="27">
        <v>8.5427135678391955E-2</v>
      </c>
      <c r="AI406" s="27">
        <f t="shared" si="39"/>
        <v>1.932257331211639E-3</v>
      </c>
      <c r="AJ406" s="38">
        <v>0</v>
      </c>
      <c r="AK406" s="27">
        <v>0</v>
      </c>
      <c r="AL406" s="27">
        <f t="shared" si="40"/>
        <v>0</v>
      </c>
      <c r="AM406" s="40">
        <v>2</v>
      </c>
      <c r="AN406" s="27">
        <v>1.0050251256281407E-2</v>
      </c>
      <c r="AO406" s="27">
        <f t="shared" si="41"/>
        <v>2.2732439190725165E-4</v>
      </c>
      <c r="AP406" s="7" t="b">
        <v>1</v>
      </c>
      <c r="AQ406" s="6" t="b">
        <v>0</v>
      </c>
      <c r="AR406" s="6" t="b">
        <v>0</v>
      </c>
      <c r="AS406" s="6" t="b">
        <v>0</v>
      </c>
      <c r="AT406" s="7" t="b">
        <v>1</v>
      </c>
      <c r="AU406" s="6" t="b">
        <v>0</v>
      </c>
      <c r="AV406" s="6" t="b">
        <v>0</v>
      </c>
      <c r="AW406" s="6" t="b">
        <v>0</v>
      </c>
      <c r="AX406" s="6" t="b">
        <v>0</v>
      </c>
      <c r="AY406" s="6" t="b">
        <v>0</v>
      </c>
      <c r="AZ406" s="6" t="b">
        <v>0</v>
      </c>
      <c r="BA406" s="6" t="b">
        <v>0</v>
      </c>
      <c r="BB406" s="6" t="b">
        <v>0</v>
      </c>
    </row>
    <row r="407" spans="1:54" ht="15" x14ac:dyDescent="0.25">
      <c r="A407" s="3" t="s">
        <v>870</v>
      </c>
      <c r="B407" s="3" t="str">
        <f ca="1">IFERROR(__xludf.DUMMYFUNCTION("SPLIT(A407,""/"")"),"grapheneX")</f>
        <v>grapheneX</v>
      </c>
      <c r="C407" s="3" t="str">
        <f ca="1">IFERROR(__xludf.DUMMYFUNCTION("""COMPUTED_VALUE"""),"grapheneX")</f>
        <v>grapheneX</v>
      </c>
      <c r="D407" s="4" t="s">
        <v>871</v>
      </c>
      <c r="E407" s="5">
        <v>43549.848912037036</v>
      </c>
      <c r="F407" s="5">
        <v>44294.752210648148</v>
      </c>
      <c r="G407" s="13">
        <f t="shared" si="36"/>
        <v>744.9032986111124</v>
      </c>
      <c r="H407" s="6" t="b">
        <v>0</v>
      </c>
      <c r="I407" s="7" t="b">
        <v>1</v>
      </c>
      <c r="J407" s="8">
        <v>668</v>
      </c>
      <c r="K407" s="8">
        <v>23</v>
      </c>
      <c r="L407" s="8">
        <v>62</v>
      </c>
      <c r="M407" s="8">
        <v>10</v>
      </c>
      <c r="N407" s="8">
        <v>0</v>
      </c>
      <c r="O407" s="8">
        <v>12</v>
      </c>
      <c r="P407" s="8">
        <v>107</v>
      </c>
      <c r="Q407" s="8">
        <v>1</v>
      </c>
      <c r="R407" s="8">
        <v>12</v>
      </c>
      <c r="S407" s="8">
        <v>4</v>
      </c>
      <c r="T407" s="3" t="s">
        <v>49</v>
      </c>
      <c r="U407" s="10">
        <v>848</v>
      </c>
      <c r="V407" s="32">
        <v>47</v>
      </c>
      <c r="W407" s="27">
        <v>5.5424528301886794E-2</v>
      </c>
      <c r="X407" s="34">
        <v>2</v>
      </c>
      <c r="Y407" s="27">
        <v>4.2553191489361701E-2</v>
      </c>
      <c r="Z407" s="27">
        <v>2.3584905660377358E-3</v>
      </c>
      <c r="AA407" s="35">
        <v>18</v>
      </c>
      <c r="AB407" s="27">
        <v>0.38297872340425532</v>
      </c>
      <c r="AC407" s="27">
        <f t="shared" si="37"/>
        <v>2.1226415094339621E-2</v>
      </c>
      <c r="AD407" s="36">
        <v>10</v>
      </c>
      <c r="AE407" s="27">
        <v>0.21276595744680851</v>
      </c>
      <c r="AF407" s="27">
        <f t="shared" si="38"/>
        <v>1.179245283018868E-2</v>
      </c>
      <c r="AG407" s="37">
        <v>17</v>
      </c>
      <c r="AH407" s="27">
        <v>0.36170212765957449</v>
      </c>
      <c r="AI407" s="27">
        <f t="shared" si="39"/>
        <v>2.0047169811320754E-2</v>
      </c>
      <c r="AJ407" s="38">
        <v>0</v>
      </c>
      <c r="AK407" s="27">
        <v>0</v>
      </c>
      <c r="AL407" s="27">
        <f t="shared" si="40"/>
        <v>0</v>
      </c>
      <c r="AM407" s="40">
        <v>0</v>
      </c>
      <c r="AN407" s="27">
        <v>0</v>
      </c>
      <c r="AO407" s="27">
        <f t="shared" si="41"/>
        <v>0</v>
      </c>
      <c r="AP407" s="7" t="b">
        <v>1</v>
      </c>
      <c r="AQ407" s="6" t="b">
        <v>0</v>
      </c>
      <c r="AR407" s="6" t="b">
        <v>0</v>
      </c>
      <c r="AS407" s="6" t="b">
        <v>0</v>
      </c>
      <c r="AT407" s="7" t="b">
        <v>1</v>
      </c>
      <c r="AU407" s="6" t="b">
        <v>0</v>
      </c>
      <c r="AV407" s="6" t="b">
        <v>0</v>
      </c>
      <c r="AW407" s="6" t="b">
        <v>0</v>
      </c>
      <c r="AX407" s="6" t="b">
        <v>0</v>
      </c>
      <c r="AY407" s="6" t="b">
        <v>0</v>
      </c>
      <c r="AZ407" s="6" t="b">
        <v>0</v>
      </c>
      <c r="BA407" s="6" t="b">
        <v>0</v>
      </c>
      <c r="BB407" s="6" t="b">
        <v>0</v>
      </c>
    </row>
    <row r="408" spans="1:54" ht="15" x14ac:dyDescent="0.25">
      <c r="A408" s="3" t="s">
        <v>872</v>
      </c>
      <c r="B408" s="3" t="str">
        <f ca="1">IFERROR(__xludf.DUMMYFUNCTION("SPLIT(A408,""/"")"),"graphistry")</f>
        <v>graphistry</v>
      </c>
      <c r="C408" s="3" t="str">
        <f ca="1">IFERROR(__xludf.DUMMYFUNCTION("""COMPUTED_VALUE"""),"pygraphistry")</f>
        <v>pygraphistry</v>
      </c>
      <c r="D408" s="4" t="s">
        <v>873</v>
      </c>
      <c r="E408" s="5">
        <v>42157.853263888886</v>
      </c>
      <c r="F408" s="5">
        <v>44289.907743055555</v>
      </c>
      <c r="G408" s="13">
        <f t="shared" si="36"/>
        <v>2132.0544791666689</v>
      </c>
      <c r="H408" s="6" t="b">
        <v>0</v>
      </c>
      <c r="I408" s="7" t="b">
        <v>1</v>
      </c>
      <c r="J408" s="8">
        <v>1369</v>
      </c>
      <c r="K408" s="8">
        <v>41</v>
      </c>
      <c r="L408" s="8">
        <v>122</v>
      </c>
      <c r="M408" s="8">
        <v>5</v>
      </c>
      <c r="N408" s="8">
        <v>28</v>
      </c>
      <c r="O408" s="8">
        <v>11</v>
      </c>
      <c r="P408" s="8">
        <v>93</v>
      </c>
      <c r="Q408" s="8">
        <v>0</v>
      </c>
      <c r="R408" s="8">
        <v>135</v>
      </c>
      <c r="S408" s="8">
        <v>37</v>
      </c>
      <c r="T408" s="3" t="s">
        <v>57</v>
      </c>
      <c r="U408" s="10">
        <v>4902</v>
      </c>
      <c r="V408" s="32">
        <v>77</v>
      </c>
      <c r="W408" s="27">
        <v>1.5707874337005302E-2</v>
      </c>
      <c r="X408" s="34">
        <v>32</v>
      </c>
      <c r="Y408" s="27">
        <v>0.41558441558441561</v>
      </c>
      <c r="Z408" s="27">
        <v>6.5279477764177887E-3</v>
      </c>
      <c r="AA408" s="35">
        <v>0</v>
      </c>
      <c r="AB408" s="27">
        <v>0</v>
      </c>
      <c r="AC408" s="27">
        <f t="shared" si="37"/>
        <v>0</v>
      </c>
      <c r="AD408" s="36">
        <v>19</v>
      </c>
      <c r="AE408" s="27">
        <v>0.24675324675324675</v>
      </c>
      <c r="AF408" s="27">
        <f t="shared" si="38"/>
        <v>3.875968992248062E-3</v>
      </c>
      <c r="AG408" s="37">
        <v>26</v>
      </c>
      <c r="AH408" s="27">
        <v>0.33766233766233766</v>
      </c>
      <c r="AI408" s="27">
        <f t="shared" si="39"/>
        <v>5.3039575683394534E-3</v>
      </c>
      <c r="AJ408" s="38">
        <v>0</v>
      </c>
      <c r="AK408" s="27">
        <v>0</v>
      </c>
      <c r="AL408" s="27">
        <f t="shared" si="40"/>
        <v>0</v>
      </c>
      <c r="AM408" s="40">
        <v>0</v>
      </c>
      <c r="AN408" s="27">
        <v>0</v>
      </c>
      <c r="AO408" s="27">
        <f t="shared" si="41"/>
        <v>0</v>
      </c>
      <c r="AP408" s="6" t="b">
        <v>0</v>
      </c>
      <c r="AQ408" s="7" t="b">
        <v>1</v>
      </c>
      <c r="AR408" s="6" t="b">
        <v>0</v>
      </c>
      <c r="AS408" s="6" t="b">
        <v>0</v>
      </c>
      <c r="AT408" s="7" t="b">
        <v>1</v>
      </c>
      <c r="AU408" s="6" t="b">
        <v>0</v>
      </c>
      <c r="AV408" s="6" t="b">
        <v>0</v>
      </c>
      <c r="AW408" s="6" t="b">
        <v>0</v>
      </c>
      <c r="AX408" s="6" t="b">
        <v>0</v>
      </c>
      <c r="AY408" s="6" t="b">
        <v>0</v>
      </c>
      <c r="AZ408" s="6" t="b">
        <v>0</v>
      </c>
      <c r="BA408" s="6" t="b">
        <v>0</v>
      </c>
      <c r="BB408" s="6" t="b">
        <v>0</v>
      </c>
    </row>
    <row r="409" spans="1:54" ht="15" x14ac:dyDescent="0.25">
      <c r="A409" s="3" t="s">
        <v>874</v>
      </c>
      <c r="B409" s="3" t="str">
        <f ca="1">IFERROR(__xludf.DUMMYFUNCTION("SPLIT(A409,""/"")"),"grapl-security")</f>
        <v>grapl-security</v>
      </c>
      <c r="C409" s="3" t="str">
        <f ca="1">IFERROR(__xludf.DUMMYFUNCTION("""COMPUTED_VALUE"""),"grapl")</f>
        <v>grapl</v>
      </c>
      <c r="D409" s="4" t="s">
        <v>875</v>
      </c>
      <c r="E409" s="5">
        <v>43380.978090277778</v>
      </c>
      <c r="F409" s="5">
        <v>44294.981678240743</v>
      </c>
      <c r="G409" s="13">
        <f t="shared" si="36"/>
        <v>914.00358796296496</v>
      </c>
      <c r="H409" s="6" t="b">
        <v>0</v>
      </c>
      <c r="I409" s="7" t="b">
        <v>1</v>
      </c>
      <c r="J409" s="8">
        <v>499</v>
      </c>
      <c r="K409" s="8">
        <v>24</v>
      </c>
      <c r="L409" s="8">
        <v>42</v>
      </c>
      <c r="M409" s="8">
        <v>8</v>
      </c>
      <c r="N409" s="8">
        <v>0</v>
      </c>
      <c r="O409" s="8">
        <v>19</v>
      </c>
      <c r="P409" s="8">
        <v>608</v>
      </c>
      <c r="Q409" s="8">
        <v>11</v>
      </c>
      <c r="R409" s="8">
        <v>56</v>
      </c>
      <c r="S409" s="8">
        <v>1</v>
      </c>
      <c r="T409" s="3" t="s">
        <v>69</v>
      </c>
      <c r="U409" s="10">
        <v>8011</v>
      </c>
      <c r="V409" s="32">
        <v>221</v>
      </c>
      <c r="W409" s="27">
        <v>2.7587067781800024E-2</v>
      </c>
      <c r="X409" s="34">
        <v>34</v>
      </c>
      <c r="Y409" s="27">
        <v>0.15384615384615385</v>
      </c>
      <c r="Z409" s="27">
        <v>4.2441642741230809E-3</v>
      </c>
      <c r="AA409" s="35">
        <v>133</v>
      </c>
      <c r="AB409" s="27">
        <v>0.60180995475113119</v>
      </c>
      <c r="AC409" s="27">
        <f t="shared" si="37"/>
        <v>1.6602172013481464E-2</v>
      </c>
      <c r="AD409" s="36">
        <v>17</v>
      </c>
      <c r="AE409" s="27">
        <v>7.6923076923076927E-2</v>
      </c>
      <c r="AF409" s="27">
        <f t="shared" si="38"/>
        <v>2.1220821370615405E-3</v>
      </c>
      <c r="AG409" s="37">
        <v>33</v>
      </c>
      <c r="AH409" s="27">
        <v>0.14932126696832579</v>
      </c>
      <c r="AI409" s="27">
        <f t="shared" si="39"/>
        <v>4.1193359131194611E-3</v>
      </c>
      <c r="AJ409" s="38">
        <v>0</v>
      </c>
      <c r="AK409" s="27">
        <v>0</v>
      </c>
      <c r="AL409" s="27">
        <f t="shared" si="40"/>
        <v>0</v>
      </c>
      <c r="AM409" s="40">
        <v>0</v>
      </c>
      <c r="AN409" s="27">
        <v>0</v>
      </c>
      <c r="AO409" s="27">
        <f t="shared" si="41"/>
        <v>0</v>
      </c>
      <c r="AP409" s="7" t="b">
        <v>1</v>
      </c>
      <c r="AQ409" s="7" t="b">
        <v>1</v>
      </c>
      <c r="AR409" s="6" t="b">
        <v>0</v>
      </c>
      <c r="AS409" s="6" t="b">
        <v>0</v>
      </c>
      <c r="AT409" s="7" t="b">
        <v>1</v>
      </c>
      <c r="AU409" s="6" t="b">
        <v>0</v>
      </c>
      <c r="AV409" s="6" t="b">
        <v>0</v>
      </c>
      <c r="AW409" s="6" t="b">
        <v>0</v>
      </c>
      <c r="AX409" s="6" t="b">
        <v>0</v>
      </c>
      <c r="AY409" s="6" t="b">
        <v>0</v>
      </c>
      <c r="AZ409" s="6" t="b">
        <v>0</v>
      </c>
      <c r="BA409" s="6" t="b">
        <v>0</v>
      </c>
      <c r="BB409" s="6" t="b">
        <v>0</v>
      </c>
    </row>
    <row r="410" spans="1:54" ht="15" x14ac:dyDescent="0.25">
      <c r="A410" s="3" t="s">
        <v>876</v>
      </c>
      <c r="B410" s="3" t="str">
        <f ca="1">IFERROR(__xludf.DUMMYFUNCTION("SPLIT(A410,""/"")"),"gratipay")</f>
        <v>gratipay</v>
      </c>
      <c r="C410" s="4" t="str">
        <f ca="1">IFERROR(__xludf.DUMMYFUNCTION("""COMPUTED_VALUE"""),"gratipay.com")</f>
        <v>gratipay.com</v>
      </c>
      <c r="D410" s="4" t="s">
        <v>877</v>
      </c>
      <c r="E410" s="5">
        <v>41061.667384259257</v>
      </c>
      <c r="F410" s="5">
        <v>44281.607731481483</v>
      </c>
      <c r="G410" s="13">
        <f t="shared" si="36"/>
        <v>3219.9403472222257</v>
      </c>
      <c r="H410" s="6" t="b">
        <v>0</v>
      </c>
      <c r="I410" s="7" t="b">
        <v>1</v>
      </c>
      <c r="J410" s="8">
        <v>1127</v>
      </c>
      <c r="K410" s="8">
        <v>79</v>
      </c>
      <c r="L410" s="8">
        <v>291</v>
      </c>
      <c r="M410" s="8">
        <v>0</v>
      </c>
      <c r="N410" s="8">
        <v>443</v>
      </c>
      <c r="O410" s="8">
        <v>153</v>
      </c>
      <c r="P410" s="8">
        <v>1797</v>
      </c>
      <c r="Q410" s="8">
        <v>0</v>
      </c>
      <c r="R410" s="8">
        <v>2858</v>
      </c>
      <c r="S410" s="8">
        <v>0</v>
      </c>
      <c r="T410" s="3" t="s">
        <v>72</v>
      </c>
      <c r="U410" s="10">
        <v>14644</v>
      </c>
      <c r="V410" s="32">
        <v>80</v>
      </c>
      <c r="W410" s="27">
        <v>5.4629882545752526E-3</v>
      </c>
      <c r="X410" s="34">
        <v>12</v>
      </c>
      <c r="Y410" s="27">
        <v>0.15</v>
      </c>
      <c r="Z410" s="27">
        <v>8.1944823818628793E-4</v>
      </c>
      <c r="AA410" s="35">
        <v>30</v>
      </c>
      <c r="AB410" s="27">
        <v>0.375</v>
      </c>
      <c r="AC410" s="27">
        <f t="shared" si="37"/>
        <v>2.0486205954657198E-3</v>
      </c>
      <c r="AD410" s="36">
        <v>13</v>
      </c>
      <c r="AE410" s="27">
        <v>0.16250000000000001</v>
      </c>
      <c r="AF410" s="27">
        <f t="shared" si="38"/>
        <v>8.8773559136847856E-4</v>
      </c>
      <c r="AG410" s="37">
        <v>1</v>
      </c>
      <c r="AH410" s="27">
        <v>1.2500000000000001E-2</v>
      </c>
      <c r="AI410" s="27">
        <f t="shared" si="39"/>
        <v>6.8287353182190652E-5</v>
      </c>
      <c r="AJ410" s="38">
        <v>17</v>
      </c>
      <c r="AK410" s="27">
        <v>0.21249999999999999</v>
      </c>
      <c r="AL410" s="27">
        <f t="shared" si="40"/>
        <v>1.1608850040972412E-3</v>
      </c>
      <c r="AM410" s="40">
        <v>7</v>
      </c>
      <c r="AN410" s="27">
        <v>8.7499999999999994E-2</v>
      </c>
      <c r="AO410" s="27">
        <f t="shared" si="41"/>
        <v>4.7801147227533459E-4</v>
      </c>
      <c r="AP410" s="7" t="b">
        <v>1</v>
      </c>
      <c r="AQ410" s="6" t="b">
        <v>0</v>
      </c>
      <c r="AR410" s="6" t="b">
        <v>0</v>
      </c>
      <c r="AS410" s="6" t="b">
        <v>0</v>
      </c>
      <c r="AT410" s="7" t="b">
        <v>1</v>
      </c>
      <c r="AU410" s="6" t="b">
        <v>0</v>
      </c>
      <c r="AV410" s="6" t="b">
        <v>0</v>
      </c>
      <c r="AW410" s="6" t="b">
        <v>0</v>
      </c>
      <c r="AX410" s="6" t="b">
        <v>0</v>
      </c>
      <c r="AY410" s="6" t="b">
        <v>0</v>
      </c>
      <c r="AZ410" s="6" t="b">
        <v>0</v>
      </c>
      <c r="BA410" s="6" t="b">
        <v>0</v>
      </c>
      <c r="BB410" s="6" t="b">
        <v>0</v>
      </c>
    </row>
    <row r="411" spans="1:54" ht="15" x14ac:dyDescent="0.25">
      <c r="A411" s="3" t="s">
        <v>878</v>
      </c>
      <c r="B411" s="3" t="str">
        <f ca="1">IFERROR(__xludf.DUMMYFUNCTION("SPLIT(A411,""/"")"),"graydon")</f>
        <v>graydon</v>
      </c>
      <c r="C411" s="3" t="str">
        <f ca="1">IFERROR(__xludf.DUMMYFUNCTION("""COMPUTED_VALUE"""),"bors")</f>
        <v>bors</v>
      </c>
      <c r="D411" s="4" t="s">
        <v>879</v>
      </c>
      <c r="E411" s="5">
        <v>41307.076631944445</v>
      </c>
      <c r="F411" s="5">
        <v>44293.054212962961</v>
      </c>
      <c r="G411" s="13">
        <f t="shared" si="36"/>
        <v>2985.9775810185165</v>
      </c>
      <c r="H411" s="6" t="b">
        <v>0</v>
      </c>
      <c r="I411" s="6" t="b">
        <v>0</v>
      </c>
      <c r="J411" s="8">
        <v>375</v>
      </c>
      <c r="K411" s="8">
        <v>18</v>
      </c>
      <c r="L411" s="8">
        <v>32</v>
      </c>
      <c r="M411" s="8">
        <v>0</v>
      </c>
      <c r="N411" s="8">
        <v>0</v>
      </c>
      <c r="O411" s="8">
        <v>14</v>
      </c>
      <c r="P411" s="8">
        <v>23</v>
      </c>
      <c r="Q411" s="8">
        <v>1</v>
      </c>
      <c r="R411" s="8">
        <v>30</v>
      </c>
      <c r="S411" s="8">
        <v>16</v>
      </c>
      <c r="T411" s="11" t="s">
        <v>52</v>
      </c>
      <c r="U411" s="10">
        <v>684</v>
      </c>
      <c r="V411" s="32">
        <v>44</v>
      </c>
      <c r="W411" s="27">
        <v>6.4327485380116955E-2</v>
      </c>
      <c r="X411" s="34">
        <v>0</v>
      </c>
      <c r="Y411" s="27">
        <v>0</v>
      </c>
      <c r="Z411" s="27">
        <v>0</v>
      </c>
      <c r="AA411" s="35">
        <v>37</v>
      </c>
      <c r="AB411" s="27">
        <v>0.84090909090909094</v>
      </c>
      <c r="AC411" s="27">
        <f t="shared" si="37"/>
        <v>5.4093567251461985E-2</v>
      </c>
      <c r="AD411" s="36">
        <v>0</v>
      </c>
      <c r="AE411" s="27">
        <v>0</v>
      </c>
      <c r="AF411" s="27">
        <f t="shared" si="38"/>
        <v>0</v>
      </c>
      <c r="AG411" s="37">
        <v>0</v>
      </c>
      <c r="AH411" s="27">
        <v>0</v>
      </c>
      <c r="AI411" s="27">
        <f t="shared" si="39"/>
        <v>0</v>
      </c>
      <c r="AJ411" s="38">
        <v>0</v>
      </c>
      <c r="AK411" s="27">
        <v>0</v>
      </c>
      <c r="AL411" s="27">
        <f t="shared" si="40"/>
        <v>0</v>
      </c>
      <c r="AM411" s="40">
        <v>0</v>
      </c>
      <c r="AN411" s="27">
        <v>0</v>
      </c>
      <c r="AO411" s="27">
        <f t="shared" si="41"/>
        <v>0</v>
      </c>
      <c r="AP411" s="7" t="b">
        <v>1</v>
      </c>
      <c r="AQ411" s="6" t="b">
        <v>0</v>
      </c>
      <c r="AR411" s="6" t="b">
        <v>0</v>
      </c>
      <c r="AS411" s="6" t="b">
        <v>0</v>
      </c>
      <c r="AT411" s="7" t="b">
        <v>1</v>
      </c>
      <c r="AU411" s="6" t="b">
        <v>0</v>
      </c>
      <c r="AV411" s="6" t="b">
        <v>0</v>
      </c>
      <c r="AW411" s="6" t="b">
        <v>0</v>
      </c>
      <c r="AX411" s="6" t="b">
        <v>0</v>
      </c>
      <c r="AY411" s="6" t="b">
        <v>0</v>
      </c>
      <c r="AZ411" s="6" t="b">
        <v>0</v>
      </c>
      <c r="BA411" s="6" t="b">
        <v>0</v>
      </c>
      <c r="BB411" s="6" t="b">
        <v>0</v>
      </c>
    </row>
    <row r="412" spans="1:54" ht="15" x14ac:dyDescent="0.25">
      <c r="A412" s="3" t="s">
        <v>880</v>
      </c>
      <c r="B412" s="3" t="str">
        <f ca="1">IFERROR(__xludf.DUMMYFUNCTION("SPLIT(A412,""/"")"),"great-expectations")</f>
        <v>great-expectations</v>
      </c>
      <c r="C412" s="3" t="str">
        <f ca="1">IFERROR(__xludf.DUMMYFUNCTION("""COMPUTED_VALUE"""),"great_expectations")</f>
        <v>great_expectations</v>
      </c>
      <c r="D412" s="4" t="s">
        <v>881</v>
      </c>
      <c r="E412" s="5">
        <v>42989.013032407405</v>
      </c>
      <c r="F412" s="5">
        <v>44294.944837962961</v>
      </c>
      <c r="G412" s="13">
        <f t="shared" si="36"/>
        <v>1305.9318055555559</v>
      </c>
      <c r="H412" s="6" t="b">
        <v>0</v>
      </c>
      <c r="I412" s="7" t="b">
        <v>1</v>
      </c>
      <c r="J412" s="8">
        <v>4151</v>
      </c>
      <c r="K412" s="8">
        <v>62</v>
      </c>
      <c r="L412" s="8">
        <v>518</v>
      </c>
      <c r="M412" s="8">
        <v>97</v>
      </c>
      <c r="N412" s="8">
        <v>11</v>
      </c>
      <c r="O412" s="8">
        <v>167</v>
      </c>
      <c r="P412" s="8">
        <v>1855</v>
      </c>
      <c r="Q412" s="8">
        <v>37</v>
      </c>
      <c r="R412" s="8">
        <v>806</v>
      </c>
      <c r="S412" s="8">
        <v>173</v>
      </c>
      <c r="T412" s="3" t="s">
        <v>69</v>
      </c>
      <c r="U412" s="10">
        <v>67143</v>
      </c>
      <c r="V412" s="32">
        <v>447</v>
      </c>
      <c r="W412" s="27">
        <v>6.6574326437603328E-3</v>
      </c>
      <c r="X412" s="34">
        <v>159</v>
      </c>
      <c r="Y412" s="27">
        <v>0.35570469798657717</v>
      </c>
      <c r="Z412" s="27">
        <v>2.3680800679147492E-3</v>
      </c>
      <c r="AA412" s="35">
        <v>49</v>
      </c>
      <c r="AB412" s="27">
        <v>0.10961968680089486</v>
      </c>
      <c r="AC412" s="27">
        <f t="shared" si="37"/>
        <v>7.2978568130706105E-4</v>
      </c>
      <c r="AD412" s="36">
        <v>184</v>
      </c>
      <c r="AE412" s="27">
        <v>0.4116331096196868</v>
      </c>
      <c r="AF412" s="27">
        <f t="shared" si="38"/>
        <v>2.7404197012346784E-3</v>
      </c>
      <c r="AG412" s="37">
        <v>50</v>
      </c>
      <c r="AH412" s="27">
        <v>0.11185682326621924</v>
      </c>
      <c r="AI412" s="27">
        <f t="shared" si="39"/>
        <v>7.4467926663985824E-4</v>
      </c>
      <c r="AJ412" s="38">
        <v>3</v>
      </c>
      <c r="AK412" s="27">
        <v>6.7114093959731542E-3</v>
      </c>
      <c r="AL412" s="27">
        <f t="shared" si="40"/>
        <v>4.4680755998391492E-5</v>
      </c>
      <c r="AM412" s="40">
        <v>0</v>
      </c>
      <c r="AN412" s="27">
        <v>0</v>
      </c>
      <c r="AO412" s="27">
        <f t="shared" si="41"/>
        <v>0</v>
      </c>
      <c r="AP412" s="7" t="b">
        <v>1</v>
      </c>
      <c r="AQ412" s="7" t="b">
        <v>1</v>
      </c>
      <c r="AR412" s="6" t="b">
        <v>0</v>
      </c>
      <c r="AS412" s="6" t="b">
        <v>0</v>
      </c>
      <c r="AT412" s="7" t="b">
        <v>1</v>
      </c>
      <c r="AU412" s="6" t="b">
        <v>0</v>
      </c>
      <c r="AV412" s="6" t="b">
        <v>0</v>
      </c>
      <c r="AW412" s="6" t="b">
        <v>0</v>
      </c>
      <c r="AX412" s="6" t="b">
        <v>0</v>
      </c>
      <c r="AY412" s="6" t="b">
        <v>0</v>
      </c>
      <c r="AZ412" s="6" t="b">
        <v>0</v>
      </c>
      <c r="BA412" s="6" t="b">
        <v>0</v>
      </c>
      <c r="BB412" s="6" t="b">
        <v>0</v>
      </c>
    </row>
    <row r="413" spans="1:54" ht="15" x14ac:dyDescent="0.25">
      <c r="A413" s="3" t="s">
        <v>882</v>
      </c>
      <c r="B413" s="3" t="str">
        <f ca="1">IFERROR(__xludf.DUMMYFUNCTION("SPLIT(A413,""/"")"),"grow")</f>
        <v>grow</v>
      </c>
      <c r="C413" s="3" t="str">
        <f ca="1">IFERROR(__xludf.DUMMYFUNCTION("""COMPUTED_VALUE"""),"grow")</f>
        <v>grow</v>
      </c>
      <c r="D413" s="4" t="s">
        <v>883</v>
      </c>
      <c r="E413" s="5">
        <v>41534.660879629628</v>
      </c>
      <c r="F413" s="5">
        <v>44272.974687499998</v>
      </c>
      <c r="G413" s="13">
        <f t="shared" si="36"/>
        <v>2738.3138078703705</v>
      </c>
      <c r="H413" s="6" t="b">
        <v>0</v>
      </c>
      <c r="I413" s="7" t="b">
        <v>1</v>
      </c>
      <c r="J413" s="8">
        <v>360</v>
      </c>
      <c r="K413" s="8">
        <v>28</v>
      </c>
      <c r="L413" s="8">
        <v>51</v>
      </c>
      <c r="M413" s="8">
        <v>149</v>
      </c>
      <c r="N413" s="8">
        <v>9</v>
      </c>
      <c r="O413" s="8">
        <v>17</v>
      </c>
      <c r="P413" s="8">
        <v>558</v>
      </c>
      <c r="Q413" s="8">
        <v>6</v>
      </c>
      <c r="R413" s="8">
        <v>590</v>
      </c>
      <c r="S413" s="8">
        <v>51</v>
      </c>
      <c r="T413" s="3" t="s">
        <v>72</v>
      </c>
      <c r="U413" s="10">
        <v>20621</v>
      </c>
      <c r="V413" s="32">
        <v>190</v>
      </c>
      <c r="W413" s="27">
        <v>9.2139081518840017E-3</v>
      </c>
      <c r="X413" s="34">
        <v>0</v>
      </c>
      <c r="Y413" s="27">
        <v>0</v>
      </c>
      <c r="Z413" s="27">
        <v>0</v>
      </c>
      <c r="AA413" s="35">
        <v>135</v>
      </c>
      <c r="AB413" s="27">
        <v>0.71052631578947367</v>
      </c>
      <c r="AC413" s="27">
        <f t="shared" si="37"/>
        <v>6.5467242131807381E-3</v>
      </c>
      <c r="AD413" s="36">
        <v>9</v>
      </c>
      <c r="AE413" s="27">
        <v>4.736842105263158E-2</v>
      </c>
      <c r="AF413" s="27">
        <f t="shared" si="38"/>
        <v>4.3644828087871588E-4</v>
      </c>
      <c r="AG413" s="37">
        <v>41</v>
      </c>
      <c r="AH413" s="27">
        <v>0.21578947368421053</v>
      </c>
      <c r="AI413" s="27">
        <f t="shared" si="39"/>
        <v>1.9882643906697058E-3</v>
      </c>
      <c r="AJ413" s="38">
        <v>0</v>
      </c>
      <c r="AK413" s="27">
        <v>0</v>
      </c>
      <c r="AL413" s="27">
        <f t="shared" si="40"/>
        <v>0</v>
      </c>
      <c r="AM413" s="40">
        <v>4</v>
      </c>
      <c r="AN413" s="27">
        <v>2.1052631578947368E-2</v>
      </c>
      <c r="AO413" s="27">
        <f t="shared" si="41"/>
        <v>1.9397701372387373E-4</v>
      </c>
      <c r="AP413" s="7" t="b">
        <v>1</v>
      </c>
      <c r="AQ413" s="6" t="b">
        <v>0</v>
      </c>
      <c r="AR413" s="6" t="b">
        <v>0</v>
      </c>
      <c r="AS413" s="6" t="b">
        <v>0</v>
      </c>
      <c r="AT413" s="7" t="b">
        <v>1</v>
      </c>
      <c r="AU413" s="6" t="b">
        <v>0</v>
      </c>
      <c r="AV413" s="6" t="b">
        <v>0</v>
      </c>
      <c r="AW413" s="6" t="b">
        <v>0</v>
      </c>
      <c r="AX413" s="6" t="b">
        <v>0</v>
      </c>
      <c r="AY413" s="6" t="b">
        <v>0</v>
      </c>
      <c r="AZ413" s="6" t="b">
        <v>0</v>
      </c>
      <c r="BA413" s="6" t="b">
        <v>0</v>
      </c>
      <c r="BB413" s="6" t="b">
        <v>0</v>
      </c>
    </row>
    <row r="414" spans="1:54" ht="15" x14ac:dyDescent="0.25">
      <c r="A414" s="3" t="s">
        <v>884</v>
      </c>
      <c r="B414" s="3" t="str">
        <f ca="1">IFERROR(__xludf.DUMMYFUNCTION("SPLIT(A414,""/"")"),"grycap")</f>
        <v>grycap</v>
      </c>
      <c r="C414" s="3" t="str">
        <f ca="1">IFERROR(__xludf.DUMMYFUNCTION("""COMPUTED_VALUE"""),"scar")</f>
        <v>scar</v>
      </c>
      <c r="D414" s="4" t="s">
        <v>885</v>
      </c>
      <c r="E414" s="5">
        <v>42871.399965277778</v>
      </c>
      <c r="F414" s="5">
        <v>44279.448020833333</v>
      </c>
      <c r="G414" s="13">
        <f t="shared" si="36"/>
        <v>1408.048055555555</v>
      </c>
      <c r="H414" s="6" t="b">
        <v>0</v>
      </c>
      <c r="I414" s="7" t="b">
        <v>1</v>
      </c>
      <c r="J414" s="8">
        <v>558</v>
      </c>
      <c r="K414" s="8">
        <v>17</v>
      </c>
      <c r="L414" s="8">
        <v>40</v>
      </c>
      <c r="M414" s="8">
        <v>17</v>
      </c>
      <c r="N414" s="8">
        <v>0</v>
      </c>
      <c r="O414" s="8">
        <v>13</v>
      </c>
      <c r="P414" s="8">
        <v>217</v>
      </c>
      <c r="Q414" s="8">
        <v>1</v>
      </c>
      <c r="R414" s="8">
        <v>155</v>
      </c>
      <c r="S414" s="8">
        <v>25</v>
      </c>
      <c r="T414" s="3" t="s">
        <v>69</v>
      </c>
      <c r="U414" s="10">
        <v>3413</v>
      </c>
      <c r="V414" s="32">
        <v>76</v>
      </c>
      <c r="W414" s="27">
        <v>2.2267799589803693E-2</v>
      </c>
      <c r="X414" s="34">
        <v>21</v>
      </c>
      <c r="Y414" s="27">
        <v>0.27631578947368424</v>
      </c>
      <c r="Z414" s="27">
        <v>6.1529446234983888E-3</v>
      </c>
      <c r="AA414" s="35">
        <v>42</v>
      </c>
      <c r="AB414" s="27">
        <v>0.55263157894736847</v>
      </c>
      <c r="AC414" s="27">
        <f t="shared" si="37"/>
        <v>1.2305889246996778E-2</v>
      </c>
      <c r="AD414" s="36">
        <v>3</v>
      </c>
      <c r="AE414" s="27">
        <v>3.9473684210526314E-2</v>
      </c>
      <c r="AF414" s="27">
        <f t="shared" si="38"/>
        <v>8.7899208907119832E-4</v>
      </c>
      <c r="AG414" s="37">
        <v>10</v>
      </c>
      <c r="AH414" s="27">
        <v>0.13157894736842105</v>
      </c>
      <c r="AI414" s="27">
        <f t="shared" si="39"/>
        <v>2.9299736302373278E-3</v>
      </c>
      <c r="AJ414" s="38">
        <v>0</v>
      </c>
      <c r="AK414" s="27">
        <v>0</v>
      </c>
      <c r="AL414" s="27">
        <f t="shared" si="40"/>
        <v>0</v>
      </c>
      <c r="AM414" s="40">
        <v>0</v>
      </c>
      <c r="AN414" s="27">
        <v>0</v>
      </c>
      <c r="AO414" s="27">
        <f t="shared" si="41"/>
        <v>0</v>
      </c>
      <c r="AP414" s="7" t="b">
        <v>1</v>
      </c>
      <c r="AQ414" s="6" t="b">
        <v>0</v>
      </c>
      <c r="AR414" s="6" t="b">
        <v>0</v>
      </c>
      <c r="AS414" s="6" t="b">
        <v>0</v>
      </c>
      <c r="AT414" s="7" t="b">
        <v>1</v>
      </c>
      <c r="AU414" s="6" t="b">
        <v>0</v>
      </c>
      <c r="AV414" s="6" t="b">
        <v>0</v>
      </c>
      <c r="AW414" s="6" t="b">
        <v>0</v>
      </c>
      <c r="AX414" s="6" t="b">
        <v>0</v>
      </c>
      <c r="AY414" s="6" t="b">
        <v>0</v>
      </c>
      <c r="AZ414" s="6" t="b">
        <v>0</v>
      </c>
      <c r="BA414" s="6" t="b">
        <v>0</v>
      </c>
      <c r="BB414" s="6" t="b">
        <v>0</v>
      </c>
    </row>
    <row r="415" spans="1:54" ht="15" x14ac:dyDescent="0.25">
      <c r="A415" s="3" t="s">
        <v>886</v>
      </c>
      <c r="B415" s="3" t="str">
        <f ca="1">IFERROR(__xludf.DUMMYFUNCTION("SPLIT(A415,""/"")"),"guardicore")</f>
        <v>guardicore</v>
      </c>
      <c r="C415" s="3" t="str">
        <f ca="1">IFERROR(__xludf.DUMMYFUNCTION("""COMPUTED_VALUE"""),"monkey")</f>
        <v>monkey</v>
      </c>
      <c r="D415" s="4" t="s">
        <v>887</v>
      </c>
      <c r="E415" s="5">
        <v>42246.307534722226</v>
      </c>
      <c r="F415" s="5">
        <v>44294.626666666663</v>
      </c>
      <c r="G415" s="13">
        <f t="shared" si="36"/>
        <v>2048.3191319444377</v>
      </c>
      <c r="H415" s="6" t="b">
        <v>0</v>
      </c>
      <c r="I415" s="7" t="b">
        <v>1</v>
      </c>
      <c r="J415" s="8">
        <v>5104</v>
      </c>
      <c r="K415" s="8">
        <v>262</v>
      </c>
      <c r="L415" s="8">
        <v>559</v>
      </c>
      <c r="M415" s="8">
        <v>11</v>
      </c>
      <c r="N415" s="8">
        <v>7</v>
      </c>
      <c r="O415" s="8">
        <v>37</v>
      </c>
      <c r="P415" s="8">
        <v>640</v>
      </c>
      <c r="Q415" s="8">
        <v>5</v>
      </c>
      <c r="R415" s="8">
        <v>452</v>
      </c>
      <c r="S415" s="8">
        <v>155</v>
      </c>
      <c r="T415" s="3" t="s">
        <v>49</v>
      </c>
      <c r="U415" s="10">
        <v>17692</v>
      </c>
      <c r="V415" s="32">
        <v>561</v>
      </c>
      <c r="W415" s="27">
        <v>3.1709247117341174E-2</v>
      </c>
      <c r="X415" s="34">
        <v>182</v>
      </c>
      <c r="Y415" s="27">
        <v>0.32442067736185382</v>
      </c>
      <c r="Z415" s="27">
        <v>1.0287135428442234E-2</v>
      </c>
      <c r="AA415" s="35">
        <v>230</v>
      </c>
      <c r="AB415" s="27">
        <v>0.40998217468805703</v>
      </c>
      <c r="AC415" s="27">
        <f t="shared" si="37"/>
        <v>1.3000226090888536E-2</v>
      </c>
      <c r="AD415" s="36">
        <v>37</v>
      </c>
      <c r="AE415" s="27">
        <v>6.5953654188948302E-2</v>
      </c>
      <c r="AF415" s="27">
        <f t="shared" si="38"/>
        <v>2.0913407189690255E-3</v>
      </c>
      <c r="AG415" s="37">
        <v>105</v>
      </c>
      <c r="AH415" s="27">
        <v>0.18716577540106952</v>
      </c>
      <c r="AI415" s="27">
        <f t="shared" si="39"/>
        <v>5.9348858241012889E-3</v>
      </c>
      <c r="AJ415" s="38">
        <v>2</v>
      </c>
      <c r="AK415" s="27">
        <v>3.5650623885918001E-3</v>
      </c>
      <c r="AL415" s="27">
        <f t="shared" si="40"/>
        <v>1.1304544426859598E-4</v>
      </c>
      <c r="AM415" s="40">
        <v>0</v>
      </c>
      <c r="AN415" s="27">
        <v>0</v>
      </c>
      <c r="AO415" s="27">
        <f t="shared" si="41"/>
        <v>0</v>
      </c>
      <c r="AP415" s="7" t="b">
        <v>1</v>
      </c>
      <c r="AQ415" s="7" t="b">
        <v>1</v>
      </c>
      <c r="AR415" s="6" t="b">
        <v>0</v>
      </c>
      <c r="AS415" s="6" t="b">
        <v>0</v>
      </c>
      <c r="AT415" s="7" t="b">
        <v>1</v>
      </c>
      <c r="AU415" s="6" t="b">
        <v>0</v>
      </c>
      <c r="AV415" s="6" t="b">
        <v>0</v>
      </c>
      <c r="AW415" s="6" t="b">
        <v>0</v>
      </c>
      <c r="AX415" s="6" t="b">
        <v>0</v>
      </c>
      <c r="AY415" s="6" t="b">
        <v>0</v>
      </c>
      <c r="AZ415" s="6" t="b">
        <v>0</v>
      </c>
      <c r="BA415" s="6" t="b">
        <v>0</v>
      </c>
      <c r="BB415" s="6" t="b">
        <v>0</v>
      </c>
    </row>
    <row r="416" spans="1:54" ht="15" x14ac:dyDescent="0.25">
      <c r="A416" s="3" t="s">
        <v>888</v>
      </c>
      <c r="B416" s="3" t="str">
        <f ca="1">IFERROR(__xludf.DUMMYFUNCTION("SPLIT(A416,""/"")"),"guessit-io")</f>
        <v>guessit-io</v>
      </c>
      <c r="C416" s="3" t="str">
        <f ca="1">IFERROR(__xludf.DUMMYFUNCTION("""COMPUTED_VALUE"""),"guessit")</f>
        <v>guessit</v>
      </c>
      <c r="D416" s="4" t="s">
        <v>889</v>
      </c>
      <c r="E416" s="5">
        <v>40967.759131944447</v>
      </c>
      <c r="F416" s="5">
        <v>44293.400127314817</v>
      </c>
      <c r="G416" s="13">
        <f t="shared" si="36"/>
        <v>3325.6409953703696</v>
      </c>
      <c r="H416" s="6" t="b">
        <v>0</v>
      </c>
      <c r="I416" s="7" t="b">
        <v>1</v>
      </c>
      <c r="J416" s="8">
        <v>647</v>
      </c>
      <c r="K416" s="8">
        <v>28</v>
      </c>
      <c r="L416" s="8">
        <v>78</v>
      </c>
      <c r="M416" s="8">
        <v>15</v>
      </c>
      <c r="N416" s="8">
        <v>148</v>
      </c>
      <c r="O416" s="8">
        <v>14</v>
      </c>
      <c r="P416" s="8">
        <v>141</v>
      </c>
      <c r="Q416" s="8">
        <v>0</v>
      </c>
      <c r="R416" s="8">
        <v>552</v>
      </c>
      <c r="S416" s="8">
        <v>31</v>
      </c>
      <c r="T416" s="3" t="s">
        <v>160</v>
      </c>
      <c r="U416" s="10">
        <v>4537</v>
      </c>
      <c r="V416" s="32">
        <v>5</v>
      </c>
      <c r="W416" s="27">
        <v>1.1020498126515319E-3</v>
      </c>
      <c r="X416" s="34">
        <v>1</v>
      </c>
      <c r="Y416" s="27">
        <v>0.2</v>
      </c>
      <c r="Z416" s="27">
        <v>2.2040996253030638E-4</v>
      </c>
      <c r="AA416" s="35">
        <v>0</v>
      </c>
      <c r="AB416" s="27">
        <v>0</v>
      </c>
      <c r="AC416" s="27">
        <f t="shared" si="37"/>
        <v>0</v>
      </c>
      <c r="AD416" s="36">
        <v>1</v>
      </c>
      <c r="AE416" s="27">
        <v>0.2</v>
      </c>
      <c r="AF416" s="27">
        <f t="shared" si="38"/>
        <v>2.2040996253030638E-4</v>
      </c>
      <c r="AG416" s="37">
        <v>3</v>
      </c>
      <c r="AH416" s="27">
        <v>0.6</v>
      </c>
      <c r="AI416" s="27">
        <f t="shared" si="39"/>
        <v>6.6122988759091911E-4</v>
      </c>
      <c r="AJ416" s="38">
        <v>0</v>
      </c>
      <c r="AK416" s="27">
        <v>0</v>
      </c>
      <c r="AL416" s="27">
        <f t="shared" si="40"/>
        <v>0</v>
      </c>
      <c r="AM416" s="40">
        <v>0</v>
      </c>
      <c r="AN416" s="27">
        <v>0</v>
      </c>
      <c r="AO416" s="27">
        <f t="shared" si="41"/>
        <v>0</v>
      </c>
      <c r="AP416" s="7" t="b">
        <v>1</v>
      </c>
      <c r="AQ416" s="6" t="b">
        <v>0</v>
      </c>
      <c r="AR416" s="6" t="b">
        <v>0</v>
      </c>
      <c r="AS416" s="6" t="b">
        <v>0</v>
      </c>
      <c r="AT416" s="7" t="b">
        <v>1</v>
      </c>
      <c r="AU416" s="6" t="b">
        <v>0</v>
      </c>
      <c r="AV416" s="6" t="b">
        <v>0</v>
      </c>
      <c r="AW416" s="6" t="b">
        <v>0</v>
      </c>
      <c r="AX416" s="6" t="b">
        <v>0</v>
      </c>
      <c r="AY416" s="6" t="b">
        <v>0</v>
      </c>
      <c r="AZ416" s="6" t="b">
        <v>0</v>
      </c>
      <c r="BA416" s="6" t="b">
        <v>0</v>
      </c>
      <c r="BB416" s="6" t="b">
        <v>0</v>
      </c>
    </row>
    <row r="417" spans="1:54" ht="15" x14ac:dyDescent="0.25">
      <c r="A417" s="3" t="s">
        <v>890</v>
      </c>
      <c r="B417" s="3" t="str">
        <f ca="1">IFERROR(__xludf.DUMMYFUNCTION("SPLIT(A417,""/"")"),"guildai")</f>
        <v>guildai</v>
      </c>
      <c r="C417" s="3" t="str">
        <f ca="1">IFERROR(__xludf.DUMMYFUNCTION("""COMPUTED_VALUE"""),"guildai")</f>
        <v>guildai</v>
      </c>
      <c r="D417" s="4" t="s">
        <v>891</v>
      </c>
      <c r="E417" s="5">
        <v>43005.790162037039</v>
      </c>
      <c r="F417" s="5">
        <v>44294.496412037035</v>
      </c>
      <c r="G417" s="13">
        <f t="shared" si="36"/>
        <v>1288.7062499999956</v>
      </c>
      <c r="H417" s="6" t="b">
        <v>0</v>
      </c>
      <c r="I417" s="7" t="b">
        <v>1</v>
      </c>
      <c r="J417" s="8">
        <v>566</v>
      </c>
      <c r="K417" s="8">
        <v>12</v>
      </c>
      <c r="L417" s="8">
        <v>41</v>
      </c>
      <c r="M417" s="8">
        <v>0</v>
      </c>
      <c r="N417" s="8">
        <v>4</v>
      </c>
      <c r="O417" s="8">
        <v>12</v>
      </c>
      <c r="P417" s="8">
        <v>18</v>
      </c>
      <c r="Q417" s="8">
        <v>0</v>
      </c>
      <c r="R417" s="8">
        <v>265</v>
      </c>
      <c r="S417" s="8">
        <v>99</v>
      </c>
      <c r="T417" s="3" t="s">
        <v>69</v>
      </c>
      <c r="U417" s="10">
        <v>78019</v>
      </c>
      <c r="V417" s="32">
        <v>1299</v>
      </c>
      <c r="W417" s="27">
        <v>1.6649790435663107E-2</v>
      </c>
      <c r="X417" s="34">
        <v>398</v>
      </c>
      <c r="Y417" s="27">
        <v>0.30638953040800615</v>
      </c>
      <c r="Z417" s="27">
        <v>5.1013214729745317E-3</v>
      </c>
      <c r="AA417" s="35">
        <v>261</v>
      </c>
      <c r="AB417" s="27">
        <v>0.20092378752886836</v>
      </c>
      <c r="AC417" s="27">
        <f t="shared" si="37"/>
        <v>3.3453389558953587E-3</v>
      </c>
      <c r="AD417" s="36">
        <v>326</v>
      </c>
      <c r="AE417" s="27">
        <v>0.25096227867590454</v>
      </c>
      <c r="AF417" s="27">
        <f t="shared" si="38"/>
        <v>4.178469347210295E-3</v>
      </c>
      <c r="AG417" s="37">
        <v>299</v>
      </c>
      <c r="AH417" s="27">
        <v>0.23017705927636645</v>
      </c>
      <c r="AI417" s="27">
        <f t="shared" si="39"/>
        <v>3.8323998000487059E-3</v>
      </c>
      <c r="AJ417" s="38">
        <v>15</v>
      </c>
      <c r="AK417" s="27">
        <v>1.1547344110854504E-2</v>
      </c>
      <c r="AL417" s="27">
        <f t="shared" si="40"/>
        <v>1.9226085953421602E-4</v>
      </c>
      <c r="AM417" s="40">
        <v>1</v>
      </c>
      <c r="AN417" s="27">
        <v>7.6982294072363352E-4</v>
      </c>
      <c r="AO417" s="27">
        <f t="shared" si="41"/>
        <v>1.2817390635614402E-5</v>
      </c>
      <c r="AP417" s="7" t="b">
        <v>1</v>
      </c>
      <c r="AQ417" s="6" t="b">
        <v>0</v>
      </c>
      <c r="AR417" s="6" t="b">
        <v>0</v>
      </c>
      <c r="AS417" s="6" t="b">
        <v>0</v>
      </c>
      <c r="AT417" s="7" t="b">
        <v>1</v>
      </c>
      <c r="AU417" s="6" t="b">
        <v>0</v>
      </c>
      <c r="AV417" s="6" t="b">
        <v>0</v>
      </c>
      <c r="AW417" s="6" t="b">
        <v>0</v>
      </c>
      <c r="AX417" s="6" t="b">
        <v>0</v>
      </c>
      <c r="AY417" s="6" t="b">
        <v>0</v>
      </c>
      <c r="AZ417" s="6" t="b">
        <v>0</v>
      </c>
      <c r="BA417" s="6" t="b">
        <v>0</v>
      </c>
      <c r="BB417" s="6" t="b">
        <v>0</v>
      </c>
    </row>
    <row r="418" spans="1:54" ht="15" x14ac:dyDescent="0.25">
      <c r="A418" s="3" t="s">
        <v>892</v>
      </c>
      <c r="B418" s="3" t="str">
        <f ca="1">IFERROR(__xludf.DUMMYFUNCTION("SPLIT(A418,""/"")"),"guoday")</f>
        <v>guoday</v>
      </c>
      <c r="C418" s="3" t="str">
        <f ca="1">IFERROR(__xludf.DUMMYFUNCTION("""COMPUTED_VALUE"""),"CCF-BDCI-Sentiment-Analysis-Baseline")</f>
        <v>CCF-BDCI-Sentiment-Analysis-Baseline</v>
      </c>
      <c r="D418" s="4" t="s">
        <v>893</v>
      </c>
      <c r="E418" s="5">
        <v>43709.351990740739</v>
      </c>
      <c r="F418" s="5">
        <v>44285.615115740744</v>
      </c>
      <c r="G418" s="13">
        <f t="shared" si="36"/>
        <v>576.26312500000495</v>
      </c>
      <c r="H418" s="6" t="b">
        <v>0</v>
      </c>
      <c r="I418" s="6" t="b">
        <v>0</v>
      </c>
      <c r="J418" s="8">
        <v>372</v>
      </c>
      <c r="K418" s="8">
        <v>8</v>
      </c>
      <c r="L418" s="8">
        <v>105</v>
      </c>
      <c r="M418" s="8">
        <v>0</v>
      </c>
      <c r="N418" s="8">
        <v>0</v>
      </c>
      <c r="O418" s="8">
        <v>2</v>
      </c>
      <c r="P418" s="8">
        <v>2</v>
      </c>
      <c r="Q418" s="8">
        <v>1</v>
      </c>
      <c r="R418" s="8">
        <v>16</v>
      </c>
      <c r="S418" s="8">
        <v>2</v>
      </c>
      <c r="T418" s="3" t="s">
        <v>69</v>
      </c>
      <c r="U418" s="10">
        <v>13057</v>
      </c>
      <c r="V418" s="32">
        <v>277</v>
      </c>
      <c r="W418" s="27">
        <v>2.1214674121161063E-2</v>
      </c>
      <c r="X418" s="34">
        <v>0</v>
      </c>
      <c r="Y418" s="27">
        <v>0</v>
      </c>
      <c r="Z418" s="27">
        <v>0</v>
      </c>
      <c r="AA418" s="35">
        <v>231</v>
      </c>
      <c r="AB418" s="27">
        <v>0.83393501805054149</v>
      </c>
      <c r="AC418" s="27">
        <f t="shared" si="37"/>
        <v>1.7691659646166806E-2</v>
      </c>
      <c r="AD418" s="36">
        <v>20</v>
      </c>
      <c r="AE418" s="27">
        <v>7.2202166064981949E-2</v>
      </c>
      <c r="AF418" s="27">
        <f t="shared" si="38"/>
        <v>1.5317454239105461E-3</v>
      </c>
      <c r="AG418" s="37">
        <v>26</v>
      </c>
      <c r="AH418" s="27">
        <v>9.3862815884476536E-2</v>
      </c>
      <c r="AI418" s="27">
        <f t="shared" si="39"/>
        <v>1.9912690510837097E-3</v>
      </c>
      <c r="AJ418" s="38">
        <v>0</v>
      </c>
      <c r="AK418" s="27">
        <v>0</v>
      </c>
      <c r="AL418" s="27">
        <f t="shared" si="40"/>
        <v>0</v>
      </c>
      <c r="AM418" s="40">
        <v>0</v>
      </c>
      <c r="AN418" s="27">
        <v>0</v>
      </c>
      <c r="AO418" s="27">
        <f t="shared" si="41"/>
        <v>0</v>
      </c>
      <c r="AP418" s="7" t="b">
        <v>1</v>
      </c>
      <c r="AQ418" s="6" t="b">
        <v>0</v>
      </c>
      <c r="AR418" s="6" t="b">
        <v>0</v>
      </c>
      <c r="AS418" s="6" t="b">
        <v>0</v>
      </c>
      <c r="AT418" s="7" t="b">
        <v>1</v>
      </c>
      <c r="AU418" s="6" t="b">
        <v>0</v>
      </c>
      <c r="AV418" s="6" t="b">
        <v>0</v>
      </c>
      <c r="AW418" s="6" t="b">
        <v>0</v>
      </c>
      <c r="AX418" s="6" t="b">
        <v>0</v>
      </c>
      <c r="AY418" s="6" t="b">
        <v>0</v>
      </c>
      <c r="AZ418" s="6" t="b">
        <v>0</v>
      </c>
      <c r="BA418" s="6" t="b">
        <v>0</v>
      </c>
      <c r="BB418" s="6" t="b">
        <v>0</v>
      </c>
    </row>
    <row r="419" spans="1:54" ht="15" x14ac:dyDescent="0.25">
      <c r="A419" s="3" t="s">
        <v>894</v>
      </c>
      <c r="B419" s="3" t="str">
        <f ca="1">IFERROR(__xludf.DUMMYFUNCTION("SPLIT(A419,""/"")"),"gyoisamurai")</f>
        <v>gyoisamurai</v>
      </c>
      <c r="C419" s="3" t="str">
        <f ca="1">IFERROR(__xludf.DUMMYFUNCTION("""COMPUTED_VALUE"""),"GyoiThon")</f>
        <v>GyoiThon</v>
      </c>
      <c r="D419" s="4" t="s">
        <v>895</v>
      </c>
      <c r="E419" s="5">
        <v>43166.218194444446</v>
      </c>
      <c r="F419" s="5">
        <v>44294.476747685185</v>
      </c>
      <c r="G419" s="13">
        <f t="shared" si="36"/>
        <v>1128.2585532407393</v>
      </c>
      <c r="H419" s="6" t="b">
        <v>0</v>
      </c>
      <c r="I419" s="6" t="b">
        <v>0</v>
      </c>
      <c r="J419" s="8">
        <v>603</v>
      </c>
      <c r="K419" s="8">
        <v>64</v>
      </c>
      <c r="L419" s="8">
        <v>220</v>
      </c>
      <c r="M419" s="8">
        <v>0</v>
      </c>
      <c r="N419" s="8">
        <v>0</v>
      </c>
      <c r="O419" s="8">
        <v>7</v>
      </c>
      <c r="P419" s="8">
        <v>11</v>
      </c>
      <c r="Q419" s="8">
        <v>2</v>
      </c>
      <c r="R419" s="8">
        <v>37</v>
      </c>
      <c r="S419" s="8">
        <v>13</v>
      </c>
      <c r="T419" s="3" t="s">
        <v>92</v>
      </c>
      <c r="U419" s="10">
        <v>4121</v>
      </c>
      <c r="V419" s="32">
        <v>1</v>
      </c>
      <c r="W419" s="27">
        <v>2.4265954865323951E-4</v>
      </c>
      <c r="X419" s="34">
        <v>0</v>
      </c>
      <c r="Y419" s="27">
        <v>0</v>
      </c>
      <c r="Z419" s="27">
        <v>0</v>
      </c>
      <c r="AA419" s="35">
        <v>0</v>
      </c>
      <c r="AB419" s="27">
        <v>0</v>
      </c>
      <c r="AC419" s="27">
        <f t="shared" si="37"/>
        <v>0</v>
      </c>
      <c r="AD419" s="36">
        <v>0</v>
      </c>
      <c r="AE419" s="27">
        <v>0</v>
      </c>
      <c r="AF419" s="27">
        <f t="shared" si="38"/>
        <v>0</v>
      </c>
      <c r="AG419" s="37">
        <v>0</v>
      </c>
      <c r="AH419" s="27">
        <v>0</v>
      </c>
      <c r="AI419" s="27">
        <f t="shared" si="39"/>
        <v>0</v>
      </c>
      <c r="AJ419" s="38">
        <v>0</v>
      </c>
      <c r="AK419" s="27">
        <v>0</v>
      </c>
      <c r="AL419" s="27">
        <f t="shared" si="40"/>
        <v>0</v>
      </c>
      <c r="AM419" s="40">
        <v>1</v>
      </c>
      <c r="AN419" s="27">
        <v>1</v>
      </c>
      <c r="AO419" s="27">
        <f t="shared" si="41"/>
        <v>2.4265954865323951E-4</v>
      </c>
      <c r="AP419" s="7" t="b">
        <v>1</v>
      </c>
      <c r="AQ419" s="6" t="b">
        <v>0</v>
      </c>
      <c r="AR419" s="6" t="b">
        <v>0</v>
      </c>
      <c r="AS419" s="6" t="b">
        <v>0</v>
      </c>
      <c r="AT419" s="7" t="b">
        <v>1</v>
      </c>
      <c r="AU419" s="6" t="b">
        <v>0</v>
      </c>
      <c r="AV419" s="6" t="b">
        <v>0</v>
      </c>
      <c r="AW419" s="6" t="b">
        <v>0</v>
      </c>
      <c r="AX419" s="6" t="b">
        <v>0</v>
      </c>
      <c r="AY419" s="6" t="b">
        <v>0</v>
      </c>
      <c r="AZ419" s="6" t="b">
        <v>0</v>
      </c>
      <c r="BA419" s="6" t="b">
        <v>0</v>
      </c>
      <c r="BB419" s="6" t="b">
        <v>0</v>
      </c>
    </row>
    <row r="420" spans="1:54" ht="15" x14ac:dyDescent="0.25">
      <c r="A420" s="3" t="s">
        <v>896</v>
      </c>
      <c r="B420" s="3" t="str">
        <f ca="1">IFERROR(__xludf.DUMMYFUNCTION("SPLIT(A420,""/"")"),"h2oai")</f>
        <v>h2oai</v>
      </c>
      <c r="C420" s="3" t="str">
        <f ca="1">IFERROR(__xludf.DUMMYFUNCTION("""COMPUTED_VALUE"""),"wave")</f>
        <v>wave</v>
      </c>
      <c r="D420" s="4" t="s">
        <v>897</v>
      </c>
      <c r="E420" s="5">
        <v>43967.838402777779</v>
      </c>
      <c r="F420" s="5">
        <v>44294.796423611115</v>
      </c>
      <c r="G420" s="13">
        <f t="shared" si="36"/>
        <v>326.95802083333547</v>
      </c>
      <c r="H420" s="6" t="b">
        <v>0</v>
      </c>
      <c r="I420" s="7" t="b">
        <v>1</v>
      </c>
      <c r="J420" s="8">
        <v>2548</v>
      </c>
      <c r="K420" s="8">
        <v>125</v>
      </c>
      <c r="L420" s="8">
        <v>107</v>
      </c>
      <c r="M420" s="8">
        <v>28</v>
      </c>
      <c r="N420" s="8">
        <v>0</v>
      </c>
      <c r="O420" s="8">
        <v>21</v>
      </c>
      <c r="P420" s="8">
        <v>235</v>
      </c>
      <c r="Q420" s="8">
        <v>24</v>
      </c>
      <c r="R420" s="8">
        <v>409</v>
      </c>
      <c r="S420" s="8">
        <v>144</v>
      </c>
      <c r="T420" s="3" t="s">
        <v>69</v>
      </c>
      <c r="U420" s="10">
        <v>12151</v>
      </c>
      <c r="V420" s="32">
        <v>36</v>
      </c>
      <c r="W420" s="27">
        <v>2.9627191177680847E-3</v>
      </c>
      <c r="X420" s="34">
        <v>16</v>
      </c>
      <c r="Y420" s="27">
        <v>0.44444444444444442</v>
      </c>
      <c r="Z420" s="27">
        <v>1.316764052341371E-3</v>
      </c>
      <c r="AA420" s="35">
        <v>11</v>
      </c>
      <c r="AB420" s="27">
        <v>0.30555555555555558</v>
      </c>
      <c r="AC420" s="27">
        <f t="shared" si="37"/>
        <v>9.0527528598469261E-4</v>
      </c>
      <c r="AD420" s="36">
        <v>5</v>
      </c>
      <c r="AE420" s="27">
        <v>0.1388888888888889</v>
      </c>
      <c r="AF420" s="27">
        <f t="shared" si="38"/>
        <v>4.1148876635667848E-4</v>
      </c>
      <c r="AG420" s="37">
        <v>3</v>
      </c>
      <c r="AH420" s="27">
        <v>8.3333333333333329E-2</v>
      </c>
      <c r="AI420" s="27">
        <f t="shared" si="39"/>
        <v>2.468932598140071E-4</v>
      </c>
      <c r="AJ420" s="38">
        <v>0</v>
      </c>
      <c r="AK420" s="27">
        <v>0</v>
      </c>
      <c r="AL420" s="27">
        <f t="shared" si="40"/>
        <v>0</v>
      </c>
      <c r="AM420" s="40">
        <v>0</v>
      </c>
      <c r="AN420" s="27">
        <v>0</v>
      </c>
      <c r="AO420" s="27">
        <f t="shared" si="41"/>
        <v>0</v>
      </c>
      <c r="AP420" s="7" t="b">
        <v>1</v>
      </c>
      <c r="AQ420" s="6" t="b">
        <v>0</v>
      </c>
      <c r="AR420" s="6" t="b">
        <v>0</v>
      </c>
      <c r="AS420" s="6" t="b">
        <v>0</v>
      </c>
      <c r="AT420" s="7" t="b">
        <v>1</v>
      </c>
      <c r="AU420" s="6" t="b">
        <v>0</v>
      </c>
      <c r="AV420" s="6" t="b">
        <v>0</v>
      </c>
      <c r="AW420" s="6" t="b">
        <v>0</v>
      </c>
      <c r="AX420" s="6" t="b">
        <v>0</v>
      </c>
      <c r="AY420" s="6" t="b">
        <v>0</v>
      </c>
      <c r="AZ420" s="6" t="b">
        <v>0</v>
      </c>
      <c r="BA420" s="6" t="b">
        <v>0</v>
      </c>
      <c r="BB420" s="6" t="b">
        <v>0</v>
      </c>
    </row>
    <row r="421" spans="1:54" ht="15" x14ac:dyDescent="0.25">
      <c r="A421" s="3" t="s">
        <v>898</v>
      </c>
      <c r="B421" s="3" t="str">
        <f ca="1">IFERROR(__xludf.DUMMYFUNCTION("SPLIT(A421,""/"")"),"haarnoja")</f>
        <v>haarnoja</v>
      </c>
      <c r="C421" s="3" t="str">
        <f ca="1">IFERROR(__xludf.DUMMYFUNCTION("""COMPUTED_VALUE"""),"sac")</f>
        <v>sac</v>
      </c>
      <c r="D421" s="4" t="s">
        <v>899</v>
      </c>
      <c r="E421" s="5">
        <v>43076.053784722222</v>
      </c>
      <c r="F421" s="5">
        <v>44292.623159722221</v>
      </c>
      <c r="G421" s="13">
        <f t="shared" si="36"/>
        <v>1216.5693749999991</v>
      </c>
      <c r="H421" s="6" t="b">
        <v>0</v>
      </c>
      <c r="I421" s="6" t="b">
        <v>0</v>
      </c>
      <c r="J421" s="8">
        <v>563</v>
      </c>
      <c r="K421" s="8">
        <v>29</v>
      </c>
      <c r="L421" s="8">
        <v>142</v>
      </c>
      <c r="M421" s="8">
        <v>0</v>
      </c>
      <c r="N421" s="8">
        <v>0</v>
      </c>
      <c r="O421" s="8">
        <v>5</v>
      </c>
      <c r="P421" s="8">
        <v>9</v>
      </c>
      <c r="Q421" s="8">
        <v>0</v>
      </c>
      <c r="R421" s="8">
        <v>24</v>
      </c>
      <c r="S421" s="8">
        <v>8</v>
      </c>
      <c r="T421" s="3" t="s">
        <v>92</v>
      </c>
      <c r="U421" s="10">
        <v>3514</v>
      </c>
      <c r="V421" s="32">
        <v>13</v>
      </c>
      <c r="W421" s="27">
        <v>3.699487763232783E-3</v>
      </c>
      <c r="X421" s="34">
        <v>0</v>
      </c>
      <c r="Y421" s="27">
        <v>0</v>
      </c>
      <c r="Z421" s="27">
        <v>0</v>
      </c>
      <c r="AA421" s="35">
        <v>10</v>
      </c>
      <c r="AB421" s="27">
        <v>0.76923076923076927</v>
      </c>
      <c r="AC421" s="27">
        <f t="shared" si="37"/>
        <v>2.8457598178713715E-3</v>
      </c>
      <c r="AD421" s="36">
        <v>1</v>
      </c>
      <c r="AE421" s="27">
        <v>7.6923076923076927E-2</v>
      </c>
      <c r="AF421" s="27">
        <f t="shared" si="38"/>
        <v>2.8457598178713718E-4</v>
      </c>
      <c r="AG421" s="37">
        <v>0</v>
      </c>
      <c r="AH421" s="27">
        <v>0</v>
      </c>
      <c r="AI421" s="27">
        <f t="shared" si="39"/>
        <v>0</v>
      </c>
      <c r="AJ421" s="38">
        <v>0</v>
      </c>
      <c r="AK421" s="27">
        <v>0</v>
      </c>
      <c r="AL421" s="27">
        <f t="shared" si="40"/>
        <v>0</v>
      </c>
      <c r="AM421" s="40">
        <v>2</v>
      </c>
      <c r="AN421" s="27">
        <v>0.15384615384615385</v>
      </c>
      <c r="AO421" s="27">
        <f t="shared" si="41"/>
        <v>5.6915196357427435E-4</v>
      </c>
      <c r="AP421" s="7" t="b">
        <v>1</v>
      </c>
      <c r="AQ421" s="7" t="b">
        <v>1</v>
      </c>
      <c r="AR421" s="6" t="b">
        <v>0</v>
      </c>
      <c r="AS421" s="6" t="b">
        <v>0</v>
      </c>
      <c r="AT421" s="7" t="b">
        <v>1</v>
      </c>
      <c r="AU421" s="6" t="b">
        <v>0</v>
      </c>
      <c r="AV421" s="6" t="b">
        <v>0</v>
      </c>
      <c r="AW421" s="6" t="b">
        <v>0</v>
      </c>
      <c r="AX421" s="6" t="b">
        <v>0</v>
      </c>
      <c r="AY421" s="6" t="b">
        <v>0</v>
      </c>
      <c r="AZ421" s="6" t="b">
        <v>0</v>
      </c>
      <c r="BA421" s="6" t="b">
        <v>0</v>
      </c>
      <c r="BB421" s="6" t="b">
        <v>0</v>
      </c>
    </row>
    <row r="422" spans="1:54" ht="15" x14ac:dyDescent="0.25">
      <c r="A422" s="3" t="s">
        <v>900</v>
      </c>
      <c r="B422" s="3" t="str">
        <f ca="1">IFERROR(__xludf.DUMMYFUNCTION("SPLIT(A422,""/"")"),"haarnoja")</f>
        <v>haarnoja</v>
      </c>
      <c r="C422" s="3" t="str">
        <f ca="1">IFERROR(__xludf.DUMMYFUNCTION("""COMPUTED_VALUE"""),"softqlearning")</f>
        <v>softqlearning</v>
      </c>
      <c r="D422" s="4" t="s">
        <v>901</v>
      </c>
      <c r="E422" s="5">
        <v>42881.196655092594</v>
      </c>
      <c r="F422" s="5">
        <v>44279.351261574076</v>
      </c>
      <c r="G422" s="13">
        <f t="shared" si="36"/>
        <v>1398.1546064814829</v>
      </c>
      <c r="H422" s="6" t="b">
        <v>0</v>
      </c>
      <c r="I422" s="6" t="b">
        <v>0</v>
      </c>
      <c r="J422" s="8">
        <v>357</v>
      </c>
      <c r="K422" s="8">
        <v>17</v>
      </c>
      <c r="L422" s="8">
        <v>81</v>
      </c>
      <c r="M422" s="8">
        <v>0</v>
      </c>
      <c r="N422" s="8">
        <v>0</v>
      </c>
      <c r="O422" s="8">
        <v>4</v>
      </c>
      <c r="P422" s="8">
        <v>6</v>
      </c>
      <c r="Q422" s="8">
        <v>0</v>
      </c>
      <c r="R422" s="8">
        <v>11</v>
      </c>
      <c r="S422" s="8">
        <v>4</v>
      </c>
      <c r="T422" s="11" t="s">
        <v>52</v>
      </c>
      <c r="U422" s="10">
        <v>1556</v>
      </c>
      <c r="V422" s="32">
        <v>3</v>
      </c>
      <c r="W422" s="27">
        <v>1.9280205655526992E-3</v>
      </c>
      <c r="X422" s="34">
        <v>0</v>
      </c>
      <c r="Y422" s="27">
        <v>0</v>
      </c>
      <c r="Z422" s="27">
        <v>0</v>
      </c>
      <c r="AA422" s="35">
        <v>0</v>
      </c>
      <c r="AB422" s="27">
        <v>0</v>
      </c>
      <c r="AC422" s="27">
        <f t="shared" si="37"/>
        <v>0</v>
      </c>
      <c r="AD422" s="36">
        <v>1</v>
      </c>
      <c r="AE422" s="27">
        <v>0.33333333333333331</v>
      </c>
      <c r="AF422" s="27">
        <f t="shared" si="38"/>
        <v>6.426735218508997E-4</v>
      </c>
      <c r="AG422" s="37">
        <v>0</v>
      </c>
      <c r="AH422" s="27">
        <v>0</v>
      </c>
      <c r="AI422" s="27">
        <f t="shared" si="39"/>
        <v>0</v>
      </c>
      <c r="AJ422" s="38">
        <v>0</v>
      </c>
      <c r="AK422" s="27">
        <v>0</v>
      </c>
      <c r="AL422" s="27">
        <f t="shared" si="40"/>
        <v>0</v>
      </c>
      <c r="AM422" s="40">
        <v>2</v>
      </c>
      <c r="AN422" s="27">
        <v>0.66666666666666663</v>
      </c>
      <c r="AO422" s="27">
        <f t="shared" si="41"/>
        <v>1.2853470437017994E-3</v>
      </c>
      <c r="AP422" s="7" t="b">
        <v>1</v>
      </c>
      <c r="AQ422" s="7" t="b">
        <v>1</v>
      </c>
      <c r="AR422" s="6" t="b">
        <v>0</v>
      </c>
      <c r="AS422" s="6" t="b">
        <v>0</v>
      </c>
      <c r="AT422" s="7" t="b">
        <v>1</v>
      </c>
      <c r="AU422" s="6" t="b">
        <v>0</v>
      </c>
      <c r="AV422" s="6" t="b">
        <v>0</v>
      </c>
      <c r="AW422" s="6" t="b">
        <v>0</v>
      </c>
      <c r="AX422" s="6" t="b">
        <v>0</v>
      </c>
      <c r="AY422" s="6" t="b">
        <v>0</v>
      </c>
      <c r="AZ422" s="6" t="b">
        <v>0</v>
      </c>
      <c r="BA422" s="6" t="b">
        <v>0</v>
      </c>
      <c r="BB422" s="6" t="b">
        <v>0</v>
      </c>
    </row>
    <row r="423" spans="1:54" ht="15" x14ac:dyDescent="0.25">
      <c r="A423" s="3" t="s">
        <v>902</v>
      </c>
      <c r="B423" s="3" t="str">
        <f ca="1">IFERROR(__xludf.DUMMYFUNCTION("SPLIT(A423,""/"")"),"hacktoolspack")</f>
        <v>hacktoolspack</v>
      </c>
      <c r="C423" s="3" t="str">
        <f ca="1">IFERROR(__xludf.DUMMYFUNCTION("""COMPUTED_VALUE"""),"hack-tools")</f>
        <v>hack-tools</v>
      </c>
      <c r="D423" s="4" t="s">
        <v>903</v>
      </c>
      <c r="E423" s="5">
        <v>42855.458287037036</v>
      </c>
      <c r="F423" s="5">
        <v>44295.079016203701</v>
      </c>
      <c r="G423" s="13">
        <f t="shared" si="36"/>
        <v>1439.6207291666651</v>
      </c>
      <c r="H423" s="6" t="b">
        <v>0</v>
      </c>
      <c r="I423" s="6" t="b">
        <v>0</v>
      </c>
      <c r="J423" s="8">
        <v>506</v>
      </c>
      <c r="K423" s="8">
        <v>53</v>
      </c>
      <c r="L423" s="8">
        <v>318</v>
      </c>
      <c r="M423" s="8">
        <v>1</v>
      </c>
      <c r="N423" s="8">
        <v>0</v>
      </c>
      <c r="O423" s="9">
        <v>0</v>
      </c>
      <c r="P423" s="8">
        <v>9</v>
      </c>
      <c r="Q423" s="8">
        <v>0</v>
      </c>
      <c r="R423" s="8">
        <v>24</v>
      </c>
      <c r="S423" s="8">
        <v>0</v>
      </c>
      <c r="T423" s="11" t="s">
        <v>52</v>
      </c>
      <c r="U423" s="10">
        <v>62007</v>
      </c>
      <c r="V423" s="32">
        <v>0</v>
      </c>
      <c r="W423" s="27">
        <v>0</v>
      </c>
      <c r="X423" s="34">
        <v>0</v>
      </c>
      <c r="Y423" s="27">
        <v>0</v>
      </c>
      <c r="Z423" s="27">
        <v>0</v>
      </c>
      <c r="AA423" s="35">
        <v>0</v>
      </c>
      <c r="AB423" s="27">
        <v>0</v>
      </c>
      <c r="AC423" s="27">
        <f t="shared" si="37"/>
        <v>0</v>
      </c>
      <c r="AD423" s="36">
        <v>0</v>
      </c>
      <c r="AE423" s="27">
        <v>0</v>
      </c>
      <c r="AF423" s="27">
        <f t="shared" si="38"/>
        <v>0</v>
      </c>
      <c r="AG423" s="37">
        <v>0</v>
      </c>
      <c r="AH423" s="27">
        <v>0</v>
      </c>
      <c r="AI423" s="27">
        <f t="shared" si="39"/>
        <v>0</v>
      </c>
      <c r="AJ423" s="38">
        <v>0</v>
      </c>
      <c r="AK423" s="27">
        <v>0</v>
      </c>
      <c r="AL423" s="27">
        <f t="shared" si="40"/>
        <v>0</v>
      </c>
      <c r="AM423" s="40">
        <v>0</v>
      </c>
      <c r="AN423" s="27">
        <v>0</v>
      </c>
      <c r="AO423" s="27">
        <f t="shared" si="41"/>
        <v>0</v>
      </c>
      <c r="AP423" s="7" t="b">
        <v>1</v>
      </c>
      <c r="AQ423" s="7" t="b">
        <v>1</v>
      </c>
      <c r="AR423" s="6" t="b">
        <v>0</v>
      </c>
      <c r="AS423" s="6" t="b">
        <v>0</v>
      </c>
      <c r="AT423" s="7" t="b">
        <v>1</v>
      </c>
      <c r="AU423" s="6" t="b">
        <v>0</v>
      </c>
      <c r="AV423" s="6" t="b">
        <v>0</v>
      </c>
      <c r="AW423" s="6" t="b">
        <v>0</v>
      </c>
      <c r="AX423" s="6" t="b">
        <v>0</v>
      </c>
      <c r="AY423" s="6" t="b">
        <v>0</v>
      </c>
      <c r="AZ423" s="6" t="b">
        <v>0</v>
      </c>
      <c r="BA423" s="6" t="b">
        <v>0</v>
      </c>
      <c r="BB423" s="6" t="b">
        <v>0</v>
      </c>
    </row>
    <row r="424" spans="1:54" ht="15" x14ac:dyDescent="0.25">
      <c r="A424" s="3" t="s">
        <v>904</v>
      </c>
      <c r="B424" s="3" t="str">
        <f ca="1">IFERROR(__xludf.DUMMYFUNCTION("SPLIT(A424,""/"")"),"hacs")</f>
        <v>hacs</v>
      </c>
      <c r="C424" s="3" t="str">
        <f ca="1">IFERROR(__xludf.DUMMYFUNCTION("""COMPUTED_VALUE"""),"integration")</f>
        <v>integration</v>
      </c>
      <c r="D424" s="4" t="s">
        <v>905</v>
      </c>
      <c r="E424" s="5">
        <v>43522.625810185185</v>
      </c>
      <c r="F424" s="5">
        <v>44294.412731481483</v>
      </c>
      <c r="G424" s="13">
        <f t="shared" si="36"/>
        <v>771.78692129629781</v>
      </c>
      <c r="H424" s="6" t="b">
        <v>0</v>
      </c>
      <c r="I424" s="7" t="b">
        <v>1</v>
      </c>
      <c r="J424" s="8">
        <v>1628</v>
      </c>
      <c r="K424" s="8">
        <v>76</v>
      </c>
      <c r="L424" s="8">
        <v>444</v>
      </c>
      <c r="M424" s="8">
        <v>126</v>
      </c>
      <c r="N424" s="8">
        <v>17</v>
      </c>
      <c r="O424" s="8">
        <v>79</v>
      </c>
      <c r="P424" s="8">
        <v>671</v>
      </c>
      <c r="Q424" s="8">
        <v>5</v>
      </c>
      <c r="R424" s="8">
        <v>1268</v>
      </c>
      <c r="S424" s="8">
        <v>9</v>
      </c>
      <c r="T424" s="3" t="s">
        <v>72</v>
      </c>
      <c r="U424" s="10">
        <v>5676</v>
      </c>
      <c r="V424" s="32">
        <v>138</v>
      </c>
      <c r="W424" s="27">
        <v>2.4312896405919663E-2</v>
      </c>
      <c r="X424" s="34">
        <v>41</v>
      </c>
      <c r="Y424" s="27">
        <v>0.29710144927536231</v>
      </c>
      <c r="Z424" s="27">
        <v>7.2233967582804792E-3</v>
      </c>
      <c r="AA424" s="35">
        <v>49</v>
      </c>
      <c r="AB424" s="27">
        <v>0.35507246376811596</v>
      </c>
      <c r="AC424" s="27">
        <f t="shared" si="37"/>
        <v>8.6328400281888654E-3</v>
      </c>
      <c r="AD424" s="36">
        <v>4</v>
      </c>
      <c r="AE424" s="27">
        <v>2.8985507246376812E-2</v>
      </c>
      <c r="AF424" s="27">
        <f t="shared" si="38"/>
        <v>7.0472163495419312E-4</v>
      </c>
      <c r="AG424" s="37">
        <v>35</v>
      </c>
      <c r="AH424" s="27">
        <v>0.25362318840579712</v>
      </c>
      <c r="AI424" s="27">
        <f t="shared" si="39"/>
        <v>6.1663143058491897E-3</v>
      </c>
      <c r="AJ424" s="38">
        <v>9</v>
      </c>
      <c r="AK424" s="27">
        <v>6.5217391304347824E-2</v>
      </c>
      <c r="AL424" s="27">
        <f t="shared" si="40"/>
        <v>1.5856236786469344E-3</v>
      </c>
      <c r="AM424" s="40">
        <v>0</v>
      </c>
      <c r="AN424" s="27">
        <v>0</v>
      </c>
      <c r="AO424" s="27">
        <f t="shared" si="41"/>
        <v>0</v>
      </c>
      <c r="AP424" s="7" t="b">
        <v>1</v>
      </c>
      <c r="AQ424" s="6" t="b">
        <v>0</v>
      </c>
      <c r="AR424" s="6" t="b">
        <v>0</v>
      </c>
      <c r="AS424" s="6" t="b">
        <v>0</v>
      </c>
      <c r="AT424" s="7" t="b">
        <v>1</v>
      </c>
      <c r="AU424" s="6" t="b">
        <v>0</v>
      </c>
      <c r="AV424" s="6" t="b">
        <v>0</v>
      </c>
      <c r="AW424" s="6" t="b">
        <v>0</v>
      </c>
      <c r="AX424" s="6" t="b">
        <v>0</v>
      </c>
      <c r="AY424" s="6" t="b">
        <v>0</v>
      </c>
      <c r="AZ424" s="6" t="b">
        <v>0</v>
      </c>
      <c r="BA424" s="6" t="b">
        <v>0</v>
      </c>
      <c r="BB424" s="6" t="b">
        <v>0</v>
      </c>
    </row>
    <row r="425" spans="1:54" ht="15" x14ac:dyDescent="0.25">
      <c r="A425" s="3" t="s">
        <v>906</v>
      </c>
      <c r="B425" s="3" t="str">
        <f ca="1">IFERROR(__xludf.DUMMYFUNCTION("SPLIT(A425,""/"")"),"haiwen")</f>
        <v>haiwen</v>
      </c>
      <c r="C425" s="3" t="str">
        <f ca="1">IFERROR(__xludf.DUMMYFUNCTION("""COMPUTED_VALUE"""),"seafile-docker")</f>
        <v>seafile-docker</v>
      </c>
      <c r="D425" s="4" t="s">
        <v>907</v>
      </c>
      <c r="E425" s="5">
        <v>42083.665752314817</v>
      </c>
      <c r="F425" s="5">
        <v>44293.697847222225</v>
      </c>
      <c r="G425" s="13">
        <f t="shared" si="36"/>
        <v>2210.0320949074085</v>
      </c>
      <c r="H425" s="6" t="b">
        <v>0</v>
      </c>
      <c r="I425" s="7" t="b">
        <v>1</v>
      </c>
      <c r="J425" s="8">
        <v>415</v>
      </c>
      <c r="K425" s="8">
        <v>32</v>
      </c>
      <c r="L425" s="8">
        <v>119</v>
      </c>
      <c r="M425" s="8">
        <v>0</v>
      </c>
      <c r="N425" s="8">
        <v>0</v>
      </c>
      <c r="O425" s="8">
        <v>15</v>
      </c>
      <c r="P425" s="8">
        <v>85</v>
      </c>
      <c r="Q425" s="8">
        <v>16</v>
      </c>
      <c r="R425" s="8">
        <v>163</v>
      </c>
      <c r="S425" s="8">
        <v>35</v>
      </c>
      <c r="T425" s="3" t="s">
        <v>92</v>
      </c>
      <c r="U425" s="10">
        <v>5007</v>
      </c>
      <c r="V425" s="32">
        <v>89</v>
      </c>
      <c r="W425" s="27">
        <v>1.7775114839225083E-2</v>
      </c>
      <c r="X425" s="34">
        <v>5</v>
      </c>
      <c r="Y425" s="27">
        <v>5.6179775280898875E-2</v>
      </c>
      <c r="Z425" s="27">
        <v>9.9860195725983629E-4</v>
      </c>
      <c r="AA425" s="35">
        <v>9</v>
      </c>
      <c r="AB425" s="27">
        <v>0.10112359550561797</v>
      </c>
      <c r="AC425" s="27">
        <f t="shared" si="37"/>
        <v>1.7974835230677051E-3</v>
      </c>
      <c r="AD425" s="36">
        <v>0</v>
      </c>
      <c r="AE425" s="27">
        <v>0</v>
      </c>
      <c r="AF425" s="27">
        <f t="shared" si="38"/>
        <v>0</v>
      </c>
      <c r="AG425" s="37">
        <v>75</v>
      </c>
      <c r="AH425" s="27">
        <v>0.84269662921348309</v>
      </c>
      <c r="AI425" s="27">
        <f t="shared" si="39"/>
        <v>1.4979029358897543E-2</v>
      </c>
      <c r="AJ425" s="38">
        <v>0</v>
      </c>
      <c r="AK425" s="27">
        <v>0</v>
      </c>
      <c r="AL425" s="27">
        <f t="shared" si="40"/>
        <v>0</v>
      </c>
      <c r="AM425" s="40">
        <v>0</v>
      </c>
      <c r="AN425" s="27">
        <v>0</v>
      </c>
      <c r="AO425" s="27">
        <f t="shared" si="41"/>
        <v>0</v>
      </c>
      <c r="AP425" s="7" t="b">
        <v>1</v>
      </c>
      <c r="AQ425" s="6" t="b">
        <v>0</v>
      </c>
      <c r="AR425" s="6" t="b">
        <v>0</v>
      </c>
      <c r="AS425" s="6" t="b">
        <v>0</v>
      </c>
      <c r="AT425" s="7" t="b">
        <v>1</v>
      </c>
      <c r="AU425" s="6" t="b">
        <v>0</v>
      </c>
      <c r="AV425" s="6" t="b">
        <v>0</v>
      </c>
      <c r="AW425" s="6" t="b">
        <v>0</v>
      </c>
      <c r="AX425" s="6" t="b">
        <v>0</v>
      </c>
      <c r="AY425" s="6" t="b">
        <v>0</v>
      </c>
      <c r="AZ425" s="6" t="b">
        <v>0</v>
      </c>
      <c r="BA425" s="6" t="b">
        <v>0</v>
      </c>
      <c r="BB425" s="6" t="b">
        <v>0</v>
      </c>
    </row>
    <row r="426" spans="1:54" ht="15" x14ac:dyDescent="0.25">
      <c r="A426" s="3" t="s">
        <v>908</v>
      </c>
      <c r="B426" s="3" t="str">
        <f ca="1">IFERROR(__xludf.DUMMYFUNCTION("SPLIT(A426,""/"")"),"hamcrest")</f>
        <v>hamcrest</v>
      </c>
      <c r="C426" s="3" t="str">
        <f ca="1">IFERROR(__xludf.DUMMYFUNCTION("""COMPUTED_VALUE"""),"PyHamcrest")</f>
        <v>PyHamcrest</v>
      </c>
      <c r="D426" s="4" t="s">
        <v>909</v>
      </c>
      <c r="E426" s="5">
        <v>40536.122175925928</v>
      </c>
      <c r="F426" s="5">
        <v>44294.623564814814</v>
      </c>
      <c r="G426" s="13">
        <f t="shared" si="36"/>
        <v>3758.5013888888861</v>
      </c>
      <c r="H426" s="6" t="b">
        <v>0</v>
      </c>
      <c r="I426" s="7" t="b">
        <v>1</v>
      </c>
      <c r="J426" s="8">
        <v>540</v>
      </c>
      <c r="K426" s="8">
        <v>20</v>
      </c>
      <c r="L426" s="8">
        <v>80</v>
      </c>
      <c r="M426" s="8">
        <v>8</v>
      </c>
      <c r="N426" s="8">
        <v>4</v>
      </c>
      <c r="O426" s="8">
        <v>24</v>
      </c>
      <c r="P426" s="8">
        <v>115</v>
      </c>
      <c r="Q426" s="8">
        <v>5</v>
      </c>
      <c r="R426" s="8">
        <v>57</v>
      </c>
      <c r="S426" s="8">
        <v>9</v>
      </c>
      <c r="T426" s="3" t="s">
        <v>92</v>
      </c>
      <c r="U426" s="10">
        <v>3387</v>
      </c>
      <c r="V426" s="32">
        <v>4</v>
      </c>
      <c r="W426" s="27">
        <v>1.1809861234130499E-3</v>
      </c>
      <c r="X426" s="34">
        <v>0</v>
      </c>
      <c r="Y426" s="27">
        <v>0</v>
      </c>
      <c r="Z426" s="27">
        <v>0</v>
      </c>
      <c r="AA426" s="35">
        <v>0</v>
      </c>
      <c r="AB426" s="27">
        <v>0</v>
      </c>
      <c r="AC426" s="27">
        <f t="shared" si="37"/>
        <v>0</v>
      </c>
      <c r="AD426" s="36">
        <v>3</v>
      </c>
      <c r="AE426" s="27">
        <v>0.75</v>
      </c>
      <c r="AF426" s="27">
        <f t="shared" si="38"/>
        <v>8.8573959255978745E-4</v>
      </c>
      <c r="AG426" s="37">
        <v>1</v>
      </c>
      <c r="AH426" s="27">
        <v>0.25</v>
      </c>
      <c r="AI426" s="27">
        <f t="shared" si="39"/>
        <v>2.9524653085326248E-4</v>
      </c>
      <c r="AJ426" s="38">
        <v>0</v>
      </c>
      <c r="AK426" s="27">
        <v>0</v>
      </c>
      <c r="AL426" s="27">
        <f t="shared" si="40"/>
        <v>0</v>
      </c>
      <c r="AM426" s="40">
        <v>0</v>
      </c>
      <c r="AN426" s="27">
        <v>0</v>
      </c>
      <c r="AO426" s="27">
        <f t="shared" si="41"/>
        <v>0</v>
      </c>
      <c r="AP426" s="7" t="b">
        <v>1</v>
      </c>
      <c r="AQ426" s="6" t="b">
        <v>0</v>
      </c>
      <c r="AR426" s="6" t="b">
        <v>0</v>
      </c>
      <c r="AS426" s="6" t="b">
        <v>0</v>
      </c>
      <c r="AT426" s="7" t="b">
        <v>1</v>
      </c>
      <c r="AU426" s="6" t="b">
        <v>0</v>
      </c>
      <c r="AV426" s="6" t="b">
        <v>0</v>
      </c>
      <c r="AW426" s="6" t="b">
        <v>0</v>
      </c>
      <c r="AX426" s="6" t="b">
        <v>0</v>
      </c>
      <c r="AY426" s="6" t="b">
        <v>0</v>
      </c>
      <c r="AZ426" s="6" t="b">
        <v>0</v>
      </c>
      <c r="BA426" s="6" t="b">
        <v>0</v>
      </c>
      <c r="BB426" s="6" t="b">
        <v>0</v>
      </c>
    </row>
    <row r="427" spans="1:54" ht="15" x14ac:dyDescent="0.25">
      <c r="A427" s="3" t="s">
        <v>910</v>
      </c>
      <c r="B427" s="3" t="str">
        <f ca="1">IFERROR(__xludf.DUMMYFUNCTION("SPLIT(A427,""/"")"),"hangoutsbot")</f>
        <v>hangoutsbot</v>
      </c>
      <c r="C427" s="3" t="str">
        <f ca="1">IFERROR(__xludf.DUMMYFUNCTION("""COMPUTED_VALUE"""),"hangoutsbot")</f>
        <v>hangoutsbot</v>
      </c>
      <c r="D427" s="4" t="s">
        <v>911</v>
      </c>
      <c r="E427" s="5">
        <v>42024.192870370367</v>
      </c>
      <c r="F427" s="5">
        <v>44284.790821759256</v>
      </c>
      <c r="G427" s="13">
        <f t="shared" si="36"/>
        <v>2260.5979513888888</v>
      </c>
      <c r="H427" s="6" t="b">
        <v>0</v>
      </c>
      <c r="I427" s="7" t="b">
        <v>1</v>
      </c>
      <c r="J427" s="8">
        <v>579</v>
      </c>
      <c r="K427" s="8">
        <v>93</v>
      </c>
      <c r="L427" s="8">
        <v>272</v>
      </c>
      <c r="M427" s="8">
        <v>37</v>
      </c>
      <c r="N427" s="8">
        <v>93</v>
      </c>
      <c r="O427" s="8">
        <v>59</v>
      </c>
      <c r="P427" s="8">
        <v>381</v>
      </c>
      <c r="Q427" s="8">
        <v>12</v>
      </c>
      <c r="R427" s="8">
        <v>588</v>
      </c>
      <c r="S427" s="8">
        <v>93</v>
      </c>
      <c r="T427" s="3" t="s">
        <v>366</v>
      </c>
      <c r="U427" s="10">
        <v>13748</v>
      </c>
      <c r="V427" s="32">
        <v>617</v>
      </c>
      <c r="W427" s="27">
        <v>4.4879255164387545E-2</v>
      </c>
      <c r="X427" s="34">
        <v>127</v>
      </c>
      <c r="Y427" s="27">
        <v>0.20583468395461912</v>
      </c>
      <c r="Z427" s="27">
        <v>9.2377073028804182E-3</v>
      </c>
      <c r="AA427" s="35">
        <v>281</v>
      </c>
      <c r="AB427" s="27">
        <v>0.45542949756888168</v>
      </c>
      <c r="AC427" s="27">
        <f t="shared" si="37"/>
        <v>2.0439336630782658E-2</v>
      </c>
      <c r="AD427" s="36">
        <v>88</v>
      </c>
      <c r="AE427" s="27">
        <v>0.14262560777957861</v>
      </c>
      <c r="AF427" s="27">
        <f t="shared" si="38"/>
        <v>6.400931044515566E-3</v>
      </c>
      <c r="AG427" s="37">
        <v>111</v>
      </c>
      <c r="AH427" s="27">
        <v>0.17990275526742303</v>
      </c>
      <c r="AI427" s="27">
        <f t="shared" si="39"/>
        <v>8.0739016584230432E-3</v>
      </c>
      <c r="AJ427" s="38">
        <v>2</v>
      </c>
      <c r="AK427" s="27">
        <v>3.2414910858995136E-3</v>
      </c>
      <c r="AL427" s="27">
        <f t="shared" si="40"/>
        <v>1.4547570555717196E-4</v>
      </c>
      <c r="AM427" s="40">
        <v>5</v>
      </c>
      <c r="AN427" s="27">
        <v>8.1037277147487843E-3</v>
      </c>
      <c r="AO427" s="27">
        <f t="shared" si="41"/>
        <v>3.6368926389292985E-4</v>
      </c>
      <c r="AP427" s="7" t="b">
        <v>1</v>
      </c>
      <c r="AQ427" s="6" t="b">
        <v>0</v>
      </c>
      <c r="AR427" s="6" t="b">
        <v>0</v>
      </c>
      <c r="AS427" s="6" t="b">
        <v>0</v>
      </c>
      <c r="AT427" s="7" t="b">
        <v>1</v>
      </c>
      <c r="AU427" s="6" t="b">
        <v>0</v>
      </c>
      <c r="AV427" s="6" t="b">
        <v>0</v>
      </c>
      <c r="AW427" s="6" t="b">
        <v>0</v>
      </c>
      <c r="AX427" s="6" t="b">
        <v>0</v>
      </c>
      <c r="AY427" s="6" t="b">
        <v>0</v>
      </c>
      <c r="AZ427" s="6" t="b">
        <v>0</v>
      </c>
      <c r="BA427" s="6" t="b">
        <v>0</v>
      </c>
      <c r="BB427" s="6" t="b">
        <v>0</v>
      </c>
    </row>
    <row r="428" spans="1:54" ht="15" x14ac:dyDescent="0.25">
      <c r="A428" s="3" t="s">
        <v>912</v>
      </c>
      <c r="B428" s="3" t="str">
        <f ca="1">IFERROR(__xludf.DUMMYFUNCTION("SPLIT(A428,""/"")"),"hanxiao")</f>
        <v>hanxiao</v>
      </c>
      <c r="C428" s="3" t="str">
        <f ca="1">IFERROR(__xludf.DUMMYFUNCTION("""COMPUTED_VALUE"""),"bert-as-service")</f>
        <v>bert-as-service</v>
      </c>
      <c r="D428" s="4" t="s">
        <v>913</v>
      </c>
      <c r="E428" s="5">
        <v>43416.450578703705</v>
      </c>
      <c r="F428" s="5">
        <v>44295.094664351855</v>
      </c>
      <c r="G428" s="13">
        <f t="shared" si="36"/>
        <v>878.64408564814948</v>
      </c>
      <c r="H428" s="6" t="b">
        <v>0</v>
      </c>
      <c r="I428" s="6" t="b">
        <v>0</v>
      </c>
      <c r="J428" s="8">
        <v>9093</v>
      </c>
      <c r="K428" s="8">
        <v>204</v>
      </c>
      <c r="L428" s="8">
        <v>1711</v>
      </c>
      <c r="M428" s="8">
        <v>10</v>
      </c>
      <c r="N428" s="8">
        <v>0</v>
      </c>
      <c r="O428" s="8">
        <v>40</v>
      </c>
      <c r="P428" s="8">
        <v>138</v>
      </c>
      <c r="Q428" s="8">
        <v>8</v>
      </c>
      <c r="R428" s="8">
        <v>488</v>
      </c>
      <c r="S428" s="8">
        <v>238</v>
      </c>
      <c r="T428" s="3" t="s">
        <v>72</v>
      </c>
      <c r="U428" s="10">
        <v>2399</v>
      </c>
      <c r="V428" s="32">
        <v>55</v>
      </c>
      <c r="W428" s="27">
        <v>2.2926219258024176E-2</v>
      </c>
      <c r="X428" s="34">
        <v>4</v>
      </c>
      <c r="Y428" s="27">
        <v>7.2727272727272724E-2</v>
      </c>
      <c r="Z428" s="27">
        <v>1.6673614005835765E-3</v>
      </c>
      <c r="AA428" s="35">
        <v>34</v>
      </c>
      <c r="AB428" s="27">
        <v>0.61818181818181817</v>
      </c>
      <c r="AC428" s="27">
        <f t="shared" si="37"/>
        <v>1.41725719049604E-2</v>
      </c>
      <c r="AD428" s="36">
        <v>11</v>
      </c>
      <c r="AE428" s="27">
        <v>0.2</v>
      </c>
      <c r="AF428" s="27">
        <f t="shared" si="38"/>
        <v>4.5852438516048354E-3</v>
      </c>
      <c r="AG428" s="37">
        <v>6</v>
      </c>
      <c r="AH428" s="27">
        <v>0.10909090909090909</v>
      </c>
      <c r="AI428" s="27">
        <f t="shared" si="39"/>
        <v>2.5010421008753647E-3</v>
      </c>
      <c r="AJ428" s="38">
        <v>0</v>
      </c>
      <c r="AK428" s="27">
        <v>0</v>
      </c>
      <c r="AL428" s="27">
        <f t="shared" si="40"/>
        <v>0</v>
      </c>
      <c r="AM428" s="40">
        <v>0</v>
      </c>
      <c r="AN428" s="27">
        <v>0</v>
      </c>
      <c r="AO428" s="27">
        <f t="shared" si="41"/>
        <v>0</v>
      </c>
      <c r="AP428" s="7" t="b">
        <v>1</v>
      </c>
      <c r="AQ428" s="6" t="b">
        <v>0</v>
      </c>
      <c r="AR428" s="6" t="b">
        <v>0</v>
      </c>
      <c r="AS428" s="6" t="b">
        <v>0</v>
      </c>
      <c r="AT428" s="7" t="b">
        <v>1</v>
      </c>
      <c r="AU428" s="6" t="b">
        <v>0</v>
      </c>
      <c r="AV428" s="6" t="b">
        <v>0</v>
      </c>
      <c r="AW428" s="6" t="b">
        <v>0</v>
      </c>
      <c r="AX428" s="6" t="b">
        <v>0</v>
      </c>
      <c r="AY428" s="6" t="b">
        <v>0</v>
      </c>
      <c r="AZ428" s="6" t="b">
        <v>0</v>
      </c>
      <c r="BA428" s="6" t="b">
        <v>0</v>
      </c>
      <c r="BB428" s="6" t="b">
        <v>0</v>
      </c>
    </row>
    <row r="429" spans="1:54" ht="15" x14ac:dyDescent="0.25">
      <c r="A429" s="3" t="s">
        <v>914</v>
      </c>
      <c r="B429" s="3" t="str">
        <f ca="1">IFERROR(__xludf.DUMMYFUNCTION("SPLIT(A429,""/"")"),"HASecuritySolutions")</f>
        <v>HASecuritySolutions</v>
      </c>
      <c r="C429" s="3" t="str">
        <f ca="1">IFERROR(__xludf.DUMMYFUNCTION("""COMPUTED_VALUE"""),"VulnWhisperer")</f>
        <v>VulnWhisperer</v>
      </c>
      <c r="D429" s="4" t="s">
        <v>915</v>
      </c>
      <c r="E429" s="5">
        <v>42901.783888888887</v>
      </c>
      <c r="F429" s="5">
        <v>44293.705648148149</v>
      </c>
      <c r="G429" s="13">
        <f t="shared" si="36"/>
        <v>1391.9217592592613</v>
      </c>
      <c r="H429" s="6" t="b">
        <v>0</v>
      </c>
      <c r="I429" s="7" t="b">
        <v>1</v>
      </c>
      <c r="J429" s="8">
        <v>1111</v>
      </c>
      <c r="K429" s="8">
        <v>115</v>
      </c>
      <c r="L429" s="8">
        <v>199</v>
      </c>
      <c r="M429" s="8">
        <v>7</v>
      </c>
      <c r="N429" s="8">
        <v>0</v>
      </c>
      <c r="O429" s="8">
        <v>20</v>
      </c>
      <c r="P429" s="8">
        <v>72</v>
      </c>
      <c r="Q429" s="8">
        <v>1</v>
      </c>
      <c r="R429" s="8">
        <v>153</v>
      </c>
      <c r="S429" s="8">
        <v>41</v>
      </c>
      <c r="T429" s="3" t="s">
        <v>69</v>
      </c>
      <c r="U429" s="10">
        <v>2010</v>
      </c>
      <c r="V429" s="32">
        <v>195</v>
      </c>
      <c r="W429" s="27">
        <v>9.7014925373134331E-2</v>
      </c>
      <c r="X429" s="34">
        <v>35</v>
      </c>
      <c r="Y429" s="27">
        <v>0.17948717948717949</v>
      </c>
      <c r="Z429" s="27">
        <v>1.7412935323383085E-2</v>
      </c>
      <c r="AA429" s="35">
        <v>90</v>
      </c>
      <c r="AB429" s="27">
        <v>0.46153846153846156</v>
      </c>
      <c r="AC429" s="27">
        <f t="shared" si="37"/>
        <v>4.4776119402985072E-2</v>
      </c>
      <c r="AD429" s="36">
        <v>13</v>
      </c>
      <c r="AE429" s="27">
        <v>6.6666666666666666E-2</v>
      </c>
      <c r="AF429" s="27">
        <f t="shared" si="38"/>
        <v>6.4676616915422883E-3</v>
      </c>
      <c r="AG429" s="37">
        <v>57</v>
      </c>
      <c r="AH429" s="27">
        <v>0.29230769230769232</v>
      </c>
      <c r="AI429" s="27">
        <f t="shared" si="39"/>
        <v>2.8358208955223882E-2</v>
      </c>
      <c r="AJ429" s="38">
        <v>0</v>
      </c>
      <c r="AK429" s="27">
        <v>0</v>
      </c>
      <c r="AL429" s="27">
        <f t="shared" si="40"/>
        <v>0</v>
      </c>
      <c r="AM429" s="40">
        <v>0</v>
      </c>
      <c r="AN429" s="27">
        <v>0</v>
      </c>
      <c r="AO429" s="27">
        <f t="shared" si="41"/>
        <v>0</v>
      </c>
      <c r="AP429" s="7" t="b">
        <v>1</v>
      </c>
      <c r="AQ429" s="6" t="b">
        <v>0</v>
      </c>
      <c r="AR429" s="6" t="b">
        <v>0</v>
      </c>
      <c r="AS429" s="6" t="b">
        <v>0</v>
      </c>
      <c r="AT429" s="7" t="b">
        <v>1</v>
      </c>
      <c r="AU429" s="6" t="b">
        <v>0</v>
      </c>
      <c r="AV429" s="6" t="b">
        <v>0</v>
      </c>
      <c r="AW429" s="6" t="b">
        <v>0</v>
      </c>
      <c r="AX429" s="6" t="b">
        <v>0</v>
      </c>
      <c r="AY429" s="6" t="b">
        <v>0</v>
      </c>
      <c r="AZ429" s="6" t="b">
        <v>0</v>
      </c>
      <c r="BA429" s="6" t="b">
        <v>0</v>
      </c>
      <c r="BB429" s="6" t="b">
        <v>0</v>
      </c>
    </row>
    <row r="430" spans="1:54" ht="15" x14ac:dyDescent="0.25">
      <c r="A430" s="3" t="s">
        <v>916</v>
      </c>
      <c r="B430" s="3" t="str">
        <f ca="1">IFERROR(__xludf.DUMMYFUNCTION("SPLIT(A430,""/"")"),"HashPals")</f>
        <v>HashPals</v>
      </c>
      <c r="C430" s="3" t="str">
        <f ca="1">IFERROR(__xludf.DUMMYFUNCTION("""COMPUTED_VALUE"""),"Name-That-Hash")</f>
        <v>Name-That-Hash</v>
      </c>
      <c r="D430" s="4" t="s">
        <v>917</v>
      </c>
      <c r="E430" s="5">
        <v>44209.564340277779</v>
      </c>
      <c r="F430" s="5">
        <v>44294.595312500001</v>
      </c>
      <c r="G430" s="13">
        <f t="shared" si="36"/>
        <v>85.030972222222772</v>
      </c>
      <c r="H430" s="6" t="b">
        <v>0</v>
      </c>
      <c r="I430" s="7" t="b">
        <v>1</v>
      </c>
      <c r="J430" s="8">
        <v>575</v>
      </c>
      <c r="K430" s="8">
        <v>10</v>
      </c>
      <c r="L430" s="8">
        <v>39</v>
      </c>
      <c r="M430" s="8">
        <v>16</v>
      </c>
      <c r="N430" s="8">
        <v>0</v>
      </c>
      <c r="O430" s="8">
        <v>11</v>
      </c>
      <c r="P430" s="8">
        <v>49</v>
      </c>
      <c r="Q430" s="8">
        <v>1</v>
      </c>
      <c r="R430" s="8">
        <v>29</v>
      </c>
      <c r="S430" s="8">
        <v>4</v>
      </c>
      <c r="T430" s="3" t="s">
        <v>49</v>
      </c>
      <c r="U430" s="10">
        <v>415</v>
      </c>
      <c r="V430" s="32">
        <v>7</v>
      </c>
      <c r="W430" s="27">
        <v>1.6867469879518072E-2</v>
      </c>
      <c r="X430" s="34">
        <v>6</v>
      </c>
      <c r="Y430" s="27">
        <v>0.8571428571428571</v>
      </c>
      <c r="Z430" s="27">
        <v>1.4457831325301205E-2</v>
      </c>
      <c r="AA430" s="35">
        <v>1</v>
      </c>
      <c r="AB430" s="27">
        <v>0.14285714285714285</v>
      </c>
      <c r="AC430" s="27">
        <f t="shared" si="37"/>
        <v>2.4096385542168677E-3</v>
      </c>
      <c r="AD430" s="36">
        <v>0</v>
      </c>
      <c r="AE430" s="27">
        <v>0</v>
      </c>
      <c r="AF430" s="27">
        <f t="shared" si="38"/>
        <v>0</v>
      </c>
      <c r="AG430" s="37">
        <v>0</v>
      </c>
      <c r="AH430" s="27">
        <v>0</v>
      </c>
      <c r="AI430" s="27">
        <f t="shared" si="39"/>
        <v>0</v>
      </c>
      <c r="AJ430" s="38">
        <v>0</v>
      </c>
      <c r="AK430" s="27">
        <v>0</v>
      </c>
      <c r="AL430" s="27">
        <f t="shared" si="40"/>
        <v>0</v>
      </c>
      <c r="AM430" s="40">
        <v>0</v>
      </c>
      <c r="AN430" s="27">
        <v>0</v>
      </c>
      <c r="AO430" s="27">
        <f t="shared" si="41"/>
        <v>0</v>
      </c>
      <c r="AP430" s="7" t="b">
        <v>1</v>
      </c>
      <c r="AQ430" s="6" t="b">
        <v>0</v>
      </c>
      <c r="AR430" s="6" t="b">
        <v>0</v>
      </c>
      <c r="AS430" s="6" t="b">
        <v>0</v>
      </c>
      <c r="AT430" s="6" t="b">
        <v>0</v>
      </c>
      <c r="AU430" s="6" t="b">
        <v>0</v>
      </c>
      <c r="AV430" s="6" t="b">
        <v>0</v>
      </c>
      <c r="AW430" s="6" t="b">
        <v>0</v>
      </c>
      <c r="AX430" s="7" t="b">
        <v>1</v>
      </c>
      <c r="AY430" s="6" t="b">
        <v>0</v>
      </c>
      <c r="AZ430" s="6" t="b">
        <v>0</v>
      </c>
      <c r="BA430" s="6" t="b">
        <v>0</v>
      </c>
      <c r="BB430" s="6" t="b">
        <v>0</v>
      </c>
    </row>
    <row r="431" spans="1:54" ht="15" x14ac:dyDescent="0.25">
      <c r="A431" s="3" t="s">
        <v>918</v>
      </c>
      <c r="B431" s="3" t="str">
        <f ca="1">IFERROR(__xludf.DUMMYFUNCTION("SPLIT(A431,""/"")"),"HazyResearch")</f>
        <v>HazyResearch</v>
      </c>
      <c r="C431" s="3" t="str">
        <f ca="1">IFERROR(__xludf.DUMMYFUNCTION("""COMPUTED_VALUE"""),"fonduer")</f>
        <v>fonduer</v>
      </c>
      <c r="D431" s="4" t="s">
        <v>919</v>
      </c>
      <c r="E431" s="5">
        <v>43133.918900462966</v>
      </c>
      <c r="F431" s="5">
        <v>44294.910150462965</v>
      </c>
      <c r="G431" s="13">
        <f t="shared" si="36"/>
        <v>1160.9912499999991</v>
      </c>
      <c r="H431" s="6" t="b">
        <v>0</v>
      </c>
      <c r="I431" s="7" t="b">
        <v>1</v>
      </c>
      <c r="J431" s="8">
        <v>334</v>
      </c>
      <c r="K431" s="8">
        <v>23</v>
      </c>
      <c r="L431" s="8">
        <v>68</v>
      </c>
      <c r="M431" s="8">
        <v>4</v>
      </c>
      <c r="N431" s="8">
        <v>4</v>
      </c>
      <c r="O431" s="8">
        <v>13</v>
      </c>
      <c r="P431" s="8">
        <v>359</v>
      </c>
      <c r="Q431" s="8">
        <v>0</v>
      </c>
      <c r="R431" s="8">
        <v>177</v>
      </c>
      <c r="S431" s="8">
        <v>17</v>
      </c>
      <c r="T431" s="3" t="s">
        <v>72</v>
      </c>
      <c r="U431" s="10">
        <v>8980</v>
      </c>
      <c r="V431" s="32">
        <v>145</v>
      </c>
      <c r="W431" s="27">
        <v>1.6146993318485525E-2</v>
      </c>
      <c r="X431" s="34">
        <v>30</v>
      </c>
      <c r="Y431" s="27">
        <v>0.20689655172413793</v>
      </c>
      <c r="Z431" s="27">
        <v>3.3407572383073497E-3</v>
      </c>
      <c r="AA431" s="35">
        <v>85</v>
      </c>
      <c r="AB431" s="27">
        <v>0.58620689655172409</v>
      </c>
      <c r="AC431" s="27">
        <f t="shared" si="37"/>
        <v>9.4654788418708242E-3</v>
      </c>
      <c r="AD431" s="36">
        <v>16</v>
      </c>
      <c r="AE431" s="27">
        <v>0.1103448275862069</v>
      </c>
      <c r="AF431" s="27">
        <f t="shared" si="38"/>
        <v>1.7817371937639199E-3</v>
      </c>
      <c r="AG431" s="37">
        <v>10</v>
      </c>
      <c r="AH431" s="27">
        <v>6.8965517241379309E-2</v>
      </c>
      <c r="AI431" s="27">
        <f t="shared" si="39"/>
        <v>1.1135857461024498E-3</v>
      </c>
      <c r="AJ431" s="38">
        <v>0</v>
      </c>
      <c r="AK431" s="27">
        <v>0</v>
      </c>
      <c r="AL431" s="27">
        <f t="shared" si="40"/>
        <v>0</v>
      </c>
      <c r="AM431" s="40">
        <v>1</v>
      </c>
      <c r="AN431" s="27">
        <v>6.8965517241379309E-3</v>
      </c>
      <c r="AO431" s="27">
        <f t="shared" si="41"/>
        <v>1.1135857461024499E-4</v>
      </c>
      <c r="AP431" s="7" t="b">
        <v>1</v>
      </c>
      <c r="AQ431" s="6" t="b">
        <v>0</v>
      </c>
      <c r="AR431" s="6" t="b">
        <v>0</v>
      </c>
      <c r="AS431" s="6" t="b">
        <v>0</v>
      </c>
      <c r="AT431" s="7" t="b">
        <v>1</v>
      </c>
      <c r="AU431" s="6" t="b">
        <v>0</v>
      </c>
      <c r="AV431" s="6" t="b">
        <v>0</v>
      </c>
      <c r="AW431" s="6" t="b">
        <v>0</v>
      </c>
      <c r="AX431" s="6" t="b">
        <v>0</v>
      </c>
      <c r="AY431" s="6" t="b">
        <v>0</v>
      </c>
      <c r="AZ431" s="6" t="b">
        <v>0</v>
      </c>
      <c r="BA431" s="6" t="b">
        <v>0</v>
      </c>
      <c r="BB431" s="6" t="b">
        <v>0</v>
      </c>
    </row>
    <row r="432" spans="1:54" ht="15" x14ac:dyDescent="0.25">
      <c r="A432" s="3" t="s">
        <v>920</v>
      </c>
      <c r="B432" s="3" t="str">
        <f ca="1">IFERROR(__xludf.DUMMYFUNCTION("SPLIT(A432,""/"")"),"heartexlabs")</f>
        <v>heartexlabs</v>
      </c>
      <c r="C432" s="3" t="str">
        <f ca="1">IFERROR(__xludf.DUMMYFUNCTION("""COMPUTED_VALUE"""),"label-studio")</f>
        <v>label-studio</v>
      </c>
      <c r="D432" s="4" t="s">
        <v>921</v>
      </c>
      <c r="E432" s="5">
        <v>43635.08384259259</v>
      </c>
      <c r="F432" s="5">
        <v>44295.158460648148</v>
      </c>
      <c r="G432" s="13">
        <f t="shared" si="36"/>
        <v>660.07461805555795</v>
      </c>
      <c r="H432" s="6" t="b">
        <v>0</v>
      </c>
      <c r="I432" s="7" t="b">
        <v>1</v>
      </c>
      <c r="J432" s="8">
        <v>5494</v>
      </c>
      <c r="K432" s="8">
        <v>114</v>
      </c>
      <c r="L432" s="8">
        <v>494</v>
      </c>
      <c r="M432" s="8">
        <v>41</v>
      </c>
      <c r="N432" s="8">
        <v>31</v>
      </c>
      <c r="O432" s="8">
        <v>52</v>
      </c>
      <c r="P432" s="8">
        <v>354</v>
      </c>
      <c r="Q432" s="8">
        <v>11</v>
      </c>
      <c r="R432" s="8">
        <v>422</v>
      </c>
      <c r="S432" s="8">
        <v>81</v>
      </c>
      <c r="T432" s="3" t="s">
        <v>69</v>
      </c>
      <c r="U432" s="10">
        <v>11555</v>
      </c>
      <c r="V432" s="32">
        <v>160</v>
      </c>
      <c r="W432" s="27">
        <v>1.3846819558632626E-2</v>
      </c>
      <c r="X432" s="34">
        <v>86</v>
      </c>
      <c r="Y432" s="27">
        <v>0.53749999999999998</v>
      </c>
      <c r="Z432" s="27">
        <v>7.4426655127650364E-3</v>
      </c>
      <c r="AA432" s="35">
        <v>24</v>
      </c>
      <c r="AB432" s="27">
        <v>0.15</v>
      </c>
      <c r="AC432" s="27">
        <f t="shared" si="37"/>
        <v>2.0770229337948938E-3</v>
      </c>
      <c r="AD432" s="36">
        <v>15</v>
      </c>
      <c r="AE432" s="27">
        <v>9.375E-2</v>
      </c>
      <c r="AF432" s="27">
        <f t="shared" si="38"/>
        <v>1.2981393336218088E-3</v>
      </c>
      <c r="AG432" s="37">
        <v>34</v>
      </c>
      <c r="AH432" s="27">
        <v>0.21249999999999999</v>
      </c>
      <c r="AI432" s="27">
        <f t="shared" si="39"/>
        <v>2.9424491562094332E-3</v>
      </c>
      <c r="AJ432" s="38">
        <v>0</v>
      </c>
      <c r="AK432" s="27">
        <v>0</v>
      </c>
      <c r="AL432" s="27">
        <f t="shared" si="40"/>
        <v>0</v>
      </c>
      <c r="AM432" s="40">
        <v>0</v>
      </c>
      <c r="AN432" s="27">
        <v>0</v>
      </c>
      <c r="AO432" s="27">
        <f t="shared" si="41"/>
        <v>0</v>
      </c>
      <c r="AP432" s="7" t="b">
        <v>1</v>
      </c>
      <c r="AQ432" s="7" t="b">
        <v>1</v>
      </c>
      <c r="AR432" s="6" t="b">
        <v>0</v>
      </c>
      <c r="AS432" s="6" t="b">
        <v>0</v>
      </c>
      <c r="AT432" s="7" t="b">
        <v>1</v>
      </c>
      <c r="AU432" s="6" t="b">
        <v>0</v>
      </c>
      <c r="AV432" s="6" t="b">
        <v>0</v>
      </c>
      <c r="AW432" s="6" t="b">
        <v>0</v>
      </c>
      <c r="AX432" s="6" t="b">
        <v>0</v>
      </c>
      <c r="AY432" s="6" t="b">
        <v>0</v>
      </c>
      <c r="AZ432" s="6" t="b">
        <v>0</v>
      </c>
      <c r="BA432" s="6" t="b">
        <v>0</v>
      </c>
      <c r="BB432" s="6" t="b">
        <v>0</v>
      </c>
    </row>
    <row r="433" spans="1:54" ht="15" x14ac:dyDescent="0.25">
      <c r="A433" s="3" t="s">
        <v>922</v>
      </c>
      <c r="B433" s="3" t="str">
        <f ca="1">IFERROR(__xludf.DUMMYFUNCTION("SPLIT(A433,""/"")"),"HendrikStrobelt")</f>
        <v>HendrikStrobelt</v>
      </c>
      <c r="C433" s="3" t="str">
        <f ca="1">IFERROR(__xludf.DUMMYFUNCTION("""COMPUTED_VALUE"""),"Seq2Seq-Vis")</f>
        <v>Seq2Seq-Vis</v>
      </c>
      <c r="D433" s="4" t="s">
        <v>923</v>
      </c>
      <c r="E433" s="5">
        <v>42871.063877314817</v>
      </c>
      <c r="F433" s="5">
        <v>44278.790451388886</v>
      </c>
      <c r="G433" s="13">
        <f t="shared" si="36"/>
        <v>1407.7265740740695</v>
      </c>
      <c r="H433" s="6" t="b">
        <v>0</v>
      </c>
      <c r="I433" s="6" t="b">
        <v>0</v>
      </c>
      <c r="J433" s="8">
        <v>404</v>
      </c>
      <c r="K433" s="8">
        <v>22</v>
      </c>
      <c r="L433" s="8">
        <v>66</v>
      </c>
      <c r="M433" s="8">
        <v>0</v>
      </c>
      <c r="N433" s="8">
        <v>0</v>
      </c>
      <c r="O433" s="8">
        <v>3</v>
      </c>
      <c r="P433" s="8">
        <v>14</v>
      </c>
      <c r="Q433" s="8">
        <v>7</v>
      </c>
      <c r="R433" s="8">
        <v>31</v>
      </c>
      <c r="S433" s="8">
        <v>18</v>
      </c>
      <c r="T433" s="3" t="s">
        <v>69</v>
      </c>
      <c r="U433" s="10">
        <v>15038</v>
      </c>
      <c r="V433" s="32">
        <v>2</v>
      </c>
      <c r="W433" s="27">
        <v>1.3299640909695439E-4</v>
      </c>
      <c r="X433" s="34">
        <v>0</v>
      </c>
      <c r="Y433" s="27">
        <v>0</v>
      </c>
      <c r="Z433" s="27">
        <v>0</v>
      </c>
      <c r="AA433" s="35">
        <v>0</v>
      </c>
      <c r="AB433" s="27">
        <v>0</v>
      </c>
      <c r="AC433" s="27">
        <f t="shared" si="37"/>
        <v>0</v>
      </c>
      <c r="AD433" s="36">
        <v>2</v>
      </c>
      <c r="AE433" s="27">
        <v>1</v>
      </c>
      <c r="AF433" s="27">
        <f t="shared" si="38"/>
        <v>1.3299640909695439E-4</v>
      </c>
      <c r="AG433" s="37">
        <v>0</v>
      </c>
      <c r="AH433" s="27">
        <v>0</v>
      </c>
      <c r="AI433" s="27">
        <f t="shared" si="39"/>
        <v>0</v>
      </c>
      <c r="AJ433" s="38">
        <v>0</v>
      </c>
      <c r="AK433" s="27">
        <v>0</v>
      </c>
      <c r="AL433" s="27">
        <f t="shared" si="40"/>
        <v>0</v>
      </c>
      <c r="AM433" s="40">
        <v>0</v>
      </c>
      <c r="AN433" s="27">
        <v>0</v>
      </c>
      <c r="AO433" s="27">
        <f t="shared" si="41"/>
        <v>0</v>
      </c>
      <c r="AP433" s="7" t="b">
        <v>1</v>
      </c>
      <c r="AQ433" s="7" t="b">
        <v>1</v>
      </c>
      <c r="AR433" s="6" t="b">
        <v>0</v>
      </c>
      <c r="AS433" s="6" t="b">
        <v>0</v>
      </c>
      <c r="AT433" s="7" t="b">
        <v>1</v>
      </c>
      <c r="AU433" s="6" t="b">
        <v>0</v>
      </c>
      <c r="AV433" s="6" t="b">
        <v>0</v>
      </c>
      <c r="AW433" s="6" t="b">
        <v>0</v>
      </c>
      <c r="AX433" s="6" t="b">
        <v>0</v>
      </c>
      <c r="AY433" s="6" t="b">
        <v>0</v>
      </c>
      <c r="AZ433" s="6" t="b">
        <v>0</v>
      </c>
      <c r="BA433" s="6" t="b">
        <v>0</v>
      </c>
      <c r="BB433" s="6" t="b">
        <v>0</v>
      </c>
    </row>
    <row r="434" spans="1:54" ht="15" x14ac:dyDescent="0.25">
      <c r="A434" s="3" t="s">
        <v>924</v>
      </c>
      <c r="B434" s="3" t="str">
        <f ca="1">IFERROR(__xludf.DUMMYFUNCTION("SPLIT(A434,""/"")"),"hhyo")</f>
        <v>hhyo</v>
      </c>
      <c r="C434" s="3" t="str">
        <f ca="1">IFERROR(__xludf.DUMMYFUNCTION("""COMPUTED_VALUE"""),"Archery")</f>
        <v>Archery</v>
      </c>
      <c r="D434" s="4" t="s">
        <v>925</v>
      </c>
      <c r="E434" s="5">
        <v>43371.1246875</v>
      </c>
      <c r="F434" s="5">
        <v>44295.093032407407</v>
      </c>
      <c r="G434" s="13">
        <f t="shared" si="36"/>
        <v>923.9683449074073</v>
      </c>
      <c r="H434" s="6" t="b">
        <v>0</v>
      </c>
      <c r="I434" s="6" t="b">
        <v>0</v>
      </c>
      <c r="J434" s="8">
        <v>2470</v>
      </c>
      <c r="K434" s="8">
        <v>99</v>
      </c>
      <c r="L434" s="8">
        <v>897</v>
      </c>
      <c r="M434" s="8">
        <v>53</v>
      </c>
      <c r="N434" s="8">
        <v>26</v>
      </c>
      <c r="O434" s="8">
        <v>47</v>
      </c>
      <c r="P434" s="8">
        <v>221</v>
      </c>
      <c r="Q434" s="8">
        <v>3</v>
      </c>
      <c r="R434" s="8">
        <v>846</v>
      </c>
      <c r="S434" s="8">
        <v>67</v>
      </c>
      <c r="T434" s="3" t="s">
        <v>69</v>
      </c>
      <c r="U434" s="10">
        <v>13682</v>
      </c>
      <c r="V434" s="32">
        <v>96</v>
      </c>
      <c r="W434" s="27">
        <v>7.0165180529162402E-3</v>
      </c>
      <c r="X434" s="34">
        <v>22</v>
      </c>
      <c r="Y434" s="27">
        <v>0.22916666666666666</v>
      </c>
      <c r="Z434" s="27">
        <v>1.607952053793305E-3</v>
      </c>
      <c r="AA434" s="35">
        <v>4</v>
      </c>
      <c r="AB434" s="27">
        <v>4.1666666666666664E-2</v>
      </c>
      <c r="AC434" s="27">
        <f t="shared" si="37"/>
        <v>2.9235491887151001E-4</v>
      </c>
      <c r="AD434" s="36">
        <v>26</v>
      </c>
      <c r="AE434" s="27">
        <v>0.27083333333333331</v>
      </c>
      <c r="AF434" s="27">
        <f t="shared" si="38"/>
        <v>1.9003069726648151E-3</v>
      </c>
      <c r="AG434" s="37">
        <v>44</v>
      </c>
      <c r="AH434" s="27">
        <v>0.45833333333333331</v>
      </c>
      <c r="AI434" s="27">
        <f t="shared" si="39"/>
        <v>3.2159041075866101E-3</v>
      </c>
      <c r="AJ434" s="38">
        <v>0</v>
      </c>
      <c r="AK434" s="27">
        <v>0</v>
      </c>
      <c r="AL434" s="27">
        <f t="shared" si="40"/>
        <v>0</v>
      </c>
      <c r="AM434" s="40">
        <v>0</v>
      </c>
      <c r="AN434" s="27">
        <v>0</v>
      </c>
      <c r="AO434" s="27">
        <f t="shared" si="41"/>
        <v>0</v>
      </c>
      <c r="AP434" s="7" t="b">
        <v>1</v>
      </c>
      <c r="AQ434" s="7" t="b">
        <v>1</v>
      </c>
      <c r="AR434" s="6" t="b">
        <v>0</v>
      </c>
      <c r="AS434" s="6" t="b">
        <v>0</v>
      </c>
      <c r="AT434" s="7" t="b">
        <v>1</v>
      </c>
      <c r="AU434" s="6" t="b">
        <v>0</v>
      </c>
      <c r="AV434" s="6" t="b">
        <v>0</v>
      </c>
      <c r="AW434" s="6" t="b">
        <v>0</v>
      </c>
      <c r="AX434" s="6" t="b">
        <v>0</v>
      </c>
      <c r="AY434" s="6" t="b">
        <v>0</v>
      </c>
      <c r="AZ434" s="6" t="b">
        <v>0</v>
      </c>
      <c r="BA434" s="6" t="b">
        <v>0</v>
      </c>
      <c r="BB434" s="6" t="b">
        <v>0</v>
      </c>
    </row>
    <row r="435" spans="1:54" ht="15" x14ac:dyDescent="0.25">
      <c r="A435" s="3" t="s">
        <v>926</v>
      </c>
      <c r="B435" s="3" t="str">
        <f ca="1">IFERROR(__xludf.DUMMYFUNCTION("SPLIT(A435,""/"")"),"hjacobs")</f>
        <v>hjacobs</v>
      </c>
      <c r="C435" s="3" t="str">
        <f ca="1">IFERROR(__xludf.DUMMYFUNCTION("""COMPUTED_VALUE"""),"kube-downscaler")</f>
        <v>kube-downscaler</v>
      </c>
      <c r="D435" s="4" t="s">
        <v>927</v>
      </c>
      <c r="E435" s="5">
        <v>43065.010162037041</v>
      </c>
      <c r="F435" s="5">
        <v>44294.625173611108</v>
      </c>
      <c r="G435" s="13">
        <f t="shared" si="36"/>
        <v>1229.6150115740675</v>
      </c>
      <c r="H435" s="6" t="b">
        <v>0</v>
      </c>
      <c r="I435" s="6" t="b">
        <v>0</v>
      </c>
      <c r="J435" s="8">
        <v>484</v>
      </c>
      <c r="K435" s="8">
        <v>11</v>
      </c>
      <c r="L435" s="8">
        <v>83</v>
      </c>
      <c r="M435" s="8">
        <v>34</v>
      </c>
      <c r="N435" s="8">
        <v>0</v>
      </c>
      <c r="O435" s="8">
        <v>29</v>
      </c>
      <c r="P435" s="8">
        <v>68</v>
      </c>
      <c r="Q435" s="8">
        <v>0</v>
      </c>
      <c r="R435" s="8">
        <v>59</v>
      </c>
      <c r="S435" s="8">
        <v>15</v>
      </c>
      <c r="T435" s="3" t="s">
        <v>49</v>
      </c>
      <c r="U435" s="10">
        <v>1523</v>
      </c>
      <c r="V435" s="32">
        <v>26</v>
      </c>
      <c r="W435" s="27">
        <v>1.7071569271175313E-2</v>
      </c>
      <c r="X435" s="34">
        <v>9</v>
      </c>
      <c r="Y435" s="27">
        <v>0.34615384615384615</v>
      </c>
      <c r="Z435" s="27">
        <v>5.9093893630991464E-3</v>
      </c>
      <c r="AA435" s="35">
        <v>11</v>
      </c>
      <c r="AB435" s="27">
        <v>0.42307692307692307</v>
      </c>
      <c r="AC435" s="27">
        <f t="shared" si="37"/>
        <v>7.222586999343401E-3</v>
      </c>
      <c r="AD435" s="36">
        <v>2</v>
      </c>
      <c r="AE435" s="27">
        <v>7.6923076923076927E-2</v>
      </c>
      <c r="AF435" s="27">
        <f t="shared" si="38"/>
        <v>1.3131976362442547E-3</v>
      </c>
      <c r="AG435" s="37">
        <v>4</v>
      </c>
      <c r="AH435" s="27">
        <v>0.15384615384615385</v>
      </c>
      <c r="AI435" s="27">
        <f t="shared" si="39"/>
        <v>2.6263952724885093E-3</v>
      </c>
      <c r="AJ435" s="38">
        <v>0</v>
      </c>
      <c r="AK435" s="27">
        <v>0</v>
      </c>
      <c r="AL435" s="27">
        <f t="shared" si="40"/>
        <v>0</v>
      </c>
      <c r="AM435" s="40">
        <v>0</v>
      </c>
      <c r="AN435" s="27">
        <v>0</v>
      </c>
      <c r="AO435" s="27">
        <f t="shared" si="41"/>
        <v>0</v>
      </c>
      <c r="AP435" s="7" t="b">
        <v>1</v>
      </c>
      <c r="AQ435" s="6" t="b">
        <v>0</v>
      </c>
      <c r="AR435" s="6" t="b">
        <v>0</v>
      </c>
      <c r="AS435" s="6" t="b">
        <v>0</v>
      </c>
      <c r="AT435" s="7" t="b">
        <v>1</v>
      </c>
      <c r="AU435" s="6" t="b">
        <v>0</v>
      </c>
      <c r="AV435" s="6" t="b">
        <v>0</v>
      </c>
      <c r="AW435" s="6" t="b">
        <v>0</v>
      </c>
      <c r="AX435" s="6" t="b">
        <v>0</v>
      </c>
      <c r="AY435" s="6" t="b">
        <v>0</v>
      </c>
      <c r="AZ435" s="6" t="b">
        <v>0</v>
      </c>
      <c r="BA435" s="6" t="b">
        <v>0</v>
      </c>
      <c r="BB435" s="6" t="b">
        <v>0</v>
      </c>
    </row>
    <row r="436" spans="1:54" ht="15" x14ac:dyDescent="0.25">
      <c r="A436" s="3" t="s">
        <v>928</v>
      </c>
      <c r="B436" s="3" t="str">
        <f ca="1">IFERROR(__xludf.DUMMYFUNCTION("SPLIT(A436,""/"")"),"hjacobs")</f>
        <v>hjacobs</v>
      </c>
      <c r="C436" s="3" t="str">
        <f ca="1">IFERROR(__xludf.DUMMYFUNCTION("""COMPUTED_VALUE"""),"kube-janitor")</f>
        <v>kube-janitor</v>
      </c>
      <c r="D436" s="4" t="s">
        <v>929</v>
      </c>
      <c r="E436" s="5">
        <v>43513.57571759259</v>
      </c>
      <c r="F436" s="5">
        <v>44288.346562500003</v>
      </c>
      <c r="G436" s="13">
        <f t="shared" si="36"/>
        <v>774.77084490741254</v>
      </c>
      <c r="H436" s="6" t="b">
        <v>0</v>
      </c>
      <c r="I436" s="6" t="b">
        <v>0</v>
      </c>
      <c r="J436" s="8">
        <v>430</v>
      </c>
      <c r="K436" s="8">
        <v>4</v>
      </c>
      <c r="L436" s="8">
        <v>31</v>
      </c>
      <c r="M436" s="8">
        <v>19</v>
      </c>
      <c r="N436" s="8">
        <v>0</v>
      </c>
      <c r="O436" s="8">
        <v>13</v>
      </c>
      <c r="P436" s="8">
        <v>39</v>
      </c>
      <c r="Q436" s="8">
        <v>0</v>
      </c>
      <c r="R436" s="8">
        <v>42</v>
      </c>
      <c r="S436" s="8">
        <v>16</v>
      </c>
      <c r="T436" s="3" t="s">
        <v>49</v>
      </c>
      <c r="U436" s="10">
        <v>1296</v>
      </c>
      <c r="V436" s="32">
        <v>30</v>
      </c>
      <c r="W436" s="27">
        <v>2.3148148148148147E-2</v>
      </c>
      <c r="X436" s="34">
        <v>11</v>
      </c>
      <c r="Y436" s="27">
        <v>0.36666666666666664</v>
      </c>
      <c r="Z436" s="27">
        <v>8.4876543209876538E-3</v>
      </c>
      <c r="AA436" s="35">
        <v>12</v>
      </c>
      <c r="AB436" s="27">
        <v>0.4</v>
      </c>
      <c r="AC436" s="27">
        <f t="shared" si="37"/>
        <v>9.2592592592592587E-3</v>
      </c>
      <c r="AD436" s="36">
        <v>2</v>
      </c>
      <c r="AE436" s="27">
        <v>6.6666666666666666E-2</v>
      </c>
      <c r="AF436" s="27">
        <f t="shared" si="38"/>
        <v>1.5432098765432098E-3</v>
      </c>
      <c r="AG436" s="37">
        <v>5</v>
      </c>
      <c r="AH436" s="27">
        <v>0.16666666666666666</v>
      </c>
      <c r="AI436" s="27">
        <f t="shared" si="39"/>
        <v>3.8580246913580245E-3</v>
      </c>
      <c r="AJ436" s="38">
        <v>0</v>
      </c>
      <c r="AK436" s="27">
        <v>0</v>
      </c>
      <c r="AL436" s="27">
        <f t="shared" si="40"/>
        <v>0</v>
      </c>
      <c r="AM436" s="40">
        <v>0</v>
      </c>
      <c r="AN436" s="27">
        <v>0</v>
      </c>
      <c r="AO436" s="27">
        <f t="shared" si="41"/>
        <v>0</v>
      </c>
      <c r="AP436" s="7" t="b">
        <v>1</v>
      </c>
      <c r="AQ436" s="6" t="b">
        <v>0</v>
      </c>
      <c r="AR436" s="6" t="b">
        <v>0</v>
      </c>
      <c r="AS436" s="6" t="b">
        <v>0</v>
      </c>
      <c r="AT436" s="7" t="b">
        <v>1</v>
      </c>
      <c r="AU436" s="6" t="b">
        <v>0</v>
      </c>
      <c r="AV436" s="6" t="b">
        <v>0</v>
      </c>
      <c r="AW436" s="6" t="b">
        <v>0</v>
      </c>
      <c r="AX436" s="6" t="b">
        <v>0</v>
      </c>
      <c r="AY436" s="6" t="b">
        <v>0</v>
      </c>
      <c r="AZ436" s="6" t="b">
        <v>0</v>
      </c>
      <c r="BA436" s="6" t="b">
        <v>0</v>
      </c>
      <c r="BB436" s="6" t="b">
        <v>0</v>
      </c>
    </row>
    <row r="437" spans="1:54" ht="15" x14ac:dyDescent="0.25">
      <c r="A437" s="3" t="s">
        <v>930</v>
      </c>
      <c r="B437" s="3" t="str">
        <f ca="1">IFERROR(__xludf.DUMMYFUNCTION("SPLIT(A437,""/"")"),"home-assistant-libs")</f>
        <v>home-assistant-libs</v>
      </c>
      <c r="C437" s="3" t="str">
        <f ca="1">IFERROR(__xludf.DUMMYFUNCTION("""COMPUTED_VALUE"""),"pytradfri")</f>
        <v>pytradfri</v>
      </c>
      <c r="D437" s="4" t="s">
        <v>931</v>
      </c>
      <c r="E437" s="5">
        <v>42835.77103009259</v>
      </c>
      <c r="F437" s="5">
        <v>44293.184490740743</v>
      </c>
      <c r="G437" s="13">
        <f t="shared" si="36"/>
        <v>1457.413460648153</v>
      </c>
      <c r="H437" s="6" t="b">
        <v>0</v>
      </c>
      <c r="I437" s="7" t="b">
        <v>1</v>
      </c>
      <c r="J437" s="8">
        <v>783</v>
      </c>
      <c r="K437" s="8">
        <v>52</v>
      </c>
      <c r="L437" s="8">
        <v>122</v>
      </c>
      <c r="M437" s="8">
        <v>48</v>
      </c>
      <c r="N437" s="8">
        <v>2</v>
      </c>
      <c r="O437" s="8">
        <v>42</v>
      </c>
      <c r="P437" s="8">
        <v>178</v>
      </c>
      <c r="Q437" s="8">
        <v>2</v>
      </c>
      <c r="R437" s="8">
        <v>134</v>
      </c>
      <c r="S437" s="8">
        <v>4</v>
      </c>
      <c r="T437" s="3" t="s">
        <v>72</v>
      </c>
      <c r="U437" s="10">
        <v>2905</v>
      </c>
      <c r="V437" s="32">
        <v>15</v>
      </c>
      <c r="W437" s="27">
        <v>5.1635111876075735E-3</v>
      </c>
      <c r="X437" s="34">
        <v>10</v>
      </c>
      <c r="Y437" s="27">
        <v>0.66666666666666663</v>
      </c>
      <c r="Z437" s="27">
        <v>3.4423407917383822E-3</v>
      </c>
      <c r="AA437" s="35">
        <v>0</v>
      </c>
      <c r="AB437" s="27">
        <v>0</v>
      </c>
      <c r="AC437" s="27">
        <f t="shared" si="37"/>
        <v>0</v>
      </c>
      <c r="AD437" s="36">
        <v>1</v>
      </c>
      <c r="AE437" s="27">
        <v>6.6666666666666666E-2</v>
      </c>
      <c r="AF437" s="27">
        <f t="shared" si="38"/>
        <v>3.4423407917383823E-4</v>
      </c>
      <c r="AG437" s="37">
        <v>4</v>
      </c>
      <c r="AH437" s="27">
        <v>0.26666666666666666</v>
      </c>
      <c r="AI437" s="27">
        <f t="shared" si="39"/>
        <v>1.3769363166953529E-3</v>
      </c>
      <c r="AJ437" s="38">
        <v>0</v>
      </c>
      <c r="AK437" s="27">
        <v>0</v>
      </c>
      <c r="AL437" s="27">
        <f t="shared" si="40"/>
        <v>0</v>
      </c>
      <c r="AM437" s="40">
        <v>0</v>
      </c>
      <c r="AN437" s="27">
        <v>0</v>
      </c>
      <c r="AO437" s="27">
        <f t="shared" si="41"/>
        <v>0</v>
      </c>
      <c r="AP437" s="7" t="b">
        <v>1</v>
      </c>
      <c r="AQ437" s="6" t="b">
        <v>0</v>
      </c>
      <c r="AR437" s="6" t="b">
        <v>0</v>
      </c>
      <c r="AS437" s="6" t="b">
        <v>0</v>
      </c>
      <c r="AT437" s="7" t="b">
        <v>1</v>
      </c>
      <c r="AU437" s="6" t="b">
        <v>0</v>
      </c>
      <c r="AV437" s="6" t="b">
        <v>0</v>
      </c>
      <c r="AW437" s="6" t="b">
        <v>0</v>
      </c>
      <c r="AX437" s="6" t="b">
        <v>0</v>
      </c>
      <c r="AY437" s="6" t="b">
        <v>0</v>
      </c>
      <c r="AZ437" s="6" t="b">
        <v>0</v>
      </c>
      <c r="BA437" s="6" t="b">
        <v>0</v>
      </c>
      <c r="BB437" s="6" t="b">
        <v>0</v>
      </c>
    </row>
    <row r="438" spans="1:54" ht="15" x14ac:dyDescent="0.25">
      <c r="A438" s="3" t="s">
        <v>932</v>
      </c>
      <c r="B438" s="3" t="str">
        <f ca="1">IFERROR(__xludf.DUMMYFUNCTION("SPLIT(A438,""/"")"),"home-assistant")</f>
        <v>home-assistant</v>
      </c>
      <c r="C438" s="3" t="str">
        <f ca="1">IFERROR(__xludf.DUMMYFUNCTION("""COMPUTED_VALUE"""),"core")</f>
        <v>core</v>
      </c>
      <c r="D438" s="4" t="s">
        <v>933</v>
      </c>
      <c r="E438" s="5">
        <v>41534.312361111108</v>
      </c>
      <c r="F438" s="5">
        <v>44295.151979166665</v>
      </c>
      <c r="G438" s="13">
        <f t="shared" si="36"/>
        <v>2760.8396180555574</v>
      </c>
      <c r="H438" s="6" t="b">
        <v>0</v>
      </c>
      <c r="I438" s="7" t="b">
        <v>1</v>
      </c>
      <c r="J438" s="8">
        <v>41777</v>
      </c>
      <c r="K438" s="8">
        <v>1339</v>
      </c>
      <c r="L438" s="8">
        <v>13300</v>
      </c>
      <c r="M438" s="8">
        <v>738</v>
      </c>
      <c r="N438" s="8">
        <v>540</v>
      </c>
      <c r="O438" s="8">
        <v>2440</v>
      </c>
      <c r="P438" s="8">
        <v>28606</v>
      </c>
      <c r="Q438" s="8">
        <v>283</v>
      </c>
      <c r="R438" s="8">
        <v>20034</v>
      </c>
      <c r="S438" s="8">
        <v>1338</v>
      </c>
      <c r="T438" s="3" t="s">
        <v>69</v>
      </c>
      <c r="U438" s="10">
        <v>514390</v>
      </c>
      <c r="V438" s="32">
        <v>6536</v>
      </c>
      <c r="W438" s="27">
        <v>1.2706312331110636E-2</v>
      </c>
      <c r="X438" s="34">
        <v>2649</v>
      </c>
      <c r="Y438" s="27">
        <v>0.4052937576499388</v>
      </c>
      <c r="Z438" s="27">
        <v>5.1497890705495828E-3</v>
      </c>
      <c r="AA438" s="35">
        <v>563</v>
      </c>
      <c r="AB438" s="27">
        <v>8.6138310893512857E-2</v>
      </c>
      <c r="AC438" s="27">
        <f t="shared" si="37"/>
        <v>1.0945002818872839E-3</v>
      </c>
      <c r="AD438" s="36">
        <v>951</v>
      </c>
      <c r="AE438" s="27">
        <v>0.14550183598531211</v>
      </c>
      <c r="AF438" s="27">
        <f t="shared" si="38"/>
        <v>1.8487917727794086E-3</v>
      </c>
      <c r="AG438" s="37">
        <v>2362</v>
      </c>
      <c r="AH438" s="27">
        <v>0.36138310893512854</v>
      </c>
      <c r="AI438" s="27">
        <f t="shared" si="39"/>
        <v>4.5918466533175217E-3</v>
      </c>
      <c r="AJ438" s="38">
        <v>4</v>
      </c>
      <c r="AK438" s="27">
        <v>6.1199510403916763E-4</v>
      </c>
      <c r="AL438" s="27">
        <f t="shared" si="40"/>
        <v>7.7762009370322123E-6</v>
      </c>
      <c r="AM438" s="40">
        <v>9</v>
      </c>
      <c r="AN438" s="27">
        <v>1.3769889840881274E-3</v>
      </c>
      <c r="AO438" s="27">
        <f t="shared" si="41"/>
        <v>1.7496452108322479E-5</v>
      </c>
      <c r="AP438" s="7" t="b">
        <v>1</v>
      </c>
      <c r="AQ438" s="6" t="b">
        <v>0</v>
      </c>
      <c r="AR438" s="6" t="b">
        <v>0</v>
      </c>
      <c r="AS438" s="6" t="b">
        <v>0</v>
      </c>
      <c r="AT438" s="7" t="b">
        <v>1</v>
      </c>
      <c r="AU438" s="6" t="b">
        <v>0</v>
      </c>
      <c r="AV438" s="6" t="b">
        <v>0</v>
      </c>
      <c r="AW438" s="6" t="b">
        <v>0</v>
      </c>
      <c r="AX438" s="6" t="b">
        <v>0</v>
      </c>
      <c r="AY438" s="6" t="b">
        <v>0</v>
      </c>
      <c r="AZ438" s="6" t="b">
        <v>0</v>
      </c>
      <c r="BA438" s="6" t="b">
        <v>0</v>
      </c>
      <c r="BB438" s="6" t="b">
        <v>0</v>
      </c>
    </row>
    <row r="439" spans="1:54" ht="15" x14ac:dyDescent="0.25">
      <c r="A439" s="3" t="s">
        <v>934</v>
      </c>
      <c r="B439" s="3" t="str">
        <f ca="1">IFERROR(__xludf.DUMMYFUNCTION("SPLIT(A439,""/"")"),"home-assistant")</f>
        <v>home-assistant</v>
      </c>
      <c r="C439" s="3" t="str">
        <f ca="1">IFERROR(__xludf.DUMMYFUNCTION("""COMPUTED_VALUE"""),"supervisor")</f>
        <v>supervisor</v>
      </c>
      <c r="D439" s="4" t="s">
        <v>935</v>
      </c>
      <c r="E439" s="5">
        <v>42808.371006944442</v>
      </c>
      <c r="F439" s="5">
        <v>44293.518657407411</v>
      </c>
      <c r="G439" s="13">
        <f t="shared" si="36"/>
        <v>1485.1476504629682</v>
      </c>
      <c r="H439" s="6" t="b">
        <v>0</v>
      </c>
      <c r="I439" s="7" t="b">
        <v>1</v>
      </c>
      <c r="J439" s="8">
        <v>870</v>
      </c>
      <c r="K439" s="8">
        <v>63</v>
      </c>
      <c r="L439" s="8">
        <v>264</v>
      </c>
      <c r="M439" s="8">
        <v>298</v>
      </c>
      <c r="N439" s="8">
        <v>7</v>
      </c>
      <c r="O439" s="8">
        <v>53</v>
      </c>
      <c r="P439" s="8">
        <v>1731</v>
      </c>
      <c r="Q439" s="8">
        <v>3</v>
      </c>
      <c r="R439" s="8">
        <v>965</v>
      </c>
      <c r="S439" s="8">
        <v>26</v>
      </c>
      <c r="T439" s="3" t="s">
        <v>69</v>
      </c>
      <c r="U439" s="10">
        <v>19966</v>
      </c>
      <c r="V439" s="32">
        <v>713</v>
      </c>
      <c r="W439" s="27">
        <v>3.5710708203946707E-2</v>
      </c>
      <c r="X439" s="34">
        <v>66</v>
      </c>
      <c r="Y439" s="27">
        <v>9.2566619915848525E-2</v>
      </c>
      <c r="Z439" s="27">
        <v>3.3056195532405091E-3</v>
      </c>
      <c r="AA439" s="35">
        <v>252</v>
      </c>
      <c r="AB439" s="27">
        <v>0.35343618513323982</v>
      </c>
      <c r="AC439" s="27">
        <f t="shared" si="37"/>
        <v>1.2621456476009216E-2</v>
      </c>
      <c r="AD439" s="36">
        <v>176</v>
      </c>
      <c r="AE439" s="27">
        <v>0.24684431977559607</v>
      </c>
      <c r="AF439" s="27">
        <f t="shared" si="38"/>
        <v>8.814985475308023E-3</v>
      </c>
      <c r="AG439" s="37">
        <v>203</v>
      </c>
      <c r="AH439" s="27">
        <v>0.28471248246844322</v>
      </c>
      <c r="AI439" s="27">
        <f t="shared" si="39"/>
        <v>1.0167284383451868E-2</v>
      </c>
      <c r="AJ439" s="38">
        <v>18</v>
      </c>
      <c r="AK439" s="27">
        <v>2.5245441795231416E-2</v>
      </c>
      <c r="AL439" s="27">
        <f t="shared" si="40"/>
        <v>9.0153260542922967E-4</v>
      </c>
      <c r="AM439" s="40">
        <v>0</v>
      </c>
      <c r="AN439" s="27">
        <v>0</v>
      </c>
      <c r="AO439" s="27">
        <f t="shared" si="41"/>
        <v>0</v>
      </c>
      <c r="AP439" s="7" t="b">
        <v>1</v>
      </c>
      <c r="AQ439" s="6" t="b">
        <v>0</v>
      </c>
      <c r="AR439" s="6" t="b">
        <v>0</v>
      </c>
      <c r="AS439" s="6" t="b">
        <v>0</v>
      </c>
      <c r="AT439" s="7" t="b">
        <v>1</v>
      </c>
      <c r="AU439" s="6" t="b">
        <v>0</v>
      </c>
      <c r="AV439" s="6" t="b">
        <v>0</v>
      </c>
      <c r="AW439" s="6" t="b">
        <v>0</v>
      </c>
      <c r="AX439" s="6" t="b">
        <v>0</v>
      </c>
      <c r="AY439" s="6" t="b">
        <v>0</v>
      </c>
      <c r="AZ439" s="6" t="b">
        <v>0</v>
      </c>
      <c r="BA439" s="6" t="b">
        <v>0</v>
      </c>
      <c r="BB439" s="6" t="b">
        <v>0</v>
      </c>
    </row>
    <row r="440" spans="1:54" ht="15" x14ac:dyDescent="0.25">
      <c r="A440" s="3" t="s">
        <v>936</v>
      </c>
      <c r="B440" s="3" t="str">
        <f ca="1">IFERROR(__xludf.DUMMYFUNCTION("SPLIT(A440,""/"")"),"howie6879")</f>
        <v>howie6879</v>
      </c>
      <c r="C440" s="3" t="str">
        <f ca="1">IFERROR(__xludf.DUMMYFUNCTION("""COMPUTED_VALUE"""),"owllook")</f>
        <v>owllook</v>
      </c>
      <c r="D440" s="4" t="s">
        <v>937</v>
      </c>
      <c r="E440" s="5">
        <v>42784.127523148149</v>
      </c>
      <c r="F440" s="5">
        <v>44294.646874999999</v>
      </c>
      <c r="G440" s="13">
        <f t="shared" si="36"/>
        <v>1510.5193518518499</v>
      </c>
      <c r="H440" s="6" t="b">
        <v>0</v>
      </c>
      <c r="I440" s="6" t="b">
        <v>0</v>
      </c>
      <c r="J440" s="8">
        <v>2032</v>
      </c>
      <c r="K440" s="8">
        <v>99</v>
      </c>
      <c r="L440" s="8">
        <v>653</v>
      </c>
      <c r="M440" s="8">
        <v>0</v>
      </c>
      <c r="N440" s="8">
        <v>2</v>
      </c>
      <c r="O440" s="8">
        <v>9</v>
      </c>
      <c r="P440" s="8">
        <v>12</v>
      </c>
      <c r="Q440" s="8">
        <v>1</v>
      </c>
      <c r="R440" s="8">
        <v>83</v>
      </c>
      <c r="S440" s="8">
        <v>16</v>
      </c>
      <c r="T440" s="3" t="s">
        <v>69</v>
      </c>
      <c r="U440" s="10">
        <v>3132</v>
      </c>
      <c r="V440" s="32">
        <v>85</v>
      </c>
      <c r="W440" s="27">
        <v>2.7139208173690931E-2</v>
      </c>
      <c r="X440" s="34">
        <v>0</v>
      </c>
      <c r="Y440" s="27">
        <v>0</v>
      </c>
      <c r="Z440" s="27">
        <v>0</v>
      </c>
      <c r="AA440" s="35">
        <v>19</v>
      </c>
      <c r="AB440" s="27">
        <v>0.22352941176470589</v>
      </c>
      <c r="AC440" s="27">
        <f t="shared" si="37"/>
        <v>6.0664112388250317E-3</v>
      </c>
      <c r="AD440" s="36">
        <v>0</v>
      </c>
      <c r="AE440" s="27">
        <v>0</v>
      </c>
      <c r="AF440" s="27">
        <f t="shared" si="38"/>
        <v>0</v>
      </c>
      <c r="AG440" s="37">
        <v>3</v>
      </c>
      <c r="AH440" s="27">
        <v>3.5294117647058823E-2</v>
      </c>
      <c r="AI440" s="27">
        <f t="shared" si="39"/>
        <v>9.5785440613026815E-4</v>
      </c>
      <c r="AJ440" s="38">
        <v>0</v>
      </c>
      <c r="AK440" s="27">
        <v>0</v>
      </c>
      <c r="AL440" s="27">
        <f t="shared" si="40"/>
        <v>0</v>
      </c>
      <c r="AM440" s="40">
        <v>0</v>
      </c>
      <c r="AN440" s="27">
        <v>0</v>
      </c>
      <c r="AO440" s="27">
        <f t="shared" si="41"/>
        <v>0</v>
      </c>
      <c r="AP440" s="7" t="b">
        <v>1</v>
      </c>
      <c r="AQ440" s="7" t="b">
        <v>1</v>
      </c>
      <c r="AR440" s="6" t="b">
        <v>0</v>
      </c>
      <c r="AS440" s="6" t="b">
        <v>0</v>
      </c>
      <c r="AT440" s="7" t="b">
        <v>1</v>
      </c>
      <c r="AU440" s="6" t="b">
        <v>0</v>
      </c>
      <c r="AV440" s="6" t="b">
        <v>0</v>
      </c>
      <c r="AW440" s="6" t="b">
        <v>0</v>
      </c>
      <c r="AX440" s="6" t="b">
        <v>0</v>
      </c>
      <c r="AY440" s="6" t="b">
        <v>0</v>
      </c>
      <c r="AZ440" s="6" t="b">
        <v>0</v>
      </c>
      <c r="BA440" s="6" t="b">
        <v>0</v>
      </c>
      <c r="BB440" s="6" t="b">
        <v>0</v>
      </c>
    </row>
    <row r="441" spans="1:54" ht="15" x14ac:dyDescent="0.25">
      <c r="A441" s="3" t="s">
        <v>938</v>
      </c>
      <c r="B441" s="3" t="str">
        <f ca="1">IFERROR(__xludf.DUMMYFUNCTION("SPLIT(A441,""/"")"),"huashengdun")</f>
        <v>huashengdun</v>
      </c>
      <c r="C441" s="3" t="str">
        <f ca="1">IFERROR(__xludf.DUMMYFUNCTION("""COMPUTED_VALUE"""),"webssh")</f>
        <v>webssh</v>
      </c>
      <c r="D441" s="4" t="s">
        <v>939</v>
      </c>
      <c r="E441" s="5">
        <v>43047.6090625</v>
      </c>
      <c r="F441" s="5">
        <v>44294.413807870369</v>
      </c>
      <c r="G441" s="13">
        <f t="shared" si="36"/>
        <v>1246.8047453703693</v>
      </c>
      <c r="H441" s="6" t="b">
        <v>0</v>
      </c>
      <c r="I441" s="6" t="b">
        <v>0</v>
      </c>
      <c r="J441" s="8">
        <v>1917</v>
      </c>
      <c r="K441" s="8">
        <v>66</v>
      </c>
      <c r="L441" s="8">
        <v>519</v>
      </c>
      <c r="M441" s="8">
        <v>31</v>
      </c>
      <c r="N441" s="8">
        <v>1</v>
      </c>
      <c r="O441" s="8">
        <v>8</v>
      </c>
      <c r="P441" s="8">
        <v>22</v>
      </c>
      <c r="Q441" s="8">
        <v>5</v>
      </c>
      <c r="R441" s="8">
        <v>186</v>
      </c>
      <c r="S441" s="8">
        <v>33</v>
      </c>
      <c r="T441" s="3" t="s">
        <v>72</v>
      </c>
      <c r="U441" s="10">
        <v>2230</v>
      </c>
      <c r="V441" s="32">
        <v>37</v>
      </c>
      <c r="W441" s="27">
        <v>1.6591928251121078E-2</v>
      </c>
      <c r="X441" s="34">
        <v>15</v>
      </c>
      <c r="Y441" s="27">
        <v>0.40540540540540543</v>
      </c>
      <c r="Z441" s="27">
        <v>6.7264573991031393E-3</v>
      </c>
      <c r="AA441" s="35">
        <v>14</v>
      </c>
      <c r="AB441" s="27">
        <v>0.3783783783783784</v>
      </c>
      <c r="AC441" s="27">
        <f t="shared" si="37"/>
        <v>6.2780269058295961E-3</v>
      </c>
      <c r="AD441" s="36">
        <v>4</v>
      </c>
      <c r="AE441" s="27">
        <v>0.10810810810810811</v>
      </c>
      <c r="AF441" s="27">
        <f t="shared" si="38"/>
        <v>1.7937219730941704E-3</v>
      </c>
      <c r="AG441" s="37">
        <v>2</v>
      </c>
      <c r="AH441" s="27">
        <v>5.4054054054054057E-2</v>
      </c>
      <c r="AI441" s="27">
        <f t="shared" si="39"/>
        <v>8.9686098654708521E-4</v>
      </c>
      <c r="AJ441" s="38">
        <v>0</v>
      </c>
      <c r="AK441" s="27">
        <v>0</v>
      </c>
      <c r="AL441" s="27">
        <f t="shared" si="40"/>
        <v>0</v>
      </c>
      <c r="AM441" s="40">
        <v>0</v>
      </c>
      <c r="AN441" s="27">
        <v>0</v>
      </c>
      <c r="AO441" s="27">
        <f t="shared" si="41"/>
        <v>0</v>
      </c>
      <c r="AP441" s="7" t="b">
        <v>1</v>
      </c>
      <c r="AQ441" s="7" t="b">
        <v>1</v>
      </c>
      <c r="AR441" s="6" t="b">
        <v>0</v>
      </c>
      <c r="AS441" s="6" t="b">
        <v>0</v>
      </c>
      <c r="AT441" s="7" t="b">
        <v>1</v>
      </c>
      <c r="AU441" s="6" t="b">
        <v>0</v>
      </c>
      <c r="AV441" s="6" t="b">
        <v>0</v>
      </c>
      <c r="AW441" s="6" t="b">
        <v>0</v>
      </c>
      <c r="AX441" s="6" t="b">
        <v>0</v>
      </c>
      <c r="AY441" s="6" t="b">
        <v>0</v>
      </c>
      <c r="AZ441" s="6" t="b">
        <v>0</v>
      </c>
      <c r="BA441" s="6" t="b">
        <v>0</v>
      </c>
      <c r="BB441" s="6" t="b">
        <v>0</v>
      </c>
    </row>
    <row r="442" spans="1:54" ht="15" x14ac:dyDescent="0.25">
      <c r="A442" s="3" t="s">
        <v>940</v>
      </c>
      <c r="B442" s="3" t="str">
        <f ca="1">IFERROR(__xludf.DUMMYFUNCTION("SPLIT(A442,""/"")"),"huawei-noah")</f>
        <v>huawei-noah</v>
      </c>
      <c r="C442" s="3" t="str">
        <f ca="1">IFERROR(__xludf.DUMMYFUNCTION("""COMPUTED_VALUE"""),"Pretrained-Language-Model")</f>
        <v>Pretrained-Language-Model</v>
      </c>
      <c r="D442" s="4" t="s">
        <v>941</v>
      </c>
      <c r="E442" s="5">
        <v>43801.601435185185</v>
      </c>
      <c r="F442" s="5">
        <v>44295.141597222224</v>
      </c>
      <c r="G442" s="13">
        <f t="shared" si="36"/>
        <v>493.54016203703941</v>
      </c>
      <c r="H442" s="6" t="b">
        <v>0</v>
      </c>
      <c r="I442" s="7" t="b">
        <v>1</v>
      </c>
      <c r="J442" s="8">
        <v>1629</v>
      </c>
      <c r="K442" s="8">
        <v>45</v>
      </c>
      <c r="L442" s="8">
        <v>316</v>
      </c>
      <c r="M442" s="8">
        <v>0</v>
      </c>
      <c r="N442" s="8">
        <v>0</v>
      </c>
      <c r="O442" s="9">
        <v>0</v>
      </c>
      <c r="P442" s="8">
        <v>2</v>
      </c>
      <c r="Q442" s="8">
        <v>2</v>
      </c>
      <c r="R442" s="8">
        <v>109</v>
      </c>
      <c r="S442" s="8">
        <v>28</v>
      </c>
      <c r="T442" s="11" t="s">
        <v>52</v>
      </c>
      <c r="U442" s="10">
        <v>18203</v>
      </c>
      <c r="V442" s="32">
        <v>416</v>
      </c>
      <c r="W442" s="27">
        <v>2.2853375817172995E-2</v>
      </c>
      <c r="X442" s="34">
        <v>0</v>
      </c>
      <c r="Y442" s="27">
        <v>0</v>
      </c>
      <c r="Z442" s="27">
        <v>0</v>
      </c>
      <c r="AA442" s="35">
        <v>381</v>
      </c>
      <c r="AB442" s="27">
        <v>0.91586538461538458</v>
      </c>
      <c r="AC442" s="27">
        <f t="shared" si="37"/>
        <v>2.0930615832555073E-2</v>
      </c>
      <c r="AD442" s="36">
        <v>21</v>
      </c>
      <c r="AE442" s="27">
        <v>5.0480769230769232E-2</v>
      </c>
      <c r="AF442" s="27">
        <f t="shared" si="38"/>
        <v>1.1536559907707521E-3</v>
      </c>
      <c r="AG442" s="37">
        <v>14</v>
      </c>
      <c r="AH442" s="27">
        <v>3.3653846153846152E-2</v>
      </c>
      <c r="AI442" s="27">
        <f t="shared" si="39"/>
        <v>7.6910399384716801E-4</v>
      </c>
      <c r="AJ442" s="38">
        <v>0</v>
      </c>
      <c r="AK442" s="27">
        <v>0</v>
      </c>
      <c r="AL442" s="27">
        <f t="shared" si="40"/>
        <v>0</v>
      </c>
      <c r="AM442" s="40">
        <v>0</v>
      </c>
      <c r="AN442" s="27">
        <v>0</v>
      </c>
      <c r="AO442" s="27">
        <f t="shared" si="41"/>
        <v>0</v>
      </c>
      <c r="AP442" s="7" t="b">
        <v>1</v>
      </c>
      <c r="AQ442" s="6" t="b">
        <v>0</v>
      </c>
      <c r="AR442" s="6" t="b">
        <v>0</v>
      </c>
      <c r="AS442" s="6" t="b">
        <v>0</v>
      </c>
      <c r="AT442" s="7" t="b">
        <v>1</v>
      </c>
      <c r="AU442" s="6" t="b">
        <v>0</v>
      </c>
      <c r="AV442" s="6" t="b">
        <v>0</v>
      </c>
      <c r="AW442" s="6" t="b">
        <v>0</v>
      </c>
      <c r="AX442" s="6" t="b">
        <v>0</v>
      </c>
      <c r="AY442" s="6" t="b">
        <v>0</v>
      </c>
      <c r="AZ442" s="6" t="b">
        <v>0</v>
      </c>
      <c r="BA442" s="6" t="b">
        <v>0</v>
      </c>
      <c r="BB442" s="6" t="b">
        <v>0</v>
      </c>
    </row>
    <row r="443" spans="1:54" ht="15" x14ac:dyDescent="0.25">
      <c r="A443" s="3" t="s">
        <v>942</v>
      </c>
      <c r="B443" s="3" t="str">
        <f ca="1">IFERROR(__xludf.DUMMYFUNCTION("SPLIT(A443,""/"")"),"hugapi")</f>
        <v>hugapi</v>
      </c>
      <c r="C443" s="3" t="str">
        <f ca="1">IFERROR(__xludf.DUMMYFUNCTION("""COMPUTED_VALUE"""),"hug")</f>
        <v>hug</v>
      </c>
      <c r="D443" s="4" t="s">
        <v>943</v>
      </c>
      <c r="E443" s="5">
        <v>42202.148495370369</v>
      </c>
      <c r="F443" s="5">
        <v>44294.081435185188</v>
      </c>
      <c r="G443" s="13">
        <f t="shared" si="36"/>
        <v>2091.9329398148184</v>
      </c>
      <c r="H443" s="6" t="b">
        <v>0</v>
      </c>
      <c r="I443" s="7" t="b">
        <v>1</v>
      </c>
      <c r="J443" s="8">
        <v>6482</v>
      </c>
      <c r="K443" s="8">
        <v>176</v>
      </c>
      <c r="L443" s="8">
        <v>365</v>
      </c>
      <c r="M443" s="8">
        <v>13</v>
      </c>
      <c r="N443" s="8">
        <v>17</v>
      </c>
      <c r="O443" s="8">
        <v>104</v>
      </c>
      <c r="P443" s="8">
        <v>439</v>
      </c>
      <c r="Q443" s="8">
        <v>8</v>
      </c>
      <c r="R443" s="8">
        <v>444</v>
      </c>
      <c r="S443" s="8">
        <v>147</v>
      </c>
      <c r="T443" s="3" t="s">
        <v>72</v>
      </c>
      <c r="U443" s="10">
        <v>8658</v>
      </c>
      <c r="V443" s="32">
        <v>3</v>
      </c>
      <c r="W443" s="27">
        <v>3.465003465003465E-4</v>
      </c>
      <c r="X443" s="34">
        <v>0</v>
      </c>
      <c r="Y443" s="27">
        <v>0</v>
      </c>
      <c r="Z443" s="27">
        <v>0</v>
      </c>
      <c r="AA443" s="35">
        <v>2</v>
      </c>
      <c r="AB443" s="27">
        <v>0.66666666666666663</v>
      </c>
      <c r="AC443" s="27">
        <f t="shared" si="37"/>
        <v>2.3100023100023099E-4</v>
      </c>
      <c r="AD443" s="36">
        <v>1</v>
      </c>
      <c r="AE443" s="27">
        <v>0.33333333333333331</v>
      </c>
      <c r="AF443" s="27">
        <f t="shared" si="38"/>
        <v>1.155001155001155E-4</v>
      </c>
      <c r="AG443" s="37">
        <v>0</v>
      </c>
      <c r="AH443" s="27">
        <v>0</v>
      </c>
      <c r="AI443" s="27">
        <f t="shared" si="39"/>
        <v>0</v>
      </c>
      <c r="AJ443" s="38">
        <v>0</v>
      </c>
      <c r="AK443" s="27">
        <v>0</v>
      </c>
      <c r="AL443" s="27">
        <f t="shared" si="40"/>
        <v>0</v>
      </c>
      <c r="AM443" s="40">
        <v>0</v>
      </c>
      <c r="AN443" s="27">
        <v>0</v>
      </c>
      <c r="AO443" s="27">
        <f t="shared" si="41"/>
        <v>0</v>
      </c>
      <c r="AP443" s="7" t="b">
        <v>1</v>
      </c>
      <c r="AQ443" s="7" t="b">
        <v>1</v>
      </c>
      <c r="AR443" s="6" t="b">
        <v>0</v>
      </c>
      <c r="AS443" s="6" t="b">
        <v>0</v>
      </c>
      <c r="AT443" s="7" t="b">
        <v>1</v>
      </c>
      <c r="AU443" s="6" t="b">
        <v>0</v>
      </c>
      <c r="AV443" s="6" t="b">
        <v>0</v>
      </c>
      <c r="AW443" s="6" t="b">
        <v>0</v>
      </c>
      <c r="AX443" s="6" t="b">
        <v>0</v>
      </c>
      <c r="AY443" s="6" t="b">
        <v>0</v>
      </c>
      <c r="AZ443" s="6" t="b">
        <v>0</v>
      </c>
      <c r="BA443" s="6" t="b">
        <v>0</v>
      </c>
      <c r="BB443" s="6" t="b">
        <v>0</v>
      </c>
    </row>
    <row r="444" spans="1:54" ht="15" x14ac:dyDescent="0.25">
      <c r="A444" s="3" t="s">
        <v>944</v>
      </c>
      <c r="B444" s="3" t="str">
        <f ca="1">IFERROR(__xludf.DUMMYFUNCTION("SPLIT(A444,""/"")"),"huggingface")</f>
        <v>huggingface</v>
      </c>
      <c r="C444" s="3" t="str">
        <f ca="1">IFERROR(__xludf.DUMMYFUNCTION("""COMPUTED_VALUE"""),"transfer-learning-conv-ai")</f>
        <v>transfer-learning-conv-ai</v>
      </c>
      <c r="D444" s="4" t="s">
        <v>945</v>
      </c>
      <c r="E444" s="5">
        <v>43592.535509259258</v>
      </c>
      <c r="F444" s="5">
        <v>44295.042141203703</v>
      </c>
      <c r="G444" s="13">
        <f t="shared" si="36"/>
        <v>702.50663194444496</v>
      </c>
      <c r="H444" s="6" t="b">
        <v>0</v>
      </c>
      <c r="I444" s="7" t="b">
        <v>1</v>
      </c>
      <c r="J444" s="8">
        <v>1234</v>
      </c>
      <c r="K444" s="8">
        <v>47</v>
      </c>
      <c r="L444" s="8">
        <v>308</v>
      </c>
      <c r="M444" s="8">
        <v>0</v>
      </c>
      <c r="N444" s="8">
        <v>4</v>
      </c>
      <c r="O444" s="8">
        <v>13</v>
      </c>
      <c r="P444" s="8">
        <v>18</v>
      </c>
      <c r="Q444" s="8">
        <v>4</v>
      </c>
      <c r="R444" s="8">
        <v>87</v>
      </c>
      <c r="S444" s="8">
        <v>45</v>
      </c>
      <c r="T444" s="3" t="s">
        <v>72</v>
      </c>
      <c r="U444" s="10">
        <v>602</v>
      </c>
      <c r="V444" s="32">
        <v>21</v>
      </c>
      <c r="W444" s="27">
        <v>3.4883720930232558E-2</v>
      </c>
      <c r="X444" s="34">
        <v>0</v>
      </c>
      <c r="Y444" s="27">
        <v>0</v>
      </c>
      <c r="Z444" s="27">
        <v>0</v>
      </c>
      <c r="AA444" s="35">
        <v>19</v>
      </c>
      <c r="AB444" s="27">
        <v>0.90476190476190477</v>
      </c>
      <c r="AC444" s="27">
        <f t="shared" si="37"/>
        <v>3.1561461794019932E-2</v>
      </c>
      <c r="AD444" s="36">
        <v>2</v>
      </c>
      <c r="AE444" s="27">
        <v>9.5238095238095233E-2</v>
      </c>
      <c r="AF444" s="27">
        <f t="shared" si="38"/>
        <v>3.3222591362126247E-3</v>
      </c>
      <c r="AG444" s="37">
        <v>0</v>
      </c>
      <c r="AH444" s="27">
        <v>0</v>
      </c>
      <c r="AI444" s="27">
        <f t="shared" si="39"/>
        <v>0</v>
      </c>
      <c r="AJ444" s="38">
        <v>0</v>
      </c>
      <c r="AK444" s="27">
        <v>0</v>
      </c>
      <c r="AL444" s="27">
        <f t="shared" si="40"/>
        <v>0</v>
      </c>
      <c r="AM444" s="40">
        <v>0</v>
      </c>
      <c r="AN444" s="27">
        <v>0</v>
      </c>
      <c r="AO444" s="27">
        <f t="shared" si="41"/>
        <v>0</v>
      </c>
      <c r="AP444" s="7" t="b">
        <v>1</v>
      </c>
      <c r="AQ444" s="6" t="b">
        <v>0</v>
      </c>
      <c r="AR444" s="6" t="b">
        <v>0</v>
      </c>
      <c r="AS444" s="6" t="b">
        <v>0</v>
      </c>
      <c r="AT444" s="7" t="b">
        <v>1</v>
      </c>
      <c r="AU444" s="6" t="b">
        <v>0</v>
      </c>
      <c r="AV444" s="6" t="b">
        <v>0</v>
      </c>
      <c r="AW444" s="6" t="b">
        <v>0</v>
      </c>
      <c r="AX444" s="6" t="b">
        <v>0</v>
      </c>
      <c r="AY444" s="6" t="b">
        <v>0</v>
      </c>
      <c r="AZ444" s="6" t="b">
        <v>0</v>
      </c>
      <c r="BA444" s="6" t="b">
        <v>0</v>
      </c>
      <c r="BB444" s="6" t="b">
        <v>0</v>
      </c>
    </row>
    <row r="445" spans="1:54" ht="15" x14ac:dyDescent="0.25">
      <c r="A445" s="3" t="s">
        <v>946</v>
      </c>
      <c r="B445" s="3" t="str">
        <f ca="1">IFERROR(__xludf.DUMMYFUNCTION("SPLIT(A445,""/"")"),"huggingface")</f>
        <v>huggingface</v>
      </c>
      <c r="C445" s="3" t="str">
        <f ca="1">IFERROR(__xludf.DUMMYFUNCTION("""COMPUTED_VALUE"""),"transformers")</f>
        <v>transformers</v>
      </c>
      <c r="D445" s="4" t="s">
        <v>947</v>
      </c>
      <c r="E445" s="5">
        <v>43402.580555555556</v>
      </c>
      <c r="F445" s="5">
        <v>44295.146087962959</v>
      </c>
      <c r="G445" s="13">
        <f t="shared" si="36"/>
        <v>892.56553240740323</v>
      </c>
      <c r="H445" s="6" t="b">
        <v>0</v>
      </c>
      <c r="I445" s="7" t="b">
        <v>1</v>
      </c>
      <c r="J445" s="8">
        <v>43587</v>
      </c>
      <c r="K445" s="8">
        <v>724</v>
      </c>
      <c r="L445" s="8">
        <v>10081</v>
      </c>
      <c r="M445" s="8">
        <v>55</v>
      </c>
      <c r="N445" s="8">
        <v>239</v>
      </c>
      <c r="O445" s="8">
        <v>800</v>
      </c>
      <c r="P445" s="8">
        <v>4703</v>
      </c>
      <c r="Q445" s="8">
        <v>106</v>
      </c>
      <c r="R445" s="8">
        <v>6426</v>
      </c>
      <c r="S445" s="8">
        <v>578</v>
      </c>
      <c r="T445" s="3" t="s">
        <v>69</v>
      </c>
      <c r="U445" s="10">
        <v>140175</v>
      </c>
      <c r="V445" s="32">
        <v>1381</v>
      </c>
      <c r="W445" s="27">
        <v>9.8519707508471551E-3</v>
      </c>
      <c r="X445" s="34">
        <v>13</v>
      </c>
      <c r="Y445" s="27">
        <v>9.4134685010861703E-3</v>
      </c>
      <c r="Z445" s="27">
        <v>9.2741216336721959E-5</v>
      </c>
      <c r="AA445" s="35">
        <v>933</v>
      </c>
      <c r="AB445" s="27">
        <v>0.67559739319333811</v>
      </c>
      <c r="AC445" s="27">
        <f t="shared" si="37"/>
        <v>6.6559657570893528E-3</v>
      </c>
      <c r="AD445" s="36">
        <v>320</v>
      </c>
      <c r="AE445" s="27">
        <v>0.23171614771904417</v>
      </c>
      <c r="AF445" s="27">
        <f t="shared" si="38"/>
        <v>2.2828607098270021E-3</v>
      </c>
      <c r="AG445" s="37">
        <v>99</v>
      </c>
      <c r="AH445" s="27">
        <v>7.1687183200579291E-2</v>
      </c>
      <c r="AI445" s="27">
        <f t="shared" si="39"/>
        <v>7.0626003210272868E-4</v>
      </c>
      <c r="AJ445" s="38">
        <v>1</v>
      </c>
      <c r="AK445" s="27">
        <v>7.2411296162201298E-4</v>
      </c>
      <c r="AL445" s="27">
        <f t="shared" si="40"/>
        <v>7.1339397182093813E-6</v>
      </c>
      <c r="AM445" s="40">
        <v>14</v>
      </c>
      <c r="AN445" s="27">
        <v>1.0137581462708182E-2</v>
      </c>
      <c r="AO445" s="27">
        <f t="shared" si="41"/>
        <v>9.9875156054931335E-5</v>
      </c>
      <c r="AP445" s="7" t="b">
        <v>1</v>
      </c>
      <c r="AQ445" s="6" t="b">
        <v>0</v>
      </c>
      <c r="AR445" s="6" t="b">
        <v>0</v>
      </c>
      <c r="AS445" s="6" t="b">
        <v>0</v>
      </c>
      <c r="AT445" s="7" t="b">
        <v>1</v>
      </c>
      <c r="AU445" s="6" t="b">
        <v>0</v>
      </c>
      <c r="AV445" s="6" t="b">
        <v>0</v>
      </c>
      <c r="AW445" s="6" t="b">
        <v>0</v>
      </c>
      <c r="AX445" s="6" t="b">
        <v>0</v>
      </c>
      <c r="AY445" s="6" t="b">
        <v>0</v>
      </c>
      <c r="AZ445" s="6" t="b">
        <v>0</v>
      </c>
      <c r="BA445" s="6" t="b">
        <v>0</v>
      </c>
      <c r="BB445" s="6" t="b">
        <v>0</v>
      </c>
    </row>
    <row r="446" spans="1:54" ht="15" x14ac:dyDescent="0.25">
      <c r="A446" s="3" t="s">
        <v>948</v>
      </c>
      <c r="B446" s="3" t="str">
        <f ca="1">IFERROR(__xludf.DUMMYFUNCTION("SPLIT(A446,""/"")"),"hukkelas")</f>
        <v>hukkelas</v>
      </c>
      <c r="C446" s="3" t="str">
        <f ca="1">IFERROR(__xludf.DUMMYFUNCTION("""COMPUTED_VALUE"""),"DeepPrivacy")</f>
        <v>DeepPrivacy</v>
      </c>
      <c r="D446" s="4" t="s">
        <v>949</v>
      </c>
      <c r="E446" s="5">
        <v>43711.630868055552</v>
      </c>
      <c r="F446" s="5">
        <v>44290.613298611112</v>
      </c>
      <c r="G446" s="13">
        <f t="shared" si="36"/>
        <v>578.9824305555594</v>
      </c>
      <c r="H446" s="6" t="b">
        <v>0</v>
      </c>
      <c r="I446" s="6" t="b">
        <v>0</v>
      </c>
      <c r="J446" s="8">
        <v>989</v>
      </c>
      <c r="K446" s="8">
        <v>29</v>
      </c>
      <c r="L446" s="8">
        <v>155</v>
      </c>
      <c r="M446" s="8">
        <v>0</v>
      </c>
      <c r="N446" s="8">
        <v>0</v>
      </c>
      <c r="O446" s="8">
        <v>6</v>
      </c>
      <c r="P446" s="8">
        <v>8</v>
      </c>
      <c r="Q446" s="8">
        <v>0</v>
      </c>
      <c r="R446" s="8">
        <v>32</v>
      </c>
      <c r="S446" s="8">
        <v>2</v>
      </c>
      <c r="T446" s="3" t="s">
        <v>72</v>
      </c>
      <c r="U446" s="10">
        <v>5089</v>
      </c>
      <c r="V446" s="32">
        <v>23</v>
      </c>
      <c r="W446" s="27">
        <v>4.5195519748477105E-3</v>
      </c>
      <c r="X446" s="34">
        <v>1</v>
      </c>
      <c r="Y446" s="27">
        <v>4.3478260869565216E-2</v>
      </c>
      <c r="Z446" s="27">
        <v>1.9650225977598743E-4</v>
      </c>
      <c r="AA446" s="35">
        <v>17</v>
      </c>
      <c r="AB446" s="27">
        <v>0.73913043478260865</v>
      </c>
      <c r="AC446" s="27">
        <f t="shared" si="37"/>
        <v>3.340538416191786E-3</v>
      </c>
      <c r="AD446" s="36">
        <v>4</v>
      </c>
      <c r="AE446" s="27">
        <v>0.17391304347826086</v>
      </c>
      <c r="AF446" s="27">
        <f t="shared" si="38"/>
        <v>7.8600903910394974E-4</v>
      </c>
      <c r="AG446" s="37">
        <v>0</v>
      </c>
      <c r="AH446" s="27">
        <v>0</v>
      </c>
      <c r="AI446" s="27">
        <f t="shared" si="39"/>
        <v>0</v>
      </c>
      <c r="AJ446" s="38">
        <v>0</v>
      </c>
      <c r="AK446" s="27">
        <v>0</v>
      </c>
      <c r="AL446" s="27">
        <f t="shared" si="40"/>
        <v>0</v>
      </c>
      <c r="AM446" s="40">
        <v>1</v>
      </c>
      <c r="AN446" s="27">
        <v>4.3478260869565216E-2</v>
      </c>
      <c r="AO446" s="27">
        <f t="shared" si="41"/>
        <v>1.9650225977598743E-4</v>
      </c>
      <c r="AP446" s="7" t="b">
        <v>1</v>
      </c>
      <c r="AQ446" s="6" t="b">
        <v>0</v>
      </c>
      <c r="AR446" s="6" t="b">
        <v>0</v>
      </c>
      <c r="AS446" s="6" t="b">
        <v>0</v>
      </c>
      <c r="AT446" s="7" t="b">
        <v>1</v>
      </c>
      <c r="AU446" s="6" t="b">
        <v>0</v>
      </c>
      <c r="AV446" s="6" t="b">
        <v>0</v>
      </c>
      <c r="AW446" s="6" t="b">
        <v>0</v>
      </c>
      <c r="AX446" s="6" t="b">
        <v>0</v>
      </c>
      <c r="AY446" s="6" t="b">
        <v>0</v>
      </c>
      <c r="AZ446" s="6" t="b">
        <v>0</v>
      </c>
      <c r="BA446" s="6" t="b">
        <v>0</v>
      </c>
      <c r="BB446" s="6" t="b">
        <v>0</v>
      </c>
    </row>
    <row r="447" spans="1:54" ht="15" x14ac:dyDescent="0.25">
      <c r="A447" s="3" t="s">
        <v>950</v>
      </c>
      <c r="B447" s="3" t="str">
        <f ca="1">IFERROR(__xludf.DUMMYFUNCTION("SPLIT(A447,""/"")"),"huseinzol05")</f>
        <v>huseinzol05</v>
      </c>
      <c r="C447" s="3" t="str">
        <f ca="1">IFERROR(__xludf.DUMMYFUNCTION("""COMPUTED_VALUE"""),"Gather-Deployment")</f>
        <v>Gather-Deployment</v>
      </c>
      <c r="D447" s="4" t="s">
        <v>951</v>
      </c>
      <c r="E447" s="5">
        <v>43396.513749999998</v>
      </c>
      <c r="F447" s="5">
        <v>44293.408877314818</v>
      </c>
      <c r="G447" s="13">
        <f t="shared" si="36"/>
        <v>896.89512731481955</v>
      </c>
      <c r="H447" s="6" t="b">
        <v>0</v>
      </c>
      <c r="I447" s="6" t="b">
        <v>0</v>
      </c>
      <c r="J447" s="8">
        <v>332</v>
      </c>
      <c r="K447" s="8">
        <v>28</v>
      </c>
      <c r="L447" s="8">
        <v>91</v>
      </c>
      <c r="M447" s="8">
        <v>0</v>
      </c>
      <c r="N447" s="8">
        <v>0</v>
      </c>
      <c r="O447" s="9">
        <v>0</v>
      </c>
      <c r="P447" s="8">
        <v>0</v>
      </c>
      <c r="Q447" s="8">
        <v>0</v>
      </c>
      <c r="R447" s="8">
        <v>4</v>
      </c>
      <c r="S447" s="8">
        <v>0</v>
      </c>
      <c r="T447" s="3" t="s">
        <v>72</v>
      </c>
      <c r="U447" s="10">
        <v>14310</v>
      </c>
      <c r="V447" s="32">
        <v>13</v>
      </c>
      <c r="W447" s="27">
        <v>9.0845562543675747E-4</v>
      </c>
      <c r="X447" s="34">
        <v>0</v>
      </c>
      <c r="Y447" s="27">
        <v>0</v>
      </c>
      <c r="Z447" s="27">
        <v>0</v>
      </c>
      <c r="AA447" s="35">
        <v>10</v>
      </c>
      <c r="AB447" s="27">
        <v>0.76923076923076927</v>
      </c>
      <c r="AC447" s="27">
        <f t="shared" si="37"/>
        <v>6.9881201956673651E-4</v>
      </c>
      <c r="AD447" s="36">
        <v>0</v>
      </c>
      <c r="AE447" s="27">
        <v>0</v>
      </c>
      <c r="AF447" s="27">
        <f t="shared" si="38"/>
        <v>0</v>
      </c>
      <c r="AG447" s="37">
        <v>3</v>
      </c>
      <c r="AH447" s="27">
        <v>0.23076923076923078</v>
      </c>
      <c r="AI447" s="27">
        <f t="shared" si="39"/>
        <v>2.0964360587002095E-4</v>
      </c>
      <c r="AJ447" s="38">
        <v>0</v>
      </c>
      <c r="AK447" s="27">
        <v>0</v>
      </c>
      <c r="AL447" s="27">
        <f t="shared" si="40"/>
        <v>0</v>
      </c>
      <c r="AM447" s="40">
        <v>0</v>
      </c>
      <c r="AN447" s="27">
        <v>0</v>
      </c>
      <c r="AO447" s="27">
        <f t="shared" si="41"/>
        <v>0</v>
      </c>
      <c r="AP447" s="7" t="b">
        <v>1</v>
      </c>
      <c r="AQ447" s="7" t="b">
        <v>1</v>
      </c>
      <c r="AR447" s="6" t="b">
        <v>0</v>
      </c>
      <c r="AS447" s="6" t="b">
        <v>0</v>
      </c>
      <c r="AT447" s="7" t="b">
        <v>1</v>
      </c>
      <c r="AU447" s="6" t="b">
        <v>0</v>
      </c>
      <c r="AV447" s="6" t="b">
        <v>0</v>
      </c>
      <c r="AW447" s="6" t="b">
        <v>0</v>
      </c>
      <c r="AX447" s="6" t="b">
        <v>0</v>
      </c>
      <c r="AY447" s="6" t="b">
        <v>0</v>
      </c>
      <c r="AZ447" s="6" t="b">
        <v>0</v>
      </c>
      <c r="BA447" s="6" t="b">
        <v>0</v>
      </c>
      <c r="BB447" s="6" t="b">
        <v>0</v>
      </c>
    </row>
    <row r="448" spans="1:54" ht="15" x14ac:dyDescent="0.25">
      <c r="A448" s="3" t="s">
        <v>952</v>
      </c>
      <c r="B448" s="3" t="str">
        <f ca="1">IFERROR(__xludf.DUMMYFUNCTION("SPLIT(A448,""/"")"),"HydraChain")</f>
        <v>HydraChain</v>
      </c>
      <c r="C448" s="3" t="str">
        <f ca="1">IFERROR(__xludf.DUMMYFUNCTION("""COMPUTED_VALUE"""),"hydrachain")</f>
        <v>hydrachain</v>
      </c>
      <c r="D448" s="4" t="s">
        <v>953</v>
      </c>
      <c r="E448" s="5">
        <v>42246.578275462962</v>
      </c>
      <c r="F448" s="5">
        <v>44290.656493055554</v>
      </c>
      <c r="G448" s="13">
        <f t="shared" si="36"/>
        <v>2044.0782175925924</v>
      </c>
      <c r="H448" s="6" t="b">
        <v>0</v>
      </c>
      <c r="I448" s="7" t="b">
        <v>1</v>
      </c>
      <c r="J448" s="8">
        <v>350</v>
      </c>
      <c r="K448" s="8">
        <v>54</v>
      </c>
      <c r="L448" s="8">
        <v>104</v>
      </c>
      <c r="M448" s="8">
        <v>0</v>
      </c>
      <c r="N448" s="8">
        <v>3</v>
      </c>
      <c r="O448" s="8">
        <v>11</v>
      </c>
      <c r="P448" s="8">
        <v>32</v>
      </c>
      <c r="Q448" s="8">
        <v>6</v>
      </c>
      <c r="R448" s="8">
        <v>55</v>
      </c>
      <c r="S448" s="8">
        <v>31</v>
      </c>
      <c r="T448" s="3" t="s">
        <v>72</v>
      </c>
      <c r="U448" s="10">
        <v>4779</v>
      </c>
      <c r="V448" s="32">
        <v>157</v>
      </c>
      <c r="W448" s="27">
        <v>3.2852061100648672E-2</v>
      </c>
      <c r="X448" s="34">
        <v>75</v>
      </c>
      <c r="Y448" s="27">
        <v>0.47770700636942676</v>
      </c>
      <c r="Z448" s="27">
        <v>1.5693659761456372E-2</v>
      </c>
      <c r="AA448" s="35">
        <v>4</v>
      </c>
      <c r="AB448" s="27">
        <v>2.5477707006369428E-2</v>
      </c>
      <c r="AC448" s="27">
        <f t="shared" si="37"/>
        <v>8.3699518727767318E-4</v>
      </c>
      <c r="AD448" s="36">
        <v>11</v>
      </c>
      <c r="AE448" s="27">
        <v>7.0063694267515922E-2</v>
      </c>
      <c r="AF448" s="27">
        <f t="shared" si="38"/>
        <v>2.3017367650136011E-3</v>
      </c>
      <c r="AG448" s="37">
        <v>3</v>
      </c>
      <c r="AH448" s="27">
        <v>1.9108280254777069E-2</v>
      </c>
      <c r="AI448" s="27">
        <f t="shared" si="39"/>
        <v>6.2774639045825491E-4</v>
      </c>
      <c r="AJ448" s="38">
        <v>0</v>
      </c>
      <c r="AK448" s="27">
        <v>0</v>
      </c>
      <c r="AL448" s="27">
        <f t="shared" si="40"/>
        <v>0</v>
      </c>
      <c r="AM448" s="40">
        <v>63</v>
      </c>
      <c r="AN448" s="27">
        <v>0.40127388535031849</v>
      </c>
      <c r="AO448" s="27">
        <f t="shared" si="41"/>
        <v>1.3182674199623353E-2</v>
      </c>
      <c r="AP448" s="7" t="b">
        <v>1</v>
      </c>
      <c r="AQ448" s="7" t="b">
        <v>1</v>
      </c>
      <c r="AR448" s="6" t="b">
        <v>0</v>
      </c>
      <c r="AS448" s="6" t="b">
        <v>0</v>
      </c>
      <c r="AT448" s="7" t="b">
        <v>1</v>
      </c>
      <c r="AU448" s="6" t="b">
        <v>0</v>
      </c>
      <c r="AV448" s="6" t="b">
        <v>0</v>
      </c>
      <c r="AW448" s="6" t="b">
        <v>0</v>
      </c>
      <c r="AX448" s="6" t="b">
        <v>0</v>
      </c>
      <c r="AY448" s="6" t="b">
        <v>0</v>
      </c>
      <c r="AZ448" s="6" t="b">
        <v>0</v>
      </c>
      <c r="BA448" s="6" t="b">
        <v>0</v>
      </c>
      <c r="BB448" s="6" t="b">
        <v>0</v>
      </c>
    </row>
    <row r="449" spans="1:54" ht="15" x14ac:dyDescent="0.25">
      <c r="A449" s="3" t="s">
        <v>954</v>
      </c>
      <c r="B449" s="3" t="str">
        <f ca="1">IFERROR(__xludf.DUMMYFUNCTION("SPLIT(A449,""/"")"),"hyperledger")</f>
        <v>hyperledger</v>
      </c>
      <c r="C449" s="3" t="str">
        <f ca="1">IFERROR(__xludf.DUMMYFUNCTION("""COMPUTED_VALUE"""),"cello")</f>
        <v>cello</v>
      </c>
      <c r="D449" s="4" t="s">
        <v>955</v>
      </c>
      <c r="E449" s="5">
        <v>42746.282731481479</v>
      </c>
      <c r="F449" s="5">
        <v>44293.906284722223</v>
      </c>
      <c r="G449" s="13">
        <f t="shared" si="36"/>
        <v>1547.6235532407445</v>
      </c>
      <c r="H449" s="6" t="b">
        <v>0</v>
      </c>
      <c r="I449" s="7" t="b">
        <v>1</v>
      </c>
      <c r="J449" s="8">
        <v>719</v>
      </c>
      <c r="K449" s="8">
        <v>80</v>
      </c>
      <c r="L449" s="8">
        <v>364</v>
      </c>
      <c r="M449" s="8">
        <v>0</v>
      </c>
      <c r="N449" s="8">
        <v>5</v>
      </c>
      <c r="O449" s="8">
        <v>46</v>
      </c>
      <c r="P449" s="8">
        <v>151</v>
      </c>
      <c r="Q449" s="8">
        <v>0</v>
      </c>
      <c r="R449" s="8">
        <v>88</v>
      </c>
      <c r="S449" s="8">
        <v>31</v>
      </c>
      <c r="T449" s="3" t="s">
        <v>69</v>
      </c>
      <c r="U449" s="10">
        <v>8000</v>
      </c>
      <c r="V449" s="32">
        <v>24</v>
      </c>
      <c r="W449" s="27">
        <v>3.0000000000000001E-3</v>
      </c>
      <c r="X449" s="34">
        <v>2</v>
      </c>
      <c r="Y449" s="27">
        <v>8.3333333333333329E-2</v>
      </c>
      <c r="Z449" s="27">
        <v>2.5000000000000001E-4</v>
      </c>
      <c r="AA449" s="35">
        <v>3</v>
      </c>
      <c r="AB449" s="27">
        <v>0.125</v>
      </c>
      <c r="AC449" s="27">
        <f t="shared" si="37"/>
        <v>3.7500000000000001E-4</v>
      </c>
      <c r="AD449" s="36">
        <v>0</v>
      </c>
      <c r="AE449" s="27">
        <v>0</v>
      </c>
      <c r="AF449" s="27">
        <f t="shared" si="38"/>
        <v>0</v>
      </c>
      <c r="AG449" s="37">
        <v>19</v>
      </c>
      <c r="AH449" s="27">
        <v>0.79166666666666663</v>
      </c>
      <c r="AI449" s="27">
        <f t="shared" si="39"/>
        <v>2.3749999999999999E-3</v>
      </c>
      <c r="AJ449" s="38">
        <v>0</v>
      </c>
      <c r="AK449" s="27">
        <v>0</v>
      </c>
      <c r="AL449" s="27">
        <f t="shared" si="40"/>
        <v>0</v>
      </c>
      <c r="AM449" s="40">
        <v>0</v>
      </c>
      <c r="AN449" s="27">
        <v>0</v>
      </c>
      <c r="AO449" s="27">
        <f t="shared" si="41"/>
        <v>0</v>
      </c>
      <c r="AP449" s="7" t="b">
        <v>1</v>
      </c>
      <c r="AQ449" s="7" t="b">
        <v>1</v>
      </c>
      <c r="AR449" s="6" t="b">
        <v>0</v>
      </c>
      <c r="AS449" s="6" t="b">
        <v>0</v>
      </c>
      <c r="AT449" s="7" t="b">
        <v>1</v>
      </c>
      <c r="AU449" s="6" t="b">
        <v>0</v>
      </c>
      <c r="AV449" s="6" t="b">
        <v>0</v>
      </c>
      <c r="AW449" s="6" t="b">
        <v>0</v>
      </c>
      <c r="AX449" s="6" t="b">
        <v>0</v>
      </c>
      <c r="AY449" s="6" t="b">
        <v>0</v>
      </c>
      <c r="AZ449" s="6" t="b">
        <v>0</v>
      </c>
      <c r="BA449" s="6" t="b">
        <v>0</v>
      </c>
      <c r="BB449" s="6" t="b">
        <v>0</v>
      </c>
    </row>
    <row r="450" spans="1:54" ht="15" x14ac:dyDescent="0.25">
      <c r="A450" s="3" t="s">
        <v>956</v>
      </c>
      <c r="B450" s="3" t="str">
        <f ca="1">IFERROR(__xludf.DUMMYFUNCTION("SPLIT(A450,""/"")"),"hyperledger")</f>
        <v>hyperledger</v>
      </c>
      <c r="C450" s="3" t="str">
        <f ca="1">IFERROR(__xludf.DUMMYFUNCTION("""COMPUTED_VALUE"""),"indy-node")</f>
        <v>indy-node</v>
      </c>
      <c r="D450" s="4" t="s">
        <v>957</v>
      </c>
      <c r="E450" s="5">
        <v>42725.239629629628</v>
      </c>
      <c r="F450" s="5">
        <v>44293.890138888892</v>
      </c>
      <c r="G450" s="13">
        <f t="shared" si="36"/>
        <v>1568.6505092592633</v>
      </c>
      <c r="H450" s="6" t="b">
        <v>0</v>
      </c>
      <c r="I450" s="7" t="b">
        <v>1</v>
      </c>
      <c r="J450" s="8">
        <v>531</v>
      </c>
      <c r="K450" s="8">
        <v>67</v>
      </c>
      <c r="L450" s="8">
        <v>472</v>
      </c>
      <c r="M450" s="8">
        <v>24</v>
      </c>
      <c r="N450" s="8">
        <v>6</v>
      </c>
      <c r="O450" s="8">
        <v>71</v>
      </c>
      <c r="P450" s="8">
        <v>1643</v>
      </c>
      <c r="Q450" s="8">
        <v>15</v>
      </c>
      <c r="R450" s="8">
        <v>33</v>
      </c>
      <c r="S450" s="8">
        <v>28</v>
      </c>
      <c r="T450" s="3" t="s">
        <v>69</v>
      </c>
      <c r="U450" s="10">
        <v>28763</v>
      </c>
      <c r="V450" s="32">
        <v>329</v>
      </c>
      <c r="W450" s="27">
        <v>1.1438306157215868E-2</v>
      </c>
      <c r="X450" s="34">
        <v>65</v>
      </c>
      <c r="Y450" s="27">
        <v>0.19756838905775076</v>
      </c>
      <c r="Z450" s="27">
        <v>2.2598477210304907E-3</v>
      </c>
      <c r="AA450" s="35">
        <v>143</v>
      </c>
      <c r="AB450" s="27">
        <v>0.43465045592705165</v>
      </c>
      <c r="AC450" s="27">
        <f t="shared" si="37"/>
        <v>4.9716649862670791E-3</v>
      </c>
      <c r="AD450" s="36">
        <v>28</v>
      </c>
      <c r="AE450" s="27">
        <v>8.5106382978723402E-2</v>
      </c>
      <c r="AF450" s="27">
        <f t="shared" si="38"/>
        <v>9.7347286444390358E-4</v>
      </c>
      <c r="AG450" s="37">
        <v>93</v>
      </c>
      <c r="AH450" s="27">
        <v>0.28267477203647418</v>
      </c>
      <c r="AI450" s="27">
        <f t="shared" si="39"/>
        <v>3.2333205854743943E-3</v>
      </c>
      <c r="AJ450" s="38">
        <v>0</v>
      </c>
      <c r="AK450" s="27">
        <v>0</v>
      </c>
      <c r="AL450" s="27">
        <f t="shared" si="40"/>
        <v>0</v>
      </c>
      <c r="AM450" s="40">
        <v>0</v>
      </c>
      <c r="AN450" s="27">
        <v>0</v>
      </c>
      <c r="AO450" s="27">
        <f t="shared" si="41"/>
        <v>0</v>
      </c>
      <c r="AP450" s="7" t="b">
        <v>1</v>
      </c>
      <c r="AQ450" s="6" t="b">
        <v>0</v>
      </c>
      <c r="AR450" s="6" t="b">
        <v>0</v>
      </c>
      <c r="AS450" s="6" t="b">
        <v>0</v>
      </c>
      <c r="AT450" s="7" t="b">
        <v>1</v>
      </c>
      <c r="AU450" s="6" t="b">
        <v>0</v>
      </c>
      <c r="AV450" s="6" t="b">
        <v>0</v>
      </c>
      <c r="AW450" s="6" t="b">
        <v>0</v>
      </c>
      <c r="AX450" s="6" t="b">
        <v>0</v>
      </c>
      <c r="AY450" s="6" t="b">
        <v>0</v>
      </c>
      <c r="AZ450" s="6" t="b">
        <v>0</v>
      </c>
      <c r="BA450" s="6" t="b">
        <v>0</v>
      </c>
      <c r="BB450" s="6" t="b">
        <v>0</v>
      </c>
    </row>
    <row r="451" spans="1:54" ht="15" x14ac:dyDescent="0.25">
      <c r="A451" s="3" t="s">
        <v>958</v>
      </c>
      <c r="B451" s="3" t="str">
        <f ca="1">IFERROR(__xludf.DUMMYFUNCTION("SPLIT(A451,""/"")"),"hyperledger")</f>
        <v>hyperledger</v>
      </c>
      <c r="C451" s="3" t="str">
        <f ca="1">IFERROR(__xludf.DUMMYFUNCTION("""COMPUTED_VALUE"""),"sawtooth-core")</f>
        <v>sawtooth-core</v>
      </c>
      <c r="D451" s="4" t="s">
        <v>959</v>
      </c>
      <c r="E451" s="5">
        <v>42492.661030092589</v>
      </c>
      <c r="F451" s="5">
        <v>44294.646851851852</v>
      </c>
      <c r="G451" s="13">
        <f t="shared" ref="G451:G514" si="42">F451-E451</f>
        <v>1801.9858217592628</v>
      </c>
      <c r="H451" s="6" t="b">
        <v>0</v>
      </c>
      <c r="I451" s="7" t="b">
        <v>1</v>
      </c>
      <c r="J451" s="8">
        <v>1316</v>
      </c>
      <c r="K451" s="8">
        <v>148</v>
      </c>
      <c r="L451" s="8">
        <v>670</v>
      </c>
      <c r="M451" s="8">
        <v>0</v>
      </c>
      <c r="N451" s="8">
        <v>21</v>
      </c>
      <c r="O451" s="8">
        <v>76</v>
      </c>
      <c r="P451" s="8">
        <v>2364</v>
      </c>
      <c r="Q451" s="8">
        <v>13</v>
      </c>
      <c r="R451" s="8">
        <v>7</v>
      </c>
      <c r="S451" s="8">
        <v>5</v>
      </c>
      <c r="T451" s="3" t="s">
        <v>69</v>
      </c>
      <c r="U451" s="10">
        <v>19623</v>
      </c>
      <c r="V451" s="32">
        <v>346</v>
      </c>
      <c r="W451" s="27">
        <v>1.7632370177852519E-2</v>
      </c>
      <c r="X451" s="34">
        <v>183</v>
      </c>
      <c r="Y451" s="27">
        <v>0.52890173410404628</v>
      </c>
      <c r="Z451" s="27">
        <v>9.3257911634306682E-3</v>
      </c>
      <c r="AA451" s="35">
        <v>49</v>
      </c>
      <c r="AB451" s="27">
        <v>0.1416184971098266</v>
      </c>
      <c r="AC451" s="27">
        <f t="shared" ref="AC451:AC514" si="43">AA451/U451</f>
        <v>2.4970697650715996E-3</v>
      </c>
      <c r="AD451" s="36">
        <v>45</v>
      </c>
      <c r="AE451" s="27">
        <v>0.13005780346820808</v>
      </c>
      <c r="AF451" s="27">
        <f t="shared" ref="AF451:AF514" si="44">AD451/U451</f>
        <v>2.2932273352698363E-3</v>
      </c>
      <c r="AG451" s="37">
        <v>59</v>
      </c>
      <c r="AH451" s="27">
        <v>0.17052023121387283</v>
      </c>
      <c r="AI451" s="27">
        <f t="shared" ref="AI451:AI514" si="45">AG451/U451</f>
        <v>3.0066758395760076E-3</v>
      </c>
      <c r="AJ451" s="38">
        <v>0</v>
      </c>
      <c r="AK451" s="27">
        <v>0</v>
      </c>
      <c r="AL451" s="27">
        <f t="shared" ref="AL451:AL514" si="46">AJ451/U451</f>
        <v>0</v>
      </c>
      <c r="AM451" s="40">
        <v>1</v>
      </c>
      <c r="AN451" s="27">
        <v>2.8901734104046241E-3</v>
      </c>
      <c r="AO451" s="27">
        <f t="shared" ref="AO451:AO514" si="47">AM451/U451</f>
        <v>5.0960607450440812E-5</v>
      </c>
      <c r="AP451" s="7" t="b">
        <v>1</v>
      </c>
      <c r="AQ451" s="7" t="b">
        <v>1</v>
      </c>
      <c r="AR451" s="6" t="b">
        <v>0</v>
      </c>
      <c r="AS451" s="6" t="b">
        <v>0</v>
      </c>
      <c r="AT451" s="7" t="b">
        <v>1</v>
      </c>
      <c r="AU451" s="6" t="b">
        <v>0</v>
      </c>
      <c r="AV451" s="6" t="b">
        <v>0</v>
      </c>
      <c r="AW451" s="6" t="b">
        <v>0</v>
      </c>
      <c r="AX451" s="6" t="b">
        <v>0</v>
      </c>
      <c r="AY451" s="6" t="b">
        <v>0</v>
      </c>
      <c r="AZ451" s="6" t="b">
        <v>0</v>
      </c>
      <c r="BA451" s="6" t="b">
        <v>0</v>
      </c>
      <c r="BB451" s="6" t="b">
        <v>0</v>
      </c>
    </row>
    <row r="452" spans="1:54" ht="15" x14ac:dyDescent="0.25">
      <c r="A452" s="3" t="s">
        <v>960</v>
      </c>
      <c r="B452" s="3" t="str">
        <f ca="1">IFERROR(__xludf.DUMMYFUNCTION("SPLIT(A452,""/"")"),"hypothesis")</f>
        <v>hypothesis</v>
      </c>
      <c r="C452" s="3" t="str">
        <f ca="1">IFERROR(__xludf.DUMMYFUNCTION("""COMPUTED_VALUE"""),"h")</f>
        <v>h</v>
      </c>
      <c r="D452" s="4" t="s">
        <v>961</v>
      </c>
      <c r="E452" s="5">
        <v>41001.831238425926</v>
      </c>
      <c r="F452" s="5">
        <v>44294.845219907409</v>
      </c>
      <c r="G452" s="13">
        <f t="shared" si="42"/>
        <v>3293.0139814814829</v>
      </c>
      <c r="H452" s="6" t="b">
        <v>0</v>
      </c>
      <c r="I452" s="7" t="b">
        <v>1</v>
      </c>
      <c r="J452" s="8">
        <v>2104</v>
      </c>
      <c r="K452" s="8">
        <v>112</v>
      </c>
      <c r="L452" s="8">
        <v>351</v>
      </c>
      <c r="M452" s="8">
        <v>85</v>
      </c>
      <c r="N452" s="8">
        <v>952</v>
      </c>
      <c r="O452" s="8">
        <v>64</v>
      </c>
      <c r="P452" s="8">
        <v>4186</v>
      </c>
      <c r="Q452" s="8">
        <v>4</v>
      </c>
      <c r="R452" s="8">
        <v>2384</v>
      </c>
      <c r="S452" s="8">
        <v>139</v>
      </c>
      <c r="T452" s="3" t="s">
        <v>153</v>
      </c>
      <c r="U452" s="10">
        <v>34790</v>
      </c>
      <c r="V452" s="32">
        <v>76</v>
      </c>
      <c r="W452" s="27">
        <v>2.1845357861454439E-3</v>
      </c>
      <c r="X452" s="34">
        <v>4</v>
      </c>
      <c r="Y452" s="27">
        <v>5.2631578947368418E-2</v>
      </c>
      <c r="Z452" s="27">
        <v>1.1497556769186548E-4</v>
      </c>
      <c r="AA452" s="35">
        <v>43</v>
      </c>
      <c r="AB452" s="27">
        <v>0.56578947368421051</v>
      </c>
      <c r="AC452" s="27">
        <f t="shared" si="43"/>
        <v>1.2359873526875539E-3</v>
      </c>
      <c r="AD452" s="36">
        <v>21</v>
      </c>
      <c r="AE452" s="27">
        <v>0.27631578947368424</v>
      </c>
      <c r="AF452" s="27">
        <f t="shared" si="44"/>
        <v>6.0362173038229375E-4</v>
      </c>
      <c r="AG452" s="37">
        <v>4</v>
      </c>
      <c r="AH452" s="27">
        <v>5.2631578947368418E-2</v>
      </c>
      <c r="AI452" s="27">
        <f t="shared" si="45"/>
        <v>1.1497556769186548E-4</v>
      </c>
      <c r="AJ452" s="38">
        <v>4</v>
      </c>
      <c r="AK452" s="27">
        <v>5.2631578947368418E-2</v>
      </c>
      <c r="AL452" s="27">
        <f t="shared" si="46"/>
        <v>1.1497556769186548E-4</v>
      </c>
      <c r="AM452" s="40">
        <v>0</v>
      </c>
      <c r="AN452" s="27">
        <v>0</v>
      </c>
      <c r="AO452" s="27">
        <f t="shared" si="47"/>
        <v>0</v>
      </c>
      <c r="AP452" s="7" t="b">
        <v>1</v>
      </c>
      <c r="AQ452" s="7" t="b">
        <v>1</v>
      </c>
      <c r="AR452" s="6" t="b">
        <v>0</v>
      </c>
      <c r="AS452" s="6" t="b">
        <v>0</v>
      </c>
      <c r="AT452" s="7" t="b">
        <v>1</v>
      </c>
      <c r="AU452" s="6" t="b">
        <v>0</v>
      </c>
      <c r="AV452" s="6" t="b">
        <v>0</v>
      </c>
      <c r="AW452" s="6" t="b">
        <v>0</v>
      </c>
      <c r="AX452" s="6" t="b">
        <v>0</v>
      </c>
      <c r="AY452" s="6" t="b">
        <v>0</v>
      </c>
      <c r="AZ452" s="6" t="b">
        <v>0</v>
      </c>
      <c r="BA452" s="6" t="b">
        <v>0</v>
      </c>
      <c r="BB452" s="6" t="b">
        <v>0</v>
      </c>
    </row>
    <row r="453" spans="1:54" ht="15" x14ac:dyDescent="0.25">
      <c r="A453" s="3" t="s">
        <v>962</v>
      </c>
      <c r="B453" s="3" t="str">
        <f ca="1">IFERROR(__xludf.DUMMYFUNCTION("SPLIT(A453,""/"")"),"hzwer")</f>
        <v>hzwer</v>
      </c>
      <c r="C453" s="3" t="str">
        <f ca="1">IFERROR(__xludf.DUMMYFUNCTION("""COMPUTED_VALUE"""),"arXiv2020-RIFE")</f>
        <v>arXiv2020-RIFE</v>
      </c>
      <c r="D453" s="4" t="s">
        <v>963</v>
      </c>
      <c r="E453" s="5">
        <v>44147.240543981483</v>
      </c>
      <c r="F453" s="5">
        <v>44294.751875000002</v>
      </c>
      <c r="G453" s="13">
        <f t="shared" si="42"/>
        <v>147.51133101851883</v>
      </c>
      <c r="H453" s="6" t="b">
        <v>0</v>
      </c>
      <c r="I453" s="6" t="b">
        <v>0</v>
      </c>
      <c r="J453" s="8">
        <v>1589</v>
      </c>
      <c r="K453" s="8">
        <v>47</v>
      </c>
      <c r="L453" s="8">
        <v>151</v>
      </c>
      <c r="M453" s="8">
        <v>0</v>
      </c>
      <c r="N453" s="8">
        <v>0</v>
      </c>
      <c r="O453" s="8">
        <v>12</v>
      </c>
      <c r="P453" s="8">
        <v>21</v>
      </c>
      <c r="Q453" s="8">
        <v>0</v>
      </c>
      <c r="R453" s="8">
        <v>117</v>
      </c>
      <c r="S453" s="8">
        <v>26</v>
      </c>
      <c r="T453" s="3" t="s">
        <v>72</v>
      </c>
      <c r="U453" s="10">
        <v>2767</v>
      </c>
      <c r="V453" s="32">
        <v>0</v>
      </c>
      <c r="W453" s="27">
        <v>0</v>
      </c>
      <c r="X453" s="34">
        <v>0</v>
      </c>
      <c r="Y453" s="27">
        <v>0</v>
      </c>
      <c r="Z453" s="27">
        <v>0</v>
      </c>
      <c r="AA453" s="35">
        <v>0</v>
      </c>
      <c r="AB453" s="27">
        <v>0</v>
      </c>
      <c r="AC453" s="27">
        <f t="shared" si="43"/>
        <v>0</v>
      </c>
      <c r="AD453" s="36">
        <v>0</v>
      </c>
      <c r="AE453" s="27">
        <v>0</v>
      </c>
      <c r="AF453" s="27">
        <f t="shared" si="44"/>
        <v>0</v>
      </c>
      <c r="AG453" s="37">
        <v>0</v>
      </c>
      <c r="AH453" s="27">
        <v>0</v>
      </c>
      <c r="AI453" s="27">
        <f t="shared" si="45"/>
        <v>0</v>
      </c>
      <c r="AJ453" s="38">
        <v>0</v>
      </c>
      <c r="AK453" s="27">
        <v>0</v>
      </c>
      <c r="AL453" s="27">
        <f t="shared" si="46"/>
        <v>0</v>
      </c>
      <c r="AM453" s="40">
        <v>0</v>
      </c>
      <c r="AN453" s="27">
        <v>0</v>
      </c>
      <c r="AO453" s="27">
        <f t="shared" si="47"/>
        <v>0</v>
      </c>
      <c r="AP453" s="7" t="b">
        <v>1</v>
      </c>
      <c r="AQ453" s="6" t="b">
        <v>0</v>
      </c>
      <c r="AR453" s="6" t="b">
        <v>0</v>
      </c>
      <c r="AS453" s="6" t="b">
        <v>0</v>
      </c>
      <c r="AT453" s="7" t="b">
        <v>1</v>
      </c>
      <c r="AU453" s="6" t="b">
        <v>0</v>
      </c>
      <c r="AV453" s="6" t="b">
        <v>0</v>
      </c>
      <c r="AW453" s="6" t="b">
        <v>0</v>
      </c>
      <c r="AX453" s="6" t="b">
        <v>0</v>
      </c>
      <c r="AY453" s="6" t="b">
        <v>0</v>
      </c>
      <c r="AZ453" s="6" t="b">
        <v>0</v>
      </c>
      <c r="BA453" s="6" t="b">
        <v>0</v>
      </c>
      <c r="BB453" s="6" t="b">
        <v>0</v>
      </c>
    </row>
    <row r="454" spans="1:54" ht="15" x14ac:dyDescent="0.25">
      <c r="A454" s="3" t="s">
        <v>964</v>
      </c>
      <c r="B454" s="3" t="str">
        <f ca="1">IFERROR(__xludf.DUMMYFUNCTION("SPLIT(A454,""/"")"),"hzy46")</f>
        <v>hzy46</v>
      </c>
      <c r="C454" s="3" t="str">
        <f ca="1">IFERROR(__xludf.DUMMYFUNCTION("""COMPUTED_VALUE"""),"Deep-Learning-21-Examples")</f>
        <v>Deep-Learning-21-Examples</v>
      </c>
      <c r="D454" s="4" t="s">
        <v>965</v>
      </c>
      <c r="E454" s="5">
        <v>43101.463773148149</v>
      </c>
      <c r="F454" s="5">
        <v>44294.360312500001</v>
      </c>
      <c r="G454" s="13">
        <f t="shared" si="42"/>
        <v>1192.896539351852</v>
      </c>
      <c r="H454" s="6" t="b">
        <v>0</v>
      </c>
      <c r="I454" s="6" t="b">
        <v>0</v>
      </c>
      <c r="J454" s="8">
        <v>4139</v>
      </c>
      <c r="K454" s="8">
        <v>168</v>
      </c>
      <c r="L454" s="8">
        <v>1662</v>
      </c>
      <c r="M454" s="8">
        <v>0</v>
      </c>
      <c r="N454" s="8">
        <v>1</v>
      </c>
      <c r="O454" s="9">
        <v>0</v>
      </c>
      <c r="P454" s="8">
        <v>2</v>
      </c>
      <c r="Q454" s="8">
        <v>1</v>
      </c>
      <c r="R454" s="8">
        <v>88</v>
      </c>
      <c r="S454" s="8">
        <v>43</v>
      </c>
      <c r="T454" s="11" t="s">
        <v>52</v>
      </c>
      <c r="U454" s="10">
        <v>45738</v>
      </c>
      <c r="V454" s="32">
        <v>107</v>
      </c>
      <c r="W454" s="27">
        <v>2.3394114303205214E-3</v>
      </c>
      <c r="X454" s="34">
        <v>2</v>
      </c>
      <c r="Y454" s="27">
        <v>1.8691588785046728E-2</v>
      </c>
      <c r="Z454" s="27">
        <v>4.372731645458918E-5</v>
      </c>
      <c r="AA454" s="35">
        <v>90</v>
      </c>
      <c r="AB454" s="27">
        <v>0.84112149532710279</v>
      </c>
      <c r="AC454" s="27">
        <f t="shared" si="43"/>
        <v>1.9677292404565133E-3</v>
      </c>
      <c r="AD454" s="36">
        <v>8</v>
      </c>
      <c r="AE454" s="27">
        <v>7.476635514018691E-2</v>
      </c>
      <c r="AF454" s="27">
        <f t="shared" si="44"/>
        <v>1.7490926581835672E-4</v>
      </c>
      <c r="AG454" s="37">
        <v>1</v>
      </c>
      <c r="AH454" s="27">
        <v>9.3457943925233638E-3</v>
      </c>
      <c r="AI454" s="27">
        <f t="shared" si="45"/>
        <v>2.186365822729459E-5</v>
      </c>
      <c r="AJ454" s="38">
        <v>6</v>
      </c>
      <c r="AK454" s="27">
        <v>5.6074766355140186E-2</v>
      </c>
      <c r="AL454" s="27">
        <f t="shared" si="46"/>
        <v>1.3118194936376755E-4</v>
      </c>
      <c r="AM454" s="40">
        <v>0</v>
      </c>
      <c r="AN454" s="27">
        <v>0</v>
      </c>
      <c r="AO454" s="27">
        <f t="shared" si="47"/>
        <v>0</v>
      </c>
      <c r="AP454" s="7" t="b">
        <v>1</v>
      </c>
      <c r="AQ454" s="6" t="b">
        <v>0</v>
      </c>
      <c r="AR454" s="6" t="b">
        <v>0</v>
      </c>
      <c r="AS454" s="6" t="b">
        <v>0</v>
      </c>
      <c r="AT454" s="7" t="b">
        <v>1</v>
      </c>
      <c r="AU454" s="6" t="b">
        <v>0</v>
      </c>
      <c r="AV454" s="6" t="b">
        <v>0</v>
      </c>
      <c r="AW454" s="6" t="b">
        <v>0</v>
      </c>
      <c r="AX454" s="6" t="b">
        <v>0</v>
      </c>
      <c r="AY454" s="6" t="b">
        <v>0</v>
      </c>
      <c r="AZ454" s="6" t="b">
        <v>0</v>
      </c>
      <c r="BA454" s="6" t="b">
        <v>0</v>
      </c>
      <c r="BB454" s="6" t="b">
        <v>0</v>
      </c>
    </row>
    <row r="455" spans="1:54" ht="15" x14ac:dyDescent="0.25">
      <c r="A455" s="3" t="s">
        <v>966</v>
      </c>
      <c r="B455" s="3" t="str">
        <f ca="1">IFERROR(__xludf.DUMMYFUNCTION("SPLIT(A455,""/"")"),"ianmiell")</f>
        <v>ianmiell</v>
      </c>
      <c r="C455" s="3" t="str">
        <f ca="1">IFERROR(__xludf.DUMMYFUNCTION("""COMPUTED_VALUE"""),"shutit")</f>
        <v>shutit</v>
      </c>
      <c r="D455" s="4" t="s">
        <v>967</v>
      </c>
      <c r="E455" s="5">
        <v>41723.528391203705</v>
      </c>
      <c r="F455" s="5">
        <v>44281.960173611114</v>
      </c>
      <c r="G455" s="13">
        <f t="shared" si="42"/>
        <v>2558.4317824074096</v>
      </c>
      <c r="H455" s="6" t="b">
        <v>0</v>
      </c>
      <c r="I455" s="6" t="b">
        <v>0</v>
      </c>
      <c r="J455" s="8">
        <v>2064</v>
      </c>
      <c r="K455" s="8">
        <v>69</v>
      </c>
      <c r="L455" s="8">
        <v>111</v>
      </c>
      <c r="M455" s="8">
        <v>0</v>
      </c>
      <c r="N455" s="8">
        <v>31</v>
      </c>
      <c r="O455" s="8">
        <v>18</v>
      </c>
      <c r="P455" s="8">
        <v>90</v>
      </c>
      <c r="Q455" s="8">
        <v>2</v>
      </c>
      <c r="R455" s="8">
        <v>242</v>
      </c>
      <c r="S455" s="8">
        <v>9</v>
      </c>
      <c r="T455" s="3" t="s">
        <v>72</v>
      </c>
      <c r="U455" s="10">
        <v>7962</v>
      </c>
      <c r="V455" s="32">
        <v>262</v>
      </c>
      <c r="W455" s="27">
        <v>3.2906304948505403E-2</v>
      </c>
      <c r="X455" s="34">
        <v>141</v>
      </c>
      <c r="Y455" s="27">
        <v>0.53816793893129766</v>
      </c>
      <c r="Z455" s="27">
        <v>1.7709118311981915E-2</v>
      </c>
      <c r="AA455" s="35">
        <v>61</v>
      </c>
      <c r="AB455" s="27">
        <v>0.23282442748091603</v>
      </c>
      <c r="AC455" s="27">
        <f t="shared" si="43"/>
        <v>7.6613916101482037E-3</v>
      </c>
      <c r="AD455" s="36">
        <v>8</v>
      </c>
      <c r="AE455" s="27">
        <v>3.0534351145038167E-2</v>
      </c>
      <c r="AF455" s="27">
        <f t="shared" si="44"/>
        <v>1.004772670183371E-3</v>
      </c>
      <c r="AG455" s="37">
        <v>2</v>
      </c>
      <c r="AH455" s="27">
        <v>7.6335877862595417E-3</v>
      </c>
      <c r="AI455" s="27">
        <f t="shared" si="45"/>
        <v>2.5119316754584274E-4</v>
      </c>
      <c r="AJ455" s="38">
        <v>23</v>
      </c>
      <c r="AK455" s="27">
        <v>8.7786259541984726E-2</v>
      </c>
      <c r="AL455" s="27">
        <f t="shared" si="46"/>
        <v>2.8887214267771916E-3</v>
      </c>
      <c r="AM455" s="40">
        <v>27</v>
      </c>
      <c r="AN455" s="27">
        <v>0.10305343511450382</v>
      </c>
      <c r="AO455" s="27">
        <f t="shared" si="47"/>
        <v>3.391107761868877E-3</v>
      </c>
      <c r="AP455" s="7" t="b">
        <v>1</v>
      </c>
      <c r="AQ455" s="6" t="b">
        <v>0</v>
      </c>
      <c r="AR455" s="6" t="b">
        <v>0</v>
      </c>
      <c r="AS455" s="6" t="b">
        <v>0</v>
      </c>
      <c r="AT455" s="7" t="b">
        <v>1</v>
      </c>
      <c r="AU455" s="6" t="b">
        <v>0</v>
      </c>
      <c r="AV455" s="6" t="b">
        <v>0</v>
      </c>
      <c r="AW455" s="6" t="b">
        <v>0</v>
      </c>
      <c r="AX455" s="6" t="b">
        <v>0</v>
      </c>
      <c r="AY455" s="6" t="b">
        <v>0</v>
      </c>
      <c r="AZ455" s="6" t="b">
        <v>0</v>
      </c>
      <c r="BA455" s="6" t="b">
        <v>0</v>
      </c>
      <c r="BB455" s="6" t="b">
        <v>0</v>
      </c>
    </row>
    <row r="456" spans="1:54" ht="15" x14ac:dyDescent="0.25">
      <c r="A456" s="3" t="s">
        <v>968</v>
      </c>
      <c r="B456" s="3" t="str">
        <f ca="1">IFERROR(__xludf.DUMMYFUNCTION("SPLIT(A456,""/"")"),"IBM")</f>
        <v>IBM</v>
      </c>
      <c r="C456" s="3" t="str">
        <f ca="1">IFERROR(__xludf.DUMMYFUNCTION("""COMPUTED_VALUE"""),"MAX-Image-Resolution-Enhancer")</f>
        <v>MAX-Image-Resolution-Enhancer</v>
      </c>
      <c r="D456" s="4" t="s">
        <v>969</v>
      </c>
      <c r="E456" s="5">
        <v>43543.702372685184</v>
      </c>
      <c r="F456" s="5">
        <v>44294.56863425926</v>
      </c>
      <c r="G456" s="13">
        <f t="shared" si="42"/>
        <v>750.86626157407591</v>
      </c>
      <c r="H456" s="6" t="b">
        <v>0</v>
      </c>
      <c r="I456" s="7" t="b">
        <v>1</v>
      </c>
      <c r="J456" s="8">
        <v>379</v>
      </c>
      <c r="K456" s="8">
        <v>37</v>
      </c>
      <c r="L456" s="8">
        <v>58</v>
      </c>
      <c r="M456" s="8">
        <v>3</v>
      </c>
      <c r="N456" s="8">
        <v>0</v>
      </c>
      <c r="O456" s="8">
        <v>9</v>
      </c>
      <c r="P456" s="8">
        <v>35</v>
      </c>
      <c r="Q456" s="8">
        <v>4</v>
      </c>
      <c r="R456" s="8">
        <v>9</v>
      </c>
      <c r="S456" s="8">
        <v>1</v>
      </c>
      <c r="T456" s="3" t="s">
        <v>69</v>
      </c>
      <c r="U456" s="10">
        <v>703</v>
      </c>
      <c r="V456" s="32">
        <v>6</v>
      </c>
      <c r="W456" s="27">
        <v>8.5348506401137988E-3</v>
      </c>
      <c r="X456" s="34">
        <v>0</v>
      </c>
      <c r="Y456" s="27">
        <v>0</v>
      </c>
      <c r="Z456" s="27">
        <v>0</v>
      </c>
      <c r="AA456" s="35">
        <v>5</v>
      </c>
      <c r="AB456" s="27">
        <v>0.83333333333333337</v>
      </c>
      <c r="AC456" s="27">
        <f t="shared" si="43"/>
        <v>7.1123755334281651E-3</v>
      </c>
      <c r="AD456" s="36">
        <v>0</v>
      </c>
      <c r="AE456" s="27">
        <v>0</v>
      </c>
      <c r="AF456" s="27">
        <f t="shared" si="44"/>
        <v>0</v>
      </c>
      <c r="AG456" s="37">
        <v>1</v>
      </c>
      <c r="AH456" s="27">
        <v>0.16666666666666666</v>
      </c>
      <c r="AI456" s="27">
        <f t="shared" si="45"/>
        <v>1.4224751066856331E-3</v>
      </c>
      <c r="AJ456" s="38">
        <v>0</v>
      </c>
      <c r="AK456" s="27">
        <v>0</v>
      </c>
      <c r="AL456" s="27">
        <f t="shared" si="46"/>
        <v>0</v>
      </c>
      <c r="AM456" s="40">
        <v>0</v>
      </c>
      <c r="AN456" s="27">
        <v>0</v>
      </c>
      <c r="AO456" s="27">
        <f t="shared" si="47"/>
        <v>0</v>
      </c>
      <c r="AP456" s="7" t="b">
        <v>1</v>
      </c>
      <c r="AQ456" s="6" t="b">
        <v>0</v>
      </c>
      <c r="AR456" s="6" t="b">
        <v>0</v>
      </c>
      <c r="AS456" s="6" t="b">
        <v>0</v>
      </c>
      <c r="AT456" s="7" t="b">
        <v>1</v>
      </c>
      <c r="AU456" s="6" t="b">
        <v>0</v>
      </c>
      <c r="AV456" s="6" t="b">
        <v>0</v>
      </c>
      <c r="AW456" s="6" t="b">
        <v>0</v>
      </c>
      <c r="AX456" s="6" t="b">
        <v>0</v>
      </c>
      <c r="AY456" s="6" t="b">
        <v>0</v>
      </c>
      <c r="AZ456" s="6" t="b">
        <v>0</v>
      </c>
      <c r="BA456" s="6" t="b">
        <v>0</v>
      </c>
      <c r="BB456" s="6" t="b">
        <v>0</v>
      </c>
    </row>
    <row r="457" spans="1:54" ht="15" x14ac:dyDescent="0.25">
      <c r="A457" s="3" t="s">
        <v>970</v>
      </c>
      <c r="B457" s="3" t="str">
        <f ca="1">IFERROR(__xludf.DUMMYFUNCTION("SPLIT(A457,""/"")"),"icloud-photos-downloader")</f>
        <v>icloud-photos-downloader</v>
      </c>
      <c r="C457" s="3" t="str">
        <f ca="1">IFERROR(__xludf.DUMMYFUNCTION("""COMPUTED_VALUE"""),"icloud_photos_downloader")</f>
        <v>icloud_photos_downloader</v>
      </c>
      <c r="D457" s="4" t="s">
        <v>971</v>
      </c>
      <c r="E457" s="5">
        <v>42503.907986111109</v>
      </c>
      <c r="F457" s="5">
        <v>44295.024467592593</v>
      </c>
      <c r="G457" s="13">
        <f t="shared" si="42"/>
        <v>1791.1164814814838</v>
      </c>
      <c r="H457" s="6" t="b">
        <v>0</v>
      </c>
      <c r="I457" s="7" t="b">
        <v>1</v>
      </c>
      <c r="J457" s="8">
        <v>1794</v>
      </c>
      <c r="K457" s="8">
        <v>75</v>
      </c>
      <c r="L457" s="8">
        <v>242</v>
      </c>
      <c r="M457" s="8">
        <v>5</v>
      </c>
      <c r="N457" s="8">
        <v>5</v>
      </c>
      <c r="O457" s="8">
        <v>22</v>
      </c>
      <c r="P457" s="8">
        <v>130</v>
      </c>
      <c r="Q457" s="8">
        <v>8</v>
      </c>
      <c r="R457" s="8">
        <v>190</v>
      </c>
      <c r="S457" s="8">
        <v>34</v>
      </c>
      <c r="T457" s="3" t="s">
        <v>72</v>
      </c>
      <c r="U457" s="10">
        <v>1628</v>
      </c>
      <c r="V457" s="32">
        <v>20</v>
      </c>
      <c r="W457" s="27">
        <v>1.2285012285012284E-2</v>
      </c>
      <c r="X457" s="34">
        <v>6</v>
      </c>
      <c r="Y457" s="27">
        <v>0.3</v>
      </c>
      <c r="Z457" s="27">
        <v>3.6855036855036856E-3</v>
      </c>
      <c r="AA457" s="35">
        <v>8</v>
      </c>
      <c r="AB457" s="27">
        <v>0.4</v>
      </c>
      <c r="AC457" s="27">
        <f t="shared" si="43"/>
        <v>4.9140049140049139E-3</v>
      </c>
      <c r="AD457" s="36">
        <v>0</v>
      </c>
      <c r="AE457" s="27">
        <v>0</v>
      </c>
      <c r="AF457" s="27">
        <f t="shared" si="44"/>
        <v>0</v>
      </c>
      <c r="AG457" s="37">
        <v>4</v>
      </c>
      <c r="AH457" s="27">
        <v>0.2</v>
      </c>
      <c r="AI457" s="27">
        <f t="shared" si="45"/>
        <v>2.4570024570024569E-3</v>
      </c>
      <c r="AJ457" s="38">
        <v>0</v>
      </c>
      <c r="AK457" s="27">
        <v>0</v>
      </c>
      <c r="AL457" s="27">
        <f t="shared" si="46"/>
        <v>0</v>
      </c>
      <c r="AM457" s="40">
        <v>2</v>
      </c>
      <c r="AN457" s="27">
        <v>0.1</v>
      </c>
      <c r="AO457" s="27">
        <f t="shared" si="47"/>
        <v>1.2285012285012285E-3</v>
      </c>
      <c r="AP457" s="7" t="b">
        <v>1</v>
      </c>
      <c r="AQ457" s="6" t="b">
        <v>0</v>
      </c>
      <c r="AR457" s="6" t="b">
        <v>0</v>
      </c>
      <c r="AS457" s="6" t="b">
        <v>0</v>
      </c>
      <c r="AT457" s="7" t="b">
        <v>1</v>
      </c>
      <c r="AU457" s="6" t="b">
        <v>0</v>
      </c>
      <c r="AV457" s="6" t="b">
        <v>0</v>
      </c>
      <c r="AW457" s="6" t="b">
        <v>0</v>
      </c>
      <c r="AX457" s="6" t="b">
        <v>0</v>
      </c>
      <c r="AY457" s="6" t="b">
        <v>0</v>
      </c>
      <c r="AZ457" s="6" t="b">
        <v>0</v>
      </c>
      <c r="BA457" s="6" t="b">
        <v>0</v>
      </c>
      <c r="BB457" s="6" t="b">
        <v>0</v>
      </c>
    </row>
    <row r="458" spans="1:54" ht="15" x14ac:dyDescent="0.25">
      <c r="A458" s="3" t="s">
        <v>972</v>
      </c>
      <c r="B458" s="3" t="str">
        <f ca="1">IFERROR(__xludf.DUMMYFUNCTION("SPLIT(A458,""/"")"),"ICLRandD")</f>
        <v>ICLRandD</v>
      </c>
      <c r="C458" s="3" t="str">
        <f ca="1">IFERROR(__xludf.DUMMYFUNCTION("""COMPUTED_VALUE"""),"Blackstone")</f>
        <v>Blackstone</v>
      </c>
      <c r="D458" s="4" t="s">
        <v>973</v>
      </c>
      <c r="E458" s="5">
        <v>43549.471215277779</v>
      </c>
      <c r="F458" s="5">
        <v>44292.785219907404</v>
      </c>
      <c r="G458" s="13">
        <f t="shared" si="42"/>
        <v>743.31400462962483</v>
      </c>
      <c r="H458" s="6" t="b">
        <v>0</v>
      </c>
      <c r="I458" s="6" t="b">
        <v>0</v>
      </c>
      <c r="J458" s="8">
        <v>470</v>
      </c>
      <c r="K458" s="8">
        <v>36</v>
      </c>
      <c r="L458" s="8">
        <v>65</v>
      </c>
      <c r="M458" s="8">
        <v>0</v>
      </c>
      <c r="N458" s="8">
        <v>1</v>
      </c>
      <c r="O458" s="8">
        <v>5</v>
      </c>
      <c r="P458" s="8">
        <v>12</v>
      </c>
      <c r="Q458" s="8">
        <v>3</v>
      </c>
      <c r="R458" s="8">
        <v>16</v>
      </c>
      <c r="S458" s="8">
        <v>8</v>
      </c>
      <c r="T458" s="3" t="s">
        <v>69</v>
      </c>
      <c r="U458" s="10">
        <v>1041</v>
      </c>
      <c r="V458" s="32">
        <v>5</v>
      </c>
      <c r="W458" s="27">
        <v>4.8030739673390974E-3</v>
      </c>
      <c r="X458" s="34">
        <v>0</v>
      </c>
      <c r="Y458" s="27">
        <v>0</v>
      </c>
      <c r="Z458" s="27">
        <v>0</v>
      </c>
      <c r="AA458" s="35">
        <v>3</v>
      </c>
      <c r="AB458" s="27">
        <v>0.6</v>
      </c>
      <c r="AC458" s="27">
        <f t="shared" si="43"/>
        <v>2.881844380403458E-3</v>
      </c>
      <c r="AD458" s="36">
        <v>0</v>
      </c>
      <c r="AE458" s="27">
        <v>0</v>
      </c>
      <c r="AF458" s="27">
        <f t="shared" si="44"/>
        <v>0</v>
      </c>
      <c r="AG458" s="37">
        <v>2</v>
      </c>
      <c r="AH458" s="27">
        <v>0.4</v>
      </c>
      <c r="AI458" s="27">
        <f t="shared" si="45"/>
        <v>1.9212295869356388E-3</v>
      </c>
      <c r="AJ458" s="38">
        <v>0</v>
      </c>
      <c r="AK458" s="27">
        <v>0</v>
      </c>
      <c r="AL458" s="27">
        <f t="shared" si="46"/>
        <v>0</v>
      </c>
      <c r="AM458" s="40">
        <v>0</v>
      </c>
      <c r="AN458" s="27">
        <v>0</v>
      </c>
      <c r="AO458" s="27">
        <f t="shared" si="47"/>
        <v>0</v>
      </c>
      <c r="AP458" s="7" t="b">
        <v>1</v>
      </c>
      <c r="AQ458" s="6" t="b">
        <v>0</v>
      </c>
      <c r="AR458" s="6" t="b">
        <v>0</v>
      </c>
      <c r="AS458" s="6" t="b">
        <v>0</v>
      </c>
      <c r="AT458" s="7" t="b">
        <v>1</v>
      </c>
      <c r="AU458" s="6" t="b">
        <v>0</v>
      </c>
      <c r="AV458" s="6" t="b">
        <v>0</v>
      </c>
      <c r="AW458" s="6" t="b">
        <v>0</v>
      </c>
      <c r="AX458" s="6" t="b">
        <v>0</v>
      </c>
      <c r="AY458" s="6" t="b">
        <v>0</v>
      </c>
      <c r="AZ458" s="6" t="b">
        <v>0</v>
      </c>
      <c r="BA458" s="6" t="b">
        <v>0</v>
      </c>
      <c r="BB458" s="6" t="b">
        <v>0</v>
      </c>
    </row>
    <row r="459" spans="1:54" ht="15" x14ac:dyDescent="0.25">
      <c r="A459" s="3" t="s">
        <v>974</v>
      </c>
      <c r="B459" s="3" t="str">
        <f ca="1">IFERROR(__xludf.DUMMYFUNCTION("SPLIT(A459,""/"")"),"icopy-site")</f>
        <v>icopy-site</v>
      </c>
      <c r="C459" s="3" t="str">
        <f ca="1">IFERROR(__xludf.DUMMYFUNCTION("""COMPUTED_VALUE"""),"awesome-cn")</f>
        <v>awesome-cn</v>
      </c>
      <c r="D459" s="4" t="s">
        <v>975</v>
      </c>
      <c r="E459" s="5">
        <v>43509.199930555558</v>
      </c>
      <c r="F459" s="5">
        <v>44295.008703703701</v>
      </c>
      <c r="G459" s="13">
        <f t="shared" si="42"/>
        <v>785.80877314814279</v>
      </c>
      <c r="H459" s="6" t="b">
        <v>0</v>
      </c>
      <c r="I459" s="7" t="b">
        <v>1</v>
      </c>
      <c r="J459" s="8">
        <v>484</v>
      </c>
      <c r="K459" s="8">
        <v>21</v>
      </c>
      <c r="L459" s="8">
        <v>84</v>
      </c>
      <c r="M459" s="8">
        <v>0</v>
      </c>
      <c r="N459" s="8">
        <v>0</v>
      </c>
      <c r="O459" s="9">
        <v>0</v>
      </c>
      <c r="P459" s="8">
        <v>1</v>
      </c>
      <c r="Q459" s="8">
        <v>1</v>
      </c>
      <c r="R459" s="8">
        <v>3</v>
      </c>
      <c r="S459" s="8">
        <v>3</v>
      </c>
      <c r="T459" s="3" t="s">
        <v>69</v>
      </c>
      <c r="U459" s="10">
        <v>153</v>
      </c>
      <c r="V459" s="32">
        <v>3</v>
      </c>
      <c r="W459" s="27">
        <v>1.9607843137254902E-2</v>
      </c>
      <c r="X459" s="34">
        <v>1</v>
      </c>
      <c r="Y459" s="27">
        <v>0.33333333333333331</v>
      </c>
      <c r="Z459" s="27">
        <v>6.5359477124183009E-3</v>
      </c>
      <c r="AA459" s="35">
        <v>0</v>
      </c>
      <c r="AB459" s="27">
        <v>0</v>
      </c>
      <c r="AC459" s="27">
        <f t="shared" si="43"/>
        <v>0</v>
      </c>
      <c r="AD459" s="36">
        <v>2</v>
      </c>
      <c r="AE459" s="27">
        <v>0.66666666666666663</v>
      </c>
      <c r="AF459" s="27">
        <f t="shared" si="44"/>
        <v>1.3071895424836602E-2</v>
      </c>
      <c r="AG459" s="37">
        <v>0</v>
      </c>
      <c r="AH459" s="27">
        <v>0</v>
      </c>
      <c r="AI459" s="27">
        <f t="shared" si="45"/>
        <v>0</v>
      </c>
      <c r="AJ459" s="38">
        <v>0</v>
      </c>
      <c r="AK459" s="27">
        <v>0</v>
      </c>
      <c r="AL459" s="27">
        <f t="shared" si="46"/>
        <v>0</v>
      </c>
      <c r="AM459" s="40">
        <v>0</v>
      </c>
      <c r="AN459" s="27">
        <v>0</v>
      </c>
      <c r="AO459" s="27">
        <f t="shared" si="47"/>
        <v>0</v>
      </c>
      <c r="AP459" s="7" t="b">
        <v>1</v>
      </c>
      <c r="AQ459" s="6" t="b">
        <v>0</v>
      </c>
      <c r="AR459" s="6" t="b">
        <v>0</v>
      </c>
      <c r="AS459" s="6" t="b">
        <v>0</v>
      </c>
      <c r="AT459" s="7" t="b">
        <v>1</v>
      </c>
      <c r="AU459" s="6" t="b">
        <v>0</v>
      </c>
      <c r="AV459" s="6" t="b">
        <v>0</v>
      </c>
      <c r="AW459" s="6" t="b">
        <v>0</v>
      </c>
      <c r="AX459" s="6" t="b">
        <v>0</v>
      </c>
      <c r="AY459" s="6" t="b">
        <v>0</v>
      </c>
      <c r="AZ459" s="6" t="b">
        <v>0</v>
      </c>
      <c r="BA459" s="6" t="b">
        <v>0</v>
      </c>
      <c r="BB459" s="6" t="b">
        <v>0</v>
      </c>
    </row>
    <row r="460" spans="1:54" ht="15" x14ac:dyDescent="0.25">
      <c r="A460" s="3" t="s">
        <v>976</v>
      </c>
      <c r="B460" s="3" t="str">
        <f ca="1">IFERROR(__xludf.DUMMYFUNCTION("SPLIT(A460,""/"")"),"idank")</f>
        <v>idank</v>
      </c>
      <c r="C460" s="3" t="str">
        <f ca="1">IFERROR(__xludf.DUMMYFUNCTION("""COMPUTED_VALUE"""),"explainshell")</f>
        <v>explainshell</v>
      </c>
      <c r="D460" s="4" t="s">
        <v>977</v>
      </c>
      <c r="E460" s="5">
        <v>41516.472349537034</v>
      </c>
      <c r="F460" s="5">
        <v>44294.90016203704</v>
      </c>
      <c r="G460" s="13">
        <f t="shared" si="42"/>
        <v>2778.4278125000055</v>
      </c>
      <c r="H460" s="6" t="b">
        <v>0</v>
      </c>
      <c r="I460" s="6" t="b">
        <v>0</v>
      </c>
      <c r="J460" s="8">
        <v>9174</v>
      </c>
      <c r="K460" s="8">
        <v>195</v>
      </c>
      <c r="L460" s="8">
        <v>558</v>
      </c>
      <c r="M460" s="8">
        <v>0</v>
      </c>
      <c r="N460" s="8">
        <v>0</v>
      </c>
      <c r="O460" s="8">
        <v>15</v>
      </c>
      <c r="P460" s="8">
        <v>37</v>
      </c>
      <c r="Q460" s="8">
        <v>11</v>
      </c>
      <c r="R460" s="8">
        <v>237</v>
      </c>
      <c r="S460" s="8">
        <v>114</v>
      </c>
      <c r="T460" s="3" t="s">
        <v>49</v>
      </c>
      <c r="U460" s="10">
        <v>2494</v>
      </c>
      <c r="V460" s="32">
        <v>70</v>
      </c>
      <c r="W460" s="27">
        <v>2.8067361668003207E-2</v>
      </c>
      <c r="X460" s="34">
        <v>5</v>
      </c>
      <c r="Y460" s="27">
        <v>7.1428571428571425E-2</v>
      </c>
      <c r="Z460" s="27">
        <v>2.0048115477145148E-3</v>
      </c>
      <c r="AA460" s="35">
        <v>49</v>
      </c>
      <c r="AB460" s="27">
        <v>0.7</v>
      </c>
      <c r="AC460" s="27">
        <f t="shared" si="43"/>
        <v>1.9647153167602245E-2</v>
      </c>
      <c r="AD460" s="36">
        <v>5</v>
      </c>
      <c r="AE460" s="27">
        <v>7.1428571428571425E-2</v>
      </c>
      <c r="AF460" s="27">
        <f t="shared" si="44"/>
        <v>2.0048115477145148E-3</v>
      </c>
      <c r="AG460" s="37">
        <v>9</v>
      </c>
      <c r="AH460" s="27">
        <v>0.12857142857142856</v>
      </c>
      <c r="AI460" s="27">
        <f t="shared" si="45"/>
        <v>3.6086607858861267E-3</v>
      </c>
      <c r="AJ460" s="38">
        <v>2</v>
      </c>
      <c r="AK460" s="27">
        <v>2.8571428571428571E-2</v>
      </c>
      <c r="AL460" s="27">
        <f t="shared" si="46"/>
        <v>8.0192461908580592E-4</v>
      </c>
      <c r="AM460" s="40">
        <v>0</v>
      </c>
      <c r="AN460" s="27">
        <v>0</v>
      </c>
      <c r="AO460" s="27">
        <f t="shared" si="47"/>
        <v>0</v>
      </c>
      <c r="AP460" s="7" t="b">
        <v>1</v>
      </c>
      <c r="AQ460" s="7" t="b">
        <v>1</v>
      </c>
      <c r="AR460" s="6" t="b">
        <v>0</v>
      </c>
      <c r="AS460" s="6" t="b">
        <v>0</v>
      </c>
      <c r="AT460" s="7" t="b">
        <v>1</v>
      </c>
      <c r="AU460" s="6" t="b">
        <v>0</v>
      </c>
      <c r="AV460" s="6" t="b">
        <v>0</v>
      </c>
      <c r="AW460" s="6" t="b">
        <v>0</v>
      </c>
      <c r="AX460" s="6" t="b">
        <v>0</v>
      </c>
      <c r="AY460" s="6" t="b">
        <v>0</v>
      </c>
      <c r="AZ460" s="6" t="b">
        <v>0</v>
      </c>
      <c r="BA460" s="6" t="b">
        <v>0</v>
      </c>
      <c r="BB460" s="6" t="b">
        <v>0</v>
      </c>
    </row>
    <row r="461" spans="1:54" ht="15" x14ac:dyDescent="0.25">
      <c r="A461" s="3" t="s">
        <v>978</v>
      </c>
      <c r="B461" s="3" t="str">
        <f ca="1">IFERROR(__xludf.DUMMYFUNCTION("SPLIT(A461,""/"")"),"IDSIA")</f>
        <v>IDSIA</v>
      </c>
      <c r="C461" s="3" t="str">
        <f ca="1">IFERROR(__xludf.DUMMYFUNCTION("""COMPUTED_VALUE"""),"sacred")</f>
        <v>sacred</v>
      </c>
      <c r="D461" s="4" t="s">
        <v>979</v>
      </c>
      <c r="E461" s="5">
        <v>41729.753807870373</v>
      </c>
      <c r="F461" s="5">
        <v>44294.851921296293</v>
      </c>
      <c r="G461" s="13">
        <f t="shared" si="42"/>
        <v>2565.09811342592</v>
      </c>
      <c r="H461" s="6" t="b">
        <v>0</v>
      </c>
      <c r="I461" s="7" t="b">
        <v>1</v>
      </c>
      <c r="J461" s="8">
        <v>3403</v>
      </c>
      <c r="K461" s="8">
        <v>87</v>
      </c>
      <c r="L461" s="8">
        <v>311</v>
      </c>
      <c r="M461" s="8">
        <v>10</v>
      </c>
      <c r="N461" s="8">
        <v>3</v>
      </c>
      <c r="O461" s="8">
        <v>81</v>
      </c>
      <c r="P461" s="8">
        <v>324</v>
      </c>
      <c r="Q461" s="8">
        <v>5</v>
      </c>
      <c r="R461" s="8">
        <v>490</v>
      </c>
      <c r="S461" s="8">
        <v>87</v>
      </c>
      <c r="T461" s="3" t="s">
        <v>72</v>
      </c>
      <c r="U461" s="10">
        <v>9982</v>
      </c>
      <c r="V461" s="32">
        <v>45</v>
      </c>
      <c r="W461" s="27">
        <v>4.5081146062913241E-3</v>
      </c>
      <c r="X461" s="34">
        <v>8</v>
      </c>
      <c r="Y461" s="27">
        <v>0.17777777777777778</v>
      </c>
      <c r="Z461" s="27">
        <v>8.0144259667401323E-4</v>
      </c>
      <c r="AA461" s="35">
        <v>11</v>
      </c>
      <c r="AB461" s="27">
        <v>0.24444444444444444</v>
      </c>
      <c r="AC461" s="27">
        <f t="shared" si="43"/>
        <v>1.1019835704267683E-3</v>
      </c>
      <c r="AD461" s="36">
        <v>24</v>
      </c>
      <c r="AE461" s="27">
        <v>0.53333333333333333</v>
      </c>
      <c r="AF461" s="27">
        <f t="shared" si="44"/>
        <v>2.4043277900220395E-3</v>
      </c>
      <c r="AG461" s="37">
        <v>2</v>
      </c>
      <c r="AH461" s="27">
        <v>4.4444444444444446E-2</v>
      </c>
      <c r="AI461" s="27">
        <f t="shared" si="45"/>
        <v>2.0036064916850331E-4</v>
      </c>
      <c r="AJ461" s="38">
        <v>0</v>
      </c>
      <c r="AK461" s="27">
        <v>0</v>
      </c>
      <c r="AL461" s="27">
        <f t="shared" si="46"/>
        <v>0</v>
      </c>
      <c r="AM461" s="40">
        <v>0</v>
      </c>
      <c r="AN461" s="27">
        <v>0</v>
      </c>
      <c r="AO461" s="27">
        <f t="shared" si="47"/>
        <v>0</v>
      </c>
      <c r="AP461" s="7" t="b">
        <v>1</v>
      </c>
      <c r="AQ461" s="7" t="b">
        <v>1</v>
      </c>
      <c r="AR461" s="6" t="b">
        <v>0</v>
      </c>
      <c r="AS461" s="6" t="b">
        <v>0</v>
      </c>
      <c r="AT461" s="7" t="b">
        <v>1</v>
      </c>
      <c r="AU461" s="6" t="b">
        <v>0</v>
      </c>
      <c r="AV461" s="6" t="b">
        <v>0</v>
      </c>
      <c r="AW461" s="6" t="b">
        <v>0</v>
      </c>
      <c r="AX461" s="6" t="b">
        <v>0</v>
      </c>
      <c r="AY461" s="6" t="b">
        <v>0</v>
      </c>
      <c r="AZ461" s="6" t="b">
        <v>0</v>
      </c>
      <c r="BA461" s="6" t="b">
        <v>0</v>
      </c>
      <c r="BB461" s="6" t="b">
        <v>0</v>
      </c>
    </row>
    <row r="462" spans="1:54" ht="15" x14ac:dyDescent="0.25">
      <c r="A462" s="3" t="s">
        <v>980</v>
      </c>
      <c r="B462" s="3" t="str">
        <f ca="1">IFERROR(__xludf.DUMMYFUNCTION("SPLIT(A462,""/"")"),"ifzhang")</f>
        <v>ifzhang</v>
      </c>
      <c r="C462" s="3" t="str">
        <f ca="1">IFERROR(__xludf.DUMMYFUNCTION("""COMPUTED_VALUE"""),"FairMOT")</f>
        <v>FairMOT</v>
      </c>
      <c r="D462" s="4" t="s">
        <v>981</v>
      </c>
      <c r="E462" s="5">
        <v>43925.325555555559</v>
      </c>
      <c r="F462" s="5">
        <v>44295.17</v>
      </c>
      <c r="G462" s="13">
        <f t="shared" si="42"/>
        <v>369.84444444443943</v>
      </c>
      <c r="H462" s="6" t="b">
        <v>0</v>
      </c>
      <c r="I462" s="6" t="b">
        <v>0</v>
      </c>
      <c r="J462" s="8">
        <v>2498</v>
      </c>
      <c r="K462" s="8">
        <v>81</v>
      </c>
      <c r="L462" s="8">
        <v>563</v>
      </c>
      <c r="M462" s="8">
        <v>0</v>
      </c>
      <c r="N462" s="8">
        <v>3</v>
      </c>
      <c r="O462" s="8">
        <v>8</v>
      </c>
      <c r="P462" s="8">
        <v>26</v>
      </c>
      <c r="Q462" s="8">
        <v>7</v>
      </c>
      <c r="R462" s="8">
        <v>342</v>
      </c>
      <c r="S462" s="8">
        <v>208</v>
      </c>
      <c r="T462" s="3" t="s">
        <v>72</v>
      </c>
      <c r="U462" s="10">
        <v>5780</v>
      </c>
      <c r="V462" s="32">
        <v>27</v>
      </c>
      <c r="W462" s="27">
        <v>4.6712802768166086E-3</v>
      </c>
      <c r="X462" s="34">
        <v>5</v>
      </c>
      <c r="Y462" s="27">
        <v>0.18518518518518517</v>
      </c>
      <c r="Z462" s="27">
        <v>8.6505190311418688E-4</v>
      </c>
      <c r="AA462" s="35">
        <v>18</v>
      </c>
      <c r="AB462" s="27">
        <v>0.66666666666666663</v>
      </c>
      <c r="AC462" s="27">
        <f t="shared" si="43"/>
        <v>3.1141868512110727E-3</v>
      </c>
      <c r="AD462" s="36">
        <v>0</v>
      </c>
      <c r="AE462" s="27">
        <v>0</v>
      </c>
      <c r="AF462" s="27">
        <f t="shared" si="44"/>
        <v>0</v>
      </c>
      <c r="AG462" s="37">
        <v>4</v>
      </c>
      <c r="AH462" s="27">
        <v>0.14814814814814814</v>
      </c>
      <c r="AI462" s="27">
        <f t="shared" si="45"/>
        <v>6.9204152249134946E-4</v>
      </c>
      <c r="AJ462" s="38">
        <v>0</v>
      </c>
      <c r="AK462" s="27">
        <v>0</v>
      </c>
      <c r="AL462" s="27">
        <f t="shared" si="46"/>
        <v>0</v>
      </c>
      <c r="AM462" s="40">
        <v>0</v>
      </c>
      <c r="AN462" s="27">
        <v>0</v>
      </c>
      <c r="AO462" s="27">
        <f t="shared" si="47"/>
        <v>0</v>
      </c>
      <c r="AP462" s="7" t="b">
        <v>1</v>
      </c>
      <c r="AQ462" s="6" t="b">
        <v>0</v>
      </c>
      <c r="AR462" s="6" t="b">
        <v>0</v>
      </c>
      <c r="AS462" s="6" t="b">
        <v>0</v>
      </c>
      <c r="AT462" s="7" t="b">
        <v>1</v>
      </c>
      <c r="AU462" s="6" t="b">
        <v>0</v>
      </c>
      <c r="AV462" s="6" t="b">
        <v>0</v>
      </c>
      <c r="AW462" s="6" t="b">
        <v>0</v>
      </c>
      <c r="AX462" s="6" t="b">
        <v>0</v>
      </c>
      <c r="AY462" s="6" t="b">
        <v>0</v>
      </c>
      <c r="AZ462" s="6" t="b">
        <v>0</v>
      </c>
      <c r="BA462" s="6" t="b">
        <v>0</v>
      </c>
      <c r="BB462" s="6" t="b">
        <v>0</v>
      </c>
    </row>
    <row r="463" spans="1:54" ht="15" x14ac:dyDescent="0.25">
      <c r="A463" s="3" t="s">
        <v>982</v>
      </c>
      <c r="B463" s="3" t="str">
        <f ca="1">IFERROR(__xludf.DUMMYFUNCTION("SPLIT(A463,""/"")"),"ilius")</f>
        <v>ilius</v>
      </c>
      <c r="C463" s="3" t="str">
        <f ca="1">IFERROR(__xludf.DUMMYFUNCTION("""COMPUTED_VALUE"""),"pyglossary")</f>
        <v>pyglossary</v>
      </c>
      <c r="D463" s="4" t="s">
        <v>983</v>
      </c>
      <c r="E463" s="5">
        <v>40566.433680555558</v>
      </c>
      <c r="F463" s="5">
        <v>44295.110509259262</v>
      </c>
      <c r="G463" s="13">
        <f t="shared" si="42"/>
        <v>3728.6768287037048</v>
      </c>
      <c r="H463" s="6" t="b">
        <v>0</v>
      </c>
      <c r="I463" s="6" t="b">
        <v>0</v>
      </c>
      <c r="J463" s="8">
        <v>1268</v>
      </c>
      <c r="K463" s="8">
        <v>61</v>
      </c>
      <c r="L463" s="8">
        <v>159</v>
      </c>
      <c r="M463" s="8">
        <v>10</v>
      </c>
      <c r="N463" s="8">
        <v>43</v>
      </c>
      <c r="O463" s="8">
        <v>16</v>
      </c>
      <c r="P463" s="8">
        <v>45</v>
      </c>
      <c r="Q463" s="8">
        <v>0</v>
      </c>
      <c r="R463" s="8">
        <v>263</v>
      </c>
      <c r="S463" s="8">
        <v>8</v>
      </c>
      <c r="T463" s="3" t="s">
        <v>92</v>
      </c>
      <c r="U463" s="10">
        <v>18827</v>
      </c>
      <c r="V463" s="32">
        <v>458</v>
      </c>
      <c r="W463" s="27">
        <v>2.4326764752748711E-2</v>
      </c>
      <c r="X463" s="34">
        <v>93</v>
      </c>
      <c r="Y463" s="27">
        <v>0.20305676855895197</v>
      </c>
      <c r="Z463" s="27">
        <v>4.9397142401869654E-3</v>
      </c>
      <c r="AA463" s="35">
        <v>90</v>
      </c>
      <c r="AB463" s="27">
        <v>0.1965065502183406</v>
      </c>
      <c r="AC463" s="27">
        <f t="shared" si="43"/>
        <v>4.7803686195357735E-3</v>
      </c>
      <c r="AD463" s="36">
        <v>81</v>
      </c>
      <c r="AE463" s="27">
        <v>0.17685589519650655</v>
      </c>
      <c r="AF463" s="27">
        <f t="shared" si="44"/>
        <v>4.3023317575821961E-3</v>
      </c>
      <c r="AG463" s="37">
        <v>182</v>
      </c>
      <c r="AH463" s="27">
        <v>0.39737991266375544</v>
      </c>
      <c r="AI463" s="27">
        <f t="shared" si="45"/>
        <v>9.6669676528390071E-3</v>
      </c>
      <c r="AJ463" s="38">
        <v>11</v>
      </c>
      <c r="AK463" s="27">
        <v>2.4017467248908297E-2</v>
      </c>
      <c r="AL463" s="27">
        <f t="shared" si="46"/>
        <v>5.8426727572103896E-4</v>
      </c>
      <c r="AM463" s="40">
        <v>1</v>
      </c>
      <c r="AN463" s="27">
        <v>2.1834061135371178E-3</v>
      </c>
      <c r="AO463" s="27">
        <f t="shared" si="47"/>
        <v>5.3115206883730811E-5</v>
      </c>
      <c r="AP463" s="7" t="b">
        <v>1</v>
      </c>
      <c r="AQ463" s="6" t="b">
        <v>0</v>
      </c>
      <c r="AR463" s="6" t="b">
        <v>0</v>
      </c>
      <c r="AS463" s="6" t="b">
        <v>0</v>
      </c>
      <c r="AT463" s="7" t="b">
        <v>1</v>
      </c>
      <c r="AU463" s="6" t="b">
        <v>0</v>
      </c>
      <c r="AV463" s="6" t="b">
        <v>0</v>
      </c>
      <c r="AW463" s="6" t="b">
        <v>0</v>
      </c>
      <c r="AX463" s="6" t="b">
        <v>0</v>
      </c>
      <c r="AY463" s="6" t="b">
        <v>0</v>
      </c>
      <c r="AZ463" s="6" t="b">
        <v>0</v>
      </c>
      <c r="BA463" s="6" t="b">
        <v>0</v>
      </c>
      <c r="BB463" s="6" t="b">
        <v>0</v>
      </c>
    </row>
    <row r="464" spans="1:54" ht="15" x14ac:dyDescent="0.25">
      <c r="A464" s="3" t="s">
        <v>984</v>
      </c>
      <c r="B464" s="3" t="str">
        <f ca="1">IFERROR(__xludf.DUMMYFUNCTION("SPLIT(A464,""/"")"),"implus")</f>
        <v>implus</v>
      </c>
      <c r="C464" s="3" t="str">
        <f ca="1">IFERROR(__xludf.DUMMYFUNCTION("""COMPUTED_VALUE"""),"GFocal")</f>
        <v>GFocal</v>
      </c>
      <c r="D464" s="4" t="s">
        <v>985</v>
      </c>
      <c r="E464" s="5">
        <v>43895.479849537034</v>
      </c>
      <c r="F464" s="5">
        <v>44292.115636574075</v>
      </c>
      <c r="G464" s="13">
        <f t="shared" si="42"/>
        <v>396.63578703704115</v>
      </c>
      <c r="H464" s="6" t="b">
        <v>0</v>
      </c>
      <c r="I464" s="6" t="b">
        <v>0</v>
      </c>
      <c r="J464" s="8">
        <v>388</v>
      </c>
      <c r="K464" s="8">
        <v>11</v>
      </c>
      <c r="L464" s="8">
        <v>46</v>
      </c>
      <c r="M464" s="8">
        <v>0</v>
      </c>
      <c r="N464" s="8">
        <v>0</v>
      </c>
      <c r="O464" s="9">
        <v>0</v>
      </c>
      <c r="P464" s="8">
        <v>0</v>
      </c>
      <c r="Q464" s="8">
        <v>0</v>
      </c>
      <c r="R464" s="8">
        <v>23</v>
      </c>
      <c r="S464" s="8">
        <v>12</v>
      </c>
      <c r="T464" s="3" t="s">
        <v>69</v>
      </c>
      <c r="U464" s="10">
        <v>15599</v>
      </c>
      <c r="V464" s="32">
        <v>16</v>
      </c>
      <c r="W464" s="27">
        <v>1.0257067760753894E-3</v>
      </c>
      <c r="X464" s="34">
        <v>5</v>
      </c>
      <c r="Y464" s="27">
        <v>0.3125</v>
      </c>
      <c r="Z464" s="27">
        <v>3.2053336752355918E-4</v>
      </c>
      <c r="AA464" s="35">
        <v>5</v>
      </c>
      <c r="AB464" s="27">
        <v>0.3125</v>
      </c>
      <c r="AC464" s="27">
        <f t="shared" si="43"/>
        <v>3.2053336752355918E-4</v>
      </c>
      <c r="AD464" s="36">
        <v>4</v>
      </c>
      <c r="AE464" s="27">
        <v>0.25</v>
      </c>
      <c r="AF464" s="27">
        <f t="shared" si="44"/>
        <v>2.5642669401884736E-4</v>
      </c>
      <c r="AG464" s="37">
        <v>0</v>
      </c>
      <c r="AH464" s="27">
        <v>0</v>
      </c>
      <c r="AI464" s="27">
        <f t="shared" si="45"/>
        <v>0</v>
      </c>
      <c r="AJ464" s="38">
        <v>0</v>
      </c>
      <c r="AK464" s="27">
        <v>0</v>
      </c>
      <c r="AL464" s="27">
        <f t="shared" si="46"/>
        <v>0</v>
      </c>
      <c r="AM464" s="40">
        <v>2</v>
      </c>
      <c r="AN464" s="27">
        <v>0.125</v>
      </c>
      <c r="AO464" s="27">
        <f t="shared" si="47"/>
        <v>1.2821334700942368E-4</v>
      </c>
      <c r="AP464" s="7" t="b">
        <v>1</v>
      </c>
      <c r="AQ464" s="6" t="b">
        <v>0</v>
      </c>
      <c r="AR464" s="6" t="b">
        <v>0</v>
      </c>
      <c r="AS464" s="6" t="b">
        <v>0</v>
      </c>
      <c r="AT464" s="7" t="b">
        <v>1</v>
      </c>
      <c r="AU464" s="6" t="b">
        <v>0</v>
      </c>
      <c r="AV464" s="6" t="b">
        <v>0</v>
      </c>
      <c r="AW464" s="6" t="b">
        <v>0</v>
      </c>
      <c r="AX464" s="6" t="b">
        <v>0</v>
      </c>
      <c r="AY464" s="6" t="b">
        <v>0</v>
      </c>
      <c r="AZ464" s="6" t="b">
        <v>0</v>
      </c>
      <c r="BA464" s="6" t="b">
        <v>0</v>
      </c>
      <c r="BB464" s="6" t="b">
        <v>0</v>
      </c>
    </row>
    <row r="465" spans="1:54" ht="15" x14ac:dyDescent="0.25">
      <c r="A465" s="3" t="s">
        <v>986</v>
      </c>
      <c r="B465" s="3" t="str">
        <f ca="1">IFERROR(__xludf.DUMMYFUNCTION("SPLIT(A465,""/"")"),"imWildCat")</f>
        <v>imWildCat</v>
      </c>
      <c r="C465" s="3" t="str">
        <f ca="1">IFERROR(__xludf.DUMMYFUNCTION("""COMPUTED_VALUE"""),"scylla")</f>
        <v>scylla</v>
      </c>
      <c r="D465" s="4" t="s">
        <v>987</v>
      </c>
      <c r="E465" s="5">
        <v>43200.413321759261</v>
      </c>
      <c r="F465" s="5">
        <v>44293.850671296299</v>
      </c>
      <c r="G465" s="13">
        <f t="shared" si="42"/>
        <v>1093.4373495370382</v>
      </c>
      <c r="H465" s="6" t="b">
        <v>0</v>
      </c>
      <c r="I465" s="6" t="b">
        <v>0</v>
      </c>
      <c r="J465" s="8">
        <v>3194</v>
      </c>
      <c r="K465" s="8">
        <v>86</v>
      </c>
      <c r="L465" s="8">
        <v>392</v>
      </c>
      <c r="M465" s="8">
        <v>7</v>
      </c>
      <c r="N465" s="8">
        <v>1</v>
      </c>
      <c r="O465" s="8">
        <v>10</v>
      </c>
      <c r="P465" s="8">
        <v>55</v>
      </c>
      <c r="Q465" s="8">
        <v>8</v>
      </c>
      <c r="R465" s="8">
        <v>83</v>
      </c>
      <c r="S465" s="8">
        <v>36</v>
      </c>
      <c r="T465" s="3" t="s">
        <v>69</v>
      </c>
      <c r="U465" s="10">
        <v>1601</v>
      </c>
      <c r="V465" s="32">
        <v>28</v>
      </c>
      <c r="W465" s="27">
        <v>1.7489069331667707E-2</v>
      </c>
      <c r="X465" s="34">
        <v>14</v>
      </c>
      <c r="Y465" s="27">
        <v>0.5</v>
      </c>
      <c r="Z465" s="27">
        <v>8.7445346658338533E-3</v>
      </c>
      <c r="AA465" s="35">
        <v>12</v>
      </c>
      <c r="AB465" s="27">
        <v>0.42857142857142855</v>
      </c>
      <c r="AC465" s="27">
        <f t="shared" si="43"/>
        <v>7.4953154278575894E-3</v>
      </c>
      <c r="AD465" s="36">
        <v>1</v>
      </c>
      <c r="AE465" s="27">
        <v>3.5714285714285712E-2</v>
      </c>
      <c r="AF465" s="27">
        <f t="shared" si="44"/>
        <v>6.2460961898813238E-4</v>
      </c>
      <c r="AG465" s="37">
        <v>1</v>
      </c>
      <c r="AH465" s="27">
        <v>3.5714285714285712E-2</v>
      </c>
      <c r="AI465" s="27">
        <f t="shared" si="45"/>
        <v>6.2460961898813238E-4</v>
      </c>
      <c r="AJ465" s="38">
        <v>0</v>
      </c>
      <c r="AK465" s="27">
        <v>0</v>
      </c>
      <c r="AL465" s="27">
        <f t="shared" si="46"/>
        <v>0</v>
      </c>
      <c r="AM465" s="40">
        <v>0</v>
      </c>
      <c r="AN465" s="27">
        <v>0</v>
      </c>
      <c r="AO465" s="27">
        <f t="shared" si="47"/>
        <v>0</v>
      </c>
      <c r="AP465" s="7" t="b">
        <v>1</v>
      </c>
      <c r="AQ465" s="6" t="b">
        <v>0</v>
      </c>
      <c r="AR465" s="6" t="b">
        <v>0</v>
      </c>
      <c r="AS465" s="6" t="b">
        <v>0</v>
      </c>
      <c r="AT465" s="7" t="b">
        <v>1</v>
      </c>
      <c r="AU465" s="6" t="b">
        <v>0</v>
      </c>
      <c r="AV465" s="6" t="b">
        <v>0</v>
      </c>
      <c r="AW465" s="6" t="b">
        <v>0</v>
      </c>
      <c r="AX465" s="6" t="b">
        <v>0</v>
      </c>
      <c r="AY465" s="6" t="b">
        <v>0</v>
      </c>
      <c r="AZ465" s="6" t="b">
        <v>0</v>
      </c>
      <c r="BA465" s="6" t="b">
        <v>0</v>
      </c>
      <c r="BB465" s="6" t="b">
        <v>0</v>
      </c>
    </row>
    <row r="466" spans="1:54" ht="15" x14ac:dyDescent="0.25">
      <c r="A466" s="3" t="s">
        <v>988</v>
      </c>
      <c r="B466" s="3" t="str">
        <f ca="1">IFERROR(__xludf.DUMMYFUNCTION("SPLIT(A466,""/"")"),"insanum")</f>
        <v>insanum</v>
      </c>
      <c r="C466" s="3" t="str">
        <f ca="1">IFERROR(__xludf.DUMMYFUNCTION("""COMPUTED_VALUE"""),"sncli")</f>
        <v>sncli</v>
      </c>
      <c r="D466" s="4" t="s">
        <v>989</v>
      </c>
      <c r="E466" s="5">
        <v>41834.24927083333</v>
      </c>
      <c r="F466" s="5">
        <v>44293.718877314815</v>
      </c>
      <c r="G466" s="13">
        <f t="shared" si="42"/>
        <v>2459.4696064814852</v>
      </c>
      <c r="H466" s="6" t="b">
        <v>0</v>
      </c>
      <c r="I466" s="6" t="b">
        <v>0</v>
      </c>
      <c r="J466" s="8">
        <v>327</v>
      </c>
      <c r="K466" s="8">
        <v>18</v>
      </c>
      <c r="L466" s="8">
        <v>27</v>
      </c>
      <c r="M466" s="8">
        <v>3</v>
      </c>
      <c r="N466" s="8">
        <v>2</v>
      </c>
      <c r="O466" s="8">
        <v>13</v>
      </c>
      <c r="P466" s="8">
        <v>27</v>
      </c>
      <c r="Q466" s="8">
        <v>3</v>
      </c>
      <c r="R466" s="8">
        <v>79</v>
      </c>
      <c r="S466" s="8">
        <v>21</v>
      </c>
      <c r="T466" s="3" t="s">
        <v>72</v>
      </c>
      <c r="U466" s="10">
        <v>2234</v>
      </c>
      <c r="V466" s="32">
        <v>62</v>
      </c>
      <c r="W466" s="27">
        <v>2.775290957923008E-2</v>
      </c>
      <c r="X466" s="34">
        <v>8</v>
      </c>
      <c r="Y466" s="27">
        <v>0.12903225806451613</v>
      </c>
      <c r="Z466" s="27">
        <v>3.5810205908683975E-3</v>
      </c>
      <c r="AA466" s="35">
        <v>0</v>
      </c>
      <c r="AB466" s="27">
        <v>0</v>
      </c>
      <c r="AC466" s="27">
        <f t="shared" si="43"/>
        <v>0</v>
      </c>
      <c r="AD466" s="36">
        <v>1</v>
      </c>
      <c r="AE466" s="27">
        <v>1.6129032258064516E-2</v>
      </c>
      <c r="AF466" s="27">
        <f t="shared" si="44"/>
        <v>4.4762757385854968E-4</v>
      </c>
      <c r="AG466" s="37">
        <v>17</v>
      </c>
      <c r="AH466" s="27">
        <v>0.27419354838709675</v>
      </c>
      <c r="AI466" s="27">
        <f t="shared" si="45"/>
        <v>7.609668755595345E-3</v>
      </c>
      <c r="AJ466" s="38">
        <v>0</v>
      </c>
      <c r="AK466" s="27">
        <v>0</v>
      </c>
      <c r="AL466" s="27">
        <f t="shared" si="46"/>
        <v>0</v>
      </c>
      <c r="AM466" s="40">
        <v>35</v>
      </c>
      <c r="AN466" s="27">
        <v>0.56451612903225812</v>
      </c>
      <c r="AO466" s="27">
        <f t="shared" si="47"/>
        <v>1.566696508504924E-2</v>
      </c>
      <c r="AP466" s="7" t="b">
        <v>1</v>
      </c>
      <c r="AQ466" s="6" t="b">
        <v>0</v>
      </c>
      <c r="AR466" s="6" t="b">
        <v>0</v>
      </c>
      <c r="AS466" s="6" t="b">
        <v>0</v>
      </c>
      <c r="AT466" s="7" t="b">
        <v>1</v>
      </c>
      <c r="AU466" s="6" t="b">
        <v>0</v>
      </c>
      <c r="AV466" s="6" t="b">
        <v>0</v>
      </c>
      <c r="AW466" s="6" t="b">
        <v>0</v>
      </c>
      <c r="AX466" s="6" t="b">
        <v>0</v>
      </c>
      <c r="AY466" s="6" t="b">
        <v>0</v>
      </c>
      <c r="AZ466" s="6" t="b">
        <v>0</v>
      </c>
      <c r="BA466" s="6" t="b">
        <v>0</v>
      </c>
      <c r="BB466" s="6" t="b">
        <v>0</v>
      </c>
    </row>
    <row r="467" spans="1:54" ht="15" x14ac:dyDescent="0.25">
      <c r="A467" s="3" t="s">
        <v>990</v>
      </c>
      <c r="B467" s="3" t="str">
        <f ca="1">IFERROR(__xludf.DUMMYFUNCTION("SPLIT(A467,""/"")"),"IntelAI")</f>
        <v>IntelAI</v>
      </c>
      <c r="C467" s="3" t="str">
        <f ca="1">IFERROR(__xludf.DUMMYFUNCTION("""COMPUTED_VALUE"""),"nauta")</f>
        <v>nauta</v>
      </c>
      <c r="D467" s="4" t="s">
        <v>991</v>
      </c>
      <c r="E467" s="5">
        <v>43474.873993055553</v>
      </c>
      <c r="F467" s="5">
        <v>44263.557835648149</v>
      </c>
      <c r="G467" s="13">
        <f t="shared" si="42"/>
        <v>788.68384259259619</v>
      </c>
      <c r="H467" s="6" t="b">
        <v>0</v>
      </c>
      <c r="I467" s="7" t="b">
        <v>1</v>
      </c>
      <c r="J467" s="8">
        <v>396</v>
      </c>
      <c r="K467" s="8">
        <v>38</v>
      </c>
      <c r="L467" s="8">
        <v>62</v>
      </c>
      <c r="M467" s="8">
        <v>4</v>
      </c>
      <c r="N467" s="8">
        <v>0</v>
      </c>
      <c r="O467" s="8">
        <v>22</v>
      </c>
      <c r="P467" s="8">
        <v>25</v>
      </c>
      <c r="Q467" s="8">
        <v>8</v>
      </c>
      <c r="R467" s="8">
        <v>34</v>
      </c>
      <c r="S467" s="8">
        <v>13</v>
      </c>
      <c r="T467" s="3" t="s">
        <v>69</v>
      </c>
      <c r="U467" s="10">
        <v>18444</v>
      </c>
      <c r="V467" s="32">
        <v>311</v>
      </c>
      <c r="W467" s="27">
        <v>1.6861852092821514E-2</v>
      </c>
      <c r="X467" s="34">
        <v>111</v>
      </c>
      <c r="Y467" s="27">
        <v>0.35691318327974275</v>
      </c>
      <c r="Z467" s="27">
        <v>6.0182173064411192E-3</v>
      </c>
      <c r="AA467" s="35">
        <v>37</v>
      </c>
      <c r="AB467" s="27">
        <v>0.11897106109324759</v>
      </c>
      <c r="AC467" s="27">
        <f t="shared" si="43"/>
        <v>2.0060724354803729E-3</v>
      </c>
      <c r="AD467" s="36">
        <v>12</v>
      </c>
      <c r="AE467" s="27">
        <v>3.8585209003215437E-2</v>
      </c>
      <c r="AF467" s="27">
        <f t="shared" si="44"/>
        <v>6.5061808718282373E-4</v>
      </c>
      <c r="AG467" s="37">
        <v>150</v>
      </c>
      <c r="AH467" s="27">
        <v>0.48231511254019294</v>
      </c>
      <c r="AI467" s="27">
        <f t="shared" si="45"/>
        <v>8.1327260897852954E-3</v>
      </c>
      <c r="AJ467" s="38">
        <v>1</v>
      </c>
      <c r="AK467" s="27">
        <v>3.2154340836012861E-3</v>
      </c>
      <c r="AL467" s="27">
        <f t="shared" si="46"/>
        <v>5.4218173931901971E-5</v>
      </c>
      <c r="AM467" s="40">
        <v>0</v>
      </c>
      <c r="AN467" s="27">
        <v>0</v>
      </c>
      <c r="AO467" s="27">
        <f t="shared" si="47"/>
        <v>0</v>
      </c>
      <c r="AP467" s="7" t="b">
        <v>1</v>
      </c>
      <c r="AQ467" s="6" t="b">
        <v>0</v>
      </c>
      <c r="AR467" s="6" t="b">
        <v>0</v>
      </c>
      <c r="AS467" s="6" t="b">
        <v>0</v>
      </c>
      <c r="AT467" s="7" t="b">
        <v>1</v>
      </c>
      <c r="AU467" s="6" t="b">
        <v>0</v>
      </c>
      <c r="AV467" s="6" t="b">
        <v>0</v>
      </c>
      <c r="AW467" s="6" t="b">
        <v>0</v>
      </c>
      <c r="AX467" s="6" t="b">
        <v>0</v>
      </c>
      <c r="AY467" s="6" t="b">
        <v>0</v>
      </c>
      <c r="AZ467" s="6" t="b">
        <v>0</v>
      </c>
      <c r="BA467" s="6" t="b">
        <v>0</v>
      </c>
      <c r="BB467" s="6" t="b">
        <v>0</v>
      </c>
    </row>
    <row r="468" spans="1:54" ht="15" x14ac:dyDescent="0.25">
      <c r="A468" s="3" t="s">
        <v>992</v>
      </c>
      <c r="B468" s="3" t="str">
        <f ca="1">IFERROR(__xludf.DUMMYFUNCTION("SPLIT(A468,""/"")"),"IntelLabs")</f>
        <v>IntelLabs</v>
      </c>
      <c r="C468" s="3" t="str">
        <f ca="1">IFERROR(__xludf.DUMMYFUNCTION("""COMPUTED_VALUE"""),"coach")</f>
        <v>coach</v>
      </c>
      <c r="D468" s="4" t="s">
        <v>993</v>
      </c>
      <c r="E468" s="5">
        <v>43009.810914351852</v>
      </c>
      <c r="F468" s="5">
        <v>44295.169374999998</v>
      </c>
      <c r="G468" s="13">
        <f t="shared" si="42"/>
        <v>1285.3584606481454</v>
      </c>
      <c r="H468" s="6" t="b">
        <v>0</v>
      </c>
      <c r="I468" s="7" t="b">
        <v>1</v>
      </c>
      <c r="J468" s="8">
        <v>1953</v>
      </c>
      <c r="K468" s="8">
        <v>131</v>
      </c>
      <c r="L468" s="8">
        <v>378</v>
      </c>
      <c r="M468" s="8">
        <v>9</v>
      </c>
      <c r="N468" s="8">
        <v>1</v>
      </c>
      <c r="O468" s="8">
        <v>31</v>
      </c>
      <c r="P468" s="8">
        <v>217</v>
      </c>
      <c r="Q468" s="8">
        <v>8</v>
      </c>
      <c r="R468" s="8">
        <v>259</v>
      </c>
      <c r="S468" s="8">
        <v>76</v>
      </c>
      <c r="T468" s="3" t="s">
        <v>69</v>
      </c>
      <c r="U468" s="10">
        <v>22551</v>
      </c>
      <c r="V468" s="32">
        <v>85</v>
      </c>
      <c r="W468" s="27">
        <v>3.7692341803024255E-3</v>
      </c>
      <c r="X468" s="34">
        <v>0</v>
      </c>
      <c r="Y468" s="27">
        <v>0</v>
      </c>
      <c r="Z468" s="27">
        <v>0</v>
      </c>
      <c r="AA468" s="35">
        <v>3</v>
      </c>
      <c r="AB468" s="27">
        <v>3.5294117647058823E-2</v>
      </c>
      <c r="AC468" s="27">
        <f t="shared" si="43"/>
        <v>1.3303179459890914E-4</v>
      </c>
      <c r="AD468" s="36">
        <v>20</v>
      </c>
      <c r="AE468" s="27">
        <v>0.23529411764705882</v>
      </c>
      <c r="AF468" s="27">
        <f t="shared" si="44"/>
        <v>8.868786306593943E-4</v>
      </c>
      <c r="AG468" s="37">
        <v>54</v>
      </c>
      <c r="AH468" s="27">
        <v>0.63529411764705879</v>
      </c>
      <c r="AI468" s="27">
        <f t="shared" si="45"/>
        <v>2.3945723027803643E-3</v>
      </c>
      <c r="AJ468" s="38">
        <v>0</v>
      </c>
      <c r="AK468" s="27">
        <v>0</v>
      </c>
      <c r="AL468" s="27">
        <f t="shared" si="46"/>
        <v>0</v>
      </c>
      <c r="AM468" s="40">
        <v>8</v>
      </c>
      <c r="AN468" s="27">
        <v>9.4117647058823528E-2</v>
      </c>
      <c r="AO468" s="27">
        <f t="shared" si="47"/>
        <v>3.5475145226375769E-4</v>
      </c>
      <c r="AP468" s="7" t="b">
        <v>1</v>
      </c>
      <c r="AQ468" s="6" t="b">
        <v>0</v>
      </c>
      <c r="AR468" s="6" t="b">
        <v>0</v>
      </c>
      <c r="AS468" s="6" t="b">
        <v>0</v>
      </c>
      <c r="AT468" s="7" t="b">
        <v>1</v>
      </c>
      <c r="AU468" s="6" t="b">
        <v>0</v>
      </c>
      <c r="AV468" s="6" t="b">
        <v>0</v>
      </c>
      <c r="AW468" s="6" t="b">
        <v>0</v>
      </c>
      <c r="AX468" s="6" t="b">
        <v>0</v>
      </c>
      <c r="AY468" s="6" t="b">
        <v>0</v>
      </c>
      <c r="AZ468" s="6" t="b">
        <v>0</v>
      </c>
      <c r="BA468" s="6" t="b">
        <v>0</v>
      </c>
      <c r="BB468" s="6" t="b">
        <v>0</v>
      </c>
    </row>
    <row r="469" spans="1:54" ht="15" x14ac:dyDescent="0.25">
      <c r="A469" s="3" t="s">
        <v>994</v>
      </c>
      <c r="B469" s="3" t="str">
        <f ca="1">IFERROR(__xludf.DUMMYFUNCTION("SPLIT(A469,""/"")"),"IntelLabs")</f>
        <v>IntelLabs</v>
      </c>
      <c r="C469" s="3" t="str">
        <f ca="1">IFERROR(__xludf.DUMMYFUNCTION("""COMPUTED_VALUE"""),"nlp-architect")</f>
        <v>nlp-architect</v>
      </c>
      <c r="D469" s="4" t="s">
        <v>995</v>
      </c>
      <c r="E469" s="5">
        <v>43237.875150462962</v>
      </c>
      <c r="F469" s="5">
        <v>44294.428171296298</v>
      </c>
      <c r="G469" s="13">
        <f t="shared" si="42"/>
        <v>1056.5530208333366</v>
      </c>
      <c r="H469" s="6" t="b">
        <v>0</v>
      </c>
      <c r="I469" s="7" t="b">
        <v>1</v>
      </c>
      <c r="J469" s="8">
        <v>2629</v>
      </c>
      <c r="K469" s="8">
        <v>168</v>
      </c>
      <c r="L469" s="8">
        <v>393</v>
      </c>
      <c r="M469" s="8">
        <v>13</v>
      </c>
      <c r="N469" s="8">
        <v>0</v>
      </c>
      <c r="O469" s="8">
        <v>31</v>
      </c>
      <c r="P469" s="8">
        <v>98</v>
      </c>
      <c r="Q469" s="8">
        <v>10</v>
      </c>
      <c r="R469" s="8">
        <v>120</v>
      </c>
      <c r="S469" s="8">
        <v>15</v>
      </c>
      <c r="T469" s="3" t="s">
        <v>69</v>
      </c>
      <c r="U469" s="10">
        <v>21839</v>
      </c>
      <c r="V469" s="32">
        <v>280</v>
      </c>
      <c r="W469" s="27">
        <v>1.2821099867210037E-2</v>
      </c>
      <c r="X469" s="34">
        <v>1</v>
      </c>
      <c r="Y469" s="27">
        <v>3.5714285714285713E-3</v>
      </c>
      <c r="Z469" s="27">
        <v>4.5789642382892991E-5</v>
      </c>
      <c r="AA469" s="35">
        <v>231</v>
      </c>
      <c r="AB469" s="27">
        <v>0.82499999999999996</v>
      </c>
      <c r="AC469" s="27">
        <f t="shared" si="43"/>
        <v>1.057740739044828E-2</v>
      </c>
      <c r="AD469" s="36">
        <v>8</v>
      </c>
      <c r="AE469" s="27">
        <v>2.8571428571428571E-2</v>
      </c>
      <c r="AF469" s="27">
        <f t="shared" si="44"/>
        <v>3.6631713906314393E-4</v>
      </c>
      <c r="AG469" s="37">
        <v>39</v>
      </c>
      <c r="AH469" s="27">
        <v>0.13928571428571429</v>
      </c>
      <c r="AI469" s="27">
        <f t="shared" si="45"/>
        <v>1.7857960529328266E-3</v>
      </c>
      <c r="AJ469" s="38">
        <v>0</v>
      </c>
      <c r="AK469" s="27">
        <v>0</v>
      </c>
      <c r="AL469" s="27">
        <f t="shared" si="46"/>
        <v>0</v>
      </c>
      <c r="AM469" s="40">
        <v>0</v>
      </c>
      <c r="AN469" s="27">
        <v>0</v>
      </c>
      <c r="AO469" s="27">
        <f t="shared" si="47"/>
        <v>0</v>
      </c>
      <c r="AP469" s="7" t="b">
        <v>1</v>
      </c>
      <c r="AQ469" s="6" t="b">
        <v>0</v>
      </c>
      <c r="AR469" s="6" t="b">
        <v>0</v>
      </c>
      <c r="AS469" s="6" t="b">
        <v>0</v>
      </c>
      <c r="AT469" s="7" t="b">
        <v>1</v>
      </c>
      <c r="AU469" s="6" t="b">
        <v>0</v>
      </c>
      <c r="AV469" s="6" t="b">
        <v>0</v>
      </c>
      <c r="AW469" s="6" t="b">
        <v>0</v>
      </c>
      <c r="AX469" s="6" t="b">
        <v>0</v>
      </c>
      <c r="AY469" s="6" t="b">
        <v>0</v>
      </c>
      <c r="AZ469" s="6" t="b">
        <v>0</v>
      </c>
      <c r="BA469" s="6" t="b">
        <v>0</v>
      </c>
      <c r="BB469" s="6" t="b">
        <v>0</v>
      </c>
    </row>
    <row r="470" spans="1:54" ht="15" x14ac:dyDescent="0.25">
      <c r="A470" s="3" t="s">
        <v>996</v>
      </c>
      <c r="B470" s="3" t="str">
        <f ca="1">IFERROR(__xludf.DUMMYFUNCTION("SPLIT(A470,""/"")"),"intelowlproject")</f>
        <v>intelowlproject</v>
      </c>
      <c r="C470" s="3" t="str">
        <f ca="1">IFERROR(__xludf.DUMMYFUNCTION("""COMPUTED_VALUE"""),"IntelOwl")</f>
        <v>IntelOwl</v>
      </c>
      <c r="D470" s="4" t="s">
        <v>997</v>
      </c>
      <c r="E470" s="5">
        <v>43830.638101851851</v>
      </c>
      <c r="F470" s="5">
        <v>44294.851539351854</v>
      </c>
      <c r="G470" s="13">
        <f t="shared" si="42"/>
        <v>464.21343750000233</v>
      </c>
      <c r="H470" s="6" t="b">
        <v>0</v>
      </c>
      <c r="I470" s="7" t="b">
        <v>1</v>
      </c>
      <c r="J470" s="8">
        <v>1776</v>
      </c>
      <c r="K470" s="8">
        <v>75</v>
      </c>
      <c r="L470" s="8">
        <v>184</v>
      </c>
      <c r="M470" s="8">
        <v>24</v>
      </c>
      <c r="N470" s="8">
        <v>2</v>
      </c>
      <c r="O470" s="8">
        <v>21</v>
      </c>
      <c r="P470" s="8">
        <v>260</v>
      </c>
      <c r="Q470" s="8">
        <v>2</v>
      </c>
      <c r="R470" s="8">
        <v>134</v>
      </c>
      <c r="S470" s="8">
        <v>28</v>
      </c>
      <c r="T470" s="3" t="s">
        <v>366</v>
      </c>
      <c r="U470" s="10">
        <v>5636</v>
      </c>
      <c r="V470" s="32">
        <v>143</v>
      </c>
      <c r="W470" s="27">
        <v>2.5372604684173173E-2</v>
      </c>
      <c r="X470" s="34">
        <v>8</v>
      </c>
      <c r="Y470" s="27">
        <v>5.5944055944055944E-2</v>
      </c>
      <c r="Z470" s="27">
        <v>1.4194464158977999E-3</v>
      </c>
      <c r="AA470" s="35">
        <v>86</v>
      </c>
      <c r="AB470" s="27">
        <v>0.60139860139860135</v>
      </c>
      <c r="AC470" s="27">
        <f t="shared" si="43"/>
        <v>1.5259048970901348E-2</v>
      </c>
      <c r="AD470" s="36">
        <v>12</v>
      </c>
      <c r="AE470" s="27">
        <v>8.3916083916083919E-2</v>
      </c>
      <c r="AF470" s="27">
        <f t="shared" si="44"/>
        <v>2.1291696238466998E-3</v>
      </c>
      <c r="AG470" s="37">
        <v>28</v>
      </c>
      <c r="AH470" s="27">
        <v>0.19580419580419581</v>
      </c>
      <c r="AI470" s="27">
        <f t="shared" si="45"/>
        <v>4.9680624556422996E-3</v>
      </c>
      <c r="AJ470" s="38">
        <v>0</v>
      </c>
      <c r="AK470" s="27">
        <v>0</v>
      </c>
      <c r="AL470" s="27">
        <f t="shared" si="46"/>
        <v>0</v>
      </c>
      <c r="AM470" s="40">
        <v>0</v>
      </c>
      <c r="AN470" s="27">
        <v>0</v>
      </c>
      <c r="AO470" s="27">
        <f t="shared" si="47"/>
        <v>0</v>
      </c>
      <c r="AP470" s="7" t="b">
        <v>1</v>
      </c>
      <c r="AQ470" s="6" t="b">
        <v>0</v>
      </c>
      <c r="AR470" s="6" t="b">
        <v>0</v>
      </c>
      <c r="AS470" s="6" t="b">
        <v>0</v>
      </c>
      <c r="AT470" s="7" t="b">
        <v>1</v>
      </c>
      <c r="AU470" s="6" t="b">
        <v>0</v>
      </c>
      <c r="AV470" s="6" t="b">
        <v>0</v>
      </c>
      <c r="AW470" s="6" t="b">
        <v>0</v>
      </c>
      <c r="AX470" s="6" t="b">
        <v>0</v>
      </c>
      <c r="AY470" s="6" t="b">
        <v>0</v>
      </c>
      <c r="AZ470" s="6" t="b">
        <v>0</v>
      </c>
      <c r="BA470" s="6" t="b">
        <v>0</v>
      </c>
      <c r="BB470" s="6" t="b">
        <v>0</v>
      </c>
    </row>
    <row r="471" spans="1:54" ht="15" x14ac:dyDescent="0.25">
      <c r="A471" s="3" t="s">
        <v>998</v>
      </c>
      <c r="B471" s="3" t="str">
        <f ca="1">IFERROR(__xludf.DUMMYFUNCTION("SPLIT(A471,""/"")"),"internetarchive")</f>
        <v>internetarchive</v>
      </c>
      <c r="C471" s="3" t="str">
        <f ca="1">IFERROR(__xludf.DUMMYFUNCTION("""COMPUTED_VALUE"""),"openlibrary")</f>
        <v>openlibrary</v>
      </c>
      <c r="D471" s="4" t="s">
        <v>999</v>
      </c>
      <c r="E471" s="5">
        <v>39751.222384259258</v>
      </c>
      <c r="F471" s="5">
        <v>44294.925659722219</v>
      </c>
      <c r="G471" s="13">
        <f t="shared" si="42"/>
        <v>4543.7032754629618</v>
      </c>
      <c r="H471" s="6" t="b">
        <v>0</v>
      </c>
      <c r="I471" s="7" t="b">
        <v>1</v>
      </c>
      <c r="J471" s="8">
        <v>2781</v>
      </c>
      <c r="K471" s="8">
        <v>139</v>
      </c>
      <c r="L471" s="8">
        <v>646</v>
      </c>
      <c r="M471" s="8">
        <v>50</v>
      </c>
      <c r="N471" s="8">
        <v>114</v>
      </c>
      <c r="O471" s="8">
        <v>160</v>
      </c>
      <c r="P471" s="8">
        <v>2702</v>
      </c>
      <c r="Q471" s="8">
        <v>76</v>
      </c>
      <c r="R471" s="8">
        <v>2281</v>
      </c>
      <c r="S471" s="8">
        <v>566</v>
      </c>
      <c r="T471" s="3" t="s">
        <v>366</v>
      </c>
      <c r="U471" s="10">
        <v>40717</v>
      </c>
      <c r="V471" s="32">
        <v>281</v>
      </c>
      <c r="W471" s="27">
        <v>6.9012942996782671E-3</v>
      </c>
      <c r="X471" s="34">
        <v>41</v>
      </c>
      <c r="Y471" s="27">
        <v>0.14590747330960854</v>
      </c>
      <c r="Z471" s="27">
        <v>1.0069504138320604E-3</v>
      </c>
      <c r="AA471" s="35">
        <v>127</v>
      </c>
      <c r="AB471" s="27">
        <v>0.45195729537366547</v>
      </c>
      <c r="AC471" s="27">
        <f t="shared" si="43"/>
        <v>3.1190903062602842E-3</v>
      </c>
      <c r="AD471" s="36">
        <v>25</v>
      </c>
      <c r="AE471" s="27">
        <v>8.8967971530249115E-2</v>
      </c>
      <c r="AF471" s="27">
        <f t="shared" si="44"/>
        <v>6.1399415477564649E-4</v>
      </c>
      <c r="AG471" s="37">
        <v>80</v>
      </c>
      <c r="AH471" s="27">
        <v>0.28469750889679718</v>
      </c>
      <c r="AI471" s="27">
        <f t="shared" si="45"/>
        <v>1.9647812952820688E-3</v>
      </c>
      <c r="AJ471" s="38">
        <v>3</v>
      </c>
      <c r="AK471" s="27">
        <v>1.0676156583629894E-2</v>
      </c>
      <c r="AL471" s="27">
        <f t="shared" si="46"/>
        <v>7.3679298573077582E-5</v>
      </c>
      <c r="AM471" s="40">
        <v>4</v>
      </c>
      <c r="AN471" s="27">
        <v>1.4234875444839857E-2</v>
      </c>
      <c r="AO471" s="27">
        <f t="shared" si="47"/>
        <v>9.8239064764103442E-5</v>
      </c>
      <c r="AP471" s="7" t="b">
        <v>1</v>
      </c>
      <c r="AQ471" s="7" t="b">
        <v>1</v>
      </c>
      <c r="AR471" s="6" t="b">
        <v>0</v>
      </c>
      <c r="AS471" s="6" t="b">
        <v>0</v>
      </c>
      <c r="AT471" s="7" t="b">
        <v>1</v>
      </c>
      <c r="AU471" s="6" t="b">
        <v>0</v>
      </c>
      <c r="AV471" s="6" t="b">
        <v>0</v>
      </c>
      <c r="AW471" s="6" t="b">
        <v>0</v>
      </c>
      <c r="AX471" s="6" t="b">
        <v>0</v>
      </c>
      <c r="AY471" s="6" t="b">
        <v>0</v>
      </c>
      <c r="AZ471" s="6" t="b">
        <v>0</v>
      </c>
      <c r="BA471" s="6" t="b">
        <v>0</v>
      </c>
      <c r="BB471" s="6" t="b">
        <v>0</v>
      </c>
    </row>
    <row r="472" spans="1:54" ht="15" x14ac:dyDescent="0.25">
      <c r="A472" s="3" t="s">
        <v>1000</v>
      </c>
      <c r="B472" s="3" t="str">
        <f ca="1">IFERROR(__xludf.DUMMYFUNCTION("SPLIT(A472,""/"")"),"istresearch")</f>
        <v>istresearch</v>
      </c>
      <c r="C472" s="3" t="str">
        <f ca="1">IFERROR(__xludf.DUMMYFUNCTION("""COMPUTED_VALUE"""),"scrapy-cluster")</f>
        <v>scrapy-cluster</v>
      </c>
      <c r="D472" s="4" t="s">
        <v>1001</v>
      </c>
      <c r="E472" s="5">
        <v>42108.883379629631</v>
      </c>
      <c r="F472" s="5">
        <v>44294.941747685189</v>
      </c>
      <c r="G472" s="13">
        <f t="shared" si="42"/>
        <v>2186.0583680555574</v>
      </c>
      <c r="H472" s="6" t="b">
        <v>0</v>
      </c>
      <c r="I472" s="7" t="b">
        <v>1</v>
      </c>
      <c r="J472" s="8">
        <v>935</v>
      </c>
      <c r="K472" s="8">
        <v>103</v>
      </c>
      <c r="L472" s="8">
        <v>275</v>
      </c>
      <c r="M472" s="8">
        <v>5</v>
      </c>
      <c r="N472" s="8">
        <v>5</v>
      </c>
      <c r="O472" s="8">
        <v>25</v>
      </c>
      <c r="P472" s="8">
        <v>99</v>
      </c>
      <c r="Q472" s="8">
        <v>3</v>
      </c>
      <c r="R472" s="8">
        <v>155</v>
      </c>
      <c r="S472" s="8">
        <v>8</v>
      </c>
      <c r="T472" s="3" t="s">
        <v>72</v>
      </c>
      <c r="U472" s="10">
        <v>7956</v>
      </c>
      <c r="V472" s="32">
        <v>298</v>
      </c>
      <c r="W472" s="27">
        <v>3.7456008044243337E-2</v>
      </c>
      <c r="X472" s="34">
        <v>137</v>
      </c>
      <c r="Y472" s="27">
        <v>0.45973154362416108</v>
      </c>
      <c r="Z472" s="27">
        <v>1.7219708396178986E-2</v>
      </c>
      <c r="AA472" s="35">
        <v>72</v>
      </c>
      <c r="AB472" s="27">
        <v>0.24161073825503357</v>
      </c>
      <c r="AC472" s="27">
        <f t="shared" si="43"/>
        <v>9.0497737556561094E-3</v>
      </c>
      <c r="AD472" s="36">
        <v>38</v>
      </c>
      <c r="AE472" s="27">
        <v>0.12751677852348994</v>
      </c>
      <c r="AF472" s="27">
        <f t="shared" si="44"/>
        <v>4.7762694821518355E-3</v>
      </c>
      <c r="AG472" s="37">
        <v>56</v>
      </c>
      <c r="AH472" s="27">
        <v>0.18791946308724833</v>
      </c>
      <c r="AI472" s="27">
        <f t="shared" si="45"/>
        <v>7.0387129210658624E-3</v>
      </c>
      <c r="AJ472" s="38">
        <v>4</v>
      </c>
      <c r="AK472" s="27">
        <v>1.3422818791946308E-2</v>
      </c>
      <c r="AL472" s="27">
        <f t="shared" si="46"/>
        <v>5.0276520864756154E-4</v>
      </c>
      <c r="AM472" s="40">
        <v>0</v>
      </c>
      <c r="AN472" s="27">
        <v>0</v>
      </c>
      <c r="AO472" s="27">
        <f t="shared" si="47"/>
        <v>0</v>
      </c>
      <c r="AP472" s="6" t="b">
        <v>0</v>
      </c>
      <c r="AQ472" s="7" t="b">
        <v>1</v>
      </c>
      <c r="AR472" s="6" t="b">
        <v>0</v>
      </c>
      <c r="AS472" s="6" t="b">
        <v>0</v>
      </c>
      <c r="AT472" s="7" t="b">
        <v>1</v>
      </c>
      <c r="AU472" s="6" t="b">
        <v>0</v>
      </c>
      <c r="AV472" s="6" t="b">
        <v>0</v>
      </c>
      <c r="AW472" s="6" t="b">
        <v>0</v>
      </c>
      <c r="AX472" s="6" t="b">
        <v>0</v>
      </c>
      <c r="AY472" s="6" t="b">
        <v>0</v>
      </c>
      <c r="AZ472" s="6" t="b">
        <v>0</v>
      </c>
      <c r="BA472" s="6" t="b">
        <v>0</v>
      </c>
      <c r="BB472" s="6" t="b">
        <v>0</v>
      </c>
    </row>
    <row r="473" spans="1:54" ht="15" x14ac:dyDescent="0.25">
      <c r="A473" s="3" t="s">
        <v>1002</v>
      </c>
      <c r="B473" s="3" t="str">
        <f ca="1">IFERROR(__xludf.DUMMYFUNCTION("SPLIT(A473,""/"")"),"italomaia")</f>
        <v>italomaia</v>
      </c>
      <c r="C473" s="3" t="str">
        <f ca="1">IFERROR(__xludf.DUMMYFUNCTION("""COMPUTED_VALUE"""),"flask-empty")</f>
        <v>flask-empty</v>
      </c>
      <c r="D473" s="4" t="s">
        <v>1003</v>
      </c>
      <c r="E473" s="5">
        <v>40842.146736111114</v>
      </c>
      <c r="F473" s="5">
        <v>44289.585069444445</v>
      </c>
      <c r="G473" s="13">
        <f t="shared" si="42"/>
        <v>3447.4383333333317</v>
      </c>
      <c r="H473" s="6" t="b">
        <v>0</v>
      </c>
      <c r="I473" s="6" t="b">
        <v>0</v>
      </c>
      <c r="J473" s="8">
        <v>574</v>
      </c>
      <c r="K473" s="8">
        <v>14</v>
      </c>
      <c r="L473" s="8">
        <v>77</v>
      </c>
      <c r="M473" s="8">
        <v>1</v>
      </c>
      <c r="N473" s="8">
        <v>1</v>
      </c>
      <c r="O473" s="8">
        <v>12</v>
      </c>
      <c r="P473" s="8">
        <v>23</v>
      </c>
      <c r="Q473" s="8">
        <v>0</v>
      </c>
      <c r="R473" s="8">
        <v>19</v>
      </c>
      <c r="S473" s="8">
        <v>5</v>
      </c>
      <c r="T473" s="11" t="s">
        <v>52</v>
      </c>
      <c r="U473" s="10">
        <v>863</v>
      </c>
      <c r="V473" s="32">
        <v>8</v>
      </c>
      <c r="W473" s="27">
        <v>9.2699884125144842E-3</v>
      </c>
      <c r="X473" s="34">
        <v>0</v>
      </c>
      <c r="Y473" s="27">
        <v>0</v>
      </c>
      <c r="Z473" s="27">
        <v>0</v>
      </c>
      <c r="AA473" s="35">
        <v>5</v>
      </c>
      <c r="AB473" s="27">
        <v>0.625</v>
      </c>
      <c r="AC473" s="27">
        <f t="shared" si="43"/>
        <v>5.7937427578215531E-3</v>
      </c>
      <c r="AD473" s="36">
        <v>1</v>
      </c>
      <c r="AE473" s="27">
        <v>0.125</v>
      </c>
      <c r="AF473" s="27">
        <f t="shared" si="44"/>
        <v>1.1587485515643105E-3</v>
      </c>
      <c r="AG473" s="37">
        <v>2</v>
      </c>
      <c r="AH473" s="27">
        <v>0.25</v>
      </c>
      <c r="AI473" s="27">
        <f t="shared" si="45"/>
        <v>2.3174971031286211E-3</v>
      </c>
      <c r="AJ473" s="38">
        <v>0</v>
      </c>
      <c r="AK473" s="27">
        <v>0</v>
      </c>
      <c r="AL473" s="27">
        <f t="shared" si="46"/>
        <v>0</v>
      </c>
      <c r="AM473" s="40">
        <v>0</v>
      </c>
      <c r="AN473" s="27">
        <v>0</v>
      </c>
      <c r="AO473" s="27">
        <f t="shared" si="47"/>
        <v>0</v>
      </c>
      <c r="AP473" s="7" t="b">
        <v>1</v>
      </c>
      <c r="AQ473" s="6" t="b">
        <v>0</v>
      </c>
      <c r="AR473" s="6" t="b">
        <v>0</v>
      </c>
      <c r="AS473" s="6" t="b">
        <v>0</v>
      </c>
      <c r="AT473" s="7" t="b">
        <v>1</v>
      </c>
      <c r="AU473" s="6" t="b">
        <v>0</v>
      </c>
      <c r="AV473" s="6" t="b">
        <v>0</v>
      </c>
      <c r="AW473" s="6" t="b">
        <v>0</v>
      </c>
      <c r="AX473" s="6" t="b">
        <v>0</v>
      </c>
      <c r="AY473" s="6" t="b">
        <v>0</v>
      </c>
      <c r="AZ473" s="6" t="b">
        <v>0</v>
      </c>
      <c r="BA473" s="6" t="b">
        <v>0</v>
      </c>
      <c r="BB473" s="6" t="b">
        <v>0</v>
      </c>
    </row>
    <row r="474" spans="1:54" ht="15" x14ac:dyDescent="0.25">
      <c r="A474" s="3" t="s">
        <v>1004</v>
      </c>
      <c r="B474" s="3" t="str">
        <f ca="1">IFERROR(__xludf.DUMMYFUNCTION("SPLIT(A474,""/"")"),"iterative")</f>
        <v>iterative</v>
      </c>
      <c r="C474" s="3" t="str">
        <f ca="1">IFERROR(__xludf.DUMMYFUNCTION("""COMPUTED_VALUE"""),"dvc")</f>
        <v>dvc</v>
      </c>
      <c r="D474" s="4" t="s">
        <v>1005</v>
      </c>
      <c r="E474" s="5">
        <v>42798.344826388886</v>
      </c>
      <c r="F474" s="5">
        <v>44295.175219907411</v>
      </c>
      <c r="G474" s="13">
        <f t="shared" si="42"/>
        <v>1496.8303935185249</v>
      </c>
      <c r="H474" s="6" t="b">
        <v>0</v>
      </c>
      <c r="I474" s="7" t="b">
        <v>1</v>
      </c>
      <c r="J474" s="8">
        <v>7672</v>
      </c>
      <c r="K474" s="8">
        <v>124</v>
      </c>
      <c r="L474" s="8">
        <v>709</v>
      </c>
      <c r="M474" s="8">
        <v>324</v>
      </c>
      <c r="N474" s="8">
        <v>35</v>
      </c>
      <c r="O474" s="8">
        <v>208</v>
      </c>
      <c r="P474" s="8">
        <v>2884</v>
      </c>
      <c r="Q474" s="8">
        <v>19</v>
      </c>
      <c r="R474" s="8">
        <v>2841</v>
      </c>
      <c r="S474" s="8">
        <v>540</v>
      </c>
      <c r="T474" s="3" t="s">
        <v>69</v>
      </c>
      <c r="U474" s="10">
        <v>37548</v>
      </c>
      <c r="V474" s="32">
        <v>325</v>
      </c>
      <c r="W474" s="27">
        <v>8.6555875146479173E-3</v>
      </c>
      <c r="X474" s="34">
        <v>128</v>
      </c>
      <c r="Y474" s="27">
        <v>0.39384615384615385</v>
      </c>
      <c r="Z474" s="27">
        <v>3.4089698519228721E-3</v>
      </c>
      <c r="AA474" s="35">
        <v>90</v>
      </c>
      <c r="AB474" s="27">
        <v>0.27692307692307694</v>
      </c>
      <c r="AC474" s="27">
        <f t="shared" si="43"/>
        <v>2.3969319271332696E-3</v>
      </c>
      <c r="AD474" s="36">
        <v>35</v>
      </c>
      <c r="AE474" s="27">
        <v>0.1076923076923077</v>
      </c>
      <c r="AF474" s="27">
        <f t="shared" si="44"/>
        <v>9.3214019388516034E-4</v>
      </c>
      <c r="AG474" s="37">
        <v>65</v>
      </c>
      <c r="AH474" s="27">
        <v>0.2</v>
      </c>
      <c r="AI474" s="27">
        <f t="shared" si="45"/>
        <v>1.7311175029295835E-3</v>
      </c>
      <c r="AJ474" s="38">
        <v>0</v>
      </c>
      <c r="AK474" s="27">
        <v>0</v>
      </c>
      <c r="AL474" s="27">
        <f t="shared" si="46"/>
        <v>0</v>
      </c>
      <c r="AM474" s="40">
        <v>7</v>
      </c>
      <c r="AN474" s="27">
        <v>2.1538461538461538E-2</v>
      </c>
      <c r="AO474" s="27">
        <f t="shared" si="47"/>
        <v>1.8642803877703205E-4</v>
      </c>
      <c r="AP474" s="6" t="b">
        <v>0</v>
      </c>
      <c r="AQ474" s="7" t="b">
        <v>1</v>
      </c>
      <c r="AR474" s="6" t="b">
        <v>0</v>
      </c>
      <c r="AS474" s="6" t="b">
        <v>0</v>
      </c>
      <c r="AT474" s="7" t="b">
        <v>1</v>
      </c>
      <c r="AU474" s="6" t="b">
        <v>0</v>
      </c>
      <c r="AV474" s="6" t="b">
        <v>0</v>
      </c>
      <c r="AW474" s="6" t="b">
        <v>0</v>
      </c>
      <c r="AX474" s="6" t="b">
        <v>0</v>
      </c>
      <c r="AY474" s="6" t="b">
        <v>0</v>
      </c>
      <c r="AZ474" s="6" t="b">
        <v>0</v>
      </c>
      <c r="BA474" s="6" t="b">
        <v>0</v>
      </c>
      <c r="BB474" s="6" t="b">
        <v>0</v>
      </c>
    </row>
    <row r="475" spans="1:54" ht="15" x14ac:dyDescent="0.25">
      <c r="A475" s="3" t="s">
        <v>1006</v>
      </c>
      <c r="B475" s="3" t="str">
        <f ca="1">IFERROR(__xludf.DUMMYFUNCTION("SPLIT(A475,""/"")"),"its-a-feature")</f>
        <v>its-a-feature</v>
      </c>
      <c r="C475" s="3" t="str">
        <f ca="1">IFERROR(__xludf.DUMMYFUNCTION("""COMPUTED_VALUE"""),"Mythic")</f>
        <v>Mythic</v>
      </c>
      <c r="D475" s="4" t="s">
        <v>1007</v>
      </c>
      <c r="E475" s="5">
        <v>43286.090266203704</v>
      </c>
      <c r="F475" s="5">
        <v>44294.220659722225</v>
      </c>
      <c r="G475" s="13">
        <f t="shared" si="42"/>
        <v>1008.1303935185206</v>
      </c>
      <c r="H475" s="6" t="b">
        <v>0</v>
      </c>
      <c r="I475" s="6" t="b">
        <v>0</v>
      </c>
      <c r="J475" s="8">
        <v>1052</v>
      </c>
      <c r="K475" s="8">
        <v>41</v>
      </c>
      <c r="L475" s="8">
        <v>162</v>
      </c>
      <c r="M475" s="8">
        <v>0</v>
      </c>
      <c r="N475" s="8">
        <v>1</v>
      </c>
      <c r="O475" s="8">
        <v>12</v>
      </c>
      <c r="P475" s="8">
        <v>18</v>
      </c>
      <c r="Q475" s="8">
        <v>4</v>
      </c>
      <c r="R475" s="8">
        <v>50</v>
      </c>
      <c r="S475" s="8">
        <v>7</v>
      </c>
      <c r="T475" s="3" t="s">
        <v>92</v>
      </c>
      <c r="U475" s="10">
        <v>29719</v>
      </c>
      <c r="V475" s="32">
        <v>44</v>
      </c>
      <c r="W475" s="27">
        <v>1.4805343383020963E-3</v>
      </c>
      <c r="X475" s="34">
        <v>2</v>
      </c>
      <c r="Y475" s="27">
        <v>4.5454545454545456E-2</v>
      </c>
      <c r="Z475" s="27">
        <v>6.7297015377368015E-5</v>
      </c>
      <c r="AA475" s="35">
        <v>5</v>
      </c>
      <c r="AB475" s="27">
        <v>0.11363636363636363</v>
      </c>
      <c r="AC475" s="27">
        <f t="shared" si="43"/>
        <v>1.6824253844342004E-4</v>
      </c>
      <c r="AD475" s="36">
        <v>0</v>
      </c>
      <c r="AE475" s="27">
        <v>0</v>
      </c>
      <c r="AF475" s="27">
        <f t="shared" si="44"/>
        <v>0</v>
      </c>
      <c r="AG475" s="37">
        <v>37</v>
      </c>
      <c r="AH475" s="27">
        <v>0.84090909090909094</v>
      </c>
      <c r="AI475" s="27">
        <f t="shared" si="45"/>
        <v>1.2449947844813082E-3</v>
      </c>
      <c r="AJ475" s="38">
        <v>0</v>
      </c>
      <c r="AK475" s="27">
        <v>0</v>
      </c>
      <c r="AL475" s="27">
        <f t="shared" si="46"/>
        <v>0</v>
      </c>
      <c r="AM475" s="40">
        <v>0</v>
      </c>
      <c r="AN475" s="27">
        <v>0</v>
      </c>
      <c r="AO475" s="27">
        <f t="shared" si="47"/>
        <v>0</v>
      </c>
      <c r="AP475" s="7" t="b">
        <v>1</v>
      </c>
      <c r="AQ475" s="7" t="b">
        <v>1</v>
      </c>
      <c r="AR475" s="6" t="b">
        <v>0</v>
      </c>
      <c r="AS475" s="6" t="b">
        <v>0</v>
      </c>
      <c r="AT475" s="7" t="b">
        <v>1</v>
      </c>
      <c r="AU475" s="6" t="b">
        <v>0</v>
      </c>
      <c r="AV475" s="6" t="b">
        <v>0</v>
      </c>
      <c r="AW475" s="6" t="b">
        <v>0</v>
      </c>
      <c r="AX475" s="6" t="b">
        <v>0</v>
      </c>
      <c r="AY475" s="6" t="b">
        <v>0</v>
      </c>
      <c r="AZ475" s="6" t="b">
        <v>0</v>
      </c>
      <c r="BA475" s="6" t="b">
        <v>0</v>
      </c>
      <c r="BB475" s="6" t="b">
        <v>0</v>
      </c>
    </row>
    <row r="476" spans="1:54" ht="15" x14ac:dyDescent="0.25">
      <c r="A476" s="3" t="s">
        <v>1008</v>
      </c>
      <c r="B476" s="3" t="str">
        <f ca="1">IFERROR(__xludf.DUMMYFUNCTION("SPLIT(A476,""/"")"),"izar")</f>
        <v>izar</v>
      </c>
      <c r="C476" s="3" t="str">
        <f ca="1">IFERROR(__xludf.DUMMYFUNCTION("""COMPUTED_VALUE"""),"pytm")</f>
        <v>pytm</v>
      </c>
      <c r="D476" s="4" t="s">
        <v>1009</v>
      </c>
      <c r="E476" s="5">
        <v>43234.969525462962</v>
      </c>
      <c r="F476" s="5">
        <v>44294.611724537041</v>
      </c>
      <c r="G476" s="13">
        <f t="shared" si="42"/>
        <v>1059.6421990740782</v>
      </c>
      <c r="H476" s="6" t="b">
        <v>0</v>
      </c>
      <c r="I476" s="6" t="b">
        <v>0</v>
      </c>
      <c r="J476" s="8">
        <v>372</v>
      </c>
      <c r="K476" s="8">
        <v>26</v>
      </c>
      <c r="L476" s="8">
        <v>74</v>
      </c>
      <c r="M476" s="8">
        <v>2</v>
      </c>
      <c r="N476" s="8">
        <v>24</v>
      </c>
      <c r="O476" s="8">
        <v>14</v>
      </c>
      <c r="P476" s="8">
        <v>102</v>
      </c>
      <c r="Q476" s="8">
        <v>9</v>
      </c>
      <c r="R476" s="8">
        <v>53</v>
      </c>
      <c r="S476" s="8">
        <v>20</v>
      </c>
      <c r="T476" s="3" t="s">
        <v>92</v>
      </c>
      <c r="U476" s="10">
        <v>2406</v>
      </c>
      <c r="V476" s="32">
        <v>3</v>
      </c>
      <c r="W476" s="27">
        <v>1.2468827930174563E-3</v>
      </c>
      <c r="X476" s="34">
        <v>2</v>
      </c>
      <c r="Y476" s="27">
        <v>0.66666666666666663</v>
      </c>
      <c r="Z476" s="27">
        <v>8.3125519534497092E-4</v>
      </c>
      <c r="AA476" s="35">
        <v>0</v>
      </c>
      <c r="AB476" s="27">
        <v>0</v>
      </c>
      <c r="AC476" s="27">
        <f t="shared" si="43"/>
        <v>0</v>
      </c>
      <c r="AD476" s="36">
        <v>0</v>
      </c>
      <c r="AE476" s="27">
        <v>0</v>
      </c>
      <c r="AF476" s="27">
        <f t="shared" si="44"/>
        <v>0</v>
      </c>
      <c r="AG476" s="37">
        <v>1</v>
      </c>
      <c r="AH476" s="27">
        <v>0.33333333333333331</v>
      </c>
      <c r="AI476" s="27">
        <f t="shared" si="45"/>
        <v>4.1562759767248546E-4</v>
      </c>
      <c r="AJ476" s="38">
        <v>0</v>
      </c>
      <c r="AK476" s="27">
        <v>0</v>
      </c>
      <c r="AL476" s="27">
        <f t="shared" si="46"/>
        <v>0</v>
      </c>
      <c r="AM476" s="40">
        <v>0</v>
      </c>
      <c r="AN476" s="27">
        <v>0</v>
      </c>
      <c r="AO476" s="27">
        <f t="shared" si="47"/>
        <v>0</v>
      </c>
      <c r="AP476" s="7" t="b">
        <v>1</v>
      </c>
      <c r="AQ476" s="6" t="b">
        <v>0</v>
      </c>
      <c r="AR476" s="6" t="b">
        <v>0</v>
      </c>
      <c r="AS476" s="6" t="b">
        <v>0</v>
      </c>
      <c r="AT476" s="7" t="b">
        <v>1</v>
      </c>
      <c r="AU476" s="6" t="b">
        <v>0</v>
      </c>
      <c r="AV476" s="6" t="b">
        <v>0</v>
      </c>
      <c r="AW476" s="6" t="b">
        <v>0</v>
      </c>
      <c r="AX476" s="6" t="b">
        <v>0</v>
      </c>
      <c r="AY476" s="6" t="b">
        <v>0</v>
      </c>
      <c r="AZ476" s="6" t="b">
        <v>0</v>
      </c>
      <c r="BA476" s="6" t="b">
        <v>0</v>
      </c>
      <c r="BB476" s="6" t="b">
        <v>0</v>
      </c>
    </row>
    <row r="477" spans="1:54" ht="15" x14ac:dyDescent="0.25">
      <c r="A477" s="3" t="s">
        <v>1010</v>
      </c>
      <c r="B477" s="3" t="str">
        <f ca="1">IFERROR(__xludf.DUMMYFUNCTION("SPLIT(A477,""/"")"),"j-bennet")</f>
        <v>j-bennet</v>
      </c>
      <c r="C477" s="3" t="str">
        <f ca="1">IFERROR(__xludf.DUMMYFUNCTION("""COMPUTED_VALUE"""),"wharfee")</f>
        <v>wharfee</v>
      </c>
      <c r="D477" s="4" t="s">
        <v>1011</v>
      </c>
      <c r="E477" s="5">
        <v>42110.787210648145</v>
      </c>
      <c r="F477" s="5">
        <v>44293.329502314817</v>
      </c>
      <c r="G477" s="13">
        <f t="shared" si="42"/>
        <v>2182.5422916666721</v>
      </c>
      <c r="H477" s="6" t="b">
        <v>0</v>
      </c>
      <c r="I477" s="6" t="b">
        <v>0</v>
      </c>
      <c r="J477" s="8">
        <v>645</v>
      </c>
      <c r="K477" s="8">
        <v>31</v>
      </c>
      <c r="L477" s="8">
        <v>35</v>
      </c>
      <c r="M477" s="8">
        <v>0</v>
      </c>
      <c r="N477" s="8">
        <v>1</v>
      </c>
      <c r="O477" s="8">
        <v>13</v>
      </c>
      <c r="P477" s="8">
        <v>38</v>
      </c>
      <c r="Q477" s="8">
        <v>1</v>
      </c>
      <c r="R477" s="8">
        <v>125</v>
      </c>
      <c r="S477" s="8">
        <v>21</v>
      </c>
      <c r="T477" s="3" t="s">
        <v>57</v>
      </c>
      <c r="U477" s="10">
        <v>3034</v>
      </c>
      <c r="V477" s="32">
        <v>10</v>
      </c>
      <c r="W477" s="27">
        <v>3.2959789057350032E-3</v>
      </c>
      <c r="X477" s="34">
        <v>6</v>
      </c>
      <c r="Y477" s="27">
        <v>0.6</v>
      </c>
      <c r="Z477" s="27">
        <v>1.977587343441002E-3</v>
      </c>
      <c r="AA477" s="35">
        <v>0</v>
      </c>
      <c r="AB477" s="27">
        <v>0</v>
      </c>
      <c r="AC477" s="27">
        <f t="shared" si="43"/>
        <v>0</v>
      </c>
      <c r="AD477" s="36">
        <v>1</v>
      </c>
      <c r="AE477" s="27">
        <v>0.1</v>
      </c>
      <c r="AF477" s="27">
        <f t="shared" si="44"/>
        <v>3.295978905735003E-4</v>
      </c>
      <c r="AG477" s="37">
        <v>3</v>
      </c>
      <c r="AH477" s="27">
        <v>0.3</v>
      </c>
      <c r="AI477" s="27">
        <f t="shared" si="45"/>
        <v>9.8879367172050102E-4</v>
      </c>
      <c r="AJ477" s="38">
        <v>0</v>
      </c>
      <c r="AK477" s="27">
        <v>0</v>
      </c>
      <c r="AL477" s="27">
        <f t="shared" si="46"/>
        <v>0</v>
      </c>
      <c r="AM477" s="40">
        <v>0</v>
      </c>
      <c r="AN477" s="27">
        <v>0</v>
      </c>
      <c r="AO477" s="27">
        <f t="shared" si="47"/>
        <v>0</v>
      </c>
      <c r="AP477" s="7" t="b">
        <v>1</v>
      </c>
      <c r="AQ477" s="6" t="b">
        <v>0</v>
      </c>
      <c r="AR477" s="6" t="b">
        <v>0</v>
      </c>
      <c r="AS477" s="6" t="b">
        <v>0</v>
      </c>
      <c r="AT477" s="7" t="b">
        <v>1</v>
      </c>
      <c r="AU477" s="6" t="b">
        <v>0</v>
      </c>
      <c r="AV477" s="6" t="b">
        <v>0</v>
      </c>
      <c r="AW477" s="6" t="b">
        <v>0</v>
      </c>
      <c r="AX477" s="6" t="b">
        <v>0</v>
      </c>
      <c r="AY477" s="6" t="b">
        <v>0</v>
      </c>
      <c r="AZ477" s="6" t="b">
        <v>0</v>
      </c>
      <c r="BA477" s="6" t="b">
        <v>0</v>
      </c>
      <c r="BB477" s="6" t="b">
        <v>0</v>
      </c>
    </row>
    <row r="478" spans="1:54" ht="15" x14ac:dyDescent="0.25">
      <c r="A478" s="3" t="s">
        <v>1012</v>
      </c>
      <c r="B478" s="3" t="str">
        <f ca="1">IFERROR(__xludf.DUMMYFUNCTION("SPLIT(A478,""/"")"),"j3ssie")</f>
        <v>j3ssie</v>
      </c>
      <c r="C478" s="3" t="str">
        <f ca="1">IFERROR(__xludf.DUMMYFUNCTION("""COMPUTED_VALUE"""),"Osmedeus")</f>
        <v>Osmedeus</v>
      </c>
      <c r="D478" s="4" t="s">
        <v>1013</v>
      </c>
      <c r="E478" s="5">
        <v>43414.178680555553</v>
      </c>
      <c r="F478" s="5">
        <v>44294.283391203702</v>
      </c>
      <c r="G478" s="13">
        <f t="shared" si="42"/>
        <v>880.10471064814919</v>
      </c>
      <c r="H478" s="6" t="b">
        <v>0</v>
      </c>
      <c r="I478" s="6" t="b">
        <v>0</v>
      </c>
      <c r="J478" s="8">
        <v>3006</v>
      </c>
      <c r="K478" s="8">
        <v>124</v>
      </c>
      <c r="L478" s="8">
        <v>572</v>
      </c>
      <c r="M478" s="8">
        <v>9</v>
      </c>
      <c r="N478" s="8">
        <v>1</v>
      </c>
      <c r="O478" s="8">
        <v>15</v>
      </c>
      <c r="P478" s="8">
        <v>35</v>
      </c>
      <c r="Q478" s="8">
        <v>5</v>
      </c>
      <c r="R478" s="8">
        <v>172</v>
      </c>
      <c r="S478" s="8">
        <v>67</v>
      </c>
      <c r="T478" s="3" t="s">
        <v>72</v>
      </c>
      <c r="U478" s="10">
        <v>4141</v>
      </c>
      <c r="V478" s="32">
        <v>0</v>
      </c>
      <c r="W478" s="27">
        <v>0</v>
      </c>
      <c r="X478" s="34">
        <v>0</v>
      </c>
      <c r="Y478" s="27">
        <v>0</v>
      </c>
      <c r="Z478" s="27">
        <v>0</v>
      </c>
      <c r="AA478" s="35">
        <v>0</v>
      </c>
      <c r="AB478" s="27">
        <v>0</v>
      </c>
      <c r="AC478" s="27">
        <f t="shared" si="43"/>
        <v>0</v>
      </c>
      <c r="AD478" s="36">
        <v>0</v>
      </c>
      <c r="AE478" s="27">
        <v>0</v>
      </c>
      <c r="AF478" s="27">
        <f t="shared" si="44"/>
        <v>0</v>
      </c>
      <c r="AG478" s="37">
        <v>0</v>
      </c>
      <c r="AH478" s="27">
        <v>0</v>
      </c>
      <c r="AI478" s="27">
        <f t="shared" si="45"/>
        <v>0</v>
      </c>
      <c r="AJ478" s="38">
        <v>0</v>
      </c>
      <c r="AK478" s="27">
        <v>0</v>
      </c>
      <c r="AL478" s="27">
        <f t="shared" si="46"/>
        <v>0</v>
      </c>
      <c r="AM478" s="40">
        <v>0</v>
      </c>
      <c r="AN478" s="27">
        <v>0</v>
      </c>
      <c r="AO478" s="27">
        <f t="shared" si="47"/>
        <v>0</v>
      </c>
      <c r="AP478" s="7" t="b">
        <v>1</v>
      </c>
      <c r="AQ478" s="7" t="b">
        <v>1</v>
      </c>
      <c r="AR478" s="6" t="b">
        <v>0</v>
      </c>
      <c r="AS478" s="6" t="b">
        <v>0</v>
      </c>
      <c r="AT478" s="7" t="b">
        <v>1</v>
      </c>
      <c r="AU478" s="6" t="b">
        <v>0</v>
      </c>
      <c r="AV478" s="6" t="b">
        <v>0</v>
      </c>
      <c r="AW478" s="6" t="b">
        <v>0</v>
      </c>
      <c r="AX478" s="6" t="b">
        <v>0</v>
      </c>
      <c r="AY478" s="6" t="b">
        <v>0</v>
      </c>
      <c r="AZ478" s="6" t="b">
        <v>0</v>
      </c>
      <c r="BA478" s="6" t="b">
        <v>0</v>
      </c>
      <c r="BB478" s="6" t="b">
        <v>0</v>
      </c>
    </row>
    <row r="479" spans="1:54" ht="15" x14ac:dyDescent="0.25">
      <c r="A479" s="3" t="s">
        <v>1014</v>
      </c>
      <c r="B479" s="3" t="str">
        <f ca="1">IFERROR(__xludf.DUMMYFUNCTION("SPLIT(A479,""/"")"),"j96w")</f>
        <v>j96w</v>
      </c>
      <c r="C479" s="3" t="str">
        <f ca="1">IFERROR(__xludf.DUMMYFUNCTION("""COMPUTED_VALUE"""),"DenseFusion")</f>
        <v>DenseFusion</v>
      </c>
      <c r="D479" s="4" t="s">
        <v>1015</v>
      </c>
      <c r="E479" s="5">
        <v>43476.400092592594</v>
      </c>
      <c r="F479" s="5">
        <v>44288.301620370374</v>
      </c>
      <c r="G479" s="13">
        <f t="shared" si="42"/>
        <v>811.90152777777985</v>
      </c>
      <c r="H479" s="6" t="b">
        <v>0</v>
      </c>
      <c r="I479" s="6" t="b">
        <v>0</v>
      </c>
      <c r="J479" s="8">
        <v>728</v>
      </c>
      <c r="K479" s="8">
        <v>26</v>
      </c>
      <c r="L479" s="8">
        <v>218</v>
      </c>
      <c r="M479" s="8">
        <v>0</v>
      </c>
      <c r="N479" s="8">
        <v>1</v>
      </c>
      <c r="O479" s="8">
        <v>4</v>
      </c>
      <c r="P479" s="8">
        <v>11</v>
      </c>
      <c r="Q479" s="8">
        <v>2</v>
      </c>
      <c r="R479" s="8">
        <v>183</v>
      </c>
      <c r="S479" s="8">
        <v>39</v>
      </c>
      <c r="T479" s="3" t="s">
        <v>72</v>
      </c>
      <c r="U479" s="10">
        <v>2671</v>
      </c>
      <c r="V479" s="32">
        <v>13</v>
      </c>
      <c r="W479" s="27">
        <v>4.8670909771621118E-3</v>
      </c>
      <c r="X479" s="34">
        <v>0</v>
      </c>
      <c r="Y479" s="27">
        <v>0</v>
      </c>
      <c r="Z479" s="27">
        <v>0</v>
      </c>
      <c r="AA479" s="35">
        <v>11</v>
      </c>
      <c r="AB479" s="27">
        <v>0.84615384615384615</v>
      </c>
      <c r="AC479" s="27">
        <f t="shared" si="43"/>
        <v>4.1183077499064025E-3</v>
      </c>
      <c r="AD479" s="36">
        <v>2</v>
      </c>
      <c r="AE479" s="27">
        <v>0.15384615384615385</v>
      </c>
      <c r="AF479" s="27">
        <f t="shared" si="44"/>
        <v>7.4878322725570952E-4</v>
      </c>
      <c r="AG479" s="37">
        <v>0</v>
      </c>
      <c r="AH479" s="27">
        <v>0</v>
      </c>
      <c r="AI479" s="27">
        <f t="shared" si="45"/>
        <v>0</v>
      </c>
      <c r="AJ479" s="38">
        <v>0</v>
      </c>
      <c r="AK479" s="27">
        <v>0</v>
      </c>
      <c r="AL479" s="27">
        <f t="shared" si="46"/>
        <v>0</v>
      </c>
      <c r="AM479" s="40">
        <v>0</v>
      </c>
      <c r="AN479" s="27">
        <v>0</v>
      </c>
      <c r="AO479" s="27">
        <f t="shared" si="47"/>
        <v>0</v>
      </c>
      <c r="AP479" s="7" t="b">
        <v>1</v>
      </c>
      <c r="AQ479" s="6" t="b">
        <v>0</v>
      </c>
      <c r="AR479" s="6" t="b">
        <v>0</v>
      </c>
      <c r="AS479" s="6" t="b">
        <v>0</v>
      </c>
      <c r="AT479" s="7" t="b">
        <v>1</v>
      </c>
      <c r="AU479" s="6" t="b">
        <v>0</v>
      </c>
      <c r="AV479" s="6" t="b">
        <v>0</v>
      </c>
      <c r="AW479" s="6" t="b">
        <v>0</v>
      </c>
      <c r="AX479" s="6" t="b">
        <v>0</v>
      </c>
      <c r="AY479" s="6" t="b">
        <v>0</v>
      </c>
      <c r="AZ479" s="6" t="b">
        <v>0</v>
      </c>
      <c r="BA479" s="6" t="b">
        <v>0</v>
      </c>
      <c r="BB479" s="6" t="b">
        <v>0</v>
      </c>
    </row>
    <row r="480" spans="1:54" ht="15" x14ac:dyDescent="0.25">
      <c r="A480" s="3" t="s">
        <v>1016</v>
      </c>
      <c r="B480" s="3" t="str">
        <f ca="1">IFERROR(__xludf.DUMMYFUNCTION("SPLIT(A480,""/"")"),"jachinlin")</f>
        <v>jachinlin</v>
      </c>
      <c r="C480" s="3" t="str">
        <f ca="1">IFERROR(__xludf.DUMMYFUNCTION("""COMPUTED_VALUE"""),"geektime_dl")</f>
        <v>geektime_dl</v>
      </c>
      <c r="D480" s="4" t="s">
        <v>1017</v>
      </c>
      <c r="E480" s="5">
        <v>43230.529756944445</v>
      </c>
      <c r="F480" s="5">
        <v>44288.286562499998</v>
      </c>
      <c r="G480" s="13">
        <f t="shared" si="42"/>
        <v>1057.756805555553</v>
      </c>
      <c r="H480" s="6" t="b">
        <v>0</v>
      </c>
      <c r="I480" s="6" t="b">
        <v>0</v>
      </c>
      <c r="J480" s="8">
        <v>1036</v>
      </c>
      <c r="K480" s="8">
        <v>41</v>
      </c>
      <c r="L480" s="8">
        <v>278</v>
      </c>
      <c r="M480" s="8">
        <v>1</v>
      </c>
      <c r="N480" s="8">
        <v>0</v>
      </c>
      <c r="O480" s="8">
        <v>6</v>
      </c>
      <c r="P480" s="8">
        <v>15</v>
      </c>
      <c r="Q480" s="8">
        <v>0</v>
      </c>
      <c r="R480" s="8">
        <v>69</v>
      </c>
      <c r="S480" s="8">
        <v>6</v>
      </c>
      <c r="T480" s="11" t="s">
        <v>52</v>
      </c>
      <c r="U480" s="10">
        <v>1519</v>
      </c>
      <c r="V480" s="32">
        <v>2</v>
      </c>
      <c r="W480" s="27">
        <v>1.3166556945358788E-3</v>
      </c>
      <c r="X480" s="34">
        <v>0</v>
      </c>
      <c r="Y480" s="27">
        <v>0</v>
      </c>
      <c r="Z480" s="27">
        <v>0</v>
      </c>
      <c r="AA480" s="35">
        <v>1</v>
      </c>
      <c r="AB480" s="27">
        <v>0.5</v>
      </c>
      <c r="AC480" s="27">
        <f t="shared" si="43"/>
        <v>6.583278472679394E-4</v>
      </c>
      <c r="AD480" s="36">
        <v>0</v>
      </c>
      <c r="AE480" s="27">
        <v>0</v>
      </c>
      <c r="AF480" s="27">
        <f t="shared" si="44"/>
        <v>0</v>
      </c>
      <c r="AG480" s="37">
        <v>1</v>
      </c>
      <c r="AH480" s="27">
        <v>0.5</v>
      </c>
      <c r="AI480" s="27">
        <f t="shared" si="45"/>
        <v>6.583278472679394E-4</v>
      </c>
      <c r="AJ480" s="38">
        <v>0</v>
      </c>
      <c r="AK480" s="27">
        <v>0</v>
      </c>
      <c r="AL480" s="27">
        <f t="shared" si="46"/>
        <v>0</v>
      </c>
      <c r="AM480" s="40">
        <v>0</v>
      </c>
      <c r="AN480" s="27">
        <v>0</v>
      </c>
      <c r="AO480" s="27">
        <f t="shared" si="47"/>
        <v>0</v>
      </c>
      <c r="AP480" s="7" t="b">
        <v>1</v>
      </c>
      <c r="AQ480" s="6" t="b">
        <v>0</v>
      </c>
      <c r="AR480" s="6" t="b">
        <v>0</v>
      </c>
      <c r="AS480" s="6" t="b">
        <v>0</v>
      </c>
      <c r="AT480" s="7" t="b">
        <v>1</v>
      </c>
      <c r="AU480" s="6" t="b">
        <v>0</v>
      </c>
      <c r="AV480" s="6" t="b">
        <v>0</v>
      </c>
      <c r="AW480" s="6" t="b">
        <v>0</v>
      </c>
      <c r="AX480" s="6" t="b">
        <v>0</v>
      </c>
      <c r="AY480" s="6" t="b">
        <v>0</v>
      </c>
      <c r="AZ480" s="6" t="b">
        <v>0</v>
      </c>
      <c r="BA480" s="6" t="b">
        <v>0</v>
      </c>
      <c r="BB480" s="6" t="b">
        <v>0</v>
      </c>
    </row>
    <row r="481" spans="1:54" ht="15" x14ac:dyDescent="0.25">
      <c r="A481" s="3" t="s">
        <v>1018</v>
      </c>
      <c r="B481" s="3" t="str">
        <f ca="1">IFERROR(__xludf.DUMMYFUNCTION("SPLIT(A481,""/"")"),"jaegertracing")</f>
        <v>jaegertracing</v>
      </c>
      <c r="C481" s="3" t="str">
        <f ca="1">IFERROR(__xludf.DUMMYFUNCTION("""COMPUTED_VALUE"""),"jaeger-client-python")</f>
        <v>jaeger-client-python</v>
      </c>
      <c r="D481" s="4" t="s">
        <v>1019</v>
      </c>
      <c r="E481" s="5">
        <v>42479.007384259261</v>
      </c>
      <c r="F481" s="5">
        <v>44289.006620370368</v>
      </c>
      <c r="G481" s="13">
        <f t="shared" si="42"/>
        <v>1809.9992361111072</v>
      </c>
      <c r="H481" s="6" t="b">
        <v>0</v>
      </c>
      <c r="I481" s="7" t="b">
        <v>1</v>
      </c>
      <c r="J481" s="8">
        <v>359</v>
      </c>
      <c r="K481" s="8">
        <v>449</v>
      </c>
      <c r="L481" s="8">
        <v>129</v>
      </c>
      <c r="M481" s="8">
        <v>7</v>
      </c>
      <c r="N481" s="8">
        <v>1</v>
      </c>
      <c r="O481" s="8">
        <v>45</v>
      </c>
      <c r="P481" s="8">
        <v>195</v>
      </c>
      <c r="Q481" s="8">
        <v>14</v>
      </c>
      <c r="R481" s="8">
        <v>107</v>
      </c>
      <c r="S481" s="8">
        <v>44</v>
      </c>
      <c r="T481" s="3" t="s">
        <v>69</v>
      </c>
      <c r="U481" s="10">
        <v>7528</v>
      </c>
      <c r="V481" s="32">
        <v>46</v>
      </c>
      <c r="W481" s="27">
        <v>6.1105207226354943E-3</v>
      </c>
      <c r="X481" s="34">
        <v>5</v>
      </c>
      <c r="Y481" s="27">
        <v>0.10869565217391304</v>
      </c>
      <c r="Z481" s="27">
        <v>6.6418703506907547E-4</v>
      </c>
      <c r="AA481" s="35">
        <v>17</v>
      </c>
      <c r="AB481" s="27">
        <v>0.36956521739130432</v>
      </c>
      <c r="AC481" s="27">
        <f t="shared" si="43"/>
        <v>2.2582359192348566E-3</v>
      </c>
      <c r="AD481" s="36">
        <v>2</v>
      </c>
      <c r="AE481" s="27">
        <v>4.3478260869565216E-2</v>
      </c>
      <c r="AF481" s="27">
        <f t="shared" si="44"/>
        <v>2.6567481402763017E-4</v>
      </c>
      <c r="AG481" s="37">
        <v>17</v>
      </c>
      <c r="AH481" s="27">
        <v>0.36956521739130432</v>
      </c>
      <c r="AI481" s="27">
        <f t="shared" si="45"/>
        <v>2.2582359192348566E-3</v>
      </c>
      <c r="AJ481" s="38">
        <v>0</v>
      </c>
      <c r="AK481" s="27">
        <v>0</v>
      </c>
      <c r="AL481" s="27">
        <f t="shared" si="46"/>
        <v>0</v>
      </c>
      <c r="AM481" s="40">
        <v>5</v>
      </c>
      <c r="AN481" s="27">
        <v>0.10869565217391304</v>
      </c>
      <c r="AO481" s="27">
        <f t="shared" si="47"/>
        <v>6.6418703506907547E-4</v>
      </c>
      <c r="AP481" s="7" t="b">
        <v>1</v>
      </c>
      <c r="AQ481" s="7" t="b">
        <v>1</v>
      </c>
      <c r="AR481" s="6" t="b">
        <v>0</v>
      </c>
      <c r="AS481" s="6" t="b">
        <v>0</v>
      </c>
      <c r="AT481" s="7" t="b">
        <v>1</v>
      </c>
      <c r="AU481" s="6" t="b">
        <v>0</v>
      </c>
      <c r="AV481" s="6" t="b">
        <v>0</v>
      </c>
      <c r="AW481" s="6" t="b">
        <v>0</v>
      </c>
      <c r="AX481" s="6" t="b">
        <v>0</v>
      </c>
      <c r="AY481" s="6" t="b">
        <v>0</v>
      </c>
      <c r="AZ481" s="6" t="b">
        <v>0</v>
      </c>
      <c r="BA481" s="6" t="b">
        <v>0</v>
      </c>
      <c r="BB481" s="6" t="b">
        <v>0</v>
      </c>
    </row>
    <row r="482" spans="1:54" ht="15" x14ac:dyDescent="0.25">
      <c r="A482" s="3" t="s">
        <v>1020</v>
      </c>
      <c r="B482" s="3" t="str">
        <f ca="1">IFERROR(__xludf.DUMMYFUNCTION("SPLIT(A482,""/"")"),"JaidedAI")</f>
        <v>JaidedAI</v>
      </c>
      <c r="C482" s="3" t="str">
        <f ca="1">IFERROR(__xludf.DUMMYFUNCTION("""COMPUTED_VALUE"""),"EasyOCR")</f>
        <v>EasyOCR</v>
      </c>
      <c r="D482" s="4" t="s">
        <v>1021</v>
      </c>
      <c r="E482" s="5">
        <v>43904.490729166668</v>
      </c>
      <c r="F482" s="5">
        <v>44295.09783564815</v>
      </c>
      <c r="G482" s="13">
        <f t="shared" si="42"/>
        <v>390.60710648148233</v>
      </c>
      <c r="H482" s="6" t="b">
        <v>0</v>
      </c>
      <c r="I482" s="7" t="b">
        <v>1</v>
      </c>
      <c r="J482" s="8">
        <v>11160</v>
      </c>
      <c r="K482" s="8">
        <v>257</v>
      </c>
      <c r="L482" s="8">
        <v>1186</v>
      </c>
      <c r="M482" s="8">
        <v>11</v>
      </c>
      <c r="N482" s="8">
        <v>5</v>
      </c>
      <c r="O482" s="8">
        <v>66</v>
      </c>
      <c r="P482" s="8">
        <v>119</v>
      </c>
      <c r="Q482" s="8">
        <v>0</v>
      </c>
      <c r="R482" s="8">
        <v>295</v>
      </c>
      <c r="S482" s="8">
        <v>115</v>
      </c>
      <c r="T482" s="3" t="s">
        <v>69</v>
      </c>
      <c r="U482" s="10">
        <v>1684</v>
      </c>
      <c r="V482" s="32">
        <v>12</v>
      </c>
      <c r="W482" s="27">
        <v>7.1258907363420431E-3</v>
      </c>
      <c r="X482" s="34">
        <v>0</v>
      </c>
      <c r="Y482" s="27">
        <v>0</v>
      </c>
      <c r="Z482" s="27">
        <v>0</v>
      </c>
      <c r="AA482" s="35">
        <v>3</v>
      </c>
      <c r="AB482" s="27">
        <v>0.25</v>
      </c>
      <c r="AC482" s="27">
        <f t="shared" si="43"/>
        <v>1.7814726840855108E-3</v>
      </c>
      <c r="AD482" s="36">
        <v>9</v>
      </c>
      <c r="AE482" s="27">
        <v>0.75</v>
      </c>
      <c r="AF482" s="27">
        <f t="shared" si="44"/>
        <v>5.3444180522565317E-3</v>
      </c>
      <c r="AG482" s="37">
        <v>0</v>
      </c>
      <c r="AH482" s="27">
        <v>0</v>
      </c>
      <c r="AI482" s="27">
        <f t="shared" si="45"/>
        <v>0</v>
      </c>
      <c r="AJ482" s="38">
        <v>0</v>
      </c>
      <c r="AK482" s="27">
        <v>0</v>
      </c>
      <c r="AL482" s="27">
        <f t="shared" si="46"/>
        <v>0</v>
      </c>
      <c r="AM482" s="40">
        <v>0</v>
      </c>
      <c r="AN482" s="27">
        <v>0</v>
      </c>
      <c r="AO482" s="27">
        <f t="shared" si="47"/>
        <v>0</v>
      </c>
      <c r="AP482" s="7" t="b">
        <v>1</v>
      </c>
      <c r="AQ482" s="6" t="b">
        <v>0</v>
      </c>
      <c r="AR482" s="6" t="b">
        <v>0</v>
      </c>
      <c r="AS482" s="6" t="b">
        <v>0</v>
      </c>
      <c r="AT482" s="7" t="b">
        <v>1</v>
      </c>
      <c r="AU482" s="6" t="b">
        <v>0</v>
      </c>
      <c r="AV482" s="6" t="b">
        <v>0</v>
      </c>
      <c r="AW482" s="6" t="b">
        <v>0</v>
      </c>
      <c r="AX482" s="6" t="b">
        <v>0</v>
      </c>
      <c r="AY482" s="6" t="b">
        <v>0</v>
      </c>
      <c r="AZ482" s="6" t="b">
        <v>0</v>
      </c>
      <c r="BA482" s="6" t="b">
        <v>0</v>
      </c>
      <c r="BB482" s="6" t="b">
        <v>0</v>
      </c>
    </row>
    <row r="483" spans="1:54" ht="15" x14ac:dyDescent="0.25">
      <c r="A483" s="3" t="s">
        <v>1022</v>
      </c>
      <c r="B483" s="3" t="str">
        <f ca="1">IFERROR(__xludf.DUMMYFUNCTION("SPLIT(A483,""/"")"),"jamesob")</f>
        <v>jamesob</v>
      </c>
      <c r="C483" s="3" t="str">
        <f ca="1">IFERROR(__xludf.DUMMYFUNCTION("""COMPUTED_VALUE"""),"tinychain")</f>
        <v>tinychain</v>
      </c>
      <c r="D483" s="4" t="s">
        <v>1023</v>
      </c>
      <c r="E483" s="5">
        <v>42952.556180555555</v>
      </c>
      <c r="F483" s="5">
        <v>44293.97865740741</v>
      </c>
      <c r="G483" s="13">
        <f t="shared" si="42"/>
        <v>1341.4224768518543</v>
      </c>
      <c r="H483" s="6" t="b">
        <v>0</v>
      </c>
      <c r="I483" s="6" t="b">
        <v>0</v>
      </c>
      <c r="J483" s="8">
        <v>1417</v>
      </c>
      <c r="K483" s="8">
        <v>43</v>
      </c>
      <c r="L483" s="8">
        <v>119</v>
      </c>
      <c r="M483" s="8">
        <v>0</v>
      </c>
      <c r="N483" s="8">
        <v>0</v>
      </c>
      <c r="O483" s="8">
        <v>4</v>
      </c>
      <c r="P483" s="8">
        <v>5</v>
      </c>
      <c r="Q483" s="8">
        <v>1</v>
      </c>
      <c r="R483" s="8">
        <v>7</v>
      </c>
      <c r="S483" s="8">
        <v>6</v>
      </c>
      <c r="T483" s="3" t="s">
        <v>72</v>
      </c>
      <c r="U483" s="10">
        <v>901</v>
      </c>
      <c r="V483" s="32">
        <v>43</v>
      </c>
      <c r="W483" s="27">
        <v>4.7724750277469481E-2</v>
      </c>
      <c r="X483" s="34">
        <v>7</v>
      </c>
      <c r="Y483" s="27">
        <v>0.16279069767441862</v>
      </c>
      <c r="Z483" s="27">
        <v>7.7691453940066596E-3</v>
      </c>
      <c r="AA483" s="35">
        <v>29</v>
      </c>
      <c r="AB483" s="27">
        <v>0.67441860465116277</v>
      </c>
      <c r="AC483" s="27">
        <f t="shared" si="43"/>
        <v>3.2186459489456157E-2</v>
      </c>
      <c r="AD483" s="36">
        <v>0</v>
      </c>
      <c r="AE483" s="27">
        <v>0</v>
      </c>
      <c r="AF483" s="27">
        <f t="shared" si="44"/>
        <v>0</v>
      </c>
      <c r="AG483" s="37">
        <v>7</v>
      </c>
      <c r="AH483" s="27">
        <v>0.16279069767441862</v>
      </c>
      <c r="AI483" s="27">
        <f t="shared" si="45"/>
        <v>7.7691453940066596E-3</v>
      </c>
      <c r="AJ483" s="38">
        <v>0</v>
      </c>
      <c r="AK483" s="27">
        <v>0</v>
      </c>
      <c r="AL483" s="27">
        <f t="shared" si="46"/>
        <v>0</v>
      </c>
      <c r="AM483" s="40">
        <v>0</v>
      </c>
      <c r="AN483" s="27">
        <v>0</v>
      </c>
      <c r="AO483" s="27">
        <f t="shared" si="47"/>
        <v>0</v>
      </c>
      <c r="AP483" s="7" t="b">
        <v>1</v>
      </c>
      <c r="AQ483" s="7" t="b">
        <v>1</v>
      </c>
      <c r="AR483" s="6" t="b">
        <v>0</v>
      </c>
      <c r="AS483" s="6" t="b">
        <v>0</v>
      </c>
      <c r="AT483" s="7" t="b">
        <v>1</v>
      </c>
      <c r="AU483" s="6" t="b">
        <v>0</v>
      </c>
      <c r="AV483" s="6" t="b">
        <v>0</v>
      </c>
      <c r="AW483" s="6" t="b">
        <v>0</v>
      </c>
      <c r="AX483" s="6" t="b">
        <v>0</v>
      </c>
      <c r="AY483" s="6" t="b">
        <v>0</v>
      </c>
      <c r="AZ483" s="6" t="b">
        <v>0</v>
      </c>
      <c r="BA483" s="6" t="b">
        <v>0</v>
      </c>
      <c r="BB483" s="6" t="b">
        <v>0</v>
      </c>
    </row>
    <row r="484" spans="1:54" ht="15" x14ac:dyDescent="0.25">
      <c r="A484" s="3" t="s">
        <v>1024</v>
      </c>
      <c r="B484" s="3" t="str">
        <f ca="1">IFERROR(__xludf.DUMMYFUNCTION("SPLIT(A484,""/"")"),"jamesoff")</f>
        <v>jamesoff</v>
      </c>
      <c r="C484" s="3" t="str">
        <f ca="1">IFERROR(__xludf.DUMMYFUNCTION("""COMPUTED_VALUE"""),"simplemonitor")</f>
        <v>simplemonitor</v>
      </c>
      <c r="D484" s="4" t="s">
        <v>1025</v>
      </c>
      <c r="E484" s="5">
        <v>41485.51903935185</v>
      </c>
      <c r="F484" s="5">
        <v>44292.263020833336</v>
      </c>
      <c r="G484" s="13">
        <f t="shared" si="42"/>
        <v>2806.7439814814861</v>
      </c>
      <c r="H484" s="6" t="b">
        <v>0</v>
      </c>
      <c r="I484" s="6" t="b">
        <v>0</v>
      </c>
      <c r="J484" s="8">
        <v>333</v>
      </c>
      <c r="K484" s="8">
        <v>33</v>
      </c>
      <c r="L484" s="8">
        <v>143</v>
      </c>
      <c r="M484" s="8">
        <v>7</v>
      </c>
      <c r="N484" s="8">
        <v>0</v>
      </c>
      <c r="O484" s="8">
        <v>35</v>
      </c>
      <c r="P484" s="8">
        <v>576</v>
      </c>
      <c r="Q484" s="8">
        <v>10</v>
      </c>
      <c r="R484" s="8">
        <v>132</v>
      </c>
      <c r="S484" s="8">
        <v>15</v>
      </c>
      <c r="T484" s="3" t="s">
        <v>57</v>
      </c>
      <c r="U484" s="10">
        <v>5633</v>
      </c>
      <c r="V484" s="32">
        <v>236</v>
      </c>
      <c r="W484" s="27">
        <v>4.1895970175750044E-2</v>
      </c>
      <c r="X484" s="34">
        <v>39</v>
      </c>
      <c r="Y484" s="27">
        <v>0.1652542372881356</v>
      </c>
      <c r="Z484" s="27">
        <v>6.92348659684005E-3</v>
      </c>
      <c r="AA484" s="35">
        <v>59</v>
      </c>
      <c r="AB484" s="27">
        <v>0.25</v>
      </c>
      <c r="AC484" s="27">
        <f t="shared" si="43"/>
        <v>1.0473992543937511E-2</v>
      </c>
      <c r="AD484" s="36">
        <v>20</v>
      </c>
      <c r="AE484" s="27">
        <v>8.4745762711864403E-2</v>
      </c>
      <c r="AF484" s="27">
        <f t="shared" si="44"/>
        <v>3.5505059470974615E-3</v>
      </c>
      <c r="AG484" s="37">
        <v>77</v>
      </c>
      <c r="AH484" s="27">
        <v>0.32627118644067798</v>
      </c>
      <c r="AI484" s="27">
        <f t="shared" si="45"/>
        <v>1.3669447896325227E-2</v>
      </c>
      <c r="AJ484" s="38">
        <v>41</v>
      </c>
      <c r="AK484" s="27">
        <v>0.17372881355932204</v>
      </c>
      <c r="AL484" s="27">
        <f t="shared" si="46"/>
        <v>7.2785371915497958E-3</v>
      </c>
      <c r="AM484" s="40">
        <v>0</v>
      </c>
      <c r="AN484" s="27">
        <v>0</v>
      </c>
      <c r="AO484" s="27">
        <f t="shared" si="47"/>
        <v>0</v>
      </c>
      <c r="AP484" s="6" t="b">
        <v>0</v>
      </c>
      <c r="AQ484" s="7" t="b">
        <v>1</v>
      </c>
      <c r="AR484" s="6" t="b">
        <v>0</v>
      </c>
      <c r="AS484" s="6" t="b">
        <v>0</v>
      </c>
      <c r="AT484" s="7" t="b">
        <v>1</v>
      </c>
      <c r="AU484" s="6" t="b">
        <v>0</v>
      </c>
      <c r="AV484" s="6" t="b">
        <v>0</v>
      </c>
      <c r="AW484" s="6" t="b">
        <v>0</v>
      </c>
      <c r="AX484" s="6" t="b">
        <v>0</v>
      </c>
      <c r="AY484" s="6" t="b">
        <v>0</v>
      </c>
      <c r="AZ484" s="6" t="b">
        <v>0</v>
      </c>
      <c r="BA484" s="6" t="b">
        <v>0</v>
      </c>
      <c r="BB484" s="6" t="b">
        <v>0</v>
      </c>
    </row>
    <row r="485" spans="1:54" ht="15" x14ac:dyDescent="0.25">
      <c r="A485" s="3" t="s">
        <v>1026</v>
      </c>
      <c r="B485" s="3" t="str">
        <f ca="1">IFERROR(__xludf.DUMMYFUNCTION("SPLIT(A485,""/"")"),"jantman")</f>
        <v>jantman</v>
      </c>
      <c r="C485" s="3" t="str">
        <f ca="1">IFERROR(__xludf.DUMMYFUNCTION("""COMPUTED_VALUE"""),"awslimitchecker")</f>
        <v>awslimitchecker</v>
      </c>
      <c r="D485" s="4" t="s">
        <v>1027</v>
      </c>
      <c r="E485" s="5">
        <v>42161.098715277774</v>
      </c>
      <c r="F485" s="5">
        <v>44289.88144675926</v>
      </c>
      <c r="G485" s="13">
        <f t="shared" si="42"/>
        <v>2128.7827314814858</v>
      </c>
      <c r="H485" s="6" t="b">
        <v>0</v>
      </c>
      <c r="I485" s="6" t="b">
        <v>0</v>
      </c>
      <c r="J485" s="8">
        <v>419</v>
      </c>
      <c r="K485" s="8">
        <v>20</v>
      </c>
      <c r="L485" s="8">
        <v>144</v>
      </c>
      <c r="M485" s="8">
        <v>31</v>
      </c>
      <c r="N485" s="8">
        <v>0</v>
      </c>
      <c r="O485" s="8">
        <v>31</v>
      </c>
      <c r="P485" s="8">
        <v>226</v>
      </c>
      <c r="Q485" s="8">
        <v>7</v>
      </c>
      <c r="R485" s="8">
        <v>300</v>
      </c>
      <c r="S485" s="8">
        <v>12</v>
      </c>
      <c r="T485" s="3" t="s">
        <v>366</v>
      </c>
      <c r="U485" s="10">
        <v>13766</v>
      </c>
      <c r="V485" s="32">
        <v>358</v>
      </c>
      <c r="W485" s="27">
        <v>2.600610199041116E-2</v>
      </c>
      <c r="X485" s="34">
        <v>202</v>
      </c>
      <c r="Y485" s="27">
        <v>0.56424581005586594</v>
      </c>
      <c r="Z485" s="27">
        <v>1.4673834083975011E-2</v>
      </c>
      <c r="AA485" s="35">
        <v>94</v>
      </c>
      <c r="AB485" s="27">
        <v>0.26256983240223464</v>
      </c>
      <c r="AC485" s="27">
        <f t="shared" si="43"/>
        <v>6.8284178410576782E-3</v>
      </c>
      <c r="AD485" s="36">
        <v>33</v>
      </c>
      <c r="AE485" s="27">
        <v>9.217877094972067E-2</v>
      </c>
      <c r="AF485" s="27">
        <f t="shared" si="44"/>
        <v>2.3972105186691847E-3</v>
      </c>
      <c r="AG485" s="37">
        <v>26</v>
      </c>
      <c r="AH485" s="27">
        <v>7.2625698324022353E-2</v>
      </c>
      <c r="AI485" s="27">
        <f t="shared" si="45"/>
        <v>1.8887113177393578E-3</v>
      </c>
      <c r="AJ485" s="38">
        <v>2</v>
      </c>
      <c r="AK485" s="27">
        <v>5.5865921787709499E-3</v>
      </c>
      <c r="AL485" s="27">
        <f t="shared" si="46"/>
        <v>1.4528548597995061E-4</v>
      </c>
      <c r="AM485" s="40">
        <v>0</v>
      </c>
      <c r="AN485" s="27">
        <v>0</v>
      </c>
      <c r="AO485" s="27">
        <f t="shared" si="47"/>
        <v>0</v>
      </c>
      <c r="AP485" s="7" t="b">
        <v>1</v>
      </c>
      <c r="AQ485" s="6" t="b">
        <v>0</v>
      </c>
      <c r="AR485" s="6" t="b">
        <v>0</v>
      </c>
      <c r="AS485" s="6" t="b">
        <v>0</v>
      </c>
      <c r="AT485" s="7" t="b">
        <v>1</v>
      </c>
      <c r="AU485" s="6" t="b">
        <v>0</v>
      </c>
      <c r="AV485" s="6" t="b">
        <v>0</v>
      </c>
      <c r="AW485" s="6" t="b">
        <v>0</v>
      </c>
      <c r="AX485" s="6" t="b">
        <v>0</v>
      </c>
      <c r="AY485" s="6" t="b">
        <v>0</v>
      </c>
      <c r="AZ485" s="6" t="b">
        <v>0</v>
      </c>
      <c r="BA485" s="6" t="b">
        <v>0</v>
      </c>
      <c r="BB485" s="6" t="b">
        <v>0</v>
      </c>
    </row>
    <row r="486" spans="1:54" ht="15" x14ac:dyDescent="0.25">
      <c r="A486" s="3" t="s">
        <v>1028</v>
      </c>
      <c r="B486" s="3" t="str">
        <f ca="1">IFERROR(__xludf.DUMMYFUNCTION("SPLIT(A486,""/"")"),"jaraco")</f>
        <v>jaraco</v>
      </c>
      <c r="C486" s="3" t="str">
        <f ca="1">IFERROR(__xludf.DUMMYFUNCTION("""COMPUTED_VALUE"""),"keyring")</f>
        <v>keyring</v>
      </c>
      <c r="D486" s="4" t="s">
        <v>1029</v>
      </c>
      <c r="E486" s="5">
        <v>42059.590520833335</v>
      </c>
      <c r="F486" s="5">
        <v>44294.884143518517</v>
      </c>
      <c r="G486" s="13">
        <f t="shared" si="42"/>
        <v>2235.2936226851816</v>
      </c>
      <c r="H486" s="6" t="b">
        <v>0</v>
      </c>
      <c r="I486" s="6" t="b">
        <v>0</v>
      </c>
      <c r="J486" s="8">
        <v>661</v>
      </c>
      <c r="K486" s="8">
        <v>14</v>
      </c>
      <c r="L486" s="8">
        <v>93</v>
      </c>
      <c r="M486" s="8">
        <v>16</v>
      </c>
      <c r="N486" s="8">
        <v>24</v>
      </c>
      <c r="O486" s="8">
        <v>75</v>
      </c>
      <c r="P486" s="8">
        <v>114</v>
      </c>
      <c r="Q486" s="8">
        <v>0</v>
      </c>
      <c r="R486" s="8">
        <v>392</v>
      </c>
      <c r="S486" s="8">
        <v>19</v>
      </c>
      <c r="T486" s="3" t="s">
        <v>72</v>
      </c>
      <c r="U486" s="10">
        <v>1403</v>
      </c>
      <c r="V486" s="32">
        <v>8</v>
      </c>
      <c r="W486" s="27">
        <v>5.7020669992872419E-3</v>
      </c>
      <c r="X486" s="34">
        <v>1</v>
      </c>
      <c r="Y486" s="27">
        <v>0.125</v>
      </c>
      <c r="Z486" s="27">
        <v>7.1275837491090524E-4</v>
      </c>
      <c r="AA486" s="35">
        <v>0</v>
      </c>
      <c r="AB486" s="27">
        <v>0</v>
      </c>
      <c r="AC486" s="27">
        <f t="shared" si="43"/>
        <v>0</v>
      </c>
      <c r="AD486" s="36">
        <v>3</v>
      </c>
      <c r="AE486" s="27">
        <v>0.375</v>
      </c>
      <c r="AF486" s="27">
        <f t="shared" si="44"/>
        <v>2.1382751247327157E-3</v>
      </c>
      <c r="AG486" s="37">
        <v>4</v>
      </c>
      <c r="AH486" s="27">
        <v>0.5</v>
      </c>
      <c r="AI486" s="27">
        <f t="shared" si="45"/>
        <v>2.851033499643621E-3</v>
      </c>
      <c r="AJ486" s="38">
        <v>0</v>
      </c>
      <c r="AK486" s="27">
        <v>0</v>
      </c>
      <c r="AL486" s="27">
        <f t="shared" si="46"/>
        <v>0</v>
      </c>
      <c r="AM486" s="40">
        <v>0</v>
      </c>
      <c r="AN486" s="27">
        <v>0</v>
      </c>
      <c r="AO486" s="27">
        <f t="shared" si="47"/>
        <v>0</v>
      </c>
      <c r="AP486" s="7" t="b">
        <v>1</v>
      </c>
      <c r="AQ486" s="6" t="b">
        <v>0</v>
      </c>
      <c r="AR486" s="6" t="b">
        <v>0</v>
      </c>
      <c r="AS486" s="6" t="b">
        <v>0</v>
      </c>
      <c r="AT486" s="7" t="b">
        <v>1</v>
      </c>
      <c r="AU486" s="6" t="b">
        <v>0</v>
      </c>
      <c r="AV486" s="6" t="b">
        <v>0</v>
      </c>
      <c r="AW486" s="6" t="b">
        <v>0</v>
      </c>
      <c r="AX486" s="6" t="b">
        <v>0</v>
      </c>
      <c r="AY486" s="6" t="b">
        <v>0</v>
      </c>
      <c r="AZ486" s="6" t="b">
        <v>0</v>
      </c>
      <c r="BA486" s="6" t="b">
        <v>0</v>
      </c>
      <c r="BB486" s="6" t="b">
        <v>0</v>
      </c>
    </row>
    <row r="487" spans="1:54" ht="15" x14ac:dyDescent="0.25">
      <c r="A487" s="3" t="s">
        <v>1030</v>
      </c>
      <c r="B487" s="3" t="str">
        <f ca="1">IFERROR(__xludf.DUMMYFUNCTION("SPLIT(A487,""/"")"),"jarun")</f>
        <v>jarun</v>
      </c>
      <c r="C487" s="3" t="str">
        <f ca="1">IFERROR(__xludf.DUMMYFUNCTION("""COMPUTED_VALUE"""),"buku")</f>
        <v>buku</v>
      </c>
      <c r="D487" s="4" t="s">
        <v>1031</v>
      </c>
      <c r="E487" s="5">
        <v>42309.828680555554</v>
      </c>
      <c r="F487" s="5">
        <v>44295.108020833337</v>
      </c>
      <c r="G487" s="13">
        <f t="shared" si="42"/>
        <v>1985.2793402777825</v>
      </c>
      <c r="H487" s="6" t="b">
        <v>0</v>
      </c>
      <c r="I487" s="6" t="b">
        <v>0</v>
      </c>
      <c r="J487" s="8">
        <v>4368</v>
      </c>
      <c r="K487" s="8">
        <v>80</v>
      </c>
      <c r="L487" s="8">
        <v>222</v>
      </c>
      <c r="M487" s="8">
        <v>38</v>
      </c>
      <c r="N487" s="8">
        <v>420</v>
      </c>
      <c r="O487" s="8">
        <v>59</v>
      </c>
      <c r="P487" s="8">
        <v>264</v>
      </c>
      <c r="Q487" s="8">
        <v>0</v>
      </c>
      <c r="R487" s="8">
        <v>241</v>
      </c>
      <c r="S487" s="8">
        <v>1</v>
      </c>
      <c r="T487" s="3" t="s">
        <v>49</v>
      </c>
      <c r="U487" s="10">
        <v>5766</v>
      </c>
      <c r="V487" s="32">
        <v>10</v>
      </c>
      <c r="W487" s="27">
        <v>1.734304543877905E-3</v>
      </c>
      <c r="X487" s="34">
        <v>4</v>
      </c>
      <c r="Y487" s="27">
        <v>0.4</v>
      </c>
      <c r="Z487" s="27">
        <v>6.9372181755116198E-4</v>
      </c>
      <c r="AA487" s="35">
        <v>1</v>
      </c>
      <c r="AB487" s="27">
        <v>0.1</v>
      </c>
      <c r="AC487" s="27">
        <f t="shared" si="43"/>
        <v>1.7343045438779049E-4</v>
      </c>
      <c r="AD487" s="36">
        <v>0</v>
      </c>
      <c r="AE487" s="27">
        <v>0</v>
      </c>
      <c r="AF487" s="27">
        <f t="shared" si="44"/>
        <v>0</v>
      </c>
      <c r="AG487" s="37">
        <v>5</v>
      </c>
      <c r="AH487" s="27">
        <v>0.5</v>
      </c>
      <c r="AI487" s="27">
        <f t="shared" si="45"/>
        <v>8.6715227193895252E-4</v>
      </c>
      <c r="AJ487" s="38">
        <v>0</v>
      </c>
      <c r="AK487" s="27">
        <v>0</v>
      </c>
      <c r="AL487" s="27">
        <f t="shared" si="46"/>
        <v>0</v>
      </c>
      <c r="AM487" s="40">
        <v>0</v>
      </c>
      <c r="AN487" s="27">
        <v>0</v>
      </c>
      <c r="AO487" s="27">
        <f t="shared" si="47"/>
        <v>0</v>
      </c>
      <c r="AP487" s="7" t="b">
        <v>1</v>
      </c>
      <c r="AQ487" s="7" t="b">
        <v>1</v>
      </c>
      <c r="AR487" s="6" t="b">
        <v>0</v>
      </c>
      <c r="AS487" s="6" t="b">
        <v>0</v>
      </c>
      <c r="AT487" s="7" t="b">
        <v>1</v>
      </c>
      <c r="AU487" s="6" t="b">
        <v>0</v>
      </c>
      <c r="AV487" s="6" t="b">
        <v>0</v>
      </c>
      <c r="AW487" s="6" t="b">
        <v>0</v>
      </c>
      <c r="AX487" s="6" t="b">
        <v>0</v>
      </c>
      <c r="AY487" s="6" t="b">
        <v>0</v>
      </c>
      <c r="AZ487" s="6" t="b">
        <v>0</v>
      </c>
      <c r="BA487" s="6" t="b">
        <v>0</v>
      </c>
      <c r="BB487" s="6" t="b">
        <v>0</v>
      </c>
    </row>
    <row r="488" spans="1:54" ht="15" x14ac:dyDescent="0.25">
      <c r="A488" s="3" t="s">
        <v>1032</v>
      </c>
      <c r="B488" s="3" t="str">
        <f ca="1">IFERROR(__xludf.DUMMYFUNCTION("SPLIT(A488,""/"")"),"jasonrbriggs")</f>
        <v>jasonrbriggs</v>
      </c>
      <c r="C488" s="4" t="str">
        <f ca="1">IFERROR(__xludf.DUMMYFUNCTION("""COMPUTED_VALUE"""),"stomp.py")</f>
        <v>stomp.py</v>
      </c>
      <c r="D488" s="4" t="s">
        <v>1033</v>
      </c>
      <c r="E488" s="5">
        <v>41528.943472222221</v>
      </c>
      <c r="F488" s="5">
        <v>44287.905428240738</v>
      </c>
      <c r="G488" s="13">
        <f t="shared" si="42"/>
        <v>2758.9619560185165</v>
      </c>
      <c r="H488" s="6" t="b">
        <v>0</v>
      </c>
      <c r="I488" s="6" t="b">
        <v>0</v>
      </c>
      <c r="J488" s="8">
        <v>405</v>
      </c>
      <c r="K488" s="8">
        <v>37</v>
      </c>
      <c r="L488" s="8">
        <v>125</v>
      </c>
      <c r="M488" s="8">
        <v>0</v>
      </c>
      <c r="N488" s="8">
        <v>0</v>
      </c>
      <c r="O488" s="8">
        <v>28</v>
      </c>
      <c r="P488" s="8">
        <v>165</v>
      </c>
      <c r="Q488" s="8">
        <v>2</v>
      </c>
      <c r="R488" s="8">
        <v>188</v>
      </c>
      <c r="S488" s="8">
        <v>23</v>
      </c>
      <c r="T488" s="3" t="s">
        <v>69</v>
      </c>
      <c r="U488" s="10">
        <v>3682</v>
      </c>
      <c r="V488" s="32">
        <v>79</v>
      </c>
      <c r="W488" s="27">
        <v>2.1455730581205867E-2</v>
      </c>
      <c r="X488" s="34">
        <v>22</v>
      </c>
      <c r="Y488" s="27">
        <v>0.27848101265822783</v>
      </c>
      <c r="Z488" s="27">
        <v>5.975013579576317E-3</v>
      </c>
      <c r="AA488" s="35">
        <v>41</v>
      </c>
      <c r="AB488" s="27">
        <v>0.51898734177215189</v>
      </c>
      <c r="AC488" s="27">
        <f t="shared" si="43"/>
        <v>1.1135252580119501E-2</v>
      </c>
      <c r="AD488" s="36">
        <v>6</v>
      </c>
      <c r="AE488" s="27">
        <v>7.5949367088607597E-2</v>
      </c>
      <c r="AF488" s="27">
        <f t="shared" si="44"/>
        <v>1.6295491580662683E-3</v>
      </c>
      <c r="AG488" s="37">
        <v>7</v>
      </c>
      <c r="AH488" s="27">
        <v>8.8607594936708861E-2</v>
      </c>
      <c r="AI488" s="27">
        <f t="shared" si="45"/>
        <v>1.9011406844106464E-3</v>
      </c>
      <c r="AJ488" s="38">
        <v>0</v>
      </c>
      <c r="AK488" s="27">
        <v>0</v>
      </c>
      <c r="AL488" s="27">
        <f t="shared" si="46"/>
        <v>0</v>
      </c>
      <c r="AM488" s="40">
        <v>0</v>
      </c>
      <c r="AN488" s="27">
        <v>0</v>
      </c>
      <c r="AO488" s="27">
        <f t="shared" si="47"/>
        <v>0</v>
      </c>
      <c r="AP488" s="7" t="b">
        <v>1</v>
      </c>
      <c r="AQ488" s="6" t="b">
        <v>0</v>
      </c>
      <c r="AR488" s="6" t="b">
        <v>0</v>
      </c>
      <c r="AS488" s="6" t="b">
        <v>0</v>
      </c>
      <c r="AT488" s="7" t="b">
        <v>1</v>
      </c>
      <c r="AU488" s="6" t="b">
        <v>0</v>
      </c>
      <c r="AV488" s="6" t="b">
        <v>0</v>
      </c>
      <c r="AW488" s="6" t="b">
        <v>0</v>
      </c>
      <c r="AX488" s="6" t="b">
        <v>0</v>
      </c>
      <c r="AY488" s="6" t="b">
        <v>0</v>
      </c>
      <c r="AZ488" s="6" t="b">
        <v>0</v>
      </c>
      <c r="BA488" s="6" t="b">
        <v>0</v>
      </c>
      <c r="BB488" s="6" t="b">
        <v>0</v>
      </c>
    </row>
    <row r="489" spans="1:54" ht="15" x14ac:dyDescent="0.25">
      <c r="A489" s="3" t="s">
        <v>1034</v>
      </c>
      <c r="B489" s="3" t="str">
        <f ca="1">IFERROR(__xludf.DUMMYFUNCTION("SPLIT(A489,""/"")"),"jbarlow83")</f>
        <v>jbarlow83</v>
      </c>
      <c r="C489" s="3" t="str">
        <f ca="1">IFERROR(__xludf.DUMMYFUNCTION("""COMPUTED_VALUE"""),"OCRmyPDF")</f>
        <v>OCRmyPDF</v>
      </c>
      <c r="D489" s="4" t="s">
        <v>1035</v>
      </c>
      <c r="E489" s="5">
        <v>41628.351712962962</v>
      </c>
      <c r="F489" s="5">
        <v>44294.857939814814</v>
      </c>
      <c r="G489" s="13">
        <f t="shared" si="42"/>
        <v>2666.5062268518523</v>
      </c>
      <c r="H489" s="6" t="b">
        <v>0</v>
      </c>
      <c r="I489" s="6" t="b">
        <v>0</v>
      </c>
      <c r="J489" s="8">
        <v>4079</v>
      </c>
      <c r="K489" s="8">
        <v>114</v>
      </c>
      <c r="L489" s="8">
        <v>430</v>
      </c>
      <c r="M489" s="8">
        <v>5</v>
      </c>
      <c r="N489" s="8">
        <v>25</v>
      </c>
      <c r="O489" s="8">
        <v>48</v>
      </c>
      <c r="P489" s="8">
        <v>77</v>
      </c>
      <c r="Q489" s="8">
        <v>1</v>
      </c>
      <c r="R489" s="8">
        <v>681</v>
      </c>
      <c r="S489" s="8">
        <v>88</v>
      </c>
      <c r="T489" s="3" t="s">
        <v>75</v>
      </c>
      <c r="U489" s="10">
        <v>6846</v>
      </c>
      <c r="V489" s="32">
        <v>171</v>
      </c>
      <c r="W489" s="27">
        <v>2.497808939526731E-2</v>
      </c>
      <c r="X489" s="34">
        <v>48</v>
      </c>
      <c r="Y489" s="27">
        <v>0.2807017543859649</v>
      </c>
      <c r="Z489" s="27">
        <v>7.0113935144609993E-3</v>
      </c>
      <c r="AA489" s="35">
        <v>49</v>
      </c>
      <c r="AB489" s="27">
        <v>0.28654970760233917</v>
      </c>
      <c r="AC489" s="27">
        <f t="shared" si="43"/>
        <v>7.1574642126789366E-3</v>
      </c>
      <c r="AD489" s="36">
        <v>30</v>
      </c>
      <c r="AE489" s="27">
        <v>0.17543859649122806</v>
      </c>
      <c r="AF489" s="27">
        <f t="shared" si="44"/>
        <v>4.3821209465381246E-3</v>
      </c>
      <c r="AG489" s="37">
        <v>35</v>
      </c>
      <c r="AH489" s="27">
        <v>0.2046783625730994</v>
      </c>
      <c r="AI489" s="27">
        <f t="shared" si="45"/>
        <v>5.1124744376278121E-3</v>
      </c>
      <c r="AJ489" s="38">
        <v>0</v>
      </c>
      <c r="AK489" s="27">
        <v>0</v>
      </c>
      <c r="AL489" s="27">
        <f t="shared" si="46"/>
        <v>0</v>
      </c>
      <c r="AM489" s="40">
        <v>0</v>
      </c>
      <c r="AN489" s="27">
        <v>0</v>
      </c>
      <c r="AO489" s="27">
        <f t="shared" si="47"/>
        <v>0</v>
      </c>
      <c r="AP489" s="7" t="b">
        <v>1</v>
      </c>
      <c r="AQ489" s="6" t="b">
        <v>0</v>
      </c>
      <c r="AR489" s="6" t="b">
        <v>0</v>
      </c>
      <c r="AS489" s="6" t="b">
        <v>0</v>
      </c>
      <c r="AT489" s="7" t="b">
        <v>1</v>
      </c>
      <c r="AU489" s="6" t="b">
        <v>0</v>
      </c>
      <c r="AV489" s="6" t="b">
        <v>0</v>
      </c>
      <c r="AW489" s="6" t="b">
        <v>0</v>
      </c>
      <c r="AX489" s="6" t="b">
        <v>0</v>
      </c>
      <c r="AY489" s="6" t="b">
        <v>0</v>
      </c>
      <c r="AZ489" s="6" t="b">
        <v>0</v>
      </c>
      <c r="BA489" s="6" t="b">
        <v>0</v>
      </c>
      <c r="BB489" s="6" t="b">
        <v>0</v>
      </c>
    </row>
    <row r="490" spans="1:54" ht="15" x14ac:dyDescent="0.25">
      <c r="A490" s="3" t="s">
        <v>1036</v>
      </c>
      <c r="B490" s="3" t="str">
        <f ca="1">IFERROR(__xludf.DUMMYFUNCTION("SPLIT(A490,""/"")"),"jbesomi")</f>
        <v>jbesomi</v>
      </c>
      <c r="C490" s="3" t="str">
        <f ca="1">IFERROR(__xludf.DUMMYFUNCTION("""COMPUTED_VALUE"""),"texthero")</f>
        <v>texthero</v>
      </c>
      <c r="D490" s="4" t="s">
        <v>1037</v>
      </c>
      <c r="E490" s="5">
        <v>43927.63616898148</v>
      </c>
      <c r="F490" s="5">
        <v>44295.140208333331</v>
      </c>
      <c r="G490" s="13">
        <f t="shared" si="42"/>
        <v>367.50403935185022</v>
      </c>
      <c r="H490" s="6" t="b">
        <v>0</v>
      </c>
      <c r="I490" s="6" t="b">
        <v>0</v>
      </c>
      <c r="J490" s="8">
        <v>2141</v>
      </c>
      <c r="K490" s="8">
        <v>43</v>
      </c>
      <c r="L490" s="8">
        <v>188</v>
      </c>
      <c r="M490" s="8">
        <v>3</v>
      </c>
      <c r="N490" s="8">
        <v>9</v>
      </c>
      <c r="O490" s="8">
        <v>18</v>
      </c>
      <c r="P490" s="8">
        <v>105</v>
      </c>
      <c r="Q490" s="8">
        <v>27</v>
      </c>
      <c r="R490" s="8">
        <v>95</v>
      </c>
      <c r="S490" s="8">
        <v>46</v>
      </c>
      <c r="T490" s="3" t="s">
        <v>72</v>
      </c>
      <c r="U490" s="10">
        <v>1362</v>
      </c>
      <c r="V490" s="32">
        <v>4</v>
      </c>
      <c r="W490" s="27">
        <v>2.936857562408223E-3</v>
      </c>
      <c r="X490" s="34">
        <v>0</v>
      </c>
      <c r="Y490" s="27">
        <v>0</v>
      </c>
      <c r="Z490" s="27">
        <v>0</v>
      </c>
      <c r="AA490" s="35">
        <v>0</v>
      </c>
      <c r="AB490" s="27">
        <v>0</v>
      </c>
      <c r="AC490" s="27">
        <f t="shared" si="43"/>
        <v>0</v>
      </c>
      <c r="AD490" s="36">
        <v>4</v>
      </c>
      <c r="AE490" s="27">
        <v>1</v>
      </c>
      <c r="AF490" s="27">
        <f t="shared" si="44"/>
        <v>2.936857562408223E-3</v>
      </c>
      <c r="AG490" s="37">
        <v>0</v>
      </c>
      <c r="AH490" s="27">
        <v>0</v>
      </c>
      <c r="AI490" s="27">
        <f t="shared" si="45"/>
        <v>0</v>
      </c>
      <c r="AJ490" s="38">
        <v>0</v>
      </c>
      <c r="AK490" s="27">
        <v>0</v>
      </c>
      <c r="AL490" s="27">
        <f t="shared" si="46"/>
        <v>0</v>
      </c>
      <c r="AM490" s="40">
        <v>0</v>
      </c>
      <c r="AN490" s="27">
        <v>0</v>
      </c>
      <c r="AO490" s="27">
        <f t="shared" si="47"/>
        <v>0</v>
      </c>
      <c r="AP490" s="7" t="b">
        <v>1</v>
      </c>
      <c r="AQ490" s="7" t="b">
        <v>1</v>
      </c>
      <c r="AR490" s="6" t="b">
        <v>0</v>
      </c>
      <c r="AS490" s="6" t="b">
        <v>0</v>
      </c>
      <c r="AT490" s="7" t="b">
        <v>1</v>
      </c>
      <c r="AU490" s="6" t="b">
        <v>0</v>
      </c>
      <c r="AV490" s="6" t="b">
        <v>0</v>
      </c>
      <c r="AW490" s="6" t="b">
        <v>0</v>
      </c>
      <c r="AX490" s="6" t="b">
        <v>0</v>
      </c>
      <c r="AY490" s="6" t="b">
        <v>0</v>
      </c>
      <c r="AZ490" s="6" t="b">
        <v>0</v>
      </c>
      <c r="BA490" s="6" t="b">
        <v>0</v>
      </c>
      <c r="BB490" s="6" t="b">
        <v>0</v>
      </c>
    </row>
    <row r="491" spans="1:54" ht="15" x14ac:dyDescent="0.25">
      <c r="A491" s="3" t="s">
        <v>1038</v>
      </c>
      <c r="B491" s="3" t="str">
        <f ca="1">IFERROR(__xludf.DUMMYFUNCTION("SPLIT(A491,""/"")"),"JDAI-CV")</f>
        <v>JDAI-CV</v>
      </c>
      <c r="C491" s="3" t="str">
        <f ca="1">IFERROR(__xludf.DUMMYFUNCTION("""COMPUTED_VALUE"""),"fast-reid")</f>
        <v>fast-reid</v>
      </c>
      <c r="D491" s="4" t="s">
        <v>1039</v>
      </c>
      <c r="E491" s="5">
        <v>43257.380787037036</v>
      </c>
      <c r="F491" s="5">
        <v>44294.596631944441</v>
      </c>
      <c r="G491" s="13">
        <f t="shared" si="42"/>
        <v>1037.215844907405</v>
      </c>
      <c r="H491" s="6" t="b">
        <v>0</v>
      </c>
      <c r="I491" s="7" t="b">
        <v>1</v>
      </c>
      <c r="J491" s="8">
        <v>1735</v>
      </c>
      <c r="K491" s="8">
        <v>62</v>
      </c>
      <c r="L491" s="8">
        <v>462</v>
      </c>
      <c r="M491" s="8">
        <v>3</v>
      </c>
      <c r="N491" s="8">
        <v>7</v>
      </c>
      <c r="O491" s="8">
        <v>13</v>
      </c>
      <c r="P491" s="8">
        <v>66</v>
      </c>
      <c r="Q491" s="8">
        <v>3</v>
      </c>
      <c r="R491" s="8">
        <v>387</v>
      </c>
      <c r="S491" s="8">
        <v>65</v>
      </c>
      <c r="T491" s="3" t="s">
        <v>69</v>
      </c>
      <c r="U491" s="10">
        <v>14155</v>
      </c>
      <c r="V491" s="32">
        <v>161</v>
      </c>
      <c r="W491" s="27">
        <v>1.1374072765807135E-2</v>
      </c>
      <c r="X491" s="34">
        <v>0</v>
      </c>
      <c r="Y491" s="27">
        <v>0</v>
      </c>
      <c r="Z491" s="27">
        <v>0</v>
      </c>
      <c r="AA491" s="35">
        <v>138</v>
      </c>
      <c r="AB491" s="27">
        <v>0.8571428571428571</v>
      </c>
      <c r="AC491" s="27">
        <f t="shared" si="43"/>
        <v>9.7492052278346873E-3</v>
      </c>
      <c r="AD491" s="36">
        <v>16</v>
      </c>
      <c r="AE491" s="27">
        <v>9.9378881987577633E-2</v>
      </c>
      <c r="AF491" s="27">
        <f t="shared" si="44"/>
        <v>1.1303426351112682E-3</v>
      </c>
      <c r="AG491" s="37">
        <v>7</v>
      </c>
      <c r="AH491" s="27">
        <v>4.3478260869565216E-2</v>
      </c>
      <c r="AI491" s="27">
        <f t="shared" si="45"/>
        <v>4.9452490286117979E-4</v>
      </c>
      <c r="AJ491" s="38">
        <v>0</v>
      </c>
      <c r="AK491" s="27">
        <v>0</v>
      </c>
      <c r="AL491" s="27">
        <f t="shared" si="46"/>
        <v>0</v>
      </c>
      <c r="AM491" s="40">
        <v>0</v>
      </c>
      <c r="AN491" s="27">
        <v>0</v>
      </c>
      <c r="AO491" s="27">
        <f t="shared" si="47"/>
        <v>0</v>
      </c>
      <c r="AP491" s="7" t="b">
        <v>1</v>
      </c>
      <c r="AQ491" s="6" t="b">
        <v>0</v>
      </c>
      <c r="AR491" s="6" t="b">
        <v>0</v>
      </c>
      <c r="AS491" s="6" t="b">
        <v>0</v>
      </c>
      <c r="AT491" s="7" t="b">
        <v>1</v>
      </c>
      <c r="AU491" s="6" t="b">
        <v>0</v>
      </c>
      <c r="AV491" s="6" t="b">
        <v>0</v>
      </c>
      <c r="AW491" s="6" t="b">
        <v>0</v>
      </c>
      <c r="AX491" s="6" t="b">
        <v>0</v>
      </c>
      <c r="AY491" s="6" t="b">
        <v>0</v>
      </c>
      <c r="AZ491" s="6" t="b">
        <v>0</v>
      </c>
      <c r="BA491" s="6" t="b">
        <v>0</v>
      </c>
      <c r="BB491" s="6" t="b">
        <v>0</v>
      </c>
    </row>
    <row r="492" spans="1:54" ht="15" x14ac:dyDescent="0.25">
      <c r="A492" s="3" t="s">
        <v>1040</v>
      </c>
      <c r="B492" s="3" t="str">
        <f ca="1">IFERROR(__xludf.DUMMYFUNCTION("SPLIT(A492,""/"")"),"jeanphix")</f>
        <v>jeanphix</v>
      </c>
      <c r="C492" s="4" t="str">
        <f ca="1">IFERROR(__xludf.DUMMYFUNCTION("""COMPUTED_VALUE"""),"Ghost.py")</f>
        <v>Ghost.py</v>
      </c>
      <c r="D492" s="4" t="s">
        <v>1041</v>
      </c>
      <c r="E492" s="5">
        <v>40868.819722222222</v>
      </c>
      <c r="F492" s="5">
        <v>44272.735474537039</v>
      </c>
      <c r="G492" s="13">
        <f t="shared" si="42"/>
        <v>3403.9157523148169</v>
      </c>
      <c r="H492" s="6" t="b">
        <v>0</v>
      </c>
      <c r="I492" s="6" t="b">
        <v>0</v>
      </c>
      <c r="J492" s="8">
        <v>2747</v>
      </c>
      <c r="K492" s="8">
        <v>118</v>
      </c>
      <c r="L492" s="8">
        <v>356</v>
      </c>
      <c r="M492" s="8">
        <v>0</v>
      </c>
      <c r="N492" s="8">
        <v>6</v>
      </c>
      <c r="O492" s="8">
        <v>54</v>
      </c>
      <c r="P492" s="8">
        <v>119</v>
      </c>
      <c r="Q492" s="8">
        <v>7</v>
      </c>
      <c r="R492" s="8">
        <v>224</v>
      </c>
      <c r="S492" s="8">
        <v>134</v>
      </c>
      <c r="T492" s="11" t="s">
        <v>52</v>
      </c>
      <c r="U492" s="10">
        <v>1210</v>
      </c>
      <c r="V492" s="32">
        <v>26</v>
      </c>
      <c r="W492" s="27">
        <v>2.1487603305785124E-2</v>
      </c>
      <c r="X492" s="34">
        <v>6</v>
      </c>
      <c r="Y492" s="27">
        <v>0.23076923076923078</v>
      </c>
      <c r="Z492" s="27">
        <v>4.9586776859504135E-3</v>
      </c>
      <c r="AA492" s="35">
        <v>12</v>
      </c>
      <c r="AB492" s="27">
        <v>0.46153846153846156</v>
      </c>
      <c r="AC492" s="27">
        <f t="shared" si="43"/>
        <v>9.9173553719008271E-3</v>
      </c>
      <c r="AD492" s="36">
        <v>3</v>
      </c>
      <c r="AE492" s="27">
        <v>0.11538461538461539</v>
      </c>
      <c r="AF492" s="27">
        <f t="shared" si="44"/>
        <v>2.4793388429752068E-3</v>
      </c>
      <c r="AG492" s="37">
        <v>3</v>
      </c>
      <c r="AH492" s="27">
        <v>0.11538461538461539</v>
      </c>
      <c r="AI492" s="27">
        <f t="shared" si="45"/>
        <v>2.4793388429752068E-3</v>
      </c>
      <c r="AJ492" s="38">
        <v>0</v>
      </c>
      <c r="AK492" s="27">
        <v>0</v>
      </c>
      <c r="AL492" s="27">
        <f t="shared" si="46"/>
        <v>0</v>
      </c>
      <c r="AM492" s="40">
        <v>2</v>
      </c>
      <c r="AN492" s="27">
        <v>7.6923076923076927E-2</v>
      </c>
      <c r="AO492" s="27">
        <f t="shared" si="47"/>
        <v>1.652892561983471E-3</v>
      </c>
      <c r="AP492" s="7" t="b">
        <v>1</v>
      </c>
      <c r="AQ492" s="6" t="b">
        <v>0</v>
      </c>
      <c r="AR492" s="6" t="b">
        <v>0</v>
      </c>
      <c r="AS492" s="6" t="b">
        <v>0</v>
      </c>
      <c r="AT492" s="7" t="b">
        <v>1</v>
      </c>
      <c r="AU492" s="6" t="b">
        <v>0</v>
      </c>
      <c r="AV492" s="6" t="b">
        <v>0</v>
      </c>
      <c r="AW492" s="6" t="b">
        <v>0</v>
      </c>
      <c r="AX492" s="6" t="b">
        <v>0</v>
      </c>
      <c r="AY492" s="6" t="b">
        <v>0</v>
      </c>
      <c r="AZ492" s="6" t="b">
        <v>0</v>
      </c>
      <c r="BA492" s="6" t="b">
        <v>0</v>
      </c>
      <c r="BB492" s="6" t="b">
        <v>0</v>
      </c>
    </row>
    <row r="493" spans="1:54" ht="15" x14ac:dyDescent="0.25">
      <c r="A493" s="3" t="s">
        <v>1042</v>
      </c>
      <c r="B493" s="3" t="str">
        <f ca="1">IFERROR(__xludf.DUMMYFUNCTION("SPLIT(A493,""/"")"),"jeffzh3ng")</f>
        <v>jeffzh3ng</v>
      </c>
      <c r="C493" s="3" t="str">
        <f ca="1">IFERROR(__xludf.DUMMYFUNCTION("""COMPUTED_VALUE"""),"fuxi")</f>
        <v>fuxi</v>
      </c>
      <c r="D493" s="4" t="s">
        <v>1043</v>
      </c>
      <c r="E493" s="5">
        <v>43264.313969907409</v>
      </c>
      <c r="F493" s="5">
        <v>44295.093171296299</v>
      </c>
      <c r="G493" s="13">
        <f t="shared" si="42"/>
        <v>1030.7792013888902</v>
      </c>
      <c r="H493" s="6" t="b">
        <v>0</v>
      </c>
      <c r="I493" s="6" t="b">
        <v>0</v>
      </c>
      <c r="J493" s="8">
        <v>1115</v>
      </c>
      <c r="K493" s="8">
        <v>84</v>
      </c>
      <c r="L493" s="8">
        <v>332</v>
      </c>
      <c r="M493" s="8">
        <v>0</v>
      </c>
      <c r="N493" s="8">
        <v>0</v>
      </c>
      <c r="O493" s="9">
        <v>0</v>
      </c>
      <c r="P493" s="8">
        <v>7</v>
      </c>
      <c r="Q493" s="8">
        <v>4</v>
      </c>
      <c r="R493" s="8">
        <v>19</v>
      </c>
      <c r="S493" s="8">
        <v>3</v>
      </c>
      <c r="T493" s="3" t="s">
        <v>72</v>
      </c>
      <c r="U493" s="10">
        <v>11864</v>
      </c>
      <c r="V493" s="32">
        <v>223</v>
      </c>
      <c r="W493" s="27">
        <v>1.8796358732299394E-2</v>
      </c>
      <c r="X493" s="34">
        <v>0</v>
      </c>
      <c r="Y493" s="27">
        <v>0</v>
      </c>
      <c r="Z493" s="27">
        <v>0</v>
      </c>
      <c r="AA493" s="35">
        <v>76</v>
      </c>
      <c r="AB493" s="27">
        <v>0.34080717488789236</v>
      </c>
      <c r="AC493" s="27">
        <f t="shared" si="43"/>
        <v>6.4059339177343225E-3</v>
      </c>
      <c r="AD493" s="36">
        <v>140</v>
      </c>
      <c r="AE493" s="27">
        <v>0.62780269058295968</v>
      </c>
      <c r="AF493" s="27">
        <f t="shared" si="44"/>
        <v>1.1800404585300068E-2</v>
      </c>
      <c r="AG493" s="37">
        <v>7</v>
      </c>
      <c r="AH493" s="27">
        <v>3.1390134529147982E-2</v>
      </c>
      <c r="AI493" s="27">
        <f t="shared" si="45"/>
        <v>5.9002022926500338E-4</v>
      </c>
      <c r="AJ493" s="38">
        <v>0</v>
      </c>
      <c r="AK493" s="27">
        <v>0</v>
      </c>
      <c r="AL493" s="27">
        <f t="shared" si="46"/>
        <v>0</v>
      </c>
      <c r="AM493" s="40">
        <v>0</v>
      </c>
      <c r="AN493" s="27">
        <v>0</v>
      </c>
      <c r="AO493" s="27">
        <f t="shared" si="47"/>
        <v>0</v>
      </c>
      <c r="AP493" s="7" t="b">
        <v>1</v>
      </c>
      <c r="AQ493" s="6" t="b">
        <v>0</v>
      </c>
      <c r="AR493" s="6" t="b">
        <v>0</v>
      </c>
      <c r="AS493" s="6" t="b">
        <v>0</v>
      </c>
      <c r="AT493" s="7" t="b">
        <v>1</v>
      </c>
      <c r="AU493" s="6" t="b">
        <v>0</v>
      </c>
      <c r="AV493" s="6" t="b">
        <v>0</v>
      </c>
      <c r="AW493" s="6" t="b">
        <v>0</v>
      </c>
      <c r="AX493" s="6" t="b">
        <v>0</v>
      </c>
      <c r="AY493" s="6" t="b">
        <v>0</v>
      </c>
      <c r="AZ493" s="6" t="b">
        <v>0</v>
      </c>
      <c r="BA493" s="6" t="b">
        <v>0</v>
      </c>
      <c r="BB493" s="6" t="b">
        <v>0</v>
      </c>
    </row>
    <row r="494" spans="1:54" ht="15" x14ac:dyDescent="0.25">
      <c r="A494" s="3" t="s">
        <v>1044</v>
      </c>
      <c r="B494" s="3" t="str">
        <f ca="1">IFERROR(__xludf.DUMMYFUNCTION("SPLIT(A494,""/"")"),"jet-admin")</f>
        <v>jet-admin</v>
      </c>
      <c r="C494" s="3" t="str">
        <f ca="1">IFERROR(__xludf.DUMMYFUNCTION("""COMPUTED_VALUE"""),"jet-bridge")</f>
        <v>jet-bridge</v>
      </c>
      <c r="D494" s="4" t="s">
        <v>1045</v>
      </c>
      <c r="E494" s="5">
        <v>43460.435798611114</v>
      </c>
      <c r="F494" s="5">
        <v>44293.624155092592</v>
      </c>
      <c r="G494" s="13">
        <f t="shared" si="42"/>
        <v>833.18835648147797</v>
      </c>
      <c r="H494" s="6" t="b">
        <v>0</v>
      </c>
      <c r="I494" s="7" t="b">
        <v>1</v>
      </c>
      <c r="J494" s="8">
        <v>912</v>
      </c>
      <c r="K494" s="8">
        <v>26</v>
      </c>
      <c r="L494" s="8">
        <v>79</v>
      </c>
      <c r="M494" s="8">
        <v>0</v>
      </c>
      <c r="N494" s="8">
        <v>0</v>
      </c>
      <c r="O494" s="8">
        <v>4</v>
      </c>
      <c r="P494" s="8">
        <v>8</v>
      </c>
      <c r="Q494" s="8">
        <v>1</v>
      </c>
      <c r="R494" s="8">
        <v>9</v>
      </c>
      <c r="S494" s="8">
        <v>5</v>
      </c>
      <c r="T494" s="3" t="s">
        <v>72</v>
      </c>
      <c r="U494" s="10">
        <v>4259</v>
      </c>
      <c r="V494" s="32">
        <v>37</v>
      </c>
      <c r="W494" s="27">
        <v>8.687485325193707E-3</v>
      </c>
      <c r="X494" s="34">
        <v>0</v>
      </c>
      <c r="Y494" s="27">
        <v>0</v>
      </c>
      <c r="Z494" s="27">
        <v>0</v>
      </c>
      <c r="AA494" s="35">
        <v>7</v>
      </c>
      <c r="AB494" s="27">
        <v>0.1891891891891892</v>
      </c>
      <c r="AC494" s="27">
        <f t="shared" si="43"/>
        <v>1.643578304766377E-3</v>
      </c>
      <c r="AD494" s="36">
        <v>16</v>
      </c>
      <c r="AE494" s="27">
        <v>0.43243243243243246</v>
      </c>
      <c r="AF494" s="27">
        <f t="shared" si="44"/>
        <v>3.7567504108945763E-3</v>
      </c>
      <c r="AG494" s="37">
        <v>13</v>
      </c>
      <c r="AH494" s="27">
        <v>0.35135135135135137</v>
      </c>
      <c r="AI494" s="27">
        <f t="shared" si="45"/>
        <v>3.0523597088518433E-3</v>
      </c>
      <c r="AJ494" s="38">
        <v>0</v>
      </c>
      <c r="AK494" s="27">
        <v>0</v>
      </c>
      <c r="AL494" s="27">
        <f t="shared" si="46"/>
        <v>0</v>
      </c>
      <c r="AM494" s="40">
        <v>0</v>
      </c>
      <c r="AN494" s="27">
        <v>0</v>
      </c>
      <c r="AO494" s="27">
        <f t="shared" si="47"/>
        <v>0</v>
      </c>
      <c r="AP494" s="7" t="b">
        <v>1</v>
      </c>
      <c r="AQ494" s="6" t="b">
        <v>0</v>
      </c>
      <c r="AR494" s="6" t="b">
        <v>0</v>
      </c>
      <c r="AS494" s="6" t="b">
        <v>0</v>
      </c>
      <c r="AT494" s="7" t="b">
        <v>1</v>
      </c>
      <c r="AU494" s="6" t="b">
        <v>0</v>
      </c>
      <c r="AV494" s="6" t="b">
        <v>0</v>
      </c>
      <c r="AW494" s="6" t="b">
        <v>0</v>
      </c>
      <c r="AX494" s="6" t="b">
        <v>0</v>
      </c>
      <c r="AY494" s="6" t="b">
        <v>0</v>
      </c>
      <c r="AZ494" s="6" t="b">
        <v>0</v>
      </c>
      <c r="BA494" s="6" t="b">
        <v>0</v>
      </c>
      <c r="BB494" s="6" t="b">
        <v>0</v>
      </c>
    </row>
    <row r="495" spans="1:54" ht="15" x14ac:dyDescent="0.25">
      <c r="A495" s="3" t="s">
        <v>1046</v>
      </c>
      <c r="B495" s="3" t="str">
        <f ca="1">IFERROR(__xludf.DUMMYFUNCTION("SPLIT(A495,""/"")"),"jhao104")</f>
        <v>jhao104</v>
      </c>
      <c r="C495" s="3" t="str">
        <f ca="1">IFERROR(__xludf.DUMMYFUNCTION("""COMPUTED_VALUE"""),"proxy_pool")</f>
        <v>proxy_pool</v>
      </c>
      <c r="D495" s="4" t="s">
        <v>1047</v>
      </c>
      <c r="E495" s="5">
        <v>42699.575775462959</v>
      </c>
      <c r="F495" s="5">
        <v>44295.144675925927</v>
      </c>
      <c r="G495" s="13">
        <f t="shared" si="42"/>
        <v>1595.5689004629676</v>
      </c>
      <c r="H495" s="6" t="b">
        <v>0</v>
      </c>
      <c r="I495" s="6" t="b">
        <v>0</v>
      </c>
      <c r="J495" s="8">
        <v>12141</v>
      </c>
      <c r="K495" s="8">
        <v>437</v>
      </c>
      <c r="L495" s="8">
        <v>3306</v>
      </c>
      <c r="M495" s="8">
        <v>0</v>
      </c>
      <c r="N495" s="8">
        <v>6</v>
      </c>
      <c r="O495" s="8">
        <v>38</v>
      </c>
      <c r="P495" s="8">
        <v>136</v>
      </c>
      <c r="Q495" s="8">
        <v>2</v>
      </c>
      <c r="R495" s="8">
        <v>418</v>
      </c>
      <c r="S495" s="8">
        <v>221</v>
      </c>
      <c r="T495" s="3" t="s">
        <v>72</v>
      </c>
      <c r="U495" s="10">
        <v>1156</v>
      </c>
      <c r="V495" s="32">
        <v>22</v>
      </c>
      <c r="W495" s="27">
        <v>1.9031141868512111E-2</v>
      </c>
      <c r="X495" s="34">
        <v>0</v>
      </c>
      <c r="Y495" s="27">
        <v>0</v>
      </c>
      <c r="Z495" s="27">
        <v>0</v>
      </c>
      <c r="AA495" s="35">
        <v>16</v>
      </c>
      <c r="AB495" s="27">
        <v>0.72727272727272729</v>
      </c>
      <c r="AC495" s="27">
        <f t="shared" si="43"/>
        <v>1.384083044982699E-2</v>
      </c>
      <c r="AD495" s="36">
        <v>0</v>
      </c>
      <c r="AE495" s="27">
        <v>0</v>
      </c>
      <c r="AF495" s="27">
        <f t="shared" si="44"/>
        <v>0</v>
      </c>
      <c r="AG495" s="37">
        <v>6</v>
      </c>
      <c r="AH495" s="27">
        <v>0.27272727272727271</v>
      </c>
      <c r="AI495" s="27">
        <f t="shared" si="45"/>
        <v>5.1903114186851208E-3</v>
      </c>
      <c r="AJ495" s="38">
        <v>0</v>
      </c>
      <c r="AK495" s="27">
        <v>0</v>
      </c>
      <c r="AL495" s="27">
        <f t="shared" si="46"/>
        <v>0</v>
      </c>
      <c r="AM495" s="40">
        <v>0</v>
      </c>
      <c r="AN495" s="27">
        <v>0</v>
      </c>
      <c r="AO495" s="27">
        <f t="shared" si="47"/>
        <v>0</v>
      </c>
      <c r="AP495" s="7" t="b">
        <v>1</v>
      </c>
      <c r="AQ495" s="7" t="b">
        <v>1</v>
      </c>
      <c r="AR495" s="6" t="b">
        <v>0</v>
      </c>
      <c r="AS495" s="6" t="b">
        <v>0</v>
      </c>
      <c r="AT495" s="7" t="b">
        <v>1</v>
      </c>
      <c r="AU495" s="6" t="b">
        <v>0</v>
      </c>
      <c r="AV495" s="6" t="b">
        <v>0</v>
      </c>
      <c r="AW495" s="6" t="b">
        <v>0</v>
      </c>
      <c r="AX495" s="6" t="b">
        <v>0</v>
      </c>
      <c r="AY495" s="6" t="b">
        <v>0</v>
      </c>
      <c r="AZ495" s="6" t="b">
        <v>0</v>
      </c>
      <c r="BA495" s="6" t="b">
        <v>0</v>
      </c>
      <c r="BB495" s="6" t="b">
        <v>0</v>
      </c>
    </row>
    <row r="496" spans="1:54" ht="15" x14ac:dyDescent="0.25">
      <c r="A496" s="3" t="s">
        <v>1048</v>
      </c>
      <c r="B496" s="3" t="str">
        <f ca="1">IFERROR(__xludf.DUMMYFUNCTION("SPLIT(A496,""/"")"),"jhpyle")</f>
        <v>jhpyle</v>
      </c>
      <c r="C496" s="3" t="str">
        <f ca="1">IFERROR(__xludf.DUMMYFUNCTION("""COMPUTED_VALUE"""),"docassemble")</f>
        <v>docassemble</v>
      </c>
      <c r="D496" s="4" t="s">
        <v>1049</v>
      </c>
      <c r="E496" s="5">
        <v>42112.089953703704</v>
      </c>
      <c r="F496" s="5">
        <v>44294.963726851849</v>
      </c>
      <c r="G496" s="13">
        <f t="shared" si="42"/>
        <v>2182.8737731481451</v>
      </c>
      <c r="H496" s="6" t="b">
        <v>0</v>
      </c>
      <c r="I496" s="6" t="b">
        <v>0</v>
      </c>
      <c r="J496" s="8">
        <v>424</v>
      </c>
      <c r="K496" s="8">
        <v>39</v>
      </c>
      <c r="L496" s="8">
        <v>165</v>
      </c>
      <c r="M496" s="8">
        <v>0</v>
      </c>
      <c r="N496" s="8">
        <v>0</v>
      </c>
      <c r="O496" s="8">
        <v>36</v>
      </c>
      <c r="P496" s="8">
        <v>145</v>
      </c>
      <c r="Q496" s="8">
        <v>0</v>
      </c>
      <c r="R496" s="8">
        <v>248</v>
      </c>
      <c r="S496" s="8">
        <v>47</v>
      </c>
      <c r="T496" s="3" t="s">
        <v>72</v>
      </c>
      <c r="U496" s="10">
        <v>65633</v>
      </c>
      <c r="V496" s="32">
        <v>2</v>
      </c>
      <c r="W496" s="27">
        <v>3.0472475736291194E-5</v>
      </c>
      <c r="X496" s="34">
        <v>2</v>
      </c>
      <c r="Y496" s="27">
        <v>1</v>
      </c>
      <c r="Z496" s="27">
        <v>3.0472475736291194E-5</v>
      </c>
      <c r="AA496" s="35">
        <v>0</v>
      </c>
      <c r="AB496" s="27">
        <v>0</v>
      </c>
      <c r="AC496" s="27">
        <f t="shared" si="43"/>
        <v>0</v>
      </c>
      <c r="AD496" s="36">
        <v>0</v>
      </c>
      <c r="AE496" s="27">
        <v>0</v>
      </c>
      <c r="AF496" s="27">
        <f t="shared" si="44"/>
        <v>0</v>
      </c>
      <c r="AG496" s="37">
        <v>0</v>
      </c>
      <c r="AH496" s="27">
        <v>0</v>
      </c>
      <c r="AI496" s="27">
        <f t="shared" si="45"/>
        <v>0</v>
      </c>
      <c r="AJ496" s="38">
        <v>0</v>
      </c>
      <c r="AK496" s="27">
        <v>0</v>
      </c>
      <c r="AL496" s="27">
        <f t="shared" si="46"/>
        <v>0</v>
      </c>
      <c r="AM496" s="40">
        <v>0</v>
      </c>
      <c r="AN496" s="27">
        <v>0</v>
      </c>
      <c r="AO496" s="27">
        <f t="shared" si="47"/>
        <v>0</v>
      </c>
      <c r="AP496" s="7" t="b">
        <v>1</v>
      </c>
      <c r="AQ496" s="6" t="b">
        <v>0</v>
      </c>
      <c r="AR496" s="6" t="b">
        <v>0</v>
      </c>
      <c r="AS496" s="6" t="b">
        <v>0</v>
      </c>
      <c r="AT496" s="7" t="b">
        <v>1</v>
      </c>
      <c r="AU496" s="6" t="b">
        <v>0</v>
      </c>
      <c r="AV496" s="6" t="b">
        <v>0</v>
      </c>
      <c r="AW496" s="6" t="b">
        <v>0</v>
      </c>
      <c r="AX496" s="6" t="b">
        <v>0</v>
      </c>
      <c r="AY496" s="6" t="b">
        <v>0</v>
      </c>
      <c r="AZ496" s="6" t="b">
        <v>0</v>
      </c>
      <c r="BA496" s="6" t="b">
        <v>0</v>
      </c>
      <c r="BB496" s="6" t="b">
        <v>0</v>
      </c>
    </row>
    <row r="497" spans="1:54" ht="15" x14ac:dyDescent="0.25">
      <c r="A497" s="3" t="s">
        <v>1050</v>
      </c>
      <c r="B497" s="3" t="str">
        <f ca="1">IFERROR(__xludf.DUMMYFUNCTION("SPLIT(A497,""/"")"),"jimmy201602")</f>
        <v>jimmy201602</v>
      </c>
      <c r="C497" s="3" t="str">
        <f ca="1">IFERROR(__xludf.DUMMYFUNCTION("""COMPUTED_VALUE"""),"webterminal")</f>
        <v>webterminal</v>
      </c>
      <c r="D497" s="4" t="s">
        <v>1051</v>
      </c>
      <c r="E497" s="5">
        <v>42994.558437500003</v>
      </c>
      <c r="F497" s="5">
        <v>44294.243298611109</v>
      </c>
      <c r="G497" s="13">
        <f t="shared" si="42"/>
        <v>1299.6848611111054</v>
      </c>
      <c r="H497" s="6" t="b">
        <v>0</v>
      </c>
      <c r="I497" s="6" t="b">
        <v>0</v>
      </c>
      <c r="J497" s="8">
        <v>1135</v>
      </c>
      <c r="K497" s="8">
        <v>64</v>
      </c>
      <c r="L497" s="8">
        <v>459</v>
      </c>
      <c r="M497" s="8">
        <v>11</v>
      </c>
      <c r="N497" s="8">
        <v>0</v>
      </c>
      <c r="O497" s="8">
        <v>4</v>
      </c>
      <c r="P497" s="8">
        <v>84</v>
      </c>
      <c r="Q497" s="8">
        <v>0</v>
      </c>
      <c r="R497" s="8">
        <v>83</v>
      </c>
      <c r="S497" s="8">
        <v>3</v>
      </c>
      <c r="T497" s="3" t="s">
        <v>49</v>
      </c>
      <c r="U497" s="10">
        <v>6375</v>
      </c>
      <c r="V497" s="32">
        <v>54</v>
      </c>
      <c r="W497" s="27">
        <v>8.4705882352941169E-3</v>
      </c>
      <c r="X497" s="34">
        <v>32</v>
      </c>
      <c r="Y497" s="27">
        <v>0.59259259259259256</v>
      </c>
      <c r="Z497" s="27">
        <v>5.019607843137255E-3</v>
      </c>
      <c r="AA497" s="35">
        <v>3</v>
      </c>
      <c r="AB497" s="27">
        <v>5.5555555555555552E-2</v>
      </c>
      <c r="AC497" s="27">
        <f t="shared" si="43"/>
        <v>4.7058823529411766E-4</v>
      </c>
      <c r="AD497" s="36">
        <v>1</v>
      </c>
      <c r="AE497" s="27">
        <v>1.8518518518518517E-2</v>
      </c>
      <c r="AF497" s="27">
        <f t="shared" si="44"/>
        <v>1.5686274509803922E-4</v>
      </c>
      <c r="AG497" s="37">
        <v>18</v>
      </c>
      <c r="AH497" s="27">
        <v>0.33333333333333331</v>
      </c>
      <c r="AI497" s="27">
        <f t="shared" si="45"/>
        <v>2.8235294117647061E-3</v>
      </c>
      <c r="AJ497" s="38">
        <v>0</v>
      </c>
      <c r="AK497" s="27">
        <v>0</v>
      </c>
      <c r="AL497" s="27">
        <f t="shared" si="46"/>
        <v>0</v>
      </c>
      <c r="AM497" s="40">
        <v>0</v>
      </c>
      <c r="AN497" s="27">
        <v>0</v>
      </c>
      <c r="AO497" s="27">
        <f t="shared" si="47"/>
        <v>0</v>
      </c>
      <c r="AP497" s="7" t="b">
        <v>1</v>
      </c>
      <c r="AQ497" s="7" t="b">
        <v>1</v>
      </c>
      <c r="AR497" s="6" t="b">
        <v>0</v>
      </c>
      <c r="AS497" s="6" t="b">
        <v>0</v>
      </c>
      <c r="AT497" s="7" t="b">
        <v>1</v>
      </c>
      <c r="AU497" s="6" t="b">
        <v>0</v>
      </c>
      <c r="AV497" s="6" t="b">
        <v>0</v>
      </c>
      <c r="AW497" s="6" t="b">
        <v>0</v>
      </c>
      <c r="AX497" s="6" t="b">
        <v>0</v>
      </c>
      <c r="AY497" s="6" t="b">
        <v>0</v>
      </c>
      <c r="AZ497" s="6" t="b">
        <v>0</v>
      </c>
      <c r="BA497" s="6" t="b">
        <v>0</v>
      </c>
      <c r="BB497" s="6" t="b">
        <v>0</v>
      </c>
    </row>
    <row r="498" spans="1:54" ht="15" x14ac:dyDescent="0.25">
      <c r="A498" s="3" t="s">
        <v>1052</v>
      </c>
      <c r="B498" s="3" t="str">
        <f ca="1">IFERROR(__xludf.DUMMYFUNCTION("SPLIT(A498,""/"")"),"jina-ai")</f>
        <v>jina-ai</v>
      </c>
      <c r="C498" s="3" t="str">
        <f ca="1">IFERROR(__xludf.DUMMYFUNCTION("""COMPUTED_VALUE"""),"jina")</f>
        <v>jina</v>
      </c>
      <c r="D498" s="4" t="s">
        <v>1053</v>
      </c>
      <c r="E498" s="5">
        <v>43874.71162037037</v>
      </c>
      <c r="F498" s="5">
        <v>44295.10361111111</v>
      </c>
      <c r="G498" s="13">
        <f t="shared" si="42"/>
        <v>420.39199074073986</v>
      </c>
      <c r="H498" s="6" t="b">
        <v>0</v>
      </c>
      <c r="I498" s="7" t="b">
        <v>1</v>
      </c>
      <c r="J498" s="8">
        <v>2937</v>
      </c>
      <c r="K498" s="8">
        <v>70</v>
      </c>
      <c r="L498" s="8">
        <v>407</v>
      </c>
      <c r="M498" s="8">
        <v>60</v>
      </c>
      <c r="N498" s="8">
        <v>4</v>
      </c>
      <c r="O498" s="8">
        <v>85</v>
      </c>
      <c r="P498" s="8">
        <v>1533</v>
      </c>
      <c r="Q498" s="8">
        <v>15</v>
      </c>
      <c r="R498" s="8">
        <v>734</v>
      </c>
      <c r="S498" s="8">
        <v>64</v>
      </c>
      <c r="T498" s="3" t="s">
        <v>69</v>
      </c>
      <c r="U498" s="10">
        <v>29005</v>
      </c>
      <c r="V498" s="32">
        <v>303</v>
      </c>
      <c r="W498" s="27">
        <v>1.0446474745733495E-2</v>
      </c>
      <c r="X498" s="34">
        <v>32</v>
      </c>
      <c r="Y498" s="27">
        <v>0.10561056105610561</v>
      </c>
      <c r="Z498" s="27">
        <v>1.1032580589553525E-3</v>
      </c>
      <c r="AA498" s="35">
        <v>96</v>
      </c>
      <c r="AB498" s="27">
        <v>0.31683168316831684</v>
      </c>
      <c r="AC498" s="27">
        <f t="shared" si="43"/>
        <v>3.3097741768660575E-3</v>
      </c>
      <c r="AD498" s="36">
        <v>89</v>
      </c>
      <c r="AE498" s="27">
        <v>0.29372937293729373</v>
      </c>
      <c r="AF498" s="27">
        <f t="shared" si="44"/>
        <v>3.0684364764695742E-3</v>
      </c>
      <c r="AG498" s="37">
        <v>72</v>
      </c>
      <c r="AH498" s="27">
        <v>0.23762376237623761</v>
      </c>
      <c r="AI498" s="27">
        <f t="shared" si="45"/>
        <v>2.482330632649543E-3</v>
      </c>
      <c r="AJ498" s="38">
        <v>14</v>
      </c>
      <c r="AK498" s="27">
        <v>4.6204620462046202E-2</v>
      </c>
      <c r="AL498" s="27">
        <f t="shared" si="46"/>
        <v>4.8267540079296675E-4</v>
      </c>
      <c r="AM498" s="40">
        <v>0</v>
      </c>
      <c r="AN498" s="27">
        <v>0</v>
      </c>
      <c r="AO498" s="27">
        <f t="shared" si="47"/>
        <v>0</v>
      </c>
      <c r="AP498" s="7" t="b">
        <v>1</v>
      </c>
      <c r="AQ498" s="7" t="b">
        <v>1</v>
      </c>
      <c r="AR498" s="6" t="b">
        <v>0</v>
      </c>
      <c r="AS498" s="6" t="b">
        <v>0</v>
      </c>
      <c r="AT498" s="7" t="b">
        <v>1</v>
      </c>
      <c r="AU498" s="6" t="b">
        <v>0</v>
      </c>
      <c r="AV498" s="6" t="b">
        <v>0</v>
      </c>
      <c r="AW498" s="6" t="b">
        <v>0</v>
      </c>
      <c r="AX498" s="6" t="b">
        <v>0</v>
      </c>
      <c r="AY498" s="6" t="b">
        <v>0</v>
      </c>
      <c r="AZ498" s="6" t="b">
        <v>0</v>
      </c>
      <c r="BA498" s="6" t="b">
        <v>0</v>
      </c>
      <c r="BB498" s="6" t="b">
        <v>0</v>
      </c>
    </row>
    <row r="499" spans="1:54" ht="15" x14ac:dyDescent="0.25">
      <c r="A499" s="3" t="s">
        <v>1054</v>
      </c>
      <c r="B499" s="3" t="str">
        <f ca="1">IFERROR(__xludf.DUMMYFUNCTION("SPLIT(A499,""/"")"),"jindaxiang")</f>
        <v>jindaxiang</v>
      </c>
      <c r="C499" s="3" t="str">
        <f ca="1">IFERROR(__xludf.DUMMYFUNCTION("""COMPUTED_VALUE"""),"akshare")</f>
        <v>akshare</v>
      </c>
      <c r="D499" s="4" t="s">
        <v>1055</v>
      </c>
      <c r="E499" s="5">
        <v>43739.315416666665</v>
      </c>
      <c r="F499" s="5">
        <v>44295.121655092589</v>
      </c>
      <c r="G499" s="13">
        <f t="shared" si="42"/>
        <v>555.80623842592468</v>
      </c>
      <c r="H499" s="6" t="b">
        <v>0</v>
      </c>
      <c r="I499" s="6" t="b">
        <v>0</v>
      </c>
      <c r="J499" s="8">
        <v>3350</v>
      </c>
      <c r="K499" s="8">
        <v>128</v>
      </c>
      <c r="L499" s="8">
        <v>667</v>
      </c>
      <c r="M499" s="8">
        <v>429</v>
      </c>
      <c r="N499" s="8">
        <v>0</v>
      </c>
      <c r="O499" s="8">
        <v>11</v>
      </c>
      <c r="P499" s="8">
        <v>933</v>
      </c>
      <c r="Q499" s="8">
        <v>0</v>
      </c>
      <c r="R499" s="8">
        <v>193</v>
      </c>
      <c r="S499" s="8">
        <v>3</v>
      </c>
      <c r="T499" s="3" t="s">
        <v>72</v>
      </c>
      <c r="U499" s="10">
        <v>18201</v>
      </c>
      <c r="V499" s="32">
        <v>32</v>
      </c>
      <c r="W499" s="27">
        <v>1.7581451568595132E-3</v>
      </c>
      <c r="X499" s="34">
        <v>2</v>
      </c>
      <c r="Y499" s="27">
        <v>6.25E-2</v>
      </c>
      <c r="Z499" s="27">
        <v>1.0988407230371958E-4</v>
      </c>
      <c r="AA499" s="35">
        <v>0</v>
      </c>
      <c r="AB499" s="27">
        <v>0</v>
      </c>
      <c r="AC499" s="27">
        <f t="shared" si="43"/>
        <v>0</v>
      </c>
      <c r="AD499" s="36">
        <v>29</v>
      </c>
      <c r="AE499" s="27">
        <v>0.90625</v>
      </c>
      <c r="AF499" s="27">
        <f t="shared" si="44"/>
        <v>1.5933190484039338E-3</v>
      </c>
      <c r="AG499" s="37">
        <v>1</v>
      </c>
      <c r="AH499" s="27">
        <v>3.125E-2</v>
      </c>
      <c r="AI499" s="27">
        <f t="shared" si="45"/>
        <v>5.4942036151859789E-5</v>
      </c>
      <c r="AJ499" s="38">
        <v>0</v>
      </c>
      <c r="AK499" s="27">
        <v>0</v>
      </c>
      <c r="AL499" s="27">
        <f t="shared" si="46"/>
        <v>0</v>
      </c>
      <c r="AM499" s="40">
        <v>0</v>
      </c>
      <c r="AN499" s="27">
        <v>0</v>
      </c>
      <c r="AO499" s="27">
        <f t="shared" si="47"/>
        <v>0</v>
      </c>
      <c r="AP499" s="7" t="b">
        <v>1</v>
      </c>
      <c r="AQ499" s="6" t="b">
        <v>0</v>
      </c>
      <c r="AR499" s="6" t="b">
        <v>0</v>
      </c>
      <c r="AS499" s="6" t="b">
        <v>0</v>
      </c>
      <c r="AT499" s="7" t="b">
        <v>1</v>
      </c>
      <c r="AU499" s="6" t="b">
        <v>0</v>
      </c>
      <c r="AV499" s="6" t="b">
        <v>0</v>
      </c>
      <c r="AW499" s="6" t="b">
        <v>0</v>
      </c>
      <c r="AX499" s="6" t="b">
        <v>0</v>
      </c>
      <c r="AY499" s="6" t="b">
        <v>0</v>
      </c>
      <c r="AZ499" s="6" t="b">
        <v>0</v>
      </c>
      <c r="BA499" s="6" t="b">
        <v>0</v>
      </c>
      <c r="BB499" s="6" t="b">
        <v>0</v>
      </c>
    </row>
    <row r="500" spans="1:54" ht="15" x14ac:dyDescent="0.25">
      <c r="A500" s="3" t="s">
        <v>1056</v>
      </c>
      <c r="B500" s="3" t="str">
        <f ca="1">IFERROR(__xludf.DUMMYFUNCTION("SPLIT(A500,""/"")"),"jiny2001")</f>
        <v>jiny2001</v>
      </c>
      <c r="C500" s="3" t="str">
        <f ca="1">IFERROR(__xludf.DUMMYFUNCTION("""COMPUTED_VALUE"""),"dcscn-super-resolution")</f>
        <v>dcscn-super-resolution</v>
      </c>
      <c r="D500" s="4" t="s">
        <v>1057</v>
      </c>
      <c r="E500" s="5">
        <v>42899.292673611111</v>
      </c>
      <c r="F500" s="5">
        <v>44294.604143518518</v>
      </c>
      <c r="G500" s="13">
        <f t="shared" si="42"/>
        <v>1395.3114699074067</v>
      </c>
      <c r="H500" s="6" t="b">
        <v>0</v>
      </c>
      <c r="I500" s="6" t="b">
        <v>0</v>
      </c>
      <c r="J500" s="8">
        <v>612</v>
      </c>
      <c r="K500" s="8">
        <v>32</v>
      </c>
      <c r="L500" s="8">
        <v>201</v>
      </c>
      <c r="M500" s="8">
        <v>0</v>
      </c>
      <c r="N500" s="8">
        <v>0</v>
      </c>
      <c r="O500" s="8">
        <v>4</v>
      </c>
      <c r="P500" s="8">
        <v>13</v>
      </c>
      <c r="Q500" s="8">
        <v>1</v>
      </c>
      <c r="R500" s="8">
        <v>102</v>
      </c>
      <c r="S500" s="8">
        <v>32</v>
      </c>
      <c r="T500" s="3" t="s">
        <v>72</v>
      </c>
      <c r="U500" s="10">
        <v>1797</v>
      </c>
      <c r="V500" s="32">
        <v>20</v>
      </c>
      <c r="W500" s="27">
        <v>1.1129660545353366E-2</v>
      </c>
      <c r="X500" s="34">
        <v>0</v>
      </c>
      <c r="Y500" s="27">
        <v>0</v>
      </c>
      <c r="Z500" s="27">
        <v>0</v>
      </c>
      <c r="AA500" s="35">
        <v>19</v>
      </c>
      <c r="AB500" s="27">
        <v>0.95</v>
      </c>
      <c r="AC500" s="27">
        <f t="shared" si="43"/>
        <v>1.0573177518085699E-2</v>
      </c>
      <c r="AD500" s="36">
        <v>0</v>
      </c>
      <c r="AE500" s="27">
        <v>0</v>
      </c>
      <c r="AF500" s="27">
        <f t="shared" si="44"/>
        <v>0</v>
      </c>
      <c r="AG500" s="37">
        <v>1</v>
      </c>
      <c r="AH500" s="27">
        <v>0.05</v>
      </c>
      <c r="AI500" s="27">
        <f t="shared" si="45"/>
        <v>5.5648302726766835E-4</v>
      </c>
      <c r="AJ500" s="38">
        <v>0</v>
      </c>
      <c r="AK500" s="27">
        <v>0</v>
      </c>
      <c r="AL500" s="27">
        <f t="shared" si="46"/>
        <v>0</v>
      </c>
      <c r="AM500" s="40">
        <v>0</v>
      </c>
      <c r="AN500" s="27">
        <v>0</v>
      </c>
      <c r="AO500" s="27">
        <f t="shared" si="47"/>
        <v>0</v>
      </c>
      <c r="AP500" s="7" t="b">
        <v>1</v>
      </c>
      <c r="AQ500" s="6" t="b">
        <v>0</v>
      </c>
      <c r="AR500" s="6" t="b">
        <v>0</v>
      </c>
      <c r="AS500" s="6" t="b">
        <v>0</v>
      </c>
      <c r="AT500" s="7" t="b">
        <v>1</v>
      </c>
      <c r="AU500" s="6" t="b">
        <v>0</v>
      </c>
      <c r="AV500" s="6" t="b">
        <v>0</v>
      </c>
      <c r="AW500" s="6" t="b">
        <v>0</v>
      </c>
      <c r="AX500" s="6" t="b">
        <v>0</v>
      </c>
      <c r="AY500" s="6" t="b">
        <v>0</v>
      </c>
      <c r="AZ500" s="6" t="b">
        <v>0</v>
      </c>
      <c r="BA500" s="6" t="b">
        <v>0</v>
      </c>
      <c r="BB500" s="6" t="b">
        <v>0</v>
      </c>
    </row>
    <row r="501" spans="1:54" ht="15" x14ac:dyDescent="0.25">
      <c r="A501" s="3" t="s">
        <v>1058</v>
      </c>
      <c r="B501" s="3" t="str">
        <f ca="1">IFERROR(__xludf.DUMMYFUNCTION("SPLIT(A501,""/"")"),"jmathai")</f>
        <v>jmathai</v>
      </c>
      <c r="C501" s="3" t="str">
        <f ca="1">IFERROR(__xludf.DUMMYFUNCTION("""COMPUTED_VALUE"""),"elodie")</f>
        <v>elodie</v>
      </c>
      <c r="D501" s="4" t="s">
        <v>1059</v>
      </c>
      <c r="E501" s="5">
        <v>42256.912303240744</v>
      </c>
      <c r="F501" s="5">
        <v>44292.605902777781</v>
      </c>
      <c r="G501" s="13">
        <f t="shared" si="42"/>
        <v>2035.6935995370368</v>
      </c>
      <c r="H501" s="6" t="b">
        <v>0</v>
      </c>
      <c r="I501" s="6" t="b">
        <v>0</v>
      </c>
      <c r="J501" s="8">
        <v>851</v>
      </c>
      <c r="K501" s="8">
        <v>40</v>
      </c>
      <c r="L501" s="8">
        <v>106</v>
      </c>
      <c r="M501" s="8">
        <v>1</v>
      </c>
      <c r="N501" s="8">
        <v>4</v>
      </c>
      <c r="O501" s="8">
        <v>30</v>
      </c>
      <c r="P501" s="8">
        <v>175</v>
      </c>
      <c r="Q501" s="8">
        <v>18</v>
      </c>
      <c r="R501" s="8">
        <v>228</v>
      </c>
      <c r="S501" s="8">
        <v>68</v>
      </c>
      <c r="T501" s="3" t="s">
        <v>69</v>
      </c>
      <c r="U501" s="10">
        <v>5452</v>
      </c>
      <c r="V501" s="32">
        <v>43</v>
      </c>
      <c r="W501" s="27">
        <v>7.8870139398385906E-3</v>
      </c>
      <c r="X501" s="34">
        <v>2</v>
      </c>
      <c r="Y501" s="27">
        <v>4.6511627906976744E-2</v>
      </c>
      <c r="Z501" s="27">
        <v>3.6683785766691124E-4</v>
      </c>
      <c r="AA501" s="35">
        <v>9</v>
      </c>
      <c r="AB501" s="27">
        <v>0.20930232558139536</v>
      </c>
      <c r="AC501" s="27">
        <f t="shared" si="43"/>
        <v>1.6507703595011005E-3</v>
      </c>
      <c r="AD501" s="36">
        <v>9</v>
      </c>
      <c r="AE501" s="27">
        <v>0.20930232558139536</v>
      </c>
      <c r="AF501" s="27">
        <f t="shared" si="44"/>
        <v>1.6507703595011005E-3</v>
      </c>
      <c r="AG501" s="37">
        <v>14</v>
      </c>
      <c r="AH501" s="27">
        <v>0.32558139534883723</v>
      </c>
      <c r="AI501" s="27">
        <f t="shared" si="45"/>
        <v>2.5678650036683784E-3</v>
      </c>
      <c r="AJ501" s="38">
        <v>0</v>
      </c>
      <c r="AK501" s="27">
        <v>0</v>
      </c>
      <c r="AL501" s="27">
        <f t="shared" si="46"/>
        <v>0</v>
      </c>
      <c r="AM501" s="40">
        <v>6</v>
      </c>
      <c r="AN501" s="27">
        <v>0.13953488372093023</v>
      </c>
      <c r="AO501" s="27">
        <f t="shared" si="47"/>
        <v>1.1005135730007337E-3</v>
      </c>
      <c r="AP501" s="7" t="b">
        <v>1</v>
      </c>
      <c r="AQ501" s="6" t="b">
        <v>0</v>
      </c>
      <c r="AR501" s="6" t="b">
        <v>0</v>
      </c>
      <c r="AS501" s="6" t="b">
        <v>0</v>
      </c>
      <c r="AT501" s="7" t="b">
        <v>1</v>
      </c>
      <c r="AU501" s="6" t="b">
        <v>0</v>
      </c>
      <c r="AV501" s="6" t="b">
        <v>0</v>
      </c>
      <c r="AW501" s="6" t="b">
        <v>0</v>
      </c>
      <c r="AX501" s="6" t="b">
        <v>0</v>
      </c>
      <c r="AY501" s="6" t="b">
        <v>0</v>
      </c>
      <c r="AZ501" s="6" t="b">
        <v>0</v>
      </c>
      <c r="BA501" s="6" t="b">
        <v>0</v>
      </c>
      <c r="BB501" s="6" t="b">
        <v>0</v>
      </c>
    </row>
    <row r="502" spans="1:54" ht="15" x14ac:dyDescent="0.25">
      <c r="A502" s="3" t="s">
        <v>1060</v>
      </c>
      <c r="B502" s="3" t="str">
        <f ca="1">IFERROR(__xludf.DUMMYFUNCTION("SPLIT(A502,""/"")"),"joaoricardo000")</f>
        <v>joaoricardo000</v>
      </c>
      <c r="C502" s="3" t="str">
        <f ca="1">IFERROR(__xludf.DUMMYFUNCTION("""COMPUTED_VALUE"""),"whatsapp-bot-seed")</f>
        <v>whatsapp-bot-seed</v>
      </c>
      <c r="D502" s="4" t="s">
        <v>1061</v>
      </c>
      <c r="E502" s="5">
        <v>42250.102858796294</v>
      </c>
      <c r="F502" s="5">
        <v>44294.483032407406</v>
      </c>
      <c r="G502" s="13">
        <f t="shared" si="42"/>
        <v>2044.3801736111127</v>
      </c>
      <c r="H502" s="6" t="b">
        <v>0</v>
      </c>
      <c r="I502" s="6" t="b">
        <v>0</v>
      </c>
      <c r="J502" s="8">
        <v>658</v>
      </c>
      <c r="K502" s="8">
        <v>66</v>
      </c>
      <c r="L502" s="8">
        <v>218</v>
      </c>
      <c r="M502" s="8">
        <v>0</v>
      </c>
      <c r="N502" s="8">
        <v>1</v>
      </c>
      <c r="O502" s="8">
        <v>4</v>
      </c>
      <c r="P502" s="8">
        <v>20</v>
      </c>
      <c r="Q502" s="8">
        <v>9</v>
      </c>
      <c r="R502" s="8">
        <v>95</v>
      </c>
      <c r="S502" s="8">
        <v>39</v>
      </c>
      <c r="T502" s="11" t="s">
        <v>52</v>
      </c>
      <c r="U502" s="10">
        <v>468</v>
      </c>
      <c r="V502" s="32">
        <v>12</v>
      </c>
      <c r="W502" s="27">
        <v>2.564102564102564E-2</v>
      </c>
      <c r="X502" s="34">
        <v>0</v>
      </c>
      <c r="Y502" s="27">
        <v>0</v>
      </c>
      <c r="Z502" s="27">
        <v>0</v>
      </c>
      <c r="AA502" s="35">
        <v>7</v>
      </c>
      <c r="AB502" s="27">
        <v>0.58333333333333337</v>
      </c>
      <c r="AC502" s="27">
        <f t="shared" si="43"/>
        <v>1.4957264957264958E-2</v>
      </c>
      <c r="AD502" s="36">
        <v>0</v>
      </c>
      <c r="AE502" s="27">
        <v>0</v>
      </c>
      <c r="AF502" s="27">
        <f t="shared" si="44"/>
        <v>0</v>
      </c>
      <c r="AG502" s="37">
        <v>3</v>
      </c>
      <c r="AH502" s="27">
        <v>0.25</v>
      </c>
      <c r="AI502" s="27">
        <f t="shared" si="45"/>
        <v>6.41025641025641E-3</v>
      </c>
      <c r="AJ502" s="38">
        <v>0</v>
      </c>
      <c r="AK502" s="27">
        <v>0</v>
      </c>
      <c r="AL502" s="27">
        <f t="shared" si="46"/>
        <v>0</v>
      </c>
      <c r="AM502" s="40">
        <v>0</v>
      </c>
      <c r="AN502" s="27">
        <v>0</v>
      </c>
      <c r="AO502" s="27">
        <f t="shared" si="47"/>
        <v>0</v>
      </c>
      <c r="AP502" s="7" t="b">
        <v>1</v>
      </c>
      <c r="AQ502" s="6" t="b">
        <v>0</v>
      </c>
      <c r="AR502" s="6" t="b">
        <v>0</v>
      </c>
      <c r="AS502" s="6" t="b">
        <v>0</v>
      </c>
      <c r="AT502" s="7" t="b">
        <v>1</v>
      </c>
      <c r="AU502" s="6" t="b">
        <v>0</v>
      </c>
      <c r="AV502" s="6" t="b">
        <v>0</v>
      </c>
      <c r="AW502" s="6" t="b">
        <v>0</v>
      </c>
      <c r="AX502" s="6" t="b">
        <v>0</v>
      </c>
      <c r="AY502" s="6" t="b">
        <v>0</v>
      </c>
      <c r="AZ502" s="6" t="b">
        <v>0</v>
      </c>
      <c r="BA502" s="6" t="b">
        <v>0</v>
      </c>
      <c r="BB502" s="6" t="b">
        <v>0</v>
      </c>
    </row>
    <row r="503" spans="1:54" ht="15" x14ac:dyDescent="0.25">
      <c r="A503" s="3" t="s">
        <v>1062</v>
      </c>
      <c r="B503" s="3" t="str">
        <f ca="1">IFERROR(__xludf.DUMMYFUNCTION("SPLIT(A503,""/"")"),"joe-siyuan-qiao")</f>
        <v>joe-siyuan-qiao</v>
      </c>
      <c r="C503" s="3" t="str">
        <f ca="1">IFERROR(__xludf.DUMMYFUNCTION("""COMPUTED_VALUE"""),"DetectoRS")</f>
        <v>DetectoRS</v>
      </c>
      <c r="D503" s="4" t="s">
        <v>1063</v>
      </c>
      <c r="E503" s="5">
        <v>43978.249525462961</v>
      </c>
      <c r="F503" s="5">
        <v>44294.298668981479</v>
      </c>
      <c r="G503" s="13">
        <f t="shared" si="42"/>
        <v>316.04914351851767</v>
      </c>
      <c r="H503" s="6" t="b">
        <v>0</v>
      </c>
      <c r="I503" s="6" t="b">
        <v>0</v>
      </c>
      <c r="J503" s="8">
        <v>997</v>
      </c>
      <c r="K503" s="8">
        <v>35</v>
      </c>
      <c r="L503" s="8">
        <v>177</v>
      </c>
      <c r="M503" s="8">
        <v>0</v>
      </c>
      <c r="N503" s="8">
        <v>0</v>
      </c>
      <c r="O503" s="9">
        <v>0</v>
      </c>
      <c r="P503" s="8">
        <v>2</v>
      </c>
      <c r="Q503" s="8">
        <v>2</v>
      </c>
      <c r="R503" s="8">
        <v>83</v>
      </c>
      <c r="S503" s="8">
        <v>38</v>
      </c>
      <c r="T503" s="3" t="s">
        <v>69</v>
      </c>
      <c r="U503" s="10">
        <v>18636</v>
      </c>
      <c r="V503" s="32">
        <v>16</v>
      </c>
      <c r="W503" s="27">
        <v>8.585533376261E-4</v>
      </c>
      <c r="X503" s="34">
        <v>5</v>
      </c>
      <c r="Y503" s="27">
        <v>0.3125</v>
      </c>
      <c r="Z503" s="27">
        <v>2.6829791800815628E-4</v>
      </c>
      <c r="AA503" s="35">
        <v>5</v>
      </c>
      <c r="AB503" s="27">
        <v>0.3125</v>
      </c>
      <c r="AC503" s="27">
        <f t="shared" si="43"/>
        <v>2.6829791800815628E-4</v>
      </c>
      <c r="AD503" s="36">
        <v>4</v>
      </c>
      <c r="AE503" s="27">
        <v>0.25</v>
      </c>
      <c r="AF503" s="27">
        <f t="shared" si="44"/>
        <v>2.14638334406525E-4</v>
      </c>
      <c r="AG503" s="37">
        <v>0</v>
      </c>
      <c r="AH503" s="27">
        <v>0</v>
      </c>
      <c r="AI503" s="27">
        <f t="shared" si="45"/>
        <v>0</v>
      </c>
      <c r="AJ503" s="38">
        <v>0</v>
      </c>
      <c r="AK503" s="27">
        <v>0</v>
      </c>
      <c r="AL503" s="27">
        <f t="shared" si="46"/>
        <v>0</v>
      </c>
      <c r="AM503" s="40">
        <v>2</v>
      </c>
      <c r="AN503" s="27">
        <v>0.125</v>
      </c>
      <c r="AO503" s="27">
        <f t="shared" si="47"/>
        <v>1.073191672032625E-4</v>
      </c>
      <c r="AP503" s="7" t="b">
        <v>1</v>
      </c>
      <c r="AQ503" s="6" t="b">
        <v>0</v>
      </c>
      <c r="AR503" s="6" t="b">
        <v>0</v>
      </c>
      <c r="AS503" s="6" t="b">
        <v>0</v>
      </c>
      <c r="AT503" s="7" t="b">
        <v>1</v>
      </c>
      <c r="AU503" s="6" t="b">
        <v>0</v>
      </c>
      <c r="AV503" s="6" t="b">
        <v>0</v>
      </c>
      <c r="AW503" s="6" t="b">
        <v>0</v>
      </c>
      <c r="AX503" s="6" t="b">
        <v>0</v>
      </c>
      <c r="AY503" s="6" t="b">
        <v>0</v>
      </c>
      <c r="AZ503" s="6" t="b">
        <v>0</v>
      </c>
      <c r="BA503" s="6" t="b">
        <v>0</v>
      </c>
      <c r="BB503" s="6" t="b">
        <v>0</v>
      </c>
    </row>
    <row r="504" spans="1:54" ht="15" x14ac:dyDescent="0.25">
      <c r="A504" s="3" t="s">
        <v>1064</v>
      </c>
      <c r="B504" s="3" t="str">
        <f ca="1">IFERROR(__xludf.DUMMYFUNCTION("SPLIT(A504,""/"")"),"JohnHammond")</f>
        <v>JohnHammond</v>
      </c>
      <c r="C504" s="3" t="str">
        <f ca="1">IFERROR(__xludf.DUMMYFUNCTION("""COMPUTED_VALUE"""),"katana")</f>
        <v>katana</v>
      </c>
      <c r="D504" s="4" t="s">
        <v>1065</v>
      </c>
      <c r="E504" s="5">
        <v>43886.649375000001</v>
      </c>
      <c r="F504" s="5">
        <v>44294.314606481479</v>
      </c>
      <c r="G504" s="13">
        <f t="shared" si="42"/>
        <v>407.66523148147826</v>
      </c>
      <c r="H504" s="6" t="b">
        <v>0</v>
      </c>
      <c r="I504" s="6" t="b">
        <v>0</v>
      </c>
      <c r="J504" s="8">
        <v>671</v>
      </c>
      <c r="K504" s="8">
        <v>25</v>
      </c>
      <c r="L504" s="8">
        <v>97</v>
      </c>
      <c r="M504" s="8">
        <v>0</v>
      </c>
      <c r="N504" s="8">
        <v>1</v>
      </c>
      <c r="O504" s="8">
        <v>11</v>
      </c>
      <c r="P504" s="8">
        <v>16</v>
      </c>
      <c r="Q504" s="8">
        <v>2</v>
      </c>
      <c r="R504" s="8">
        <v>15</v>
      </c>
      <c r="S504" s="8">
        <v>9</v>
      </c>
      <c r="T504" s="3" t="s">
        <v>92</v>
      </c>
      <c r="U504" s="10">
        <v>6118</v>
      </c>
      <c r="V504" s="32">
        <v>8</v>
      </c>
      <c r="W504" s="27">
        <v>1.3076168682576005E-3</v>
      </c>
      <c r="X504" s="34">
        <v>0</v>
      </c>
      <c r="Y504" s="27">
        <v>0</v>
      </c>
      <c r="Z504" s="27">
        <v>0</v>
      </c>
      <c r="AA504" s="35">
        <v>4</v>
      </c>
      <c r="AB504" s="27">
        <v>0.5</v>
      </c>
      <c r="AC504" s="27">
        <f t="shared" si="43"/>
        <v>6.5380843412880026E-4</v>
      </c>
      <c r="AD504" s="36">
        <v>2</v>
      </c>
      <c r="AE504" s="27">
        <v>0.25</v>
      </c>
      <c r="AF504" s="27">
        <f t="shared" si="44"/>
        <v>3.2690421706440013E-4</v>
      </c>
      <c r="AG504" s="37">
        <v>2</v>
      </c>
      <c r="AH504" s="27">
        <v>0.25</v>
      </c>
      <c r="AI504" s="27">
        <f t="shared" si="45"/>
        <v>3.2690421706440013E-4</v>
      </c>
      <c r="AJ504" s="38">
        <v>0</v>
      </c>
      <c r="AK504" s="27">
        <v>0</v>
      </c>
      <c r="AL504" s="27">
        <f t="shared" si="46"/>
        <v>0</v>
      </c>
      <c r="AM504" s="40">
        <v>0</v>
      </c>
      <c r="AN504" s="27">
        <v>0</v>
      </c>
      <c r="AO504" s="27">
        <f t="shared" si="47"/>
        <v>0</v>
      </c>
      <c r="AP504" s="7" t="b">
        <v>1</v>
      </c>
      <c r="AQ504" s="6" t="b">
        <v>0</v>
      </c>
      <c r="AR504" s="6" t="b">
        <v>0</v>
      </c>
      <c r="AS504" s="6" t="b">
        <v>0</v>
      </c>
      <c r="AT504" s="7" t="b">
        <v>1</v>
      </c>
      <c r="AU504" s="6" t="b">
        <v>0</v>
      </c>
      <c r="AV504" s="6" t="b">
        <v>0</v>
      </c>
      <c r="AW504" s="6" t="b">
        <v>0</v>
      </c>
      <c r="AX504" s="6" t="b">
        <v>0</v>
      </c>
      <c r="AY504" s="6" t="b">
        <v>0</v>
      </c>
      <c r="AZ504" s="6" t="b">
        <v>0</v>
      </c>
      <c r="BA504" s="6" t="b">
        <v>0</v>
      </c>
      <c r="BB504" s="6" t="b">
        <v>0</v>
      </c>
    </row>
    <row r="505" spans="1:54" ht="15" x14ac:dyDescent="0.25">
      <c r="A505" s="3" t="s">
        <v>1066</v>
      </c>
      <c r="B505" s="3" t="str">
        <f ca="1">IFERROR(__xludf.DUMMYFUNCTION("SPLIT(A505,""/"")"),"jookies")</f>
        <v>jookies</v>
      </c>
      <c r="C505" s="3" t="str">
        <f ca="1">IFERROR(__xludf.DUMMYFUNCTION("""COMPUTED_VALUE"""),"jasmin")</f>
        <v>jasmin</v>
      </c>
      <c r="D505" s="4" t="s">
        <v>1067</v>
      </c>
      <c r="E505" s="5">
        <v>41237.084293981483</v>
      </c>
      <c r="F505" s="5">
        <v>44291.722337962965</v>
      </c>
      <c r="G505" s="13">
        <f t="shared" si="42"/>
        <v>3054.638043981482</v>
      </c>
      <c r="H505" s="6" t="b">
        <v>0</v>
      </c>
      <c r="I505" s="7" t="b">
        <v>1</v>
      </c>
      <c r="J505" s="8">
        <v>597</v>
      </c>
      <c r="K505" s="8">
        <v>79</v>
      </c>
      <c r="L505" s="8">
        <v>369</v>
      </c>
      <c r="M505" s="8">
        <v>0</v>
      </c>
      <c r="N505" s="8">
        <v>3</v>
      </c>
      <c r="O505" s="8">
        <v>20</v>
      </c>
      <c r="P505" s="8">
        <v>242</v>
      </c>
      <c r="Q505" s="8">
        <v>4</v>
      </c>
      <c r="R505" s="8">
        <v>736</v>
      </c>
      <c r="S505" s="8">
        <v>162</v>
      </c>
      <c r="T505" s="3" t="s">
        <v>92</v>
      </c>
      <c r="U505" s="10">
        <v>26375</v>
      </c>
      <c r="V505" s="32">
        <v>638</v>
      </c>
      <c r="W505" s="27">
        <v>2.4189573459715639E-2</v>
      </c>
      <c r="X505" s="34">
        <v>218</v>
      </c>
      <c r="Y505" s="27">
        <v>0.34169278996865204</v>
      </c>
      <c r="Z505" s="27">
        <v>8.2654028436018965E-3</v>
      </c>
      <c r="AA505" s="35">
        <v>211</v>
      </c>
      <c r="AB505" s="27">
        <v>0.33072100313479624</v>
      </c>
      <c r="AC505" s="27">
        <f t="shared" si="43"/>
        <v>8.0000000000000002E-3</v>
      </c>
      <c r="AD505" s="36">
        <v>26</v>
      </c>
      <c r="AE505" s="27">
        <v>4.0752351097178681E-2</v>
      </c>
      <c r="AF505" s="27">
        <f t="shared" si="44"/>
        <v>9.857819905213271E-4</v>
      </c>
      <c r="AG505" s="37">
        <v>178</v>
      </c>
      <c r="AH505" s="27">
        <v>0.27899686520376177</v>
      </c>
      <c r="AI505" s="27">
        <f t="shared" si="45"/>
        <v>6.7488151658767776E-3</v>
      </c>
      <c r="AJ505" s="38">
        <v>5</v>
      </c>
      <c r="AK505" s="27">
        <v>7.8369905956112845E-3</v>
      </c>
      <c r="AL505" s="27">
        <f t="shared" si="46"/>
        <v>1.8957345971563981E-4</v>
      </c>
      <c r="AM505" s="40">
        <v>0</v>
      </c>
      <c r="AN505" s="27">
        <v>0</v>
      </c>
      <c r="AO505" s="27">
        <f t="shared" si="47"/>
        <v>0</v>
      </c>
      <c r="AP505" s="7" t="b">
        <v>1</v>
      </c>
      <c r="AQ505" s="7" t="b">
        <v>1</v>
      </c>
      <c r="AR505" s="6" t="b">
        <v>0</v>
      </c>
      <c r="AS505" s="6" t="b">
        <v>0</v>
      </c>
      <c r="AT505" s="7" t="b">
        <v>1</v>
      </c>
      <c r="AU505" s="6" t="b">
        <v>0</v>
      </c>
      <c r="AV505" s="6" t="b">
        <v>0</v>
      </c>
      <c r="AW505" s="6" t="b">
        <v>0</v>
      </c>
      <c r="AX505" s="6" t="b">
        <v>0</v>
      </c>
      <c r="AY505" s="6" t="b">
        <v>0</v>
      </c>
      <c r="AZ505" s="6" t="b">
        <v>0</v>
      </c>
      <c r="BA505" s="6" t="b">
        <v>0</v>
      </c>
      <c r="BB505" s="6" t="b">
        <v>0</v>
      </c>
    </row>
    <row r="506" spans="1:54" ht="15" x14ac:dyDescent="0.25">
      <c r="A506" s="3" t="s">
        <v>1068</v>
      </c>
      <c r="B506" s="3" t="str">
        <f ca="1">IFERROR(__xludf.DUMMYFUNCTION("SPLIT(A506,""/"")"),"jopohl")</f>
        <v>jopohl</v>
      </c>
      <c r="C506" s="3" t="str">
        <f ca="1">IFERROR(__xludf.DUMMYFUNCTION("""COMPUTED_VALUE"""),"urh")</f>
        <v>urh</v>
      </c>
      <c r="D506" s="4" t="s">
        <v>1069</v>
      </c>
      <c r="E506" s="5">
        <v>42461.821608796294</v>
      </c>
      <c r="F506" s="5">
        <v>44295.161874999998</v>
      </c>
      <c r="G506" s="13">
        <f t="shared" si="42"/>
        <v>1833.3402662037042</v>
      </c>
      <c r="H506" s="6" t="b">
        <v>0</v>
      </c>
      <c r="I506" s="6" t="b">
        <v>0</v>
      </c>
      <c r="J506" s="8">
        <v>7120</v>
      </c>
      <c r="K506" s="8">
        <v>401</v>
      </c>
      <c r="L506" s="8">
        <v>572</v>
      </c>
      <c r="M506" s="8">
        <v>88</v>
      </c>
      <c r="N506" s="8">
        <v>10</v>
      </c>
      <c r="O506" s="8">
        <v>14</v>
      </c>
      <c r="P506" s="8">
        <v>377</v>
      </c>
      <c r="Q506" s="8">
        <v>3</v>
      </c>
      <c r="R506" s="8">
        <v>473</v>
      </c>
      <c r="S506" s="8">
        <v>20</v>
      </c>
      <c r="T506" s="3" t="s">
        <v>49</v>
      </c>
      <c r="U506" s="10">
        <v>45901</v>
      </c>
      <c r="V506" s="32">
        <v>224</v>
      </c>
      <c r="W506" s="27">
        <v>4.8800679723753296E-3</v>
      </c>
      <c r="X506" s="34">
        <v>55</v>
      </c>
      <c r="Y506" s="27">
        <v>0.24553571428571427</v>
      </c>
      <c r="Z506" s="27">
        <v>1.1982309753600139E-3</v>
      </c>
      <c r="AA506" s="35">
        <v>38</v>
      </c>
      <c r="AB506" s="27">
        <v>0.16964285714285715</v>
      </c>
      <c r="AC506" s="27">
        <f t="shared" si="43"/>
        <v>8.2786867388510055E-4</v>
      </c>
      <c r="AD506" s="36">
        <v>35</v>
      </c>
      <c r="AE506" s="27">
        <v>0.15625</v>
      </c>
      <c r="AF506" s="27">
        <f t="shared" si="44"/>
        <v>7.625106206836452E-4</v>
      </c>
      <c r="AG506" s="37">
        <v>31</v>
      </c>
      <c r="AH506" s="27">
        <v>0.13839285714285715</v>
      </c>
      <c r="AI506" s="27">
        <f t="shared" si="45"/>
        <v>6.7536654974837144E-4</v>
      </c>
      <c r="AJ506" s="38">
        <v>26</v>
      </c>
      <c r="AK506" s="27">
        <v>0.11607142857142858</v>
      </c>
      <c r="AL506" s="27">
        <f t="shared" si="46"/>
        <v>5.6643646107927927E-4</v>
      </c>
      <c r="AM506" s="40">
        <v>0</v>
      </c>
      <c r="AN506" s="27">
        <v>0</v>
      </c>
      <c r="AO506" s="27">
        <f t="shared" si="47"/>
        <v>0</v>
      </c>
      <c r="AP506" s="7" t="b">
        <v>1</v>
      </c>
      <c r="AQ506" s="6" t="b">
        <v>0</v>
      </c>
      <c r="AR506" s="6" t="b">
        <v>0</v>
      </c>
      <c r="AS506" s="6" t="b">
        <v>0</v>
      </c>
      <c r="AT506" s="7" t="b">
        <v>1</v>
      </c>
      <c r="AU506" s="6" t="b">
        <v>0</v>
      </c>
      <c r="AV506" s="6" t="b">
        <v>0</v>
      </c>
      <c r="AW506" s="6" t="b">
        <v>0</v>
      </c>
      <c r="AX506" s="6" t="b">
        <v>0</v>
      </c>
      <c r="AY506" s="6" t="b">
        <v>0</v>
      </c>
      <c r="AZ506" s="6" t="b">
        <v>0</v>
      </c>
      <c r="BA506" s="6" t="b">
        <v>0</v>
      </c>
      <c r="BB506" s="6" t="b">
        <v>0</v>
      </c>
    </row>
    <row r="507" spans="1:54" ht="15" x14ac:dyDescent="0.25">
      <c r="A507" s="3" t="s">
        <v>1070</v>
      </c>
      <c r="B507" s="3" t="str">
        <f ca="1">IFERROR(__xludf.DUMMYFUNCTION("SPLIT(A507,""/"")"),"jorisroovers")</f>
        <v>jorisroovers</v>
      </c>
      <c r="C507" s="3" t="str">
        <f ca="1">IFERROR(__xludf.DUMMYFUNCTION("""COMPUTED_VALUE"""),"gitlint")</f>
        <v>gitlint</v>
      </c>
      <c r="D507" s="4" t="s">
        <v>1071</v>
      </c>
      <c r="E507" s="5">
        <v>42249.837685185186</v>
      </c>
      <c r="F507" s="5">
        <v>44283.748819444445</v>
      </c>
      <c r="G507" s="13">
        <f t="shared" si="42"/>
        <v>2033.9111342592587</v>
      </c>
      <c r="H507" s="6" t="b">
        <v>0</v>
      </c>
      <c r="I507" s="6" t="b">
        <v>0</v>
      </c>
      <c r="J507" s="8">
        <v>408</v>
      </c>
      <c r="K507" s="8">
        <v>12</v>
      </c>
      <c r="L507" s="8">
        <v>63</v>
      </c>
      <c r="M507" s="8">
        <v>22</v>
      </c>
      <c r="N507" s="8">
        <v>1</v>
      </c>
      <c r="O507" s="8">
        <v>26</v>
      </c>
      <c r="P507" s="8">
        <v>95</v>
      </c>
      <c r="Q507" s="8">
        <v>1</v>
      </c>
      <c r="R507" s="8">
        <v>91</v>
      </c>
      <c r="S507" s="8">
        <v>24</v>
      </c>
      <c r="T507" s="3" t="s">
        <v>72</v>
      </c>
      <c r="U507" s="10">
        <v>5120</v>
      </c>
      <c r="V507" s="32">
        <v>32</v>
      </c>
      <c r="W507" s="27">
        <v>6.2500000000000003E-3</v>
      </c>
      <c r="X507" s="34">
        <v>32</v>
      </c>
      <c r="Y507" s="27">
        <v>1</v>
      </c>
      <c r="Z507" s="27">
        <v>6.2500000000000003E-3</v>
      </c>
      <c r="AA507" s="35">
        <v>0</v>
      </c>
      <c r="AB507" s="27">
        <v>0</v>
      </c>
      <c r="AC507" s="27">
        <f t="shared" si="43"/>
        <v>0</v>
      </c>
      <c r="AD507" s="36">
        <v>0</v>
      </c>
      <c r="AE507" s="27">
        <v>0</v>
      </c>
      <c r="AF507" s="27">
        <f t="shared" si="44"/>
        <v>0</v>
      </c>
      <c r="AG507" s="37">
        <v>0</v>
      </c>
      <c r="AH507" s="27">
        <v>0</v>
      </c>
      <c r="AI507" s="27">
        <f t="shared" si="45"/>
        <v>0</v>
      </c>
      <c r="AJ507" s="38">
        <v>0</v>
      </c>
      <c r="AK507" s="27">
        <v>0</v>
      </c>
      <c r="AL507" s="27">
        <f t="shared" si="46"/>
        <v>0</v>
      </c>
      <c r="AM507" s="40">
        <v>0</v>
      </c>
      <c r="AN507" s="27">
        <v>0</v>
      </c>
      <c r="AO507" s="27">
        <f t="shared" si="47"/>
        <v>0</v>
      </c>
      <c r="AP507" s="7" t="b">
        <v>1</v>
      </c>
      <c r="AQ507" s="6" t="b">
        <v>0</v>
      </c>
      <c r="AR507" s="6" t="b">
        <v>0</v>
      </c>
      <c r="AS507" s="6" t="b">
        <v>0</v>
      </c>
      <c r="AT507" s="7" t="b">
        <v>1</v>
      </c>
      <c r="AU507" s="6" t="b">
        <v>0</v>
      </c>
      <c r="AV507" s="6" t="b">
        <v>0</v>
      </c>
      <c r="AW507" s="6" t="b">
        <v>0</v>
      </c>
      <c r="AX507" s="6" t="b">
        <v>0</v>
      </c>
      <c r="AY507" s="6" t="b">
        <v>0</v>
      </c>
      <c r="AZ507" s="6" t="b">
        <v>0</v>
      </c>
      <c r="BA507" s="6" t="b">
        <v>0</v>
      </c>
      <c r="BB507" s="6" t="b">
        <v>0</v>
      </c>
    </row>
    <row r="508" spans="1:54" ht="15" x14ac:dyDescent="0.25">
      <c r="A508" s="3" t="s">
        <v>1072</v>
      </c>
      <c r="B508" s="3" t="str">
        <f ca="1">IFERROR(__xludf.DUMMYFUNCTION("SPLIT(A508,""/"")"),"JosephKJ")</f>
        <v>JosephKJ</v>
      </c>
      <c r="C508" s="3" t="str">
        <f ca="1">IFERROR(__xludf.DUMMYFUNCTION("""COMPUTED_VALUE"""),"OWOD")</f>
        <v>OWOD</v>
      </c>
      <c r="D508" s="4" t="s">
        <v>1073</v>
      </c>
      <c r="E508" s="5">
        <v>44103.008946759262</v>
      </c>
      <c r="F508" s="5">
        <v>44295.025717592594</v>
      </c>
      <c r="G508" s="13">
        <f t="shared" si="42"/>
        <v>192.01677083333198</v>
      </c>
      <c r="H508" s="6" t="b">
        <v>0</v>
      </c>
      <c r="I508" s="6" t="b">
        <v>0</v>
      </c>
      <c r="J508" s="8">
        <v>383</v>
      </c>
      <c r="K508" s="8">
        <v>17</v>
      </c>
      <c r="L508" s="8">
        <v>37</v>
      </c>
      <c r="M508" s="8">
        <v>0</v>
      </c>
      <c r="N508" s="8">
        <v>0</v>
      </c>
      <c r="O508" s="9">
        <v>0</v>
      </c>
      <c r="P508" s="8">
        <v>0</v>
      </c>
      <c r="Q508" s="8">
        <v>0</v>
      </c>
      <c r="R508" s="8">
        <v>32</v>
      </c>
      <c r="S508" s="8">
        <v>11</v>
      </c>
      <c r="T508" s="3" t="s">
        <v>69</v>
      </c>
      <c r="U508" s="10">
        <v>25887</v>
      </c>
      <c r="V508" s="32">
        <v>260</v>
      </c>
      <c r="W508" s="27">
        <v>1.0043651253524936E-2</v>
      </c>
      <c r="X508" s="34">
        <v>1</v>
      </c>
      <c r="Y508" s="27">
        <v>3.8461538461538464E-3</v>
      </c>
      <c r="Z508" s="27">
        <v>3.8629427898172826E-5</v>
      </c>
      <c r="AA508" s="35">
        <v>201</v>
      </c>
      <c r="AB508" s="27">
        <v>0.77307692307692311</v>
      </c>
      <c r="AC508" s="27">
        <f t="shared" si="43"/>
        <v>7.7645150075327388E-3</v>
      </c>
      <c r="AD508" s="36">
        <v>45</v>
      </c>
      <c r="AE508" s="27">
        <v>0.17307692307692307</v>
      </c>
      <c r="AF508" s="27">
        <f t="shared" si="44"/>
        <v>1.7383242554177773E-3</v>
      </c>
      <c r="AG508" s="37">
        <v>13</v>
      </c>
      <c r="AH508" s="27">
        <v>0.05</v>
      </c>
      <c r="AI508" s="27">
        <f t="shared" si="45"/>
        <v>5.0218256267624674E-4</v>
      </c>
      <c r="AJ508" s="38">
        <v>0</v>
      </c>
      <c r="AK508" s="27">
        <v>0</v>
      </c>
      <c r="AL508" s="27">
        <f t="shared" si="46"/>
        <v>0</v>
      </c>
      <c r="AM508" s="40">
        <v>0</v>
      </c>
      <c r="AN508" s="27">
        <v>0</v>
      </c>
      <c r="AO508" s="27">
        <f t="shared" si="47"/>
        <v>0</v>
      </c>
      <c r="AP508" s="7" t="b">
        <v>1</v>
      </c>
      <c r="AQ508" s="7" t="b">
        <v>1</v>
      </c>
      <c r="AR508" s="6" t="b">
        <v>0</v>
      </c>
      <c r="AS508" s="6" t="b">
        <v>0</v>
      </c>
      <c r="AT508" s="7" t="b">
        <v>1</v>
      </c>
      <c r="AU508" s="6" t="b">
        <v>0</v>
      </c>
      <c r="AV508" s="6" t="b">
        <v>0</v>
      </c>
      <c r="AW508" s="6" t="b">
        <v>0</v>
      </c>
      <c r="AX508" s="6" t="b">
        <v>0</v>
      </c>
      <c r="AY508" s="6" t="b">
        <v>0</v>
      </c>
      <c r="AZ508" s="6" t="b">
        <v>0</v>
      </c>
      <c r="BA508" s="6" t="b">
        <v>0</v>
      </c>
      <c r="BB508" s="6" t="b">
        <v>0</v>
      </c>
    </row>
    <row r="509" spans="1:54" ht="15" x14ac:dyDescent="0.25">
      <c r="A509" s="3" t="s">
        <v>1074</v>
      </c>
      <c r="B509" s="3" t="str">
        <f ca="1">IFERROR(__xludf.DUMMYFUNCTION("SPLIT(A509,""/"")"),"josiahcarlson")</f>
        <v>josiahcarlson</v>
      </c>
      <c r="C509" s="3" t="str">
        <f ca="1">IFERROR(__xludf.DUMMYFUNCTION("""COMPUTED_VALUE"""),"redis-in-action")</f>
        <v>redis-in-action</v>
      </c>
      <c r="D509" s="4" t="s">
        <v>1075</v>
      </c>
      <c r="E509" s="5">
        <v>41290.77721064815</v>
      </c>
      <c r="F509" s="5">
        <v>44293.529328703706</v>
      </c>
      <c r="G509" s="13">
        <f t="shared" si="42"/>
        <v>3002.7521180555559</v>
      </c>
      <c r="H509" s="6" t="b">
        <v>0</v>
      </c>
      <c r="I509" s="6" t="b">
        <v>0</v>
      </c>
      <c r="J509" s="8">
        <v>1981</v>
      </c>
      <c r="K509" s="8">
        <v>138</v>
      </c>
      <c r="L509" s="8">
        <v>1097</v>
      </c>
      <c r="M509" s="8">
        <v>0</v>
      </c>
      <c r="N509" s="8">
        <v>2</v>
      </c>
      <c r="O509" s="8">
        <v>21</v>
      </c>
      <c r="P509" s="8">
        <v>42</v>
      </c>
      <c r="Q509" s="8">
        <v>1</v>
      </c>
      <c r="R509" s="8">
        <v>33</v>
      </c>
      <c r="S509" s="8">
        <v>1</v>
      </c>
      <c r="T509" s="3" t="s">
        <v>72</v>
      </c>
      <c r="U509" s="10">
        <v>3842</v>
      </c>
      <c r="V509" s="32">
        <v>0</v>
      </c>
      <c r="W509" s="27">
        <v>0</v>
      </c>
      <c r="X509" s="34">
        <v>0</v>
      </c>
      <c r="Y509" s="27">
        <v>0</v>
      </c>
      <c r="Z509" s="27">
        <v>0</v>
      </c>
      <c r="AA509" s="35">
        <v>0</v>
      </c>
      <c r="AB509" s="27">
        <v>0</v>
      </c>
      <c r="AC509" s="27">
        <f t="shared" si="43"/>
        <v>0</v>
      </c>
      <c r="AD509" s="36">
        <v>0</v>
      </c>
      <c r="AE509" s="27">
        <v>0</v>
      </c>
      <c r="AF509" s="27">
        <f t="shared" si="44"/>
        <v>0</v>
      </c>
      <c r="AG509" s="37">
        <v>0</v>
      </c>
      <c r="AH509" s="27">
        <v>0</v>
      </c>
      <c r="AI509" s="27">
        <f t="shared" si="45"/>
        <v>0</v>
      </c>
      <c r="AJ509" s="38">
        <v>0</v>
      </c>
      <c r="AK509" s="27">
        <v>0</v>
      </c>
      <c r="AL509" s="27">
        <f t="shared" si="46"/>
        <v>0</v>
      </c>
      <c r="AM509" s="40">
        <v>0</v>
      </c>
      <c r="AN509" s="27">
        <v>0</v>
      </c>
      <c r="AO509" s="27">
        <f t="shared" si="47"/>
        <v>0</v>
      </c>
      <c r="AP509" s="7" t="b">
        <v>1</v>
      </c>
      <c r="AQ509" s="7" t="b">
        <v>1</v>
      </c>
      <c r="AR509" s="6" t="b">
        <v>0</v>
      </c>
      <c r="AS509" s="6" t="b">
        <v>0</v>
      </c>
      <c r="AT509" s="7" t="b">
        <v>1</v>
      </c>
      <c r="AU509" s="6" t="b">
        <v>0</v>
      </c>
      <c r="AV509" s="6" t="b">
        <v>0</v>
      </c>
      <c r="AW509" s="6" t="b">
        <v>0</v>
      </c>
      <c r="AX509" s="6" t="b">
        <v>0</v>
      </c>
      <c r="AY509" s="6" t="b">
        <v>0</v>
      </c>
      <c r="AZ509" s="6" t="b">
        <v>0</v>
      </c>
      <c r="BA509" s="6" t="b">
        <v>0</v>
      </c>
      <c r="BB509" s="6" t="b">
        <v>0</v>
      </c>
    </row>
    <row r="510" spans="1:54" ht="15" x14ac:dyDescent="0.25">
      <c r="A510" s="3" t="s">
        <v>1076</v>
      </c>
      <c r="B510" s="3" t="str">
        <f ca="1">IFERROR(__xludf.DUMMYFUNCTION("SPLIT(A510,""/"")"),"jpmens")</f>
        <v>jpmens</v>
      </c>
      <c r="C510" s="3" t="str">
        <f ca="1">IFERROR(__xludf.DUMMYFUNCTION("""COMPUTED_VALUE"""),"mqttwarn")</f>
        <v>mqttwarn</v>
      </c>
      <c r="D510" s="4" t="s">
        <v>1077</v>
      </c>
      <c r="E510" s="5">
        <v>41679.60564814815</v>
      </c>
      <c r="F510" s="5">
        <v>44293.860659722224</v>
      </c>
      <c r="G510" s="13">
        <f t="shared" si="42"/>
        <v>2614.2550115740742</v>
      </c>
      <c r="H510" s="6" t="b">
        <v>0</v>
      </c>
      <c r="I510" s="6" t="b">
        <v>0</v>
      </c>
      <c r="J510" s="8">
        <v>838</v>
      </c>
      <c r="K510" s="8">
        <v>90</v>
      </c>
      <c r="L510" s="8">
        <v>180</v>
      </c>
      <c r="M510" s="8">
        <v>0</v>
      </c>
      <c r="N510" s="8">
        <v>15</v>
      </c>
      <c r="O510" s="8">
        <v>68</v>
      </c>
      <c r="P510" s="8">
        <v>198</v>
      </c>
      <c r="Q510" s="8">
        <v>3</v>
      </c>
      <c r="R510" s="8">
        <v>288</v>
      </c>
      <c r="S510" s="8">
        <v>28</v>
      </c>
      <c r="T510" s="3" t="s">
        <v>1078</v>
      </c>
      <c r="U510" s="10">
        <v>4284</v>
      </c>
      <c r="V510" s="32">
        <v>389</v>
      </c>
      <c r="W510" s="27">
        <v>9.0802987861811388E-2</v>
      </c>
      <c r="X510" s="34">
        <v>187</v>
      </c>
      <c r="Y510" s="27">
        <v>0.48071979434447298</v>
      </c>
      <c r="Z510" s="27">
        <v>4.3650793650793648E-2</v>
      </c>
      <c r="AA510" s="35">
        <v>21</v>
      </c>
      <c r="AB510" s="27">
        <v>5.3984575835475578E-2</v>
      </c>
      <c r="AC510" s="27">
        <f t="shared" si="43"/>
        <v>4.9019607843137254E-3</v>
      </c>
      <c r="AD510" s="36">
        <v>123</v>
      </c>
      <c r="AE510" s="27">
        <v>0.31619537275064269</v>
      </c>
      <c r="AF510" s="27">
        <f t="shared" si="44"/>
        <v>2.8711484593837534E-2</v>
      </c>
      <c r="AG510" s="37">
        <v>58</v>
      </c>
      <c r="AH510" s="27">
        <v>0.14910025706940874</v>
      </c>
      <c r="AI510" s="27">
        <f t="shared" si="45"/>
        <v>1.353874883286648E-2</v>
      </c>
      <c r="AJ510" s="38">
        <v>0</v>
      </c>
      <c r="AK510" s="27">
        <v>0</v>
      </c>
      <c r="AL510" s="27">
        <f t="shared" si="46"/>
        <v>0</v>
      </c>
      <c r="AM510" s="40">
        <v>0</v>
      </c>
      <c r="AN510" s="27">
        <v>0</v>
      </c>
      <c r="AO510" s="27">
        <f t="shared" si="47"/>
        <v>0</v>
      </c>
      <c r="AP510" s="7" t="b">
        <v>1</v>
      </c>
      <c r="AQ510" s="7" t="b">
        <v>1</v>
      </c>
      <c r="AR510" s="6" t="b">
        <v>0</v>
      </c>
      <c r="AS510" s="6" t="b">
        <v>0</v>
      </c>
      <c r="AT510" s="7" t="b">
        <v>1</v>
      </c>
      <c r="AU510" s="6" t="b">
        <v>0</v>
      </c>
      <c r="AV510" s="6" t="b">
        <v>0</v>
      </c>
      <c r="AW510" s="6" t="b">
        <v>0</v>
      </c>
      <c r="AX510" s="6" t="b">
        <v>0</v>
      </c>
      <c r="AY510" s="6" t="b">
        <v>0</v>
      </c>
      <c r="AZ510" s="6" t="b">
        <v>0</v>
      </c>
      <c r="BA510" s="6" t="b">
        <v>0</v>
      </c>
      <c r="BB510" s="6" t="b">
        <v>0</v>
      </c>
    </row>
    <row r="511" spans="1:54" ht="15" x14ac:dyDescent="0.25">
      <c r="A511" s="3" t="s">
        <v>1079</v>
      </c>
      <c r="B511" s="3" t="str">
        <f ca="1">IFERROR(__xludf.DUMMYFUNCTION("SPLIT(A511,""/"")"),"jumpserver")</f>
        <v>jumpserver</v>
      </c>
      <c r="C511" s="3" t="str">
        <f ca="1">IFERROR(__xludf.DUMMYFUNCTION("""COMPUTED_VALUE"""),"jumpserver")</f>
        <v>jumpserver</v>
      </c>
      <c r="D511" s="4" t="s">
        <v>1080</v>
      </c>
      <c r="E511" s="5">
        <v>41824.163182870368</v>
      </c>
      <c r="F511" s="5">
        <v>44295.136516203704</v>
      </c>
      <c r="G511" s="13">
        <f t="shared" si="42"/>
        <v>2470.9733333333352</v>
      </c>
      <c r="H511" s="6" t="b">
        <v>0</v>
      </c>
      <c r="I511" s="7" t="b">
        <v>1</v>
      </c>
      <c r="J511" s="8">
        <v>15556</v>
      </c>
      <c r="K511" s="8">
        <v>646</v>
      </c>
      <c r="L511" s="8">
        <v>4004</v>
      </c>
      <c r="M511" s="8">
        <v>65</v>
      </c>
      <c r="N511" s="8">
        <v>10</v>
      </c>
      <c r="O511" s="8">
        <v>80</v>
      </c>
      <c r="P511" s="8">
        <v>2543</v>
      </c>
      <c r="Q511" s="8">
        <v>3</v>
      </c>
      <c r="R511" s="8">
        <v>3329</v>
      </c>
      <c r="S511" s="8">
        <v>135</v>
      </c>
      <c r="T511" s="3" t="s">
        <v>64</v>
      </c>
      <c r="U511" s="10">
        <v>25918</v>
      </c>
      <c r="V511" s="32">
        <v>219</v>
      </c>
      <c r="W511" s="27">
        <v>8.4497260591094997E-3</v>
      </c>
      <c r="X511" s="34">
        <v>89</v>
      </c>
      <c r="Y511" s="27">
        <v>0.40639269406392692</v>
      </c>
      <c r="Z511" s="27">
        <v>3.4339069372636777E-3</v>
      </c>
      <c r="AA511" s="35">
        <v>65</v>
      </c>
      <c r="AB511" s="27">
        <v>0.29680365296803651</v>
      </c>
      <c r="AC511" s="27">
        <f t="shared" si="43"/>
        <v>2.5079095609229106E-3</v>
      </c>
      <c r="AD511" s="36">
        <v>10</v>
      </c>
      <c r="AE511" s="27">
        <v>4.5662100456621002E-2</v>
      </c>
      <c r="AF511" s="27">
        <f t="shared" si="44"/>
        <v>3.8583224014198628E-4</v>
      </c>
      <c r="AG511" s="37">
        <v>50</v>
      </c>
      <c r="AH511" s="27">
        <v>0.22831050228310501</v>
      </c>
      <c r="AI511" s="27">
        <f t="shared" si="45"/>
        <v>1.9291612007099313E-3</v>
      </c>
      <c r="AJ511" s="38">
        <v>0</v>
      </c>
      <c r="AK511" s="27">
        <v>0</v>
      </c>
      <c r="AL511" s="27">
        <f t="shared" si="46"/>
        <v>0</v>
      </c>
      <c r="AM511" s="40">
        <v>1</v>
      </c>
      <c r="AN511" s="27">
        <v>4.5662100456621002E-3</v>
      </c>
      <c r="AO511" s="27">
        <f t="shared" si="47"/>
        <v>3.8583224014198629E-5</v>
      </c>
      <c r="AP511" s="7" t="b">
        <v>1</v>
      </c>
      <c r="AQ511" s="6" t="b">
        <v>0</v>
      </c>
      <c r="AR511" s="6" t="b">
        <v>0</v>
      </c>
      <c r="AS511" s="6" t="b">
        <v>0</v>
      </c>
      <c r="AT511" s="7" t="b">
        <v>1</v>
      </c>
      <c r="AU511" s="6" t="b">
        <v>0</v>
      </c>
      <c r="AV511" s="6" t="b">
        <v>0</v>
      </c>
      <c r="AW511" s="6" t="b">
        <v>0</v>
      </c>
      <c r="AX511" s="6" t="b">
        <v>0</v>
      </c>
      <c r="AY511" s="6" t="b">
        <v>0</v>
      </c>
      <c r="AZ511" s="6" t="b">
        <v>0</v>
      </c>
      <c r="BA511" s="6" t="b">
        <v>0</v>
      </c>
      <c r="BB511" s="6" t="b">
        <v>0</v>
      </c>
    </row>
    <row r="512" spans="1:54" ht="15" x14ac:dyDescent="0.25">
      <c r="A512" s="3" t="s">
        <v>1081</v>
      </c>
      <c r="B512" s="3" t="str">
        <f ca="1">IFERROR(__xludf.DUMMYFUNCTION("SPLIT(A512,""/"")"),"Juniper")</f>
        <v>Juniper</v>
      </c>
      <c r="C512" s="3" t="str">
        <f ca="1">IFERROR(__xludf.DUMMYFUNCTION("""COMPUTED_VALUE"""),"py-junos-eznc")</f>
        <v>py-junos-eznc</v>
      </c>
      <c r="D512" s="4" t="s">
        <v>1082</v>
      </c>
      <c r="E512" s="5">
        <v>41559.931689814817</v>
      </c>
      <c r="F512" s="5">
        <v>44288.746400462966</v>
      </c>
      <c r="G512" s="13">
        <f t="shared" si="42"/>
        <v>2728.8147106481483</v>
      </c>
      <c r="H512" s="6" t="b">
        <v>0</v>
      </c>
      <c r="I512" s="7" t="b">
        <v>1</v>
      </c>
      <c r="J512" s="8">
        <v>584</v>
      </c>
      <c r="K512" s="8">
        <v>123</v>
      </c>
      <c r="L512" s="8">
        <v>283</v>
      </c>
      <c r="M512" s="8">
        <v>55</v>
      </c>
      <c r="N512" s="8">
        <v>7</v>
      </c>
      <c r="O512" s="8">
        <v>69</v>
      </c>
      <c r="P512" s="8">
        <v>632</v>
      </c>
      <c r="Q512" s="8">
        <v>25</v>
      </c>
      <c r="R512" s="8">
        <v>469</v>
      </c>
      <c r="S512" s="8">
        <v>71</v>
      </c>
      <c r="T512" s="3" t="s">
        <v>92</v>
      </c>
      <c r="U512" s="10">
        <v>14485</v>
      </c>
      <c r="V512" s="32">
        <v>76</v>
      </c>
      <c r="W512" s="27">
        <v>5.2468070417673457E-3</v>
      </c>
      <c r="X512" s="34">
        <v>14</v>
      </c>
      <c r="Y512" s="27">
        <v>0.18421052631578946</v>
      </c>
      <c r="Z512" s="27">
        <v>9.6651708664135313E-4</v>
      </c>
      <c r="AA512" s="35">
        <v>8</v>
      </c>
      <c r="AB512" s="27">
        <v>0.10526315789473684</v>
      </c>
      <c r="AC512" s="27">
        <f t="shared" si="43"/>
        <v>5.5229547808077317E-4</v>
      </c>
      <c r="AD512" s="36">
        <v>19</v>
      </c>
      <c r="AE512" s="27">
        <v>0.25</v>
      </c>
      <c r="AF512" s="27">
        <f t="shared" si="44"/>
        <v>1.3117017604418364E-3</v>
      </c>
      <c r="AG512" s="37">
        <v>17</v>
      </c>
      <c r="AH512" s="27">
        <v>0.22368421052631579</v>
      </c>
      <c r="AI512" s="27">
        <f t="shared" si="45"/>
        <v>1.1736278909216431E-3</v>
      </c>
      <c r="AJ512" s="38">
        <v>0</v>
      </c>
      <c r="AK512" s="27">
        <v>0</v>
      </c>
      <c r="AL512" s="27">
        <f t="shared" si="46"/>
        <v>0</v>
      </c>
      <c r="AM512" s="40">
        <v>18</v>
      </c>
      <c r="AN512" s="27">
        <v>0.23684210526315788</v>
      </c>
      <c r="AO512" s="27">
        <f t="shared" si="47"/>
        <v>1.2426648256817397E-3</v>
      </c>
      <c r="AP512" s="7" t="b">
        <v>1</v>
      </c>
      <c r="AQ512" s="6" t="b">
        <v>0</v>
      </c>
      <c r="AR512" s="6" t="b">
        <v>0</v>
      </c>
      <c r="AS512" s="6" t="b">
        <v>0</v>
      </c>
      <c r="AT512" s="7" t="b">
        <v>1</v>
      </c>
      <c r="AU512" s="6" t="b">
        <v>0</v>
      </c>
      <c r="AV512" s="6" t="b">
        <v>0</v>
      </c>
      <c r="AW512" s="6" t="b">
        <v>0</v>
      </c>
      <c r="AX512" s="6" t="b">
        <v>0</v>
      </c>
      <c r="AY512" s="6" t="b">
        <v>0</v>
      </c>
      <c r="AZ512" s="6" t="b">
        <v>0</v>
      </c>
      <c r="BA512" s="6" t="b">
        <v>0</v>
      </c>
      <c r="BB512" s="6" t="b">
        <v>0</v>
      </c>
    </row>
    <row r="513" spans="1:54" ht="15" x14ac:dyDescent="0.25">
      <c r="A513" s="3" t="s">
        <v>1083</v>
      </c>
      <c r="B513" s="3" t="str">
        <f ca="1">IFERROR(__xludf.DUMMYFUNCTION("SPLIT(A513,""/"")"),"jupyter-incubator")</f>
        <v>jupyter-incubator</v>
      </c>
      <c r="C513" s="3" t="str">
        <f ca="1">IFERROR(__xludf.DUMMYFUNCTION("""COMPUTED_VALUE"""),"sparkmagic")</f>
        <v>sparkmagic</v>
      </c>
      <c r="D513" s="4" t="s">
        <v>1084</v>
      </c>
      <c r="E513" s="5">
        <v>42268.649594907409</v>
      </c>
      <c r="F513" s="5">
        <v>44285.271701388891</v>
      </c>
      <c r="G513" s="13">
        <f t="shared" si="42"/>
        <v>2016.6221064814818</v>
      </c>
      <c r="H513" s="6" t="b">
        <v>0</v>
      </c>
      <c r="I513" s="7" t="b">
        <v>1</v>
      </c>
      <c r="J513" s="8">
        <v>956</v>
      </c>
      <c r="K513" s="8">
        <v>49</v>
      </c>
      <c r="L513" s="8">
        <v>328</v>
      </c>
      <c r="M513" s="8">
        <v>6</v>
      </c>
      <c r="N513" s="8">
        <v>8</v>
      </c>
      <c r="O513" s="8">
        <v>38</v>
      </c>
      <c r="P513" s="8">
        <v>344</v>
      </c>
      <c r="Q513" s="8">
        <v>15</v>
      </c>
      <c r="R513" s="8">
        <v>363</v>
      </c>
      <c r="S513" s="8">
        <v>122</v>
      </c>
      <c r="T513" s="3" t="s">
        <v>92</v>
      </c>
      <c r="U513" s="10">
        <v>8026</v>
      </c>
      <c r="V513" s="32">
        <v>48</v>
      </c>
      <c r="W513" s="27">
        <v>5.9805631696984796E-3</v>
      </c>
      <c r="X513" s="34">
        <v>18</v>
      </c>
      <c r="Y513" s="27">
        <v>0.375</v>
      </c>
      <c r="Z513" s="27">
        <v>2.24271118863693E-3</v>
      </c>
      <c r="AA513" s="35">
        <v>15</v>
      </c>
      <c r="AB513" s="27">
        <v>0.3125</v>
      </c>
      <c r="AC513" s="27">
        <f t="shared" si="43"/>
        <v>1.868925990530775E-3</v>
      </c>
      <c r="AD513" s="36">
        <v>0</v>
      </c>
      <c r="AE513" s="27">
        <v>0</v>
      </c>
      <c r="AF513" s="27">
        <f t="shared" si="44"/>
        <v>0</v>
      </c>
      <c r="AG513" s="37">
        <v>15</v>
      </c>
      <c r="AH513" s="27">
        <v>0.3125</v>
      </c>
      <c r="AI513" s="27">
        <f t="shared" si="45"/>
        <v>1.868925990530775E-3</v>
      </c>
      <c r="AJ513" s="38">
        <v>0</v>
      </c>
      <c r="AK513" s="27">
        <v>0</v>
      </c>
      <c r="AL513" s="27">
        <f t="shared" si="46"/>
        <v>0</v>
      </c>
      <c r="AM513" s="40">
        <v>0</v>
      </c>
      <c r="AN513" s="27">
        <v>0</v>
      </c>
      <c r="AO513" s="27">
        <f t="shared" si="47"/>
        <v>0</v>
      </c>
      <c r="AP513" s="6" t="b">
        <v>0</v>
      </c>
      <c r="AQ513" s="7" t="b">
        <v>1</v>
      </c>
      <c r="AR513" s="6" t="b">
        <v>0</v>
      </c>
      <c r="AS513" s="6" t="b">
        <v>0</v>
      </c>
      <c r="AT513" s="7" t="b">
        <v>1</v>
      </c>
      <c r="AU513" s="6" t="b">
        <v>0</v>
      </c>
      <c r="AV513" s="6" t="b">
        <v>0</v>
      </c>
      <c r="AW513" s="6" t="b">
        <v>0</v>
      </c>
      <c r="AX513" s="6" t="b">
        <v>0</v>
      </c>
      <c r="AY513" s="6" t="b">
        <v>0</v>
      </c>
      <c r="AZ513" s="6" t="b">
        <v>0</v>
      </c>
      <c r="BA513" s="6" t="b">
        <v>0</v>
      </c>
      <c r="BB513" s="6" t="b">
        <v>0</v>
      </c>
    </row>
    <row r="514" spans="1:54" ht="15" x14ac:dyDescent="0.25">
      <c r="A514" s="3" t="s">
        <v>1085</v>
      </c>
      <c r="B514" s="3" t="str">
        <f ca="1">IFERROR(__xludf.DUMMYFUNCTION("SPLIT(A514,""/"")"),"jupyter")</f>
        <v>jupyter</v>
      </c>
      <c r="C514" s="3" t="str">
        <f ca="1">IFERROR(__xludf.DUMMYFUNCTION("""COMPUTED_VALUE"""),"docker-stacks")</f>
        <v>docker-stacks</v>
      </c>
      <c r="D514" s="4" t="s">
        <v>1086</v>
      </c>
      <c r="E514" s="5">
        <v>42200.645833333336</v>
      </c>
      <c r="F514" s="5">
        <v>44295.092175925929</v>
      </c>
      <c r="G514" s="13">
        <f t="shared" si="42"/>
        <v>2094.4463425925933</v>
      </c>
      <c r="H514" s="6" t="b">
        <v>0</v>
      </c>
      <c r="I514" s="7" t="b">
        <v>1</v>
      </c>
      <c r="J514" s="8">
        <v>5853</v>
      </c>
      <c r="K514" s="8">
        <v>201</v>
      </c>
      <c r="L514" s="8">
        <v>2235</v>
      </c>
      <c r="M514" s="8">
        <v>0</v>
      </c>
      <c r="N514" s="8">
        <v>25</v>
      </c>
      <c r="O514" s="8">
        <v>167</v>
      </c>
      <c r="P514" s="8">
        <v>649</v>
      </c>
      <c r="Q514" s="8">
        <v>5</v>
      </c>
      <c r="R514" s="8">
        <v>612</v>
      </c>
      <c r="S514" s="8">
        <v>58</v>
      </c>
      <c r="T514" s="3" t="s">
        <v>92</v>
      </c>
      <c r="U514" s="10">
        <v>612</v>
      </c>
      <c r="V514" s="32">
        <v>40</v>
      </c>
      <c r="W514" s="27">
        <v>6.535947712418301E-2</v>
      </c>
      <c r="X514" s="34">
        <v>16</v>
      </c>
      <c r="Y514" s="27">
        <v>0.4</v>
      </c>
      <c r="Z514" s="27">
        <v>2.6143790849673203E-2</v>
      </c>
      <c r="AA514" s="35">
        <v>23</v>
      </c>
      <c r="AB514" s="27">
        <v>0.57499999999999996</v>
      </c>
      <c r="AC514" s="27">
        <f t="shared" si="43"/>
        <v>3.7581699346405227E-2</v>
      </c>
      <c r="AD514" s="36">
        <v>1</v>
      </c>
      <c r="AE514" s="27">
        <v>2.5000000000000001E-2</v>
      </c>
      <c r="AF514" s="27">
        <f t="shared" si="44"/>
        <v>1.6339869281045752E-3</v>
      </c>
      <c r="AG514" s="37">
        <v>0</v>
      </c>
      <c r="AH514" s="27">
        <v>0</v>
      </c>
      <c r="AI514" s="27">
        <f t="shared" si="45"/>
        <v>0</v>
      </c>
      <c r="AJ514" s="38">
        <v>0</v>
      </c>
      <c r="AK514" s="27">
        <v>0</v>
      </c>
      <c r="AL514" s="27">
        <f t="shared" si="46"/>
        <v>0</v>
      </c>
      <c r="AM514" s="40">
        <v>0</v>
      </c>
      <c r="AN514" s="27">
        <v>0</v>
      </c>
      <c r="AO514" s="27">
        <f t="shared" si="47"/>
        <v>0</v>
      </c>
      <c r="AP514" s="7" t="b">
        <v>1</v>
      </c>
      <c r="AQ514" s="6" t="b">
        <v>0</v>
      </c>
      <c r="AR514" s="6" t="b">
        <v>0</v>
      </c>
      <c r="AS514" s="6" t="b">
        <v>0</v>
      </c>
      <c r="AT514" s="7" t="b">
        <v>1</v>
      </c>
      <c r="AU514" s="6" t="b">
        <v>0</v>
      </c>
      <c r="AV514" s="6" t="b">
        <v>0</v>
      </c>
      <c r="AW514" s="6" t="b">
        <v>0</v>
      </c>
      <c r="AX514" s="6" t="b">
        <v>0</v>
      </c>
      <c r="AY514" s="6" t="b">
        <v>0</v>
      </c>
      <c r="AZ514" s="6" t="b">
        <v>0</v>
      </c>
      <c r="BA514" s="6" t="b">
        <v>0</v>
      </c>
      <c r="BB514" s="6" t="b">
        <v>0</v>
      </c>
    </row>
    <row r="515" spans="1:54" ht="15" x14ac:dyDescent="0.25">
      <c r="A515" s="3" t="s">
        <v>1087</v>
      </c>
      <c r="B515" s="3" t="str">
        <f ca="1">IFERROR(__xludf.DUMMYFUNCTION("SPLIT(A515,""/"")"),"jupyter")</f>
        <v>jupyter</v>
      </c>
      <c r="C515" s="3" t="str">
        <f ca="1">IFERROR(__xludf.DUMMYFUNCTION("""COMPUTED_VALUE"""),"enterprise_gateway")</f>
        <v>enterprise_gateway</v>
      </c>
      <c r="D515" s="4" t="s">
        <v>1088</v>
      </c>
      <c r="E515" s="5">
        <v>42846.670300925929</v>
      </c>
      <c r="F515" s="5">
        <v>44292.536932870367</v>
      </c>
      <c r="G515" s="13">
        <f t="shared" ref="G515:G578" si="48">F515-E515</f>
        <v>1445.8666319444383</v>
      </c>
      <c r="H515" s="6" t="b">
        <v>0</v>
      </c>
      <c r="I515" s="7" t="b">
        <v>1</v>
      </c>
      <c r="J515" s="8">
        <v>418</v>
      </c>
      <c r="K515" s="8">
        <v>37</v>
      </c>
      <c r="L515" s="8">
        <v>132</v>
      </c>
      <c r="M515" s="8">
        <v>26</v>
      </c>
      <c r="N515" s="8">
        <v>5</v>
      </c>
      <c r="O515" s="8">
        <v>64</v>
      </c>
      <c r="P515" s="8">
        <v>485</v>
      </c>
      <c r="Q515" s="8">
        <v>2</v>
      </c>
      <c r="R515" s="8">
        <v>460</v>
      </c>
      <c r="S515" s="8">
        <v>78</v>
      </c>
      <c r="T515" s="3" t="s">
        <v>92</v>
      </c>
      <c r="U515" s="10">
        <v>5673</v>
      </c>
      <c r="V515" s="32">
        <v>213</v>
      </c>
      <c r="W515" s="27">
        <v>3.75462718138551E-2</v>
      </c>
      <c r="X515" s="34">
        <v>97</v>
      </c>
      <c r="Y515" s="27">
        <v>0.45539906103286387</v>
      </c>
      <c r="Z515" s="27">
        <v>1.7098536929314297E-2</v>
      </c>
      <c r="AA515" s="35">
        <v>44</v>
      </c>
      <c r="AB515" s="27">
        <v>0.20657276995305165</v>
      </c>
      <c r="AC515" s="27">
        <f t="shared" ref="AC515:AC578" si="49">AA515/U515</f>
        <v>7.7560373699982373E-3</v>
      </c>
      <c r="AD515" s="36">
        <v>56</v>
      </c>
      <c r="AE515" s="27">
        <v>0.26291079812206575</v>
      </c>
      <c r="AF515" s="27">
        <f t="shared" ref="AF515:AF578" si="50">AD515/U515</f>
        <v>9.8713202890886656E-3</v>
      </c>
      <c r="AG515" s="37">
        <v>14</v>
      </c>
      <c r="AH515" s="27">
        <v>6.5727699530516437E-2</v>
      </c>
      <c r="AI515" s="27">
        <f t="shared" ref="AI515:AI578" si="51">AG515/U515</f>
        <v>2.4678300722721664E-3</v>
      </c>
      <c r="AJ515" s="38">
        <v>1</v>
      </c>
      <c r="AK515" s="27">
        <v>4.6948356807511738E-3</v>
      </c>
      <c r="AL515" s="27">
        <f t="shared" ref="AL515:AL578" si="52">AJ515/U515</f>
        <v>1.7627357659086903E-4</v>
      </c>
      <c r="AM515" s="40">
        <v>0</v>
      </c>
      <c r="AN515" s="27">
        <v>0</v>
      </c>
      <c r="AO515" s="27">
        <f t="shared" ref="AO515:AO578" si="53">AM515/U515</f>
        <v>0</v>
      </c>
      <c r="AP515" s="7" t="b">
        <v>1</v>
      </c>
      <c r="AQ515" s="7" t="b">
        <v>1</v>
      </c>
      <c r="AR515" s="6" t="b">
        <v>0</v>
      </c>
      <c r="AS515" s="6" t="b">
        <v>0</v>
      </c>
      <c r="AT515" s="7" t="b">
        <v>1</v>
      </c>
      <c r="AU515" s="6" t="b">
        <v>0</v>
      </c>
      <c r="AV515" s="6" t="b">
        <v>0</v>
      </c>
      <c r="AW515" s="6" t="b">
        <v>0</v>
      </c>
      <c r="AX515" s="6" t="b">
        <v>0</v>
      </c>
      <c r="AY515" s="6" t="b">
        <v>0</v>
      </c>
      <c r="AZ515" s="6" t="b">
        <v>0</v>
      </c>
      <c r="BA515" s="6" t="b">
        <v>0</v>
      </c>
      <c r="BB515" s="6" t="b">
        <v>0</v>
      </c>
    </row>
    <row r="516" spans="1:54" ht="15" x14ac:dyDescent="0.25">
      <c r="A516" s="3" t="s">
        <v>1089</v>
      </c>
      <c r="B516" s="3" t="str">
        <f ca="1">IFERROR(__xludf.DUMMYFUNCTION("SPLIT(A516,""/"")"),"jupyter")</f>
        <v>jupyter</v>
      </c>
      <c r="C516" s="3" t="str">
        <f ca="1">IFERROR(__xludf.DUMMYFUNCTION("""COMPUTED_VALUE"""),"nbviewer")</f>
        <v>nbviewer</v>
      </c>
      <c r="D516" s="4" t="s">
        <v>1090</v>
      </c>
      <c r="E516" s="5">
        <v>41126.487881944442</v>
      </c>
      <c r="F516" s="5">
        <v>44293.906354166669</v>
      </c>
      <c r="G516" s="13">
        <f t="shared" si="48"/>
        <v>3167.4184722222271</v>
      </c>
      <c r="H516" s="6" t="b">
        <v>0</v>
      </c>
      <c r="I516" s="7" t="b">
        <v>1</v>
      </c>
      <c r="J516" s="8">
        <v>1830</v>
      </c>
      <c r="K516" s="8">
        <v>91</v>
      </c>
      <c r="L516" s="8">
        <v>459</v>
      </c>
      <c r="M516" s="8">
        <v>0</v>
      </c>
      <c r="N516" s="8">
        <v>9</v>
      </c>
      <c r="O516" s="8">
        <v>75</v>
      </c>
      <c r="P516" s="8">
        <v>423</v>
      </c>
      <c r="Q516" s="8">
        <v>5</v>
      </c>
      <c r="R516" s="8">
        <v>544</v>
      </c>
      <c r="S516" s="8">
        <v>144</v>
      </c>
      <c r="T516" s="3" t="s">
        <v>92</v>
      </c>
      <c r="U516" s="10">
        <v>3903</v>
      </c>
      <c r="V516" s="32">
        <v>74</v>
      </c>
      <c r="W516" s="27">
        <v>1.8959774532410965E-2</v>
      </c>
      <c r="X516" s="34">
        <v>14</v>
      </c>
      <c r="Y516" s="27">
        <v>0.1891891891891892</v>
      </c>
      <c r="Z516" s="27">
        <v>3.5869843709966692E-3</v>
      </c>
      <c r="AA516" s="35">
        <v>39</v>
      </c>
      <c r="AB516" s="27">
        <v>0.52702702702702697</v>
      </c>
      <c r="AC516" s="27">
        <f t="shared" si="49"/>
        <v>9.9923136049192927E-3</v>
      </c>
      <c r="AD516" s="36">
        <v>8</v>
      </c>
      <c r="AE516" s="27">
        <v>0.10810810810810811</v>
      </c>
      <c r="AF516" s="27">
        <f t="shared" si="50"/>
        <v>2.0497053548552396E-3</v>
      </c>
      <c r="AG516" s="37">
        <v>12</v>
      </c>
      <c r="AH516" s="27">
        <v>0.16216216216216217</v>
      </c>
      <c r="AI516" s="27">
        <f t="shared" si="51"/>
        <v>3.0745580322828594E-3</v>
      </c>
      <c r="AJ516" s="38">
        <v>0</v>
      </c>
      <c r="AK516" s="27">
        <v>0</v>
      </c>
      <c r="AL516" s="27">
        <f t="shared" si="52"/>
        <v>0</v>
      </c>
      <c r="AM516" s="40">
        <v>0</v>
      </c>
      <c r="AN516" s="27">
        <v>0</v>
      </c>
      <c r="AO516" s="27">
        <f t="shared" si="53"/>
        <v>0</v>
      </c>
      <c r="AP516" s="7" t="b">
        <v>1</v>
      </c>
      <c r="AQ516" s="7" t="b">
        <v>1</v>
      </c>
      <c r="AR516" s="6" t="b">
        <v>0</v>
      </c>
      <c r="AS516" s="6" t="b">
        <v>0</v>
      </c>
      <c r="AT516" s="7" t="b">
        <v>1</v>
      </c>
      <c r="AU516" s="6" t="b">
        <v>0</v>
      </c>
      <c r="AV516" s="6" t="b">
        <v>0</v>
      </c>
      <c r="AW516" s="6" t="b">
        <v>0</v>
      </c>
      <c r="AX516" s="6" t="b">
        <v>0</v>
      </c>
      <c r="AY516" s="6" t="b">
        <v>0</v>
      </c>
      <c r="AZ516" s="6" t="b">
        <v>0</v>
      </c>
      <c r="BA516" s="6" t="b">
        <v>0</v>
      </c>
      <c r="BB516" s="6" t="b">
        <v>0</v>
      </c>
    </row>
    <row r="517" spans="1:54" ht="15" x14ac:dyDescent="0.25">
      <c r="A517" s="3" t="s">
        <v>1091</v>
      </c>
      <c r="B517" s="3" t="str">
        <f ca="1">IFERROR(__xludf.DUMMYFUNCTION("SPLIT(A517,""/"")"),"jupyterhub")</f>
        <v>jupyterhub</v>
      </c>
      <c r="C517" s="3" t="str">
        <f ca="1">IFERROR(__xludf.DUMMYFUNCTION("""COMPUTED_VALUE"""),"binderhub")</f>
        <v>binderhub</v>
      </c>
      <c r="D517" s="4" t="s">
        <v>1092</v>
      </c>
      <c r="E517" s="5">
        <v>42851.019745370373</v>
      </c>
      <c r="F517" s="5">
        <v>44295.156840277778</v>
      </c>
      <c r="G517" s="13">
        <f t="shared" si="48"/>
        <v>1444.1370949074044</v>
      </c>
      <c r="H517" s="6" t="b">
        <v>0</v>
      </c>
      <c r="I517" s="7" t="b">
        <v>1</v>
      </c>
      <c r="J517" s="8">
        <v>1864</v>
      </c>
      <c r="K517" s="8">
        <v>79</v>
      </c>
      <c r="L517" s="8">
        <v>270</v>
      </c>
      <c r="M517" s="8">
        <v>1</v>
      </c>
      <c r="N517" s="8">
        <v>16</v>
      </c>
      <c r="O517" s="8">
        <v>70</v>
      </c>
      <c r="P517" s="8">
        <v>710</v>
      </c>
      <c r="Q517" s="8">
        <v>34</v>
      </c>
      <c r="R517" s="8">
        <v>571</v>
      </c>
      <c r="S517" s="8">
        <v>240</v>
      </c>
      <c r="T517" s="3" t="s">
        <v>57</v>
      </c>
      <c r="U517" s="10">
        <v>4543</v>
      </c>
      <c r="V517" s="32">
        <v>68</v>
      </c>
      <c r="W517" s="27">
        <v>1.4968082764692935E-2</v>
      </c>
      <c r="X517" s="34">
        <v>10</v>
      </c>
      <c r="Y517" s="27">
        <v>0.14705882352941177</v>
      </c>
      <c r="Z517" s="27">
        <v>2.2011886418666078E-3</v>
      </c>
      <c r="AA517" s="35">
        <v>31</v>
      </c>
      <c r="AB517" s="27">
        <v>0.45588235294117646</v>
      </c>
      <c r="AC517" s="27">
        <f t="shared" si="49"/>
        <v>6.8236847897864845E-3</v>
      </c>
      <c r="AD517" s="36">
        <v>12</v>
      </c>
      <c r="AE517" s="27">
        <v>0.17647058823529413</v>
      </c>
      <c r="AF517" s="27">
        <f t="shared" si="50"/>
        <v>2.6414263702399295E-3</v>
      </c>
      <c r="AG517" s="37">
        <v>13</v>
      </c>
      <c r="AH517" s="27">
        <v>0.19117647058823528</v>
      </c>
      <c r="AI517" s="27">
        <f t="shared" si="51"/>
        <v>2.8615452344265902E-3</v>
      </c>
      <c r="AJ517" s="38">
        <v>0</v>
      </c>
      <c r="AK517" s="27">
        <v>0</v>
      </c>
      <c r="AL517" s="27">
        <f t="shared" si="52"/>
        <v>0</v>
      </c>
      <c r="AM517" s="40">
        <v>2</v>
      </c>
      <c r="AN517" s="27">
        <v>2.9411764705882353E-2</v>
      </c>
      <c r="AO517" s="27">
        <f t="shared" si="53"/>
        <v>4.4023772837332157E-4</v>
      </c>
      <c r="AP517" s="7" t="b">
        <v>1</v>
      </c>
      <c r="AQ517" s="6" t="b">
        <v>0</v>
      </c>
      <c r="AR517" s="6" t="b">
        <v>0</v>
      </c>
      <c r="AS517" s="6" t="b">
        <v>0</v>
      </c>
      <c r="AT517" s="7" t="b">
        <v>1</v>
      </c>
      <c r="AU517" s="6" t="b">
        <v>0</v>
      </c>
      <c r="AV517" s="6" t="b">
        <v>0</v>
      </c>
      <c r="AW517" s="6" t="b">
        <v>0</v>
      </c>
      <c r="AX517" s="6" t="b">
        <v>0</v>
      </c>
      <c r="AY517" s="6" t="b">
        <v>0</v>
      </c>
      <c r="AZ517" s="6" t="b">
        <v>0</v>
      </c>
      <c r="BA517" s="6" t="b">
        <v>0</v>
      </c>
      <c r="BB517" s="6" t="b">
        <v>0</v>
      </c>
    </row>
    <row r="518" spans="1:54" ht="15" x14ac:dyDescent="0.25">
      <c r="A518" s="3" t="s">
        <v>1093</v>
      </c>
      <c r="B518" s="3" t="str">
        <f ca="1">IFERROR(__xludf.DUMMYFUNCTION("SPLIT(A518,""/"")"),"jupyterhub")</f>
        <v>jupyterhub</v>
      </c>
      <c r="C518" s="3" t="str">
        <f ca="1">IFERROR(__xludf.DUMMYFUNCTION("""COMPUTED_VALUE"""),"dockerspawner")</f>
        <v>dockerspawner</v>
      </c>
      <c r="D518" s="4" t="s">
        <v>1094</v>
      </c>
      <c r="E518" s="5">
        <v>41908.839189814818</v>
      </c>
      <c r="F518" s="5">
        <v>44293.263668981483</v>
      </c>
      <c r="G518" s="13">
        <f t="shared" si="48"/>
        <v>2384.4244791666642</v>
      </c>
      <c r="H518" s="6" t="b">
        <v>0</v>
      </c>
      <c r="I518" s="7" t="b">
        <v>1</v>
      </c>
      <c r="J518" s="8">
        <v>374</v>
      </c>
      <c r="K518" s="8">
        <v>25</v>
      </c>
      <c r="L518" s="8">
        <v>255</v>
      </c>
      <c r="M518" s="8">
        <v>0</v>
      </c>
      <c r="N518" s="8">
        <v>5</v>
      </c>
      <c r="O518" s="8">
        <v>55</v>
      </c>
      <c r="P518" s="8">
        <v>188</v>
      </c>
      <c r="Q518" s="8">
        <v>1</v>
      </c>
      <c r="R518" s="8">
        <v>235</v>
      </c>
      <c r="S518" s="8">
        <v>13</v>
      </c>
      <c r="T518" s="3" t="s">
        <v>57</v>
      </c>
      <c r="U518" s="10">
        <v>1385</v>
      </c>
      <c r="V518" s="32">
        <v>42</v>
      </c>
      <c r="W518" s="27">
        <v>3.032490974729242E-2</v>
      </c>
      <c r="X518" s="34">
        <v>11</v>
      </c>
      <c r="Y518" s="27">
        <v>0.26190476190476192</v>
      </c>
      <c r="Z518" s="27">
        <v>7.9422382671480145E-3</v>
      </c>
      <c r="AA518" s="35">
        <v>15</v>
      </c>
      <c r="AB518" s="27">
        <v>0.35714285714285715</v>
      </c>
      <c r="AC518" s="27">
        <f t="shared" si="49"/>
        <v>1.0830324909747292E-2</v>
      </c>
      <c r="AD518" s="36">
        <v>15</v>
      </c>
      <c r="AE518" s="27">
        <v>0.35714285714285715</v>
      </c>
      <c r="AF518" s="27">
        <f t="shared" si="50"/>
        <v>1.0830324909747292E-2</v>
      </c>
      <c r="AG518" s="37">
        <v>1</v>
      </c>
      <c r="AH518" s="27">
        <v>2.3809523809523808E-2</v>
      </c>
      <c r="AI518" s="27">
        <f t="shared" si="51"/>
        <v>7.2202166064981946E-4</v>
      </c>
      <c r="AJ518" s="38">
        <v>0</v>
      </c>
      <c r="AK518" s="27">
        <v>0</v>
      </c>
      <c r="AL518" s="27">
        <f t="shared" si="52"/>
        <v>0</v>
      </c>
      <c r="AM518" s="40">
        <v>0</v>
      </c>
      <c r="AN518" s="27">
        <v>0</v>
      </c>
      <c r="AO518" s="27">
        <f t="shared" si="53"/>
        <v>0</v>
      </c>
      <c r="AP518" s="7" t="b">
        <v>1</v>
      </c>
      <c r="AQ518" s="7" t="b">
        <v>1</v>
      </c>
      <c r="AR518" s="6" t="b">
        <v>0</v>
      </c>
      <c r="AS518" s="6" t="b">
        <v>0</v>
      </c>
      <c r="AT518" s="7" t="b">
        <v>1</v>
      </c>
      <c r="AU518" s="6" t="b">
        <v>0</v>
      </c>
      <c r="AV518" s="6" t="b">
        <v>0</v>
      </c>
      <c r="AW518" s="6" t="b">
        <v>0</v>
      </c>
      <c r="AX518" s="6" t="b">
        <v>0</v>
      </c>
      <c r="AY518" s="6" t="b">
        <v>0</v>
      </c>
      <c r="AZ518" s="6" t="b">
        <v>0</v>
      </c>
      <c r="BA518" s="6" t="b">
        <v>0</v>
      </c>
      <c r="BB518" s="6" t="b">
        <v>0</v>
      </c>
    </row>
    <row r="519" spans="1:54" ht="15" x14ac:dyDescent="0.25">
      <c r="A519" s="3" t="s">
        <v>1095</v>
      </c>
      <c r="B519" s="3" t="str">
        <f ca="1">IFERROR(__xludf.DUMMYFUNCTION("SPLIT(A519,""/"")"),"jupyterhub")</f>
        <v>jupyterhub</v>
      </c>
      <c r="C519" s="3" t="str">
        <f ca="1">IFERROR(__xludf.DUMMYFUNCTION("""COMPUTED_VALUE"""),"jupyterhub")</f>
        <v>jupyterhub</v>
      </c>
      <c r="D519" s="4" t="s">
        <v>1096</v>
      </c>
      <c r="E519" s="5">
        <v>41802.973726851851</v>
      </c>
      <c r="F519" s="5">
        <v>44295.087592592594</v>
      </c>
      <c r="G519" s="13">
        <f t="shared" si="48"/>
        <v>2492.1138657407428</v>
      </c>
      <c r="H519" s="6" t="b">
        <v>0</v>
      </c>
      <c r="I519" s="7" t="b">
        <v>1</v>
      </c>
      <c r="J519" s="8">
        <v>6170</v>
      </c>
      <c r="K519" s="8">
        <v>271</v>
      </c>
      <c r="L519" s="8">
        <v>1485</v>
      </c>
      <c r="M519" s="8">
        <v>0</v>
      </c>
      <c r="N519" s="8">
        <v>27</v>
      </c>
      <c r="O519" s="8">
        <v>215</v>
      </c>
      <c r="P519" s="8">
        <v>1449</v>
      </c>
      <c r="Q519" s="8">
        <v>31</v>
      </c>
      <c r="R519" s="8">
        <v>1924</v>
      </c>
      <c r="S519" s="8">
        <v>141</v>
      </c>
      <c r="T519" s="3" t="s">
        <v>92</v>
      </c>
      <c r="U519" s="10">
        <v>14945</v>
      </c>
      <c r="V519" s="32">
        <v>389</v>
      </c>
      <c r="W519" s="27">
        <v>2.6028772164603545E-2</v>
      </c>
      <c r="X519" s="34">
        <v>99</v>
      </c>
      <c r="Y519" s="27">
        <v>0.25449871465295631</v>
      </c>
      <c r="Z519" s="27">
        <v>6.6242890598862498E-3</v>
      </c>
      <c r="AA519" s="35">
        <v>74</v>
      </c>
      <c r="AB519" s="27">
        <v>0.19023136246786632</v>
      </c>
      <c r="AC519" s="27">
        <f t="shared" si="49"/>
        <v>4.9514887922382069E-3</v>
      </c>
      <c r="AD519" s="36">
        <v>144</v>
      </c>
      <c r="AE519" s="27">
        <v>0.37017994858611825</v>
      </c>
      <c r="AF519" s="27">
        <f t="shared" si="50"/>
        <v>9.6353295416527259E-3</v>
      </c>
      <c r="AG519" s="37">
        <v>65</v>
      </c>
      <c r="AH519" s="27">
        <v>0.16709511568123395</v>
      </c>
      <c r="AI519" s="27">
        <f t="shared" si="51"/>
        <v>4.349280695884911E-3</v>
      </c>
      <c r="AJ519" s="38">
        <v>7</v>
      </c>
      <c r="AK519" s="27">
        <v>1.7994858611825194E-2</v>
      </c>
      <c r="AL519" s="27">
        <f t="shared" si="52"/>
        <v>4.6838407494145199E-4</v>
      </c>
      <c r="AM519" s="40">
        <v>0</v>
      </c>
      <c r="AN519" s="27">
        <v>0</v>
      </c>
      <c r="AO519" s="27">
        <f t="shared" si="53"/>
        <v>0</v>
      </c>
      <c r="AP519" s="7" t="b">
        <v>1</v>
      </c>
      <c r="AQ519" s="6" t="b">
        <v>0</v>
      </c>
      <c r="AR519" s="6" t="b">
        <v>0</v>
      </c>
      <c r="AS519" s="6" t="b">
        <v>0</v>
      </c>
      <c r="AT519" s="7" t="b">
        <v>1</v>
      </c>
      <c r="AU519" s="6" t="b">
        <v>0</v>
      </c>
      <c r="AV519" s="6" t="b">
        <v>0</v>
      </c>
      <c r="AW519" s="6" t="b">
        <v>0</v>
      </c>
      <c r="AX519" s="6" t="b">
        <v>0</v>
      </c>
      <c r="AY519" s="6" t="b">
        <v>0</v>
      </c>
      <c r="AZ519" s="6" t="b">
        <v>0</v>
      </c>
      <c r="BA519" s="6" t="b">
        <v>0</v>
      </c>
      <c r="BB519" s="6" t="b">
        <v>0</v>
      </c>
    </row>
    <row r="520" spans="1:54" ht="15" x14ac:dyDescent="0.25">
      <c r="A520" s="3" t="s">
        <v>1097</v>
      </c>
      <c r="B520" s="3" t="str">
        <f ca="1">IFERROR(__xludf.DUMMYFUNCTION("SPLIT(A520,""/"")"),"jupyterhub")</f>
        <v>jupyterhub</v>
      </c>
      <c r="C520" s="3" t="str">
        <f ca="1">IFERROR(__xludf.DUMMYFUNCTION("""COMPUTED_VALUE"""),"repo2docker")</f>
        <v>repo2docker</v>
      </c>
      <c r="D520" s="4" t="s">
        <v>1098</v>
      </c>
      <c r="E520" s="5">
        <v>42864.358680555553</v>
      </c>
      <c r="F520" s="5">
        <v>44295.105879629627</v>
      </c>
      <c r="G520" s="13">
        <f t="shared" si="48"/>
        <v>1430.7471990740742</v>
      </c>
      <c r="H520" s="6" t="b">
        <v>0</v>
      </c>
      <c r="I520" s="7" t="b">
        <v>1</v>
      </c>
      <c r="J520" s="8">
        <v>1184</v>
      </c>
      <c r="K520" s="8">
        <v>45</v>
      </c>
      <c r="L520" s="8">
        <v>239</v>
      </c>
      <c r="M520" s="8">
        <v>9</v>
      </c>
      <c r="N520" s="8">
        <v>1</v>
      </c>
      <c r="O520" s="8">
        <v>92</v>
      </c>
      <c r="P520" s="8">
        <v>611</v>
      </c>
      <c r="Q520" s="8">
        <v>25</v>
      </c>
      <c r="R520" s="8">
        <v>422</v>
      </c>
      <c r="S520" s="8">
        <v>153</v>
      </c>
      <c r="T520" s="3" t="s">
        <v>57</v>
      </c>
      <c r="U520" s="10">
        <v>5319</v>
      </c>
      <c r="V520" s="32">
        <v>36</v>
      </c>
      <c r="W520" s="27">
        <v>6.7681895093062603E-3</v>
      </c>
      <c r="X520" s="34">
        <v>4</v>
      </c>
      <c r="Y520" s="27">
        <v>0.1111111111111111</v>
      </c>
      <c r="Z520" s="27">
        <v>7.5202105658958454E-4</v>
      </c>
      <c r="AA520" s="35">
        <v>15</v>
      </c>
      <c r="AB520" s="27">
        <v>0.41666666666666669</v>
      </c>
      <c r="AC520" s="27">
        <f t="shared" si="49"/>
        <v>2.8200789622109417E-3</v>
      </c>
      <c r="AD520" s="36">
        <v>4</v>
      </c>
      <c r="AE520" s="27">
        <v>0.1111111111111111</v>
      </c>
      <c r="AF520" s="27">
        <f t="shared" si="50"/>
        <v>7.5202105658958454E-4</v>
      </c>
      <c r="AG520" s="37">
        <v>11</v>
      </c>
      <c r="AH520" s="27">
        <v>0.30555555555555558</v>
      </c>
      <c r="AI520" s="27">
        <f t="shared" si="51"/>
        <v>2.0680579056213573E-3</v>
      </c>
      <c r="AJ520" s="38">
        <v>0</v>
      </c>
      <c r="AK520" s="27">
        <v>0</v>
      </c>
      <c r="AL520" s="27">
        <f t="shared" si="52"/>
        <v>0</v>
      </c>
      <c r="AM520" s="40">
        <v>0</v>
      </c>
      <c r="AN520" s="27">
        <v>0</v>
      </c>
      <c r="AO520" s="27">
        <f t="shared" si="53"/>
        <v>0</v>
      </c>
      <c r="AP520" s="7" t="b">
        <v>1</v>
      </c>
      <c r="AQ520" s="6" t="b">
        <v>0</v>
      </c>
      <c r="AR520" s="6" t="b">
        <v>0</v>
      </c>
      <c r="AS520" s="6" t="b">
        <v>0</v>
      </c>
      <c r="AT520" s="7" t="b">
        <v>1</v>
      </c>
      <c r="AU520" s="6" t="b">
        <v>0</v>
      </c>
      <c r="AV520" s="6" t="b">
        <v>0</v>
      </c>
      <c r="AW520" s="6" t="b">
        <v>0</v>
      </c>
      <c r="AX520" s="6" t="b">
        <v>0</v>
      </c>
      <c r="AY520" s="6" t="b">
        <v>0</v>
      </c>
      <c r="AZ520" s="6" t="b">
        <v>0</v>
      </c>
      <c r="BA520" s="6" t="b">
        <v>0</v>
      </c>
      <c r="BB520" s="6" t="b">
        <v>0</v>
      </c>
    </row>
    <row r="521" spans="1:54" ht="15" x14ac:dyDescent="0.25">
      <c r="A521" s="3" t="s">
        <v>1099</v>
      </c>
      <c r="B521" s="3" t="str">
        <f ca="1">IFERROR(__xludf.DUMMYFUNCTION("SPLIT(A521,""/"")"),"jupyterhub")</f>
        <v>jupyterhub</v>
      </c>
      <c r="C521" s="3" t="str">
        <f ca="1">IFERROR(__xludf.DUMMYFUNCTION("""COMPUTED_VALUE"""),"the-littlest-jupyterhub")</f>
        <v>the-littlest-jupyterhub</v>
      </c>
      <c r="D521" s="4" t="s">
        <v>1100</v>
      </c>
      <c r="E521" s="5">
        <v>43266.942499999997</v>
      </c>
      <c r="F521" s="5">
        <v>44294.77238425926</v>
      </c>
      <c r="G521" s="13">
        <f t="shared" si="48"/>
        <v>1027.8298842592631</v>
      </c>
      <c r="H521" s="6" t="b">
        <v>0</v>
      </c>
      <c r="I521" s="7" t="b">
        <v>1</v>
      </c>
      <c r="J521" s="8">
        <v>658</v>
      </c>
      <c r="K521" s="8">
        <v>28</v>
      </c>
      <c r="L521" s="8">
        <v>226</v>
      </c>
      <c r="M521" s="8">
        <v>0</v>
      </c>
      <c r="N521" s="8">
        <v>0</v>
      </c>
      <c r="O521" s="8">
        <v>54</v>
      </c>
      <c r="P521" s="8">
        <v>289</v>
      </c>
      <c r="Q521" s="8">
        <v>15</v>
      </c>
      <c r="R521" s="8">
        <v>391</v>
      </c>
      <c r="S521" s="8">
        <v>164</v>
      </c>
      <c r="T521" s="3" t="s">
        <v>57</v>
      </c>
      <c r="U521" s="10">
        <v>2345</v>
      </c>
      <c r="V521" s="32">
        <v>36</v>
      </c>
      <c r="W521" s="27">
        <v>1.535181236673774E-2</v>
      </c>
      <c r="X521" s="34">
        <v>4</v>
      </c>
      <c r="Y521" s="27">
        <v>0.1111111111111111</v>
      </c>
      <c r="Z521" s="27">
        <v>1.7057569296375266E-3</v>
      </c>
      <c r="AA521" s="35">
        <v>24</v>
      </c>
      <c r="AB521" s="27">
        <v>0.66666666666666663</v>
      </c>
      <c r="AC521" s="27">
        <f t="shared" si="49"/>
        <v>1.0234541577825161E-2</v>
      </c>
      <c r="AD521" s="36">
        <v>3</v>
      </c>
      <c r="AE521" s="27">
        <v>8.3333333333333329E-2</v>
      </c>
      <c r="AF521" s="27">
        <f t="shared" si="50"/>
        <v>1.2793176972281451E-3</v>
      </c>
      <c r="AG521" s="37">
        <v>5</v>
      </c>
      <c r="AH521" s="27">
        <v>0.1388888888888889</v>
      </c>
      <c r="AI521" s="27">
        <f t="shared" si="51"/>
        <v>2.1321961620469083E-3</v>
      </c>
      <c r="AJ521" s="38">
        <v>0</v>
      </c>
      <c r="AK521" s="27">
        <v>0</v>
      </c>
      <c r="AL521" s="27">
        <f t="shared" si="52"/>
        <v>0</v>
      </c>
      <c r="AM521" s="40">
        <v>0</v>
      </c>
      <c r="AN521" s="27">
        <v>0</v>
      </c>
      <c r="AO521" s="27">
        <f t="shared" si="53"/>
        <v>0</v>
      </c>
      <c r="AP521" s="7" t="b">
        <v>1</v>
      </c>
      <c r="AQ521" s="6" t="b">
        <v>0</v>
      </c>
      <c r="AR521" s="6" t="b">
        <v>0</v>
      </c>
      <c r="AS521" s="6" t="b">
        <v>0</v>
      </c>
      <c r="AT521" s="7" t="b">
        <v>1</v>
      </c>
      <c r="AU521" s="6" t="b">
        <v>0</v>
      </c>
      <c r="AV521" s="6" t="b">
        <v>0</v>
      </c>
      <c r="AW521" s="6" t="b">
        <v>0</v>
      </c>
      <c r="AX521" s="6" t="b">
        <v>0</v>
      </c>
      <c r="AY521" s="6" t="b">
        <v>0</v>
      </c>
      <c r="AZ521" s="6" t="b">
        <v>0</v>
      </c>
      <c r="BA521" s="6" t="b">
        <v>0</v>
      </c>
      <c r="BB521" s="6" t="b">
        <v>0</v>
      </c>
    </row>
    <row r="522" spans="1:54" ht="15" x14ac:dyDescent="0.25">
      <c r="A522" s="3" t="s">
        <v>1101</v>
      </c>
      <c r="B522" s="3" t="str">
        <f ca="1">IFERROR(__xludf.DUMMYFUNCTION("SPLIT(A522,""/"")"),"jupyterhub")</f>
        <v>jupyterhub</v>
      </c>
      <c r="C522" s="3" t="str">
        <f ca="1">IFERROR(__xludf.DUMMYFUNCTION("""COMPUTED_VALUE"""),"zero-to-jupyterhub-k8s")</f>
        <v>zero-to-jupyterhub-k8s</v>
      </c>
      <c r="D522" s="4" t="s">
        <v>1102</v>
      </c>
      <c r="E522" s="5">
        <v>42835.809432870374</v>
      </c>
      <c r="F522" s="5">
        <v>44294.663935185185</v>
      </c>
      <c r="G522" s="13">
        <f t="shared" si="48"/>
        <v>1458.8545023148108</v>
      </c>
      <c r="H522" s="6" t="b">
        <v>0</v>
      </c>
      <c r="I522" s="7" t="b">
        <v>1</v>
      </c>
      <c r="J522" s="8">
        <v>906</v>
      </c>
      <c r="K522" s="8">
        <v>57</v>
      </c>
      <c r="L522" s="8">
        <v>501</v>
      </c>
      <c r="M522" s="8">
        <v>20</v>
      </c>
      <c r="N522" s="8">
        <v>20</v>
      </c>
      <c r="O522" s="8">
        <v>171</v>
      </c>
      <c r="P522" s="8">
        <v>1105</v>
      </c>
      <c r="Q522" s="8">
        <v>11</v>
      </c>
      <c r="R522" s="8">
        <v>1020</v>
      </c>
      <c r="S522" s="8">
        <v>58</v>
      </c>
      <c r="T522" s="3" t="s">
        <v>92</v>
      </c>
      <c r="U522" s="10">
        <v>959</v>
      </c>
      <c r="V522" s="32">
        <v>7</v>
      </c>
      <c r="W522" s="27">
        <v>7.2992700729927005E-3</v>
      </c>
      <c r="X522" s="34">
        <v>0</v>
      </c>
      <c r="Y522" s="27">
        <v>0</v>
      </c>
      <c r="Z522" s="27">
        <v>0</v>
      </c>
      <c r="AA522" s="35">
        <v>5</v>
      </c>
      <c r="AB522" s="27">
        <v>0.7142857142857143</v>
      </c>
      <c r="AC522" s="27">
        <f t="shared" si="49"/>
        <v>5.2137643378519288E-3</v>
      </c>
      <c r="AD522" s="36">
        <v>1</v>
      </c>
      <c r="AE522" s="27">
        <v>0.14285714285714285</v>
      </c>
      <c r="AF522" s="27">
        <f t="shared" si="50"/>
        <v>1.0427528675703858E-3</v>
      </c>
      <c r="AG522" s="37">
        <v>1</v>
      </c>
      <c r="AH522" s="27">
        <v>0.14285714285714285</v>
      </c>
      <c r="AI522" s="27">
        <f t="shared" si="51"/>
        <v>1.0427528675703858E-3</v>
      </c>
      <c r="AJ522" s="38">
        <v>0</v>
      </c>
      <c r="AK522" s="27">
        <v>0</v>
      </c>
      <c r="AL522" s="27">
        <f t="shared" si="52"/>
        <v>0</v>
      </c>
      <c r="AM522" s="40">
        <v>0</v>
      </c>
      <c r="AN522" s="27">
        <v>0</v>
      </c>
      <c r="AO522" s="27">
        <f t="shared" si="53"/>
        <v>0</v>
      </c>
      <c r="AP522" s="7" t="b">
        <v>1</v>
      </c>
      <c r="AQ522" s="6" t="b">
        <v>0</v>
      </c>
      <c r="AR522" s="6" t="b">
        <v>0</v>
      </c>
      <c r="AS522" s="6" t="b">
        <v>0</v>
      </c>
      <c r="AT522" s="7" t="b">
        <v>1</v>
      </c>
      <c r="AU522" s="6" t="b">
        <v>0</v>
      </c>
      <c r="AV522" s="6" t="b">
        <v>0</v>
      </c>
      <c r="AW522" s="6" t="b">
        <v>0</v>
      </c>
      <c r="AX522" s="6" t="b">
        <v>0</v>
      </c>
      <c r="AY522" s="6" t="b">
        <v>0</v>
      </c>
      <c r="AZ522" s="6" t="b">
        <v>0</v>
      </c>
      <c r="BA522" s="6" t="b">
        <v>0</v>
      </c>
      <c r="BB522" s="6" t="b">
        <v>0</v>
      </c>
    </row>
    <row r="523" spans="1:54" ht="15" x14ac:dyDescent="0.25">
      <c r="A523" s="3" t="s">
        <v>1103</v>
      </c>
      <c r="B523" s="3" t="str">
        <f ca="1">IFERROR(__xludf.DUMMYFUNCTION("SPLIT(A523,""/"")"),"Just-Some-Bots")</f>
        <v>Just-Some-Bots</v>
      </c>
      <c r="C523" s="3" t="str">
        <f ca="1">IFERROR(__xludf.DUMMYFUNCTION("""COMPUTED_VALUE"""),"MusicBot")</f>
        <v>MusicBot</v>
      </c>
      <c r="D523" s="4" t="s">
        <v>1104</v>
      </c>
      <c r="E523" s="5">
        <v>42367.22929398148</v>
      </c>
      <c r="F523" s="5">
        <v>44294.197106481479</v>
      </c>
      <c r="G523" s="13">
        <f t="shared" si="48"/>
        <v>1926.9678124999991</v>
      </c>
      <c r="H523" s="6" t="b">
        <v>0</v>
      </c>
      <c r="I523" s="7" t="b">
        <v>1</v>
      </c>
      <c r="J523" s="8">
        <v>2248</v>
      </c>
      <c r="K523" s="8">
        <v>197</v>
      </c>
      <c r="L523" s="8">
        <v>1862</v>
      </c>
      <c r="M523" s="8">
        <v>0</v>
      </c>
      <c r="N523" s="8">
        <v>38</v>
      </c>
      <c r="O523" s="8">
        <v>42</v>
      </c>
      <c r="P523" s="8">
        <v>431</v>
      </c>
      <c r="Q523" s="8">
        <v>19</v>
      </c>
      <c r="R523" s="8">
        <v>1768</v>
      </c>
      <c r="S523" s="8">
        <v>64</v>
      </c>
      <c r="T523" s="3" t="s">
        <v>72</v>
      </c>
      <c r="U523" s="10">
        <v>4315</v>
      </c>
      <c r="V523" s="32">
        <v>242</v>
      </c>
      <c r="W523" s="27">
        <v>5.6083429895712633E-2</v>
      </c>
      <c r="X523" s="34">
        <v>65</v>
      </c>
      <c r="Y523" s="27">
        <v>0.26859504132231404</v>
      </c>
      <c r="Z523" s="27">
        <v>1.5063731170336037E-2</v>
      </c>
      <c r="AA523" s="35">
        <v>96</v>
      </c>
      <c r="AB523" s="27">
        <v>0.39669421487603307</v>
      </c>
      <c r="AC523" s="27">
        <f t="shared" si="49"/>
        <v>2.2247972190034764E-2</v>
      </c>
      <c r="AD523" s="36">
        <v>42</v>
      </c>
      <c r="AE523" s="27">
        <v>0.17355371900826447</v>
      </c>
      <c r="AF523" s="27">
        <f t="shared" si="50"/>
        <v>9.7334878331402086E-3</v>
      </c>
      <c r="AG523" s="37">
        <v>30</v>
      </c>
      <c r="AH523" s="27">
        <v>0.12396694214876033</v>
      </c>
      <c r="AI523" s="27">
        <f t="shared" si="51"/>
        <v>6.9524913093858632E-3</v>
      </c>
      <c r="AJ523" s="38">
        <v>11</v>
      </c>
      <c r="AK523" s="27">
        <v>4.5454545454545456E-2</v>
      </c>
      <c r="AL523" s="27">
        <f t="shared" si="52"/>
        <v>2.5492468134414832E-3</v>
      </c>
      <c r="AM523" s="40">
        <v>0</v>
      </c>
      <c r="AN523" s="27">
        <v>0</v>
      </c>
      <c r="AO523" s="27">
        <f t="shared" si="53"/>
        <v>0</v>
      </c>
      <c r="AP523" s="7" t="b">
        <v>1</v>
      </c>
      <c r="AQ523" s="6" t="b">
        <v>0</v>
      </c>
      <c r="AR523" s="6" t="b">
        <v>0</v>
      </c>
      <c r="AS523" s="6" t="b">
        <v>0</v>
      </c>
      <c r="AT523" s="7" t="b">
        <v>1</v>
      </c>
      <c r="AU523" s="6" t="b">
        <v>0</v>
      </c>
      <c r="AV523" s="6" t="b">
        <v>0</v>
      </c>
      <c r="AW523" s="6" t="b">
        <v>0</v>
      </c>
      <c r="AX523" s="6" t="b">
        <v>0</v>
      </c>
      <c r="AY523" s="6" t="b">
        <v>0</v>
      </c>
      <c r="AZ523" s="6" t="b">
        <v>0</v>
      </c>
      <c r="BA523" s="6" t="b">
        <v>0</v>
      </c>
      <c r="BB523" s="6" t="b">
        <v>0</v>
      </c>
    </row>
    <row r="524" spans="1:54" ht="15" x14ac:dyDescent="0.25">
      <c r="A524" s="3" t="s">
        <v>1105</v>
      </c>
      <c r="B524" s="3" t="str">
        <f ca="1">IFERROR(__xludf.DUMMYFUNCTION("SPLIT(A524,""/"")"),"Kaggle")</f>
        <v>Kaggle</v>
      </c>
      <c r="C524" s="3" t="str">
        <f ca="1">IFERROR(__xludf.DUMMYFUNCTION("""COMPUTED_VALUE"""),"docker-python")</f>
        <v>docker-python</v>
      </c>
      <c r="D524" s="4" t="s">
        <v>1106</v>
      </c>
      <c r="E524" s="5">
        <v>42108.07335648148</v>
      </c>
      <c r="F524" s="5">
        <v>44295.15347222222</v>
      </c>
      <c r="G524" s="13">
        <f t="shared" si="48"/>
        <v>2187.0801157407404</v>
      </c>
      <c r="H524" s="6" t="b">
        <v>0</v>
      </c>
      <c r="I524" s="7" t="b">
        <v>1</v>
      </c>
      <c r="J524" s="8">
        <v>1593</v>
      </c>
      <c r="K524" s="8">
        <v>89</v>
      </c>
      <c r="L524" s="8">
        <v>685</v>
      </c>
      <c r="M524" s="8">
        <v>39</v>
      </c>
      <c r="N524" s="8">
        <v>8</v>
      </c>
      <c r="O524" s="8">
        <v>126</v>
      </c>
      <c r="P524" s="8">
        <v>735</v>
      </c>
      <c r="Q524" s="8">
        <v>7</v>
      </c>
      <c r="R524" s="8">
        <v>254</v>
      </c>
      <c r="S524" s="8">
        <v>19</v>
      </c>
      <c r="T524" s="3" t="s">
        <v>69</v>
      </c>
      <c r="U524" s="10">
        <v>2956</v>
      </c>
      <c r="V524" s="32">
        <v>25</v>
      </c>
      <c r="W524" s="27">
        <v>8.4573748308525033E-3</v>
      </c>
      <c r="X524" s="34">
        <v>1</v>
      </c>
      <c r="Y524" s="27">
        <v>0.04</v>
      </c>
      <c r="Z524" s="27">
        <v>3.3829499323410016E-4</v>
      </c>
      <c r="AA524" s="35">
        <v>11</v>
      </c>
      <c r="AB524" s="27">
        <v>0.44</v>
      </c>
      <c r="AC524" s="27">
        <f t="shared" si="49"/>
        <v>3.7212449255751017E-3</v>
      </c>
      <c r="AD524" s="36">
        <v>2</v>
      </c>
      <c r="AE524" s="27">
        <v>0.08</v>
      </c>
      <c r="AF524" s="27">
        <f t="shared" si="50"/>
        <v>6.7658998646820032E-4</v>
      </c>
      <c r="AG524" s="37">
        <v>7</v>
      </c>
      <c r="AH524" s="27">
        <v>0.28000000000000003</v>
      </c>
      <c r="AI524" s="27">
        <f t="shared" si="51"/>
        <v>2.368064952638701E-3</v>
      </c>
      <c r="AJ524" s="38">
        <v>2</v>
      </c>
      <c r="AK524" s="27">
        <v>0.08</v>
      </c>
      <c r="AL524" s="27">
        <f t="shared" si="52"/>
        <v>6.7658998646820032E-4</v>
      </c>
      <c r="AM524" s="40">
        <v>2</v>
      </c>
      <c r="AN524" s="27">
        <v>0.08</v>
      </c>
      <c r="AO524" s="27">
        <f t="shared" si="53"/>
        <v>6.7658998646820032E-4</v>
      </c>
      <c r="AP524" s="7" t="b">
        <v>1</v>
      </c>
      <c r="AQ524" s="6" t="b">
        <v>0</v>
      </c>
      <c r="AR524" s="6" t="b">
        <v>0</v>
      </c>
      <c r="AS524" s="6" t="b">
        <v>0</v>
      </c>
      <c r="AT524" s="7" t="b">
        <v>1</v>
      </c>
      <c r="AU524" s="6" t="b">
        <v>0</v>
      </c>
      <c r="AV524" s="6" t="b">
        <v>0</v>
      </c>
      <c r="AW524" s="6" t="b">
        <v>0</v>
      </c>
      <c r="AX524" s="6" t="b">
        <v>0</v>
      </c>
      <c r="AY524" s="6" t="b">
        <v>0</v>
      </c>
      <c r="AZ524" s="6" t="b">
        <v>0</v>
      </c>
      <c r="BA524" s="6" t="b">
        <v>0</v>
      </c>
      <c r="BB524" s="6" t="b">
        <v>0</v>
      </c>
    </row>
    <row r="525" spans="1:54" ht="15" x14ac:dyDescent="0.25">
      <c r="A525" s="3" t="s">
        <v>1107</v>
      </c>
      <c r="B525" s="3" t="str">
        <f ca="1">IFERROR(__xludf.DUMMYFUNCTION("SPLIT(A525,""/"")"),"kakao")</f>
        <v>kakao</v>
      </c>
      <c r="C525" s="3" t="str">
        <f ca="1">IFERROR(__xludf.DUMMYFUNCTION("""COMPUTED_VALUE"""),"buffalo")</f>
        <v>buffalo</v>
      </c>
      <c r="D525" s="4" t="s">
        <v>1108</v>
      </c>
      <c r="E525" s="5">
        <v>43704.622777777775</v>
      </c>
      <c r="F525" s="5">
        <v>44290.168333333335</v>
      </c>
      <c r="G525" s="13">
        <f t="shared" si="48"/>
        <v>585.54555555555999</v>
      </c>
      <c r="H525" s="6" t="b">
        <v>0</v>
      </c>
      <c r="I525" s="7" t="b">
        <v>1</v>
      </c>
      <c r="J525" s="8">
        <v>499</v>
      </c>
      <c r="K525" s="8">
        <v>26</v>
      </c>
      <c r="L525" s="8">
        <v>74</v>
      </c>
      <c r="M525" s="8">
        <v>12</v>
      </c>
      <c r="N525" s="8">
        <v>0</v>
      </c>
      <c r="O525" s="8">
        <v>13</v>
      </c>
      <c r="P525" s="8">
        <v>23</v>
      </c>
      <c r="Q525" s="8">
        <v>2</v>
      </c>
      <c r="R525" s="8">
        <v>17</v>
      </c>
      <c r="S525" s="8">
        <v>5</v>
      </c>
      <c r="T525" s="3" t="s">
        <v>69</v>
      </c>
      <c r="U525" s="10">
        <v>6139</v>
      </c>
      <c r="V525" s="32">
        <v>105</v>
      </c>
      <c r="W525" s="27">
        <v>1.7103762827822121E-2</v>
      </c>
      <c r="X525" s="34">
        <v>16</v>
      </c>
      <c r="Y525" s="27">
        <v>0.15238095238095239</v>
      </c>
      <c r="Z525" s="27">
        <v>2.6062876690014659E-3</v>
      </c>
      <c r="AA525" s="35">
        <v>72</v>
      </c>
      <c r="AB525" s="27">
        <v>0.68571428571428572</v>
      </c>
      <c r="AC525" s="27">
        <f t="shared" si="49"/>
        <v>1.1728294510506597E-2</v>
      </c>
      <c r="AD525" s="36">
        <v>7</v>
      </c>
      <c r="AE525" s="27">
        <v>6.6666666666666666E-2</v>
      </c>
      <c r="AF525" s="27">
        <f t="shared" si="50"/>
        <v>1.1402508551881414E-3</v>
      </c>
      <c r="AG525" s="37">
        <v>10</v>
      </c>
      <c r="AH525" s="27">
        <v>9.5238095238095233E-2</v>
      </c>
      <c r="AI525" s="27">
        <f t="shared" si="51"/>
        <v>1.6289297931259162E-3</v>
      </c>
      <c r="AJ525" s="38">
        <v>0</v>
      </c>
      <c r="AK525" s="27">
        <v>0</v>
      </c>
      <c r="AL525" s="27">
        <f t="shared" si="52"/>
        <v>0</v>
      </c>
      <c r="AM525" s="40">
        <v>0</v>
      </c>
      <c r="AN525" s="27">
        <v>0</v>
      </c>
      <c r="AO525" s="27">
        <f t="shared" si="53"/>
        <v>0</v>
      </c>
      <c r="AP525" s="7" t="b">
        <v>1</v>
      </c>
      <c r="AQ525" s="6" t="b">
        <v>0</v>
      </c>
      <c r="AR525" s="6" t="b">
        <v>0</v>
      </c>
      <c r="AS525" s="6" t="b">
        <v>0</v>
      </c>
      <c r="AT525" s="7" t="b">
        <v>1</v>
      </c>
      <c r="AU525" s="6" t="b">
        <v>0</v>
      </c>
      <c r="AV525" s="6" t="b">
        <v>0</v>
      </c>
      <c r="AW525" s="6" t="b">
        <v>0</v>
      </c>
      <c r="AX525" s="6" t="b">
        <v>0</v>
      </c>
      <c r="AY525" s="6" t="b">
        <v>0</v>
      </c>
      <c r="AZ525" s="6" t="b">
        <v>0</v>
      </c>
      <c r="BA525" s="6" t="b">
        <v>0</v>
      </c>
      <c r="BB525" s="6" t="b">
        <v>0</v>
      </c>
    </row>
    <row r="526" spans="1:54" ht="15" x14ac:dyDescent="0.25">
      <c r="A526" s="3" t="s">
        <v>1109</v>
      </c>
      <c r="B526" s="3" t="str">
        <f ca="1">IFERROR(__xludf.DUMMYFUNCTION("SPLIT(A526,""/"")"),"kakao")</f>
        <v>kakao</v>
      </c>
      <c r="C526" s="3" t="str">
        <f ca="1">IFERROR(__xludf.DUMMYFUNCTION("""COMPUTED_VALUE"""),"khaiii")</f>
        <v>khaiii</v>
      </c>
      <c r="D526" s="4" t="s">
        <v>1110</v>
      </c>
      <c r="E526" s="5">
        <v>43430.400914351849</v>
      </c>
      <c r="F526" s="5">
        <v>44294.617442129631</v>
      </c>
      <c r="G526" s="13">
        <f t="shared" si="48"/>
        <v>864.21652777778218</v>
      </c>
      <c r="H526" s="6" t="b">
        <v>0</v>
      </c>
      <c r="I526" s="7" t="b">
        <v>1</v>
      </c>
      <c r="J526" s="8">
        <v>1118</v>
      </c>
      <c r="K526" s="8">
        <v>62</v>
      </c>
      <c r="L526" s="8">
        <v>226</v>
      </c>
      <c r="M526" s="8">
        <v>3</v>
      </c>
      <c r="N526" s="8">
        <v>0</v>
      </c>
      <c r="O526" s="8">
        <v>9</v>
      </c>
      <c r="P526" s="8">
        <v>28</v>
      </c>
      <c r="Q526" s="8">
        <v>0</v>
      </c>
      <c r="R526" s="8">
        <v>73</v>
      </c>
      <c r="S526" s="8">
        <v>3</v>
      </c>
      <c r="T526" s="3" t="s">
        <v>69</v>
      </c>
      <c r="U526" s="10">
        <v>4381</v>
      </c>
      <c r="V526" s="32">
        <v>128</v>
      </c>
      <c r="W526" s="27">
        <v>2.9217073727459485E-2</v>
      </c>
      <c r="X526" s="34">
        <v>38</v>
      </c>
      <c r="Y526" s="27">
        <v>0.296875</v>
      </c>
      <c r="Z526" s="27">
        <v>8.6738187628395344E-3</v>
      </c>
      <c r="AA526" s="35">
        <v>64</v>
      </c>
      <c r="AB526" s="27">
        <v>0.5</v>
      </c>
      <c r="AC526" s="27">
        <f t="shared" si="49"/>
        <v>1.4608536863729742E-2</v>
      </c>
      <c r="AD526" s="36">
        <v>0</v>
      </c>
      <c r="AE526" s="27">
        <v>0</v>
      </c>
      <c r="AF526" s="27">
        <f t="shared" si="50"/>
        <v>0</v>
      </c>
      <c r="AG526" s="37">
        <v>26</v>
      </c>
      <c r="AH526" s="27">
        <v>0.203125</v>
      </c>
      <c r="AI526" s="27">
        <f t="shared" si="51"/>
        <v>5.9347181008902079E-3</v>
      </c>
      <c r="AJ526" s="38">
        <v>0</v>
      </c>
      <c r="AK526" s="27">
        <v>0</v>
      </c>
      <c r="AL526" s="27">
        <f t="shared" si="52"/>
        <v>0</v>
      </c>
      <c r="AM526" s="40">
        <v>0</v>
      </c>
      <c r="AN526" s="27">
        <v>0</v>
      </c>
      <c r="AO526" s="27">
        <f t="shared" si="53"/>
        <v>0</v>
      </c>
      <c r="AP526" s="7" t="b">
        <v>1</v>
      </c>
      <c r="AQ526" s="6" t="b">
        <v>0</v>
      </c>
      <c r="AR526" s="6" t="b">
        <v>0</v>
      </c>
      <c r="AS526" s="6" t="b">
        <v>0</v>
      </c>
      <c r="AT526" s="7" t="b">
        <v>1</v>
      </c>
      <c r="AU526" s="6" t="b">
        <v>0</v>
      </c>
      <c r="AV526" s="6" t="b">
        <v>0</v>
      </c>
      <c r="AW526" s="6" t="b">
        <v>0</v>
      </c>
      <c r="AX526" s="6" t="b">
        <v>0</v>
      </c>
      <c r="AY526" s="6" t="b">
        <v>0</v>
      </c>
      <c r="AZ526" s="6" t="b">
        <v>0</v>
      </c>
      <c r="BA526" s="6" t="b">
        <v>0</v>
      </c>
      <c r="BB526" s="6" t="b">
        <v>0</v>
      </c>
    </row>
    <row r="527" spans="1:54" ht="15" x14ac:dyDescent="0.25">
      <c r="A527" s="3" t="s">
        <v>1111</v>
      </c>
      <c r="B527" s="3" t="str">
        <f ca="1">IFERROR(__xludf.DUMMYFUNCTION("SPLIT(A527,""/"")"),"kakaobrain")</f>
        <v>kakaobrain</v>
      </c>
      <c r="C527" s="3" t="str">
        <f ca="1">IFERROR(__xludf.DUMMYFUNCTION("""COMPUTED_VALUE"""),"pororo")</f>
        <v>pororo</v>
      </c>
      <c r="D527" s="4" t="s">
        <v>1112</v>
      </c>
      <c r="E527" s="5">
        <v>44224.234513888892</v>
      </c>
      <c r="F527" s="5">
        <v>44294.50886574074</v>
      </c>
      <c r="G527" s="13">
        <f t="shared" si="48"/>
        <v>70.274351851847314</v>
      </c>
      <c r="H527" s="6" t="b">
        <v>0</v>
      </c>
      <c r="I527" s="7" t="b">
        <v>1</v>
      </c>
      <c r="J527" s="8">
        <v>839</v>
      </c>
      <c r="K527" s="8">
        <v>37</v>
      </c>
      <c r="L527" s="8">
        <v>115</v>
      </c>
      <c r="M527" s="8">
        <v>3</v>
      </c>
      <c r="N527" s="8">
        <v>0</v>
      </c>
      <c r="O527" s="8">
        <v>4</v>
      </c>
      <c r="P527" s="8">
        <v>23</v>
      </c>
      <c r="Q527" s="8">
        <v>2</v>
      </c>
      <c r="R527" s="8">
        <v>30</v>
      </c>
      <c r="S527" s="8">
        <v>9</v>
      </c>
      <c r="T527" s="3" t="s">
        <v>92</v>
      </c>
      <c r="U527" s="10">
        <v>10601</v>
      </c>
      <c r="V527" s="32">
        <v>16</v>
      </c>
      <c r="W527" s="27">
        <v>1.5092915762663899E-3</v>
      </c>
      <c r="X527" s="34">
        <v>0</v>
      </c>
      <c r="Y527" s="27">
        <v>0</v>
      </c>
      <c r="Z527" s="27">
        <v>0</v>
      </c>
      <c r="AA527" s="35">
        <v>15</v>
      </c>
      <c r="AB527" s="27">
        <v>0.9375</v>
      </c>
      <c r="AC527" s="27">
        <f t="shared" si="49"/>
        <v>1.4149608527497407E-3</v>
      </c>
      <c r="AD527" s="36">
        <v>1</v>
      </c>
      <c r="AE527" s="27">
        <v>6.25E-2</v>
      </c>
      <c r="AF527" s="27">
        <f t="shared" si="50"/>
        <v>9.433072351664937E-5</v>
      </c>
      <c r="AG527" s="37">
        <v>0</v>
      </c>
      <c r="AH527" s="27">
        <v>0</v>
      </c>
      <c r="AI527" s="27">
        <f t="shared" si="51"/>
        <v>0</v>
      </c>
      <c r="AJ527" s="38">
        <v>0</v>
      </c>
      <c r="AK527" s="27">
        <v>0</v>
      </c>
      <c r="AL527" s="27">
        <f t="shared" si="52"/>
        <v>0</v>
      </c>
      <c r="AM527" s="40">
        <v>0</v>
      </c>
      <c r="AN527" s="27">
        <v>0</v>
      </c>
      <c r="AO527" s="27">
        <f t="shared" si="53"/>
        <v>0</v>
      </c>
      <c r="AP527" s="7" t="b">
        <v>1</v>
      </c>
      <c r="AQ527" s="6" t="b">
        <v>0</v>
      </c>
      <c r="AR527" s="6" t="b">
        <v>0</v>
      </c>
      <c r="AS527" s="6" t="b">
        <v>0</v>
      </c>
      <c r="AT527" s="7" t="b">
        <v>1</v>
      </c>
      <c r="AU527" s="6" t="b">
        <v>0</v>
      </c>
      <c r="AV527" s="6" t="b">
        <v>0</v>
      </c>
      <c r="AW527" s="6" t="b">
        <v>0</v>
      </c>
      <c r="AX527" s="6" t="b">
        <v>0</v>
      </c>
      <c r="AY527" s="6" t="b">
        <v>0</v>
      </c>
      <c r="AZ527" s="6" t="b">
        <v>0</v>
      </c>
      <c r="BA527" s="6" t="b">
        <v>0</v>
      </c>
      <c r="BB527" s="6" t="b">
        <v>0</v>
      </c>
    </row>
    <row r="528" spans="1:54" ht="15" x14ac:dyDescent="0.25">
      <c r="A528" s="3" t="s">
        <v>1113</v>
      </c>
      <c r="B528" s="3" t="str">
        <f ca="1">IFERROR(__xludf.DUMMYFUNCTION("SPLIT(A528,""/"")"),"kapicorp")</f>
        <v>kapicorp</v>
      </c>
      <c r="C528" s="3" t="str">
        <f ca="1">IFERROR(__xludf.DUMMYFUNCTION("""COMPUTED_VALUE"""),"kapitan")</f>
        <v>kapitan</v>
      </c>
      <c r="D528" s="4" t="s">
        <v>1114</v>
      </c>
      <c r="E528" s="5">
        <v>43017.674791666665</v>
      </c>
      <c r="F528" s="5">
        <v>44290.495532407411</v>
      </c>
      <c r="G528" s="13">
        <f t="shared" si="48"/>
        <v>1272.8207407407463</v>
      </c>
      <c r="H528" s="6" t="b">
        <v>0</v>
      </c>
      <c r="I528" s="7" t="b">
        <v>1</v>
      </c>
      <c r="J528" s="8">
        <v>1388</v>
      </c>
      <c r="K528" s="8">
        <v>35</v>
      </c>
      <c r="L528" s="8">
        <v>136</v>
      </c>
      <c r="M528" s="8">
        <v>101</v>
      </c>
      <c r="N528" s="8">
        <v>1</v>
      </c>
      <c r="O528" s="8">
        <v>42</v>
      </c>
      <c r="P528" s="8">
        <v>496</v>
      </c>
      <c r="Q528" s="8">
        <v>28</v>
      </c>
      <c r="R528" s="8">
        <v>215</v>
      </c>
      <c r="S528" s="8">
        <v>63</v>
      </c>
      <c r="T528" s="11" t="s">
        <v>52</v>
      </c>
      <c r="U528" s="10">
        <v>6710</v>
      </c>
      <c r="V528" s="32">
        <v>170</v>
      </c>
      <c r="W528" s="27">
        <v>2.533532041728763E-2</v>
      </c>
      <c r="X528" s="34">
        <v>96</v>
      </c>
      <c r="Y528" s="27">
        <v>0.56470588235294117</v>
      </c>
      <c r="Z528" s="27">
        <v>1.4307004470938897E-2</v>
      </c>
      <c r="AA528" s="35">
        <v>40</v>
      </c>
      <c r="AB528" s="27">
        <v>0.23529411764705882</v>
      </c>
      <c r="AC528" s="27">
        <f t="shared" si="49"/>
        <v>5.9612518628912071E-3</v>
      </c>
      <c r="AD528" s="36">
        <v>10</v>
      </c>
      <c r="AE528" s="27">
        <v>5.8823529411764705E-2</v>
      </c>
      <c r="AF528" s="27">
        <f t="shared" si="50"/>
        <v>1.4903129657228018E-3</v>
      </c>
      <c r="AG528" s="37">
        <v>18</v>
      </c>
      <c r="AH528" s="27">
        <v>0.10588235294117647</v>
      </c>
      <c r="AI528" s="27">
        <f t="shared" si="51"/>
        <v>2.6825633383010432E-3</v>
      </c>
      <c r="AJ528" s="38">
        <v>0</v>
      </c>
      <c r="AK528" s="27">
        <v>0</v>
      </c>
      <c r="AL528" s="27">
        <f t="shared" si="52"/>
        <v>0</v>
      </c>
      <c r="AM528" s="40">
        <v>0</v>
      </c>
      <c r="AN528" s="27">
        <v>0</v>
      </c>
      <c r="AO528" s="27">
        <f t="shared" si="53"/>
        <v>0</v>
      </c>
      <c r="AP528" s="7" t="b">
        <v>1</v>
      </c>
      <c r="AQ528" s="6" t="b">
        <v>0</v>
      </c>
      <c r="AR528" s="6" t="b">
        <v>0</v>
      </c>
      <c r="AS528" s="6" t="b">
        <v>0</v>
      </c>
      <c r="AT528" s="7" t="b">
        <v>1</v>
      </c>
      <c r="AU528" s="6" t="b">
        <v>0</v>
      </c>
      <c r="AV528" s="6" t="b">
        <v>0</v>
      </c>
      <c r="AW528" s="6" t="b">
        <v>0</v>
      </c>
      <c r="AX528" s="6" t="b">
        <v>0</v>
      </c>
      <c r="AY528" s="6" t="b">
        <v>0</v>
      </c>
      <c r="AZ528" s="6" t="b">
        <v>0</v>
      </c>
      <c r="BA528" s="6" t="b">
        <v>0</v>
      </c>
      <c r="BB528" s="6" t="b">
        <v>0</v>
      </c>
    </row>
    <row r="529" spans="1:54" ht="15" x14ac:dyDescent="0.25">
      <c r="A529" s="3" t="s">
        <v>1115</v>
      </c>
      <c r="B529" s="3" t="str">
        <f ca="1">IFERROR(__xludf.DUMMYFUNCTION("SPLIT(A529,""/"")"),"karec")</f>
        <v>karec</v>
      </c>
      <c r="C529" s="3" t="str">
        <f ca="1">IFERROR(__xludf.DUMMYFUNCTION("""COMPUTED_VALUE"""),"cookiecutter-flask-restful")</f>
        <v>cookiecutter-flask-restful</v>
      </c>
      <c r="D529" s="4" t="s">
        <v>1116</v>
      </c>
      <c r="E529" s="5">
        <v>42577.687372685185</v>
      </c>
      <c r="F529" s="5">
        <v>44293.540127314816</v>
      </c>
      <c r="G529" s="13">
        <f t="shared" si="48"/>
        <v>1715.8527546296318</v>
      </c>
      <c r="H529" s="6" t="b">
        <v>0</v>
      </c>
      <c r="I529" s="6" t="b">
        <v>0</v>
      </c>
      <c r="J529" s="8">
        <v>567</v>
      </c>
      <c r="K529" s="8">
        <v>15</v>
      </c>
      <c r="L529" s="8">
        <v>143</v>
      </c>
      <c r="M529" s="8">
        <v>0</v>
      </c>
      <c r="N529" s="8">
        <v>0</v>
      </c>
      <c r="O529" s="8">
        <v>8</v>
      </c>
      <c r="P529" s="8">
        <v>18</v>
      </c>
      <c r="Q529" s="8">
        <v>0</v>
      </c>
      <c r="R529" s="8">
        <v>32</v>
      </c>
      <c r="S529" s="8">
        <v>5</v>
      </c>
      <c r="T529" s="3" t="s">
        <v>72</v>
      </c>
      <c r="U529" s="10">
        <v>606</v>
      </c>
      <c r="V529" s="32">
        <v>1</v>
      </c>
      <c r="W529" s="27">
        <v>1.6501650165016502E-3</v>
      </c>
      <c r="X529" s="34">
        <v>0</v>
      </c>
      <c r="Y529" s="27">
        <v>0</v>
      </c>
      <c r="Z529" s="27">
        <v>0</v>
      </c>
      <c r="AA529" s="35">
        <v>1</v>
      </c>
      <c r="AB529" s="27">
        <v>1</v>
      </c>
      <c r="AC529" s="27">
        <f t="shared" si="49"/>
        <v>1.6501650165016502E-3</v>
      </c>
      <c r="AD529" s="36">
        <v>0</v>
      </c>
      <c r="AE529" s="27">
        <v>0</v>
      </c>
      <c r="AF529" s="27">
        <f t="shared" si="50"/>
        <v>0</v>
      </c>
      <c r="AG529" s="37">
        <v>0</v>
      </c>
      <c r="AH529" s="27">
        <v>0</v>
      </c>
      <c r="AI529" s="27">
        <f t="shared" si="51"/>
        <v>0</v>
      </c>
      <c r="AJ529" s="38">
        <v>0</v>
      </c>
      <c r="AK529" s="27">
        <v>0</v>
      </c>
      <c r="AL529" s="27">
        <f t="shared" si="52"/>
        <v>0</v>
      </c>
      <c r="AM529" s="40">
        <v>0</v>
      </c>
      <c r="AN529" s="27">
        <v>0</v>
      </c>
      <c r="AO529" s="27">
        <f t="shared" si="53"/>
        <v>0</v>
      </c>
      <c r="AP529" s="7" t="b">
        <v>1</v>
      </c>
      <c r="AQ529" s="7" t="b">
        <v>1</v>
      </c>
      <c r="AR529" s="6" t="b">
        <v>0</v>
      </c>
      <c r="AS529" s="6" t="b">
        <v>0</v>
      </c>
      <c r="AT529" s="7" t="b">
        <v>1</v>
      </c>
      <c r="AU529" s="6" t="b">
        <v>0</v>
      </c>
      <c r="AV529" s="6" t="b">
        <v>0</v>
      </c>
      <c r="AW529" s="6" t="b">
        <v>0</v>
      </c>
      <c r="AX529" s="6" t="b">
        <v>0</v>
      </c>
      <c r="AY529" s="6" t="b">
        <v>0</v>
      </c>
      <c r="AZ529" s="6" t="b">
        <v>0</v>
      </c>
      <c r="BA529" s="6" t="b">
        <v>0</v>
      </c>
      <c r="BB529" s="6" t="b">
        <v>0</v>
      </c>
    </row>
    <row r="530" spans="1:54" ht="15" x14ac:dyDescent="0.25">
      <c r="A530" s="3" t="s">
        <v>1117</v>
      </c>
      <c r="B530" s="3" t="str">
        <f ca="1">IFERROR(__xludf.DUMMYFUNCTION("SPLIT(A530,""/"")"),"karlicoss")</f>
        <v>karlicoss</v>
      </c>
      <c r="C530" s="3" t="str">
        <f ca="1">IFERROR(__xludf.DUMMYFUNCTION("""COMPUTED_VALUE"""),"promnesia")</f>
        <v>promnesia</v>
      </c>
      <c r="D530" s="4" t="s">
        <v>1118</v>
      </c>
      <c r="E530" s="5">
        <v>43561.585509259261</v>
      </c>
      <c r="F530" s="5">
        <v>44294.824791666666</v>
      </c>
      <c r="G530" s="13">
        <f t="shared" si="48"/>
        <v>733.23928240740497</v>
      </c>
      <c r="H530" s="6" t="b">
        <v>0</v>
      </c>
      <c r="I530" s="6" t="b">
        <v>0</v>
      </c>
      <c r="J530" s="8">
        <v>935</v>
      </c>
      <c r="K530" s="8">
        <v>19</v>
      </c>
      <c r="L530" s="8">
        <v>28</v>
      </c>
      <c r="M530" s="8">
        <v>9</v>
      </c>
      <c r="N530" s="8">
        <v>3</v>
      </c>
      <c r="O530" s="8">
        <v>12</v>
      </c>
      <c r="P530" s="8">
        <v>136</v>
      </c>
      <c r="Q530" s="8">
        <v>1</v>
      </c>
      <c r="R530" s="8">
        <v>88</v>
      </c>
      <c r="S530" s="8">
        <v>49</v>
      </c>
      <c r="T530" s="3" t="s">
        <v>72</v>
      </c>
      <c r="U530" s="10">
        <v>5007</v>
      </c>
      <c r="V530" s="32">
        <v>112</v>
      </c>
      <c r="W530" s="27">
        <v>2.2368683842620331E-2</v>
      </c>
      <c r="X530" s="34">
        <v>14</v>
      </c>
      <c r="Y530" s="27">
        <v>0.125</v>
      </c>
      <c r="Z530" s="27">
        <v>2.7960854803275414E-3</v>
      </c>
      <c r="AA530" s="35">
        <v>41</v>
      </c>
      <c r="AB530" s="27">
        <v>0.36607142857142855</v>
      </c>
      <c r="AC530" s="27">
        <f t="shared" si="49"/>
        <v>8.1885360495306571E-3</v>
      </c>
      <c r="AD530" s="36">
        <v>24</v>
      </c>
      <c r="AE530" s="27">
        <v>0.21428571428571427</v>
      </c>
      <c r="AF530" s="27">
        <f t="shared" si="50"/>
        <v>4.793289394847214E-3</v>
      </c>
      <c r="AG530" s="37">
        <v>18</v>
      </c>
      <c r="AH530" s="27">
        <v>0.16071428571428573</v>
      </c>
      <c r="AI530" s="27">
        <f t="shared" si="51"/>
        <v>3.5949670461354103E-3</v>
      </c>
      <c r="AJ530" s="38">
        <v>1</v>
      </c>
      <c r="AK530" s="27">
        <v>8.9285714285714281E-3</v>
      </c>
      <c r="AL530" s="27">
        <f t="shared" si="52"/>
        <v>1.9972039145196724E-4</v>
      </c>
      <c r="AM530" s="40">
        <v>0</v>
      </c>
      <c r="AN530" s="27">
        <v>0</v>
      </c>
      <c r="AO530" s="27">
        <f t="shared" si="53"/>
        <v>0</v>
      </c>
      <c r="AP530" s="7" t="b">
        <v>1</v>
      </c>
      <c r="AQ530" s="7" t="b">
        <v>1</v>
      </c>
      <c r="AR530" s="6" t="b">
        <v>0</v>
      </c>
      <c r="AS530" s="6" t="b">
        <v>0</v>
      </c>
      <c r="AT530" s="7" t="b">
        <v>1</v>
      </c>
      <c r="AU530" s="6" t="b">
        <v>0</v>
      </c>
      <c r="AV530" s="6" t="b">
        <v>0</v>
      </c>
      <c r="AW530" s="6" t="b">
        <v>0</v>
      </c>
      <c r="AX530" s="6" t="b">
        <v>0</v>
      </c>
      <c r="AY530" s="6" t="b">
        <v>0</v>
      </c>
      <c r="AZ530" s="6" t="b">
        <v>0</v>
      </c>
      <c r="BA530" s="6" t="b">
        <v>0</v>
      </c>
      <c r="BB530" s="6" t="b">
        <v>0</v>
      </c>
    </row>
    <row r="531" spans="1:54" ht="15" x14ac:dyDescent="0.25">
      <c r="A531" s="3" t="s">
        <v>1119</v>
      </c>
      <c r="B531" s="3" t="str">
        <f ca="1">IFERROR(__xludf.DUMMYFUNCTION("SPLIT(A531,""/"")"),"kbumsik")</f>
        <v>kbumsik</v>
      </c>
      <c r="C531" s="3" t="str">
        <f ca="1">IFERROR(__xludf.DUMMYFUNCTION("""COMPUTED_VALUE"""),"VirtScreen")</f>
        <v>VirtScreen</v>
      </c>
      <c r="D531" s="4" t="s">
        <v>1120</v>
      </c>
      <c r="E531" s="5">
        <v>43215.782106481478</v>
      </c>
      <c r="F531" s="5">
        <v>44295.059710648151</v>
      </c>
      <c r="G531" s="13">
        <f t="shared" si="48"/>
        <v>1079.277604166673</v>
      </c>
      <c r="H531" s="6" t="b">
        <v>0</v>
      </c>
      <c r="I531" s="6" t="b">
        <v>0</v>
      </c>
      <c r="J531" s="8">
        <v>907</v>
      </c>
      <c r="K531" s="8">
        <v>22</v>
      </c>
      <c r="L531" s="8">
        <v>67</v>
      </c>
      <c r="M531" s="8">
        <v>9</v>
      </c>
      <c r="N531" s="8">
        <v>0</v>
      </c>
      <c r="O531" s="8">
        <v>2</v>
      </c>
      <c r="P531" s="8">
        <v>6</v>
      </c>
      <c r="Q531" s="8">
        <v>3</v>
      </c>
      <c r="R531" s="8">
        <v>90</v>
      </c>
      <c r="S531" s="8">
        <v>72</v>
      </c>
      <c r="T531" s="3" t="s">
        <v>49</v>
      </c>
      <c r="U531" s="10">
        <v>769</v>
      </c>
      <c r="V531" s="32">
        <v>22</v>
      </c>
      <c r="W531" s="27">
        <v>2.8608582574772431E-2</v>
      </c>
      <c r="X531" s="34">
        <v>0</v>
      </c>
      <c r="Y531" s="27">
        <v>0</v>
      </c>
      <c r="Z531" s="27">
        <v>0</v>
      </c>
      <c r="AA531" s="35">
        <v>11</v>
      </c>
      <c r="AB531" s="27">
        <v>0.5</v>
      </c>
      <c r="AC531" s="27">
        <f t="shared" si="49"/>
        <v>1.4304291287386216E-2</v>
      </c>
      <c r="AD531" s="36">
        <v>0</v>
      </c>
      <c r="AE531" s="27">
        <v>0</v>
      </c>
      <c r="AF531" s="27">
        <f t="shared" si="50"/>
        <v>0</v>
      </c>
      <c r="AG531" s="37">
        <v>1</v>
      </c>
      <c r="AH531" s="27">
        <v>4.5454545454545456E-2</v>
      </c>
      <c r="AI531" s="27">
        <f t="shared" si="51"/>
        <v>1.3003901170351106E-3</v>
      </c>
      <c r="AJ531" s="38">
        <v>1</v>
      </c>
      <c r="AK531" s="27">
        <v>4.5454545454545456E-2</v>
      </c>
      <c r="AL531" s="27">
        <f t="shared" si="52"/>
        <v>1.3003901170351106E-3</v>
      </c>
      <c r="AM531" s="40">
        <v>9</v>
      </c>
      <c r="AN531" s="27">
        <v>0.40909090909090912</v>
      </c>
      <c r="AO531" s="27">
        <f t="shared" si="53"/>
        <v>1.1703511053315995E-2</v>
      </c>
      <c r="AP531" s="7" t="b">
        <v>1</v>
      </c>
      <c r="AQ531" s="6" t="b">
        <v>0</v>
      </c>
      <c r="AR531" s="6" t="b">
        <v>0</v>
      </c>
      <c r="AS531" s="6" t="b">
        <v>0</v>
      </c>
      <c r="AT531" s="7" t="b">
        <v>1</v>
      </c>
      <c r="AU531" s="6" t="b">
        <v>0</v>
      </c>
      <c r="AV531" s="6" t="b">
        <v>0</v>
      </c>
      <c r="AW531" s="6" t="b">
        <v>0</v>
      </c>
      <c r="AX531" s="6" t="b">
        <v>0</v>
      </c>
      <c r="AY531" s="6" t="b">
        <v>0</v>
      </c>
      <c r="AZ531" s="6" t="b">
        <v>0</v>
      </c>
      <c r="BA531" s="6" t="b">
        <v>0</v>
      </c>
      <c r="BB531" s="6" t="b">
        <v>0</v>
      </c>
    </row>
    <row r="532" spans="1:54" ht="15" x14ac:dyDescent="0.25">
      <c r="A532" s="3" t="s">
        <v>1121</v>
      </c>
      <c r="B532" s="3" t="str">
        <f ca="1">IFERROR(__xludf.DUMMYFUNCTION("SPLIT(A532,""/"")"),"KDD-OpenSource")</f>
        <v>KDD-OpenSource</v>
      </c>
      <c r="C532" s="3" t="str">
        <f ca="1">IFERROR(__xludf.DUMMYFUNCTION("""COMPUTED_VALUE"""),"DeepADoTS")</f>
        <v>DeepADoTS</v>
      </c>
      <c r="D532" s="4" t="s">
        <v>1122</v>
      </c>
      <c r="E532" s="5">
        <v>43210.579768518517</v>
      </c>
      <c r="F532" s="5">
        <v>44294.350671296299</v>
      </c>
      <c r="G532" s="13">
        <f t="shared" si="48"/>
        <v>1083.7709027777819</v>
      </c>
      <c r="H532" s="6" t="b">
        <v>0</v>
      </c>
      <c r="I532" s="7" t="b">
        <v>1</v>
      </c>
      <c r="J532" s="8">
        <v>345</v>
      </c>
      <c r="K532" s="8">
        <v>18</v>
      </c>
      <c r="L532" s="8">
        <v>69</v>
      </c>
      <c r="M532" s="8">
        <v>0</v>
      </c>
      <c r="N532" s="8">
        <v>0</v>
      </c>
      <c r="O532" s="8">
        <v>7</v>
      </c>
      <c r="P532" s="8">
        <v>132</v>
      </c>
      <c r="Q532" s="8">
        <v>1</v>
      </c>
      <c r="R532" s="8">
        <v>76</v>
      </c>
      <c r="S532" s="8">
        <v>7</v>
      </c>
      <c r="T532" s="3" t="s">
        <v>72</v>
      </c>
      <c r="U532" s="10">
        <v>2379</v>
      </c>
      <c r="V532" s="32">
        <v>24</v>
      </c>
      <c r="W532" s="27">
        <v>1.0088272383354351E-2</v>
      </c>
      <c r="X532" s="34">
        <v>7</v>
      </c>
      <c r="Y532" s="27">
        <v>0.29166666666666669</v>
      </c>
      <c r="Z532" s="27">
        <v>2.9424127784783522E-3</v>
      </c>
      <c r="AA532" s="35">
        <v>9</v>
      </c>
      <c r="AB532" s="27">
        <v>0.375</v>
      </c>
      <c r="AC532" s="27">
        <f t="shared" si="49"/>
        <v>3.7831021437578815E-3</v>
      </c>
      <c r="AD532" s="36">
        <v>6</v>
      </c>
      <c r="AE532" s="27">
        <v>0.25</v>
      </c>
      <c r="AF532" s="27">
        <f t="shared" si="50"/>
        <v>2.5220680958385876E-3</v>
      </c>
      <c r="AG532" s="37">
        <v>2</v>
      </c>
      <c r="AH532" s="27">
        <v>8.3333333333333329E-2</v>
      </c>
      <c r="AI532" s="27">
        <f t="shared" si="51"/>
        <v>8.4068936527952921E-4</v>
      </c>
      <c r="AJ532" s="38">
        <v>0</v>
      </c>
      <c r="AK532" s="27">
        <v>0</v>
      </c>
      <c r="AL532" s="27">
        <f t="shared" si="52"/>
        <v>0</v>
      </c>
      <c r="AM532" s="40">
        <v>0</v>
      </c>
      <c r="AN532" s="27">
        <v>0</v>
      </c>
      <c r="AO532" s="27">
        <f t="shared" si="53"/>
        <v>0</v>
      </c>
      <c r="AP532" s="7" t="b">
        <v>1</v>
      </c>
      <c r="AQ532" s="6" t="b">
        <v>0</v>
      </c>
      <c r="AR532" s="6" t="b">
        <v>0</v>
      </c>
      <c r="AS532" s="6" t="b">
        <v>0</v>
      </c>
      <c r="AT532" s="7" t="b">
        <v>1</v>
      </c>
      <c r="AU532" s="6" t="b">
        <v>0</v>
      </c>
      <c r="AV532" s="6" t="b">
        <v>0</v>
      </c>
      <c r="AW532" s="6" t="b">
        <v>0</v>
      </c>
      <c r="AX532" s="6" t="b">
        <v>0</v>
      </c>
      <c r="AY532" s="6" t="b">
        <v>0</v>
      </c>
      <c r="AZ532" s="6" t="b">
        <v>0</v>
      </c>
      <c r="BA532" s="6" t="b">
        <v>0</v>
      </c>
      <c r="BB532" s="6" t="b">
        <v>0</v>
      </c>
    </row>
    <row r="533" spans="1:54" ht="15" x14ac:dyDescent="0.25">
      <c r="A533" s="3" t="s">
        <v>1123</v>
      </c>
      <c r="B533" s="3" t="str">
        <f ca="1">IFERROR(__xludf.DUMMYFUNCTION("SPLIT(A533,""/"")"),"keiohta")</f>
        <v>keiohta</v>
      </c>
      <c r="C533" s="3" t="str">
        <f ca="1">IFERROR(__xludf.DUMMYFUNCTION("""COMPUTED_VALUE"""),"tf2rl")</f>
        <v>tf2rl</v>
      </c>
      <c r="D533" s="4" t="s">
        <v>1124</v>
      </c>
      <c r="E533" s="5">
        <v>43565.560474537036</v>
      </c>
      <c r="F533" s="5">
        <v>44292.73101851852</v>
      </c>
      <c r="G533" s="13">
        <f t="shared" si="48"/>
        <v>727.17054398148321</v>
      </c>
      <c r="H533" s="6" t="b">
        <v>0</v>
      </c>
      <c r="I533" s="6" t="b">
        <v>0</v>
      </c>
      <c r="J533" s="8">
        <v>355</v>
      </c>
      <c r="K533" s="8">
        <v>17</v>
      </c>
      <c r="L533" s="8">
        <v>71</v>
      </c>
      <c r="M533" s="8">
        <v>0</v>
      </c>
      <c r="N533" s="8">
        <v>0</v>
      </c>
      <c r="O533" s="8">
        <v>3</v>
      </c>
      <c r="P533" s="8">
        <v>24</v>
      </c>
      <c r="Q533" s="8">
        <v>2</v>
      </c>
      <c r="R533" s="8">
        <v>98</v>
      </c>
      <c r="S533" s="8">
        <v>32</v>
      </c>
      <c r="T533" s="3" t="s">
        <v>72</v>
      </c>
      <c r="U533" s="10">
        <v>4982</v>
      </c>
      <c r="V533" s="32">
        <v>17</v>
      </c>
      <c r="W533" s="27">
        <v>3.4122842232035327E-3</v>
      </c>
      <c r="X533" s="34">
        <v>0</v>
      </c>
      <c r="Y533" s="27">
        <v>0</v>
      </c>
      <c r="Z533" s="27">
        <v>0</v>
      </c>
      <c r="AA533" s="35">
        <v>16</v>
      </c>
      <c r="AB533" s="27">
        <v>0.94117647058823528</v>
      </c>
      <c r="AC533" s="27">
        <f t="shared" si="49"/>
        <v>3.2115616218386192E-3</v>
      </c>
      <c r="AD533" s="36">
        <v>0</v>
      </c>
      <c r="AE533" s="27">
        <v>0</v>
      </c>
      <c r="AF533" s="27">
        <f t="shared" si="50"/>
        <v>0</v>
      </c>
      <c r="AG533" s="37">
        <v>1</v>
      </c>
      <c r="AH533" s="27">
        <v>5.8823529411764705E-2</v>
      </c>
      <c r="AI533" s="27">
        <f t="shared" si="51"/>
        <v>2.007226013649137E-4</v>
      </c>
      <c r="AJ533" s="38">
        <v>0</v>
      </c>
      <c r="AK533" s="27">
        <v>0</v>
      </c>
      <c r="AL533" s="27">
        <f t="shared" si="52"/>
        <v>0</v>
      </c>
      <c r="AM533" s="40">
        <v>0</v>
      </c>
      <c r="AN533" s="27">
        <v>0</v>
      </c>
      <c r="AO533" s="27">
        <f t="shared" si="53"/>
        <v>0</v>
      </c>
      <c r="AP533" s="7" t="b">
        <v>1</v>
      </c>
      <c r="AQ533" s="6" t="b">
        <v>0</v>
      </c>
      <c r="AR533" s="6" t="b">
        <v>0</v>
      </c>
      <c r="AS533" s="6" t="b">
        <v>0</v>
      </c>
      <c r="AT533" s="7" t="b">
        <v>1</v>
      </c>
      <c r="AU533" s="6" t="b">
        <v>0</v>
      </c>
      <c r="AV533" s="6" t="b">
        <v>0</v>
      </c>
      <c r="AW533" s="6" t="b">
        <v>0</v>
      </c>
      <c r="AX533" s="6" t="b">
        <v>0</v>
      </c>
      <c r="AY533" s="6" t="b">
        <v>0</v>
      </c>
      <c r="AZ533" s="6" t="b">
        <v>0</v>
      </c>
      <c r="BA533" s="6" t="b">
        <v>0</v>
      </c>
      <c r="BB533" s="6" t="b">
        <v>0</v>
      </c>
    </row>
    <row r="534" spans="1:54" ht="15" x14ac:dyDescent="0.25">
      <c r="A534" s="3" t="s">
        <v>1125</v>
      </c>
      <c r="B534" s="3" t="str">
        <f ca="1">IFERROR(__xludf.DUMMYFUNCTION("SPLIT(A534,""/"")"),"keithrozario")</f>
        <v>keithrozario</v>
      </c>
      <c r="C534" s="3" t="str">
        <f ca="1">IFERROR(__xludf.DUMMYFUNCTION("""COMPUTED_VALUE"""),"Klayers")</f>
        <v>Klayers</v>
      </c>
      <c r="D534" s="4" t="s">
        <v>1126</v>
      </c>
      <c r="E534" s="5">
        <v>43471.076192129629</v>
      </c>
      <c r="F534" s="5">
        <v>44295.125439814816</v>
      </c>
      <c r="G534" s="13">
        <f t="shared" si="48"/>
        <v>824.04924768518686</v>
      </c>
      <c r="H534" s="6" t="b">
        <v>0</v>
      </c>
      <c r="I534" s="6" t="b">
        <v>0</v>
      </c>
      <c r="J534" s="8">
        <v>582</v>
      </c>
      <c r="K534" s="8">
        <v>12</v>
      </c>
      <c r="L534" s="8">
        <v>73</v>
      </c>
      <c r="M534" s="8">
        <v>1</v>
      </c>
      <c r="N534" s="8">
        <v>0</v>
      </c>
      <c r="O534" s="8">
        <v>6</v>
      </c>
      <c r="P534" s="8">
        <v>88</v>
      </c>
      <c r="Q534" s="8">
        <v>0</v>
      </c>
      <c r="R534" s="8">
        <v>65</v>
      </c>
      <c r="S534" s="8">
        <v>13</v>
      </c>
      <c r="T534" s="3" t="s">
        <v>92</v>
      </c>
      <c r="U534" s="10">
        <v>1166</v>
      </c>
      <c r="V534" s="32">
        <v>63</v>
      </c>
      <c r="W534" s="27">
        <v>5.4030874785591765E-2</v>
      </c>
      <c r="X534" s="34">
        <v>8</v>
      </c>
      <c r="Y534" s="27">
        <v>0.12698412698412698</v>
      </c>
      <c r="Z534" s="27">
        <v>6.8610634648370496E-3</v>
      </c>
      <c r="AA534" s="35">
        <v>44</v>
      </c>
      <c r="AB534" s="27">
        <v>0.69841269841269837</v>
      </c>
      <c r="AC534" s="27">
        <f t="shared" si="49"/>
        <v>3.7735849056603772E-2</v>
      </c>
      <c r="AD534" s="36">
        <v>2</v>
      </c>
      <c r="AE534" s="27">
        <v>3.1746031746031744E-2</v>
      </c>
      <c r="AF534" s="27">
        <f t="shared" si="50"/>
        <v>1.7152658662092624E-3</v>
      </c>
      <c r="AG534" s="37">
        <v>9</v>
      </c>
      <c r="AH534" s="27">
        <v>0.14285714285714285</v>
      </c>
      <c r="AI534" s="27">
        <f t="shared" si="51"/>
        <v>7.7186963979416811E-3</v>
      </c>
      <c r="AJ534" s="38">
        <v>0</v>
      </c>
      <c r="AK534" s="27">
        <v>0</v>
      </c>
      <c r="AL534" s="27">
        <f t="shared" si="52"/>
        <v>0</v>
      </c>
      <c r="AM534" s="40">
        <v>0</v>
      </c>
      <c r="AN534" s="27">
        <v>0</v>
      </c>
      <c r="AO534" s="27">
        <f t="shared" si="53"/>
        <v>0</v>
      </c>
      <c r="AP534" s="7" t="b">
        <v>1</v>
      </c>
      <c r="AQ534" s="6" t="b">
        <v>0</v>
      </c>
      <c r="AR534" s="6" t="b">
        <v>0</v>
      </c>
      <c r="AS534" s="6" t="b">
        <v>0</v>
      </c>
      <c r="AT534" s="7" t="b">
        <v>1</v>
      </c>
      <c r="AU534" s="6" t="b">
        <v>0</v>
      </c>
      <c r="AV534" s="6" t="b">
        <v>0</v>
      </c>
      <c r="AW534" s="6" t="b">
        <v>0</v>
      </c>
      <c r="AX534" s="6" t="b">
        <v>0</v>
      </c>
      <c r="AY534" s="6" t="b">
        <v>0</v>
      </c>
      <c r="AZ534" s="6" t="b">
        <v>0</v>
      </c>
      <c r="BA534" s="6" t="b">
        <v>0</v>
      </c>
      <c r="BB534" s="6" t="b">
        <v>0</v>
      </c>
    </row>
    <row r="535" spans="1:54" ht="15" x14ac:dyDescent="0.25">
      <c r="A535" s="3" t="s">
        <v>1127</v>
      </c>
      <c r="B535" s="3" t="str">
        <f ca="1">IFERROR(__xludf.DUMMYFUNCTION("SPLIT(A535,""/"")"),"kengz")</f>
        <v>kengz</v>
      </c>
      <c r="C535" s="3" t="str">
        <f ca="1">IFERROR(__xludf.DUMMYFUNCTION("""COMPUTED_VALUE"""),"SLM-Lab")</f>
        <v>SLM-Lab</v>
      </c>
      <c r="D535" s="4" t="s">
        <v>1128</v>
      </c>
      <c r="E535" s="5">
        <v>43010.930810185186</v>
      </c>
      <c r="F535" s="5">
        <v>44293.186331018522</v>
      </c>
      <c r="G535" s="13">
        <f t="shared" si="48"/>
        <v>1282.255520833336</v>
      </c>
      <c r="H535" s="6" t="b">
        <v>0</v>
      </c>
      <c r="I535" s="6" t="b">
        <v>0</v>
      </c>
      <c r="J535" s="8">
        <v>915</v>
      </c>
      <c r="K535" s="8">
        <v>48</v>
      </c>
      <c r="L535" s="8">
        <v>170</v>
      </c>
      <c r="M535" s="8">
        <v>22</v>
      </c>
      <c r="N535" s="8">
        <v>0</v>
      </c>
      <c r="O535" s="8">
        <v>13</v>
      </c>
      <c r="P535" s="8">
        <v>428</v>
      </c>
      <c r="Q535" s="8">
        <v>3</v>
      </c>
      <c r="R535" s="8">
        <v>48</v>
      </c>
      <c r="S535" s="8">
        <v>6</v>
      </c>
      <c r="T535" s="3" t="s">
        <v>72</v>
      </c>
      <c r="U535" s="10">
        <v>6622</v>
      </c>
      <c r="V535" s="32">
        <v>80</v>
      </c>
      <c r="W535" s="27">
        <v>1.2080942313500454E-2</v>
      </c>
      <c r="X535" s="34">
        <v>26</v>
      </c>
      <c r="Y535" s="27">
        <v>0.32500000000000001</v>
      </c>
      <c r="Z535" s="27">
        <v>3.9263062518876471E-3</v>
      </c>
      <c r="AA535" s="35">
        <v>39</v>
      </c>
      <c r="AB535" s="27">
        <v>0.48749999999999999</v>
      </c>
      <c r="AC535" s="27">
        <f t="shared" si="49"/>
        <v>5.8894593778314706E-3</v>
      </c>
      <c r="AD535" s="36">
        <v>6</v>
      </c>
      <c r="AE535" s="27">
        <v>7.4999999999999997E-2</v>
      </c>
      <c r="AF535" s="27">
        <f t="shared" si="50"/>
        <v>9.0607067351253397E-4</v>
      </c>
      <c r="AG535" s="37">
        <v>5</v>
      </c>
      <c r="AH535" s="27">
        <v>6.25E-2</v>
      </c>
      <c r="AI535" s="27">
        <f t="shared" si="51"/>
        <v>7.5505889459377836E-4</v>
      </c>
      <c r="AJ535" s="38">
        <v>1</v>
      </c>
      <c r="AK535" s="27">
        <v>1.2500000000000001E-2</v>
      </c>
      <c r="AL535" s="27">
        <f t="shared" si="52"/>
        <v>1.5101177891875566E-4</v>
      </c>
      <c r="AM535" s="40">
        <v>0</v>
      </c>
      <c r="AN535" s="27">
        <v>0</v>
      </c>
      <c r="AO535" s="27">
        <f t="shared" si="53"/>
        <v>0</v>
      </c>
      <c r="AP535" s="7" t="b">
        <v>1</v>
      </c>
      <c r="AQ535" s="6" t="b">
        <v>0</v>
      </c>
      <c r="AR535" s="6" t="b">
        <v>0</v>
      </c>
      <c r="AS535" s="6" t="b">
        <v>0</v>
      </c>
      <c r="AT535" s="7" t="b">
        <v>1</v>
      </c>
      <c r="AU535" s="6" t="b">
        <v>0</v>
      </c>
      <c r="AV535" s="6" t="b">
        <v>0</v>
      </c>
      <c r="AW535" s="6" t="b">
        <v>0</v>
      </c>
      <c r="AX535" s="6" t="b">
        <v>0</v>
      </c>
      <c r="AY535" s="6" t="b">
        <v>0</v>
      </c>
      <c r="AZ535" s="6" t="b">
        <v>0</v>
      </c>
      <c r="BA535" s="6" t="b">
        <v>0</v>
      </c>
      <c r="BB535" s="6" t="b">
        <v>0</v>
      </c>
    </row>
    <row r="536" spans="1:54" ht="15" x14ac:dyDescent="0.25">
      <c r="A536" s="3" t="s">
        <v>1129</v>
      </c>
      <c r="B536" s="3" t="str">
        <f ca="1">IFERROR(__xludf.DUMMYFUNCTION("SPLIT(A536,""/"")"),"kennethreitz-archive")</f>
        <v>kennethreitz-archive</v>
      </c>
      <c r="C536" s="3" t="str">
        <f ca="1">IFERROR(__xludf.DUMMYFUNCTION("""COMPUTED_VALUE"""),"requests3")</f>
        <v>requests3</v>
      </c>
      <c r="D536" s="4" t="s">
        <v>1130</v>
      </c>
      <c r="E536" s="5">
        <v>43573.516331018516</v>
      </c>
      <c r="F536" s="5">
        <v>44291.111678240741</v>
      </c>
      <c r="G536" s="13">
        <f t="shared" si="48"/>
        <v>717.59534722222452</v>
      </c>
      <c r="H536" s="6" t="b">
        <v>0</v>
      </c>
      <c r="I536" s="7" t="b">
        <v>1</v>
      </c>
      <c r="J536" s="8">
        <v>814</v>
      </c>
      <c r="K536" s="8">
        <v>39</v>
      </c>
      <c r="L536" s="8">
        <v>34</v>
      </c>
      <c r="M536" s="8">
        <v>0</v>
      </c>
      <c r="N536" s="8">
        <v>0</v>
      </c>
      <c r="O536" s="8">
        <v>551</v>
      </c>
      <c r="P536" s="8">
        <v>16</v>
      </c>
      <c r="Q536" s="8">
        <v>1</v>
      </c>
      <c r="R536" s="8">
        <v>0</v>
      </c>
      <c r="S536" s="8">
        <v>0</v>
      </c>
      <c r="T536" s="3" t="s">
        <v>92</v>
      </c>
      <c r="U536" s="10">
        <v>12608</v>
      </c>
      <c r="V536" s="32">
        <v>46</v>
      </c>
      <c r="W536" s="27">
        <v>3.6484771573604062E-3</v>
      </c>
      <c r="X536" s="34">
        <v>15</v>
      </c>
      <c r="Y536" s="27">
        <v>0.32608695652173914</v>
      </c>
      <c r="Z536" s="27">
        <v>1.1897208121827412E-3</v>
      </c>
      <c r="AA536" s="35">
        <v>2</v>
      </c>
      <c r="AB536" s="27">
        <v>4.3478260869565216E-2</v>
      </c>
      <c r="AC536" s="27">
        <f t="shared" si="49"/>
        <v>1.5862944162436547E-4</v>
      </c>
      <c r="AD536" s="36">
        <v>27</v>
      </c>
      <c r="AE536" s="27">
        <v>0.58695652173913049</v>
      </c>
      <c r="AF536" s="27">
        <f t="shared" si="50"/>
        <v>2.1414974619289339E-3</v>
      </c>
      <c r="AG536" s="37">
        <v>2</v>
      </c>
      <c r="AH536" s="27">
        <v>4.3478260869565216E-2</v>
      </c>
      <c r="AI536" s="27">
        <f t="shared" si="51"/>
        <v>1.5862944162436547E-4</v>
      </c>
      <c r="AJ536" s="38">
        <v>0</v>
      </c>
      <c r="AK536" s="27">
        <v>0</v>
      </c>
      <c r="AL536" s="27">
        <f t="shared" si="52"/>
        <v>0</v>
      </c>
      <c r="AM536" s="40">
        <v>0</v>
      </c>
      <c r="AN536" s="27">
        <v>0</v>
      </c>
      <c r="AO536" s="27">
        <f t="shared" si="53"/>
        <v>0</v>
      </c>
      <c r="AP536" s="7" t="b">
        <v>1</v>
      </c>
      <c r="AQ536" s="7" t="b">
        <v>1</v>
      </c>
      <c r="AR536" s="6" t="b">
        <v>0</v>
      </c>
      <c r="AS536" s="6" t="b">
        <v>0</v>
      </c>
      <c r="AT536" s="7" t="b">
        <v>1</v>
      </c>
      <c r="AU536" s="6" t="b">
        <v>0</v>
      </c>
      <c r="AV536" s="6" t="b">
        <v>0</v>
      </c>
      <c r="AW536" s="6" t="b">
        <v>0</v>
      </c>
      <c r="AX536" s="6" t="b">
        <v>0</v>
      </c>
      <c r="AY536" s="6" t="b">
        <v>0</v>
      </c>
      <c r="AZ536" s="6" t="b">
        <v>0</v>
      </c>
      <c r="BA536" s="6" t="b">
        <v>0</v>
      </c>
      <c r="BB536" s="6" t="b">
        <v>0</v>
      </c>
    </row>
    <row r="537" spans="1:54" ht="15" x14ac:dyDescent="0.25">
      <c r="A537" s="3" t="s">
        <v>1131</v>
      </c>
      <c r="B537" s="3" t="str">
        <f ca="1">IFERROR(__xludf.DUMMYFUNCTION("SPLIT(A537,""/"")"),"kensho-technologies")</f>
        <v>kensho-technologies</v>
      </c>
      <c r="C537" s="3" t="str">
        <f ca="1">IFERROR(__xludf.DUMMYFUNCTION("""COMPUTED_VALUE"""),"graphql-compiler")</f>
        <v>graphql-compiler</v>
      </c>
      <c r="D537" s="4" t="s">
        <v>1132</v>
      </c>
      <c r="E537" s="5">
        <v>42934.919224537036</v>
      </c>
      <c r="F537" s="5">
        <v>44292.842488425929</v>
      </c>
      <c r="G537" s="13">
        <f t="shared" si="48"/>
        <v>1357.9232638888934</v>
      </c>
      <c r="H537" s="6" t="b">
        <v>0</v>
      </c>
      <c r="I537" s="7" t="b">
        <v>1</v>
      </c>
      <c r="J537" s="8">
        <v>449</v>
      </c>
      <c r="K537" s="8">
        <v>20</v>
      </c>
      <c r="L537" s="8">
        <v>42</v>
      </c>
      <c r="M537" s="8">
        <v>0</v>
      </c>
      <c r="N537" s="8">
        <v>16</v>
      </c>
      <c r="O537" s="8">
        <v>24</v>
      </c>
      <c r="P537" s="8">
        <v>843</v>
      </c>
      <c r="Q537" s="8">
        <v>5</v>
      </c>
      <c r="R537" s="8">
        <v>163</v>
      </c>
      <c r="S537" s="8">
        <v>100</v>
      </c>
      <c r="T537" s="3" t="s">
        <v>69</v>
      </c>
      <c r="U537" s="10">
        <v>22242</v>
      </c>
      <c r="V537" s="32">
        <v>8</v>
      </c>
      <c r="W537" s="27">
        <v>3.5967988490243682E-4</v>
      </c>
      <c r="X537" s="34">
        <v>0</v>
      </c>
      <c r="Y537" s="27">
        <v>0</v>
      </c>
      <c r="Z537" s="27">
        <v>0</v>
      </c>
      <c r="AA537" s="35">
        <v>0</v>
      </c>
      <c r="AB537" s="27">
        <v>0</v>
      </c>
      <c r="AC537" s="27">
        <f t="shared" si="49"/>
        <v>0</v>
      </c>
      <c r="AD537" s="36">
        <v>7</v>
      </c>
      <c r="AE537" s="27">
        <v>0.875</v>
      </c>
      <c r="AF537" s="27">
        <f t="shared" si="50"/>
        <v>3.1471989928963222E-4</v>
      </c>
      <c r="AG537" s="37">
        <v>1</v>
      </c>
      <c r="AH537" s="27">
        <v>0.125</v>
      </c>
      <c r="AI537" s="27">
        <f t="shared" si="51"/>
        <v>4.4959985612804602E-5</v>
      </c>
      <c r="AJ537" s="38">
        <v>0</v>
      </c>
      <c r="AK537" s="27">
        <v>0</v>
      </c>
      <c r="AL537" s="27">
        <f t="shared" si="52"/>
        <v>0</v>
      </c>
      <c r="AM537" s="40">
        <v>0</v>
      </c>
      <c r="AN537" s="27">
        <v>0</v>
      </c>
      <c r="AO537" s="27">
        <f t="shared" si="53"/>
        <v>0</v>
      </c>
      <c r="AP537" s="6" t="b">
        <v>0</v>
      </c>
      <c r="AQ537" s="7" t="b">
        <v>1</v>
      </c>
      <c r="AR537" s="6" t="b">
        <v>0</v>
      </c>
      <c r="AS537" s="6" t="b">
        <v>0</v>
      </c>
      <c r="AT537" s="7" t="b">
        <v>1</v>
      </c>
      <c r="AU537" s="6" t="b">
        <v>0</v>
      </c>
      <c r="AV537" s="6" t="b">
        <v>0</v>
      </c>
      <c r="AW537" s="6" t="b">
        <v>0</v>
      </c>
      <c r="AX537" s="6" t="b">
        <v>0</v>
      </c>
      <c r="AY537" s="6" t="b">
        <v>0</v>
      </c>
      <c r="AZ537" s="6" t="b">
        <v>0</v>
      </c>
      <c r="BA537" s="6" t="b">
        <v>0</v>
      </c>
      <c r="BB537" s="6" t="b">
        <v>0</v>
      </c>
    </row>
    <row r="538" spans="1:54" ht="15" x14ac:dyDescent="0.25">
      <c r="A538" s="3" t="s">
        <v>1133</v>
      </c>
      <c r="B538" s="3" t="str">
        <f ca="1">IFERROR(__xludf.DUMMYFUNCTION("SPLIT(A538,""/"")"),"keras-team")</f>
        <v>keras-team</v>
      </c>
      <c r="C538" s="3" t="str">
        <f ca="1">IFERROR(__xludf.DUMMYFUNCTION("""COMPUTED_VALUE"""),"keras-tuner")</f>
        <v>keras-tuner</v>
      </c>
      <c r="D538" s="4" t="s">
        <v>1134</v>
      </c>
      <c r="E538" s="5">
        <v>43622.943298611113</v>
      </c>
      <c r="F538" s="5">
        <v>44294.638194444444</v>
      </c>
      <c r="G538" s="13">
        <f t="shared" si="48"/>
        <v>671.69489583333052</v>
      </c>
      <c r="H538" s="6" t="b">
        <v>0</v>
      </c>
      <c r="I538" s="7" t="b">
        <v>1</v>
      </c>
      <c r="J538" s="8">
        <v>2282</v>
      </c>
      <c r="K538" s="8">
        <v>66</v>
      </c>
      <c r="L538" s="8">
        <v>269</v>
      </c>
      <c r="M538" s="8">
        <v>2</v>
      </c>
      <c r="N538" s="8">
        <v>2</v>
      </c>
      <c r="O538" s="8">
        <v>31</v>
      </c>
      <c r="P538" s="8">
        <v>220</v>
      </c>
      <c r="Q538" s="8">
        <v>16</v>
      </c>
      <c r="R538" s="8">
        <v>296</v>
      </c>
      <c r="S538" s="8">
        <v>141</v>
      </c>
      <c r="T538" s="3" t="s">
        <v>69</v>
      </c>
      <c r="U538" s="10">
        <v>5752</v>
      </c>
      <c r="V538" s="32">
        <v>0</v>
      </c>
      <c r="W538" s="27">
        <v>0</v>
      </c>
      <c r="X538" s="34">
        <v>0</v>
      </c>
      <c r="Y538" s="27">
        <v>0</v>
      </c>
      <c r="Z538" s="27">
        <v>0</v>
      </c>
      <c r="AA538" s="35">
        <v>0</v>
      </c>
      <c r="AB538" s="27">
        <v>0</v>
      </c>
      <c r="AC538" s="27">
        <f t="shared" si="49"/>
        <v>0</v>
      </c>
      <c r="AD538" s="36">
        <v>0</v>
      </c>
      <c r="AE538" s="27">
        <v>0</v>
      </c>
      <c r="AF538" s="27">
        <f t="shared" si="50"/>
        <v>0</v>
      </c>
      <c r="AG538" s="37">
        <v>0</v>
      </c>
      <c r="AH538" s="27">
        <v>0</v>
      </c>
      <c r="AI538" s="27">
        <f t="shared" si="51"/>
        <v>0</v>
      </c>
      <c r="AJ538" s="38">
        <v>0</v>
      </c>
      <c r="AK538" s="27">
        <v>0</v>
      </c>
      <c r="AL538" s="27">
        <f t="shared" si="52"/>
        <v>0</v>
      </c>
      <c r="AM538" s="40">
        <v>0</v>
      </c>
      <c r="AN538" s="27">
        <v>0</v>
      </c>
      <c r="AO538" s="27">
        <f t="shared" si="53"/>
        <v>0</v>
      </c>
      <c r="AP538" s="7" t="b">
        <v>1</v>
      </c>
      <c r="AQ538" s="6" t="b">
        <v>0</v>
      </c>
      <c r="AR538" s="6" t="b">
        <v>0</v>
      </c>
      <c r="AS538" s="6" t="b">
        <v>0</v>
      </c>
      <c r="AT538" s="7" t="b">
        <v>1</v>
      </c>
      <c r="AU538" s="6" t="b">
        <v>0</v>
      </c>
      <c r="AV538" s="6" t="b">
        <v>0</v>
      </c>
      <c r="AW538" s="6" t="b">
        <v>0</v>
      </c>
      <c r="AX538" s="6" t="b">
        <v>0</v>
      </c>
      <c r="AY538" s="6" t="b">
        <v>0</v>
      </c>
      <c r="AZ538" s="6" t="b">
        <v>0</v>
      </c>
      <c r="BA538" s="6" t="b">
        <v>0</v>
      </c>
      <c r="BB538" s="6" t="b">
        <v>0</v>
      </c>
    </row>
    <row r="539" spans="1:54" ht="15" x14ac:dyDescent="0.25">
      <c r="A539" s="3" t="s">
        <v>1135</v>
      </c>
      <c r="B539" s="3" t="str">
        <f ca="1">IFERROR(__xludf.DUMMYFUNCTION("SPLIT(A539,""/"")"),"kerlomz")</f>
        <v>kerlomz</v>
      </c>
      <c r="C539" s="3" t="str">
        <f ca="1">IFERROR(__xludf.DUMMYFUNCTION("""COMPUTED_VALUE"""),"captcha_platform")</f>
        <v>captcha_platform</v>
      </c>
      <c r="D539" s="4" t="s">
        <v>1136</v>
      </c>
      <c r="E539" s="5">
        <v>43354.695243055554</v>
      </c>
      <c r="F539" s="5">
        <v>44294.508645833332</v>
      </c>
      <c r="G539" s="13">
        <f t="shared" si="48"/>
        <v>939.81340277777781</v>
      </c>
      <c r="H539" s="6" t="b">
        <v>0</v>
      </c>
      <c r="I539" s="6" t="b">
        <v>0</v>
      </c>
      <c r="J539" s="8">
        <v>465</v>
      </c>
      <c r="K539" s="8">
        <v>17</v>
      </c>
      <c r="L539" s="8">
        <v>176</v>
      </c>
      <c r="M539" s="8">
        <v>1</v>
      </c>
      <c r="N539" s="8">
        <v>0</v>
      </c>
      <c r="O539" s="8">
        <v>3</v>
      </c>
      <c r="P539" s="8">
        <v>20</v>
      </c>
      <c r="Q539" s="8">
        <v>4</v>
      </c>
      <c r="R539" s="8">
        <v>2</v>
      </c>
      <c r="S539" s="8">
        <v>1</v>
      </c>
      <c r="T539" s="3" t="s">
        <v>92</v>
      </c>
      <c r="U539" s="10">
        <v>3343</v>
      </c>
      <c r="V539" s="32">
        <v>54</v>
      </c>
      <c r="W539" s="27">
        <v>1.6153155848040682E-2</v>
      </c>
      <c r="X539" s="34">
        <v>0</v>
      </c>
      <c r="Y539" s="27">
        <v>0</v>
      </c>
      <c r="Z539" s="27">
        <v>0</v>
      </c>
      <c r="AA539" s="35">
        <v>38</v>
      </c>
      <c r="AB539" s="27">
        <v>0.70370370370370372</v>
      </c>
      <c r="AC539" s="27">
        <f t="shared" si="49"/>
        <v>1.1367035596769369E-2</v>
      </c>
      <c r="AD539" s="36">
        <v>2</v>
      </c>
      <c r="AE539" s="27">
        <v>3.7037037037037035E-2</v>
      </c>
      <c r="AF539" s="27">
        <f t="shared" si="50"/>
        <v>5.9826503140891416E-4</v>
      </c>
      <c r="AG539" s="37">
        <v>13</v>
      </c>
      <c r="AH539" s="27">
        <v>0.24074074074074073</v>
      </c>
      <c r="AI539" s="27">
        <f t="shared" si="51"/>
        <v>3.8887227041579419E-3</v>
      </c>
      <c r="AJ539" s="38">
        <v>0</v>
      </c>
      <c r="AK539" s="27">
        <v>0</v>
      </c>
      <c r="AL539" s="27">
        <f t="shared" si="52"/>
        <v>0</v>
      </c>
      <c r="AM539" s="40">
        <v>0</v>
      </c>
      <c r="AN539" s="27">
        <v>0</v>
      </c>
      <c r="AO539" s="27">
        <f t="shared" si="53"/>
        <v>0</v>
      </c>
      <c r="AP539" s="7" t="b">
        <v>1</v>
      </c>
      <c r="AQ539" s="6" t="b">
        <v>0</v>
      </c>
      <c r="AR539" s="6" t="b">
        <v>0</v>
      </c>
      <c r="AS539" s="6" t="b">
        <v>0</v>
      </c>
      <c r="AT539" s="7" t="b">
        <v>1</v>
      </c>
      <c r="AU539" s="6" t="b">
        <v>0</v>
      </c>
      <c r="AV539" s="6" t="b">
        <v>0</v>
      </c>
      <c r="AW539" s="6" t="b">
        <v>0</v>
      </c>
      <c r="AX539" s="6" t="b">
        <v>0</v>
      </c>
      <c r="AY539" s="6" t="b">
        <v>0</v>
      </c>
      <c r="AZ539" s="6" t="b">
        <v>0</v>
      </c>
      <c r="BA539" s="6" t="b">
        <v>0</v>
      </c>
      <c r="BB539" s="6" t="b">
        <v>0</v>
      </c>
    </row>
    <row r="540" spans="1:54" ht="15" x14ac:dyDescent="0.25">
      <c r="A540" s="3" t="s">
        <v>1137</v>
      </c>
      <c r="B540" s="3" t="str">
        <f ca="1">IFERROR(__xludf.DUMMYFUNCTION("SPLIT(A540,""/"")"),"kevthehermit")</f>
        <v>kevthehermit</v>
      </c>
      <c r="C540" s="3" t="str">
        <f ca="1">IFERROR(__xludf.DUMMYFUNCTION("""COMPUTED_VALUE"""),"PasteHunter")</f>
        <v>PasteHunter</v>
      </c>
      <c r="D540" s="4" t="s">
        <v>1138</v>
      </c>
      <c r="E540" s="5">
        <v>42980.806898148148</v>
      </c>
      <c r="F540" s="5">
        <v>44294.298310185186</v>
      </c>
      <c r="G540" s="13">
        <f t="shared" si="48"/>
        <v>1313.4914120370377</v>
      </c>
      <c r="H540" s="6" t="b">
        <v>0</v>
      </c>
      <c r="I540" s="6" t="b">
        <v>0</v>
      </c>
      <c r="J540" s="8">
        <v>857</v>
      </c>
      <c r="K540" s="8">
        <v>62</v>
      </c>
      <c r="L540" s="8">
        <v>212</v>
      </c>
      <c r="M540" s="8">
        <v>6</v>
      </c>
      <c r="N540" s="8">
        <v>2</v>
      </c>
      <c r="O540" s="8">
        <v>20</v>
      </c>
      <c r="P540" s="8">
        <v>46</v>
      </c>
      <c r="Q540" s="8">
        <v>2</v>
      </c>
      <c r="R540" s="8">
        <v>80</v>
      </c>
      <c r="S540" s="8">
        <v>10</v>
      </c>
      <c r="T540" s="3" t="s">
        <v>49</v>
      </c>
      <c r="U540" s="10">
        <v>1342</v>
      </c>
      <c r="V540" s="32">
        <v>69</v>
      </c>
      <c r="W540" s="27">
        <v>5.1415797317436659E-2</v>
      </c>
      <c r="X540" s="34">
        <v>15</v>
      </c>
      <c r="Y540" s="27">
        <v>0.21739130434782608</v>
      </c>
      <c r="Z540" s="27">
        <v>1.1177347242921014E-2</v>
      </c>
      <c r="AA540" s="35">
        <v>15</v>
      </c>
      <c r="AB540" s="27">
        <v>0.21739130434782608</v>
      </c>
      <c r="AC540" s="27">
        <f t="shared" si="49"/>
        <v>1.1177347242921014E-2</v>
      </c>
      <c r="AD540" s="36">
        <v>1</v>
      </c>
      <c r="AE540" s="27">
        <v>1.4492753623188406E-2</v>
      </c>
      <c r="AF540" s="27">
        <f t="shared" si="50"/>
        <v>7.4515648286140089E-4</v>
      </c>
      <c r="AG540" s="37">
        <v>33</v>
      </c>
      <c r="AH540" s="27">
        <v>0.47826086956521741</v>
      </c>
      <c r="AI540" s="27">
        <f t="shared" si="51"/>
        <v>2.4590163934426229E-2</v>
      </c>
      <c r="AJ540" s="38">
        <v>0</v>
      </c>
      <c r="AK540" s="27">
        <v>0</v>
      </c>
      <c r="AL540" s="27">
        <f t="shared" si="52"/>
        <v>0</v>
      </c>
      <c r="AM540" s="40">
        <v>0</v>
      </c>
      <c r="AN540" s="27">
        <v>0</v>
      </c>
      <c r="AO540" s="27">
        <f t="shared" si="53"/>
        <v>0</v>
      </c>
      <c r="AP540" s="7" t="b">
        <v>1</v>
      </c>
      <c r="AQ540" s="7" t="b">
        <v>1</v>
      </c>
      <c r="AR540" s="6" t="b">
        <v>0</v>
      </c>
      <c r="AS540" s="6" t="b">
        <v>0</v>
      </c>
      <c r="AT540" s="7" t="b">
        <v>1</v>
      </c>
      <c r="AU540" s="6" t="b">
        <v>0</v>
      </c>
      <c r="AV540" s="6" t="b">
        <v>0</v>
      </c>
      <c r="AW540" s="6" t="b">
        <v>0</v>
      </c>
      <c r="AX540" s="6" t="b">
        <v>0</v>
      </c>
      <c r="AY540" s="6" t="b">
        <v>0</v>
      </c>
      <c r="AZ540" s="6" t="b">
        <v>0</v>
      </c>
      <c r="BA540" s="6" t="b">
        <v>0</v>
      </c>
      <c r="BB540" s="6" t="b">
        <v>0</v>
      </c>
    </row>
    <row r="541" spans="1:54" ht="15" x14ac:dyDescent="0.25">
      <c r="A541" s="3" t="s">
        <v>1139</v>
      </c>
      <c r="B541" s="3" t="str">
        <f ca="1">IFERROR(__xludf.DUMMYFUNCTION("SPLIT(A541,""/"")"),"keylase")</f>
        <v>keylase</v>
      </c>
      <c r="C541" s="3" t="str">
        <f ca="1">IFERROR(__xludf.DUMMYFUNCTION("""COMPUTED_VALUE"""),"nvidia-patch")</f>
        <v>nvidia-patch</v>
      </c>
      <c r="D541" s="4" t="s">
        <v>1140</v>
      </c>
      <c r="E541" s="5">
        <v>42566.396226851852</v>
      </c>
      <c r="F541" s="5">
        <v>44294.806504629632</v>
      </c>
      <c r="G541" s="13">
        <f t="shared" si="48"/>
        <v>1728.4102777777807</v>
      </c>
      <c r="H541" s="6" t="b">
        <v>0</v>
      </c>
      <c r="I541" s="6" t="b">
        <v>0</v>
      </c>
      <c r="J541" s="8">
        <v>2068</v>
      </c>
      <c r="K541" s="8">
        <v>106</v>
      </c>
      <c r="L541" s="8">
        <v>236</v>
      </c>
      <c r="M541" s="8">
        <v>0</v>
      </c>
      <c r="N541" s="8">
        <v>8</v>
      </c>
      <c r="O541" s="8">
        <v>18</v>
      </c>
      <c r="P541" s="8">
        <v>266</v>
      </c>
      <c r="Q541" s="8">
        <v>0</v>
      </c>
      <c r="R541" s="8">
        <v>130</v>
      </c>
      <c r="S541" s="8">
        <v>1</v>
      </c>
      <c r="T541" s="11" t="s">
        <v>52</v>
      </c>
      <c r="U541" s="10">
        <v>1378</v>
      </c>
      <c r="V541" s="32">
        <v>1</v>
      </c>
      <c r="W541" s="27">
        <v>7.2568940493468795E-4</v>
      </c>
      <c r="X541" s="34">
        <v>0</v>
      </c>
      <c r="Y541" s="27">
        <v>0</v>
      </c>
      <c r="Z541" s="27">
        <v>0</v>
      </c>
      <c r="AA541" s="35">
        <v>0</v>
      </c>
      <c r="AB541" s="27">
        <v>0</v>
      </c>
      <c r="AC541" s="27">
        <f t="shared" si="49"/>
        <v>0</v>
      </c>
      <c r="AD541" s="36">
        <v>0</v>
      </c>
      <c r="AE541" s="27">
        <v>0</v>
      </c>
      <c r="AF541" s="27">
        <f t="shared" si="50"/>
        <v>0</v>
      </c>
      <c r="AG541" s="37">
        <v>1</v>
      </c>
      <c r="AH541" s="27">
        <v>1</v>
      </c>
      <c r="AI541" s="27">
        <f t="shared" si="51"/>
        <v>7.2568940493468795E-4</v>
      </c>
      <c r="AJ541" s="38">
        <v>0</v>
      </c>
      <c r="AK541" s="27">
        <v>0</v>
      </c>
      <c r="AL541" s="27">
        <f t="shared" si="52"/>
        <v>0</v>
      </c>
      <c r="AM541" s="40">
        <v>0</v>
      </c>
      <c r="AN541" s="27">
        <v>0</v>
      </c>
      <c r="AO541" s="27">
        <f t="shared" si="53"/>
        <v>0</v>
      </c>
      <c r="AP541" s="7" t="b">
        <v>1</v>
      </c>
      <c r="AQ541" s="6" t="b">
        <v>0</v>
      </c>
      <c r="AR541" s="6" t="b">
        <v>0</v>
      </c>
      <c r="AS541" s="6" t="b">
        <v>0</v>
      </c>
      <c r="AT541" s="7" t="b">
        <v>1</v>
      </c>
      <c r="AU541" s="6" t="b">
        <v>0</v>
      </c>
      <c r="AV541" s="6" t="b">
        <v>0</v>
      </c>
      <c r="AW541" s="6" t="b">
        <v>0</v>
      </c>
      <c r="AX541" s="6" t="b">
        <v>0</v>
      </c>
      <c r="AY541" s="6" t="b">
        <v>0</v>
      </c>
      <c r="AZ541" s="6" t="b">
        <v>0</v>
      </c>
      <c r="BA541" s="6" t="b">
        <v>0</v>
      </c>
      <c r="BB541" s="6" t="b">
        <v>0</v>
      </c>
    </row>
    <row r="542" spans="1:54" ht="15" x14ac:dyDescent="0.25">
      <c r="A542" s="3" t="s">
        <v>1141</v>
      </c>
      <c r="B542" s="3" t="str">
        <f ca="1">IFERROR(__xludf.DUMMYFUNCTION("SPLIT(A542,""/"")"),"kfei")</f>
        <v>kfei</v>
      </c>
      <c r="C542" s="3" t="str">
        <f ca="1">IFERROR(__xludf.DUMMYFUNCTION("""COMPUTED_VALUE"""),"slack-cleaner")</f>
        <v>slack-cleaner</v>
      </c>
      <c r="D542" s="4" t="s">
        <v>1142</v>
      </c>
      <c r="E542" s="5">
        <v>42265.965717592589</v>
      </c>
      <c r="F542" s="5">
        <v>44294.344513888886</v>
      </c>
      <c r="G542" s="13">
        <f t="shared" si="48"/>
        <v>2028.3787962962961</v>
      </c>
      <c r="H542" s="6" t="b">
        <v>0</v>
      </c>
      <c r="I542" s="6" t="b">
        <v>0</v>
      </c>
      <c r="J542" s="8">
        <v>1192</v>
      </c>
      <c r="K542" s="8">
        <v>35</v>
      </c>
      <c r="L542" s="8">
        <v>146</v>
      </c>
      <c r="M542" s="8">
        <v>0</v>
      </c>
      <c r="N542" s="8">
        <v>1</v>
      </c>
      <c r="O542" s="8">
        <v>7</v>
      </c>
      <c r="P542" s="8">
        <v>29</v>
      </c>
      <c r="Q542" s="8">
        <v>16</v>
      </c>
      <c r="R542" s="8">
        <v>62</v>
      </c>
      <c r="S542" s="8">
        <v>45</v>
      </c>
      <c r="T542" s="3" t="s">
        <v>72</v>
      </c>
      <c r="U542" s="10">
        <v>301</v>
      </c>
      <c r="V542" s="32">
        <v>12</v>
      </c>
      <c r="W542" s="27">
        <v>3.9867109634551492E-2</v>
      </c>
      <c r="X542" s="34">
        <v>0</v>
      </c>
      <c r="Y542" s="27">
        <v>0</v>
      </c>
      <c r="Z542" s="27">
        <v>0</v>
      </c>
      <c r="AA542" s="35">
        <v>3</v>
      </c>
      <c r="AB542" s="27">
        <v>0.25</v>
      </c>
      <c r="AC542" s="27">
        <f t="shared" si="49"/>
        <v>9.9667774086378731E-3</v>
      </c>
      <c r="AD542" s="36">
        <v>4</v>
      </c>
      <c r="AE542" s="27">
        <v>0.33333333333333331</v>
      </c>
      <c r="AF542" s="27">
        <f t="shared" si="50"/>
        <v>1.3289036544850499E-2</v>
      </c>
      <c r="AG542" s="37">
        <v>5</v>
      </c>
      <c r="AH542" s="27">
        <v>0.41666666666666669</v>
      </c>
      <c r="AI542" s="27">
        <f t="shared" si="51"/>
        <v>1.6611295681063124E-2</v>
      </c>
      <c r="AJ542" s="38">
        <v>0</v>
      </c>
      <c r="AK542" s="27">
        <v>0</v>
      </c>
      <c r="AL542" s="27">
        <f t="shared" si="52"/>
        <v>0</v>
      </c>
      <c r="AM542" s="40">
        <v>0</v>
      </c>
      <c r="AN542" s="27">
        <v>0</v>
      </c>
      <c r="AO542" s="27">
        <f t="shared" si="53"/>
        <v>0</v>
      </c>
      <c r="AP542" s="7" t="b">
        <v>1</v>
      </c>
      <c r="AQ542" s="6" t="b">
        <v>0</v>
      </c>
      <c r="AR542" s="6" t="b">
        <v>0</v>
      </c>
      <c r="AS542" s="6" t="b">
        <v>0</v>
      </c>
      <c r="AT542" s="7" t="b">
        <v>1</v>
      </c>
      <c r="AU542" s="6" t="b">
        <v>0</v>
      </c>
      <c r="AV542" s="6" t="b">
        <v>0</v>
      </c>
      <c r="AW542" s="6" t="b">
        <v>0</v>
      </c>
      <c r="AX542" s="6" t="b">
        <v>0</v>
      </c>
      <c r="AY542" s="6" t="b">
        <v>0</v>
      </c>
      <c r="AZ542" s="6" t="b">
        <v>0</v>
      </c>
      <c r="BA542" s="6" t="b">
        <v>0</v>
      </c>
      <c r="BB542" s="6" t="b">
        <v>0</v>
      </c>
    </row>
    <row r="543" spans="1:54" ht="15" x14ac:dyDescent="0.25">
      <c r="A543" s="3" t="s">
        <v>1143</v>
      </c>
      <c r="B543" s="3" t="str">
        <f ca="1">IFERROR(__xludf.DUMMYFUNCTION("SPLIT(A543,""/"")"),"khanrc")</f>
        <v>khanrc</v>
      </c>
      <c r="C543" s="3" t="str">
        <f ca="1">IFERROR(__xludf.DUMMYFUNCTION("""COMPUTED_VALUE"""),"pt.darts")</f>
        <v>pt.darts</v>
      </c>
      <c r="D543" s="4" t="s">
        <v>1144</v>
      </c>
      <c r="E543" s="5">
        <v>43406.297453703701</v>
      </c>
      <c r="F543" s="5">
        <v>44294.330567129633</v>
      </c>
      <c r="G543" s="13">
        <f t="shared" si="48"/>
        <v>888.03311342593224</v>
      </c>
      <c r="H543" s="6" t="b">
        <v>0</v>
      </c>
      <c r="I543" s="6" t="b">
        <v>0</v>
      </c>
      <c r="J543" s="8">
        <v>353</v>
      </c>
      <c r="K543" s="8">
        <v>6</v>
      </c>
      <c r="L543" s="8">
        <v>95</v>
      </c>
      <c r="M543" s="8">
        <v>2</v>
      </c>
      <c r="N543" s="8">
        <v>0</v>
      </c>
      <c r="O543" s="9">
        <v>0</v>
      </c>
      <c r="P543" s="8">
        <v>2</v>
      </c>
      <c r="Q543" s="8">
        <v>0</v>
      </c>
      <c r="R543" s="8">
        <v>37</v>
      </c>
      <c r="S543" s="8">
        <v>26</v>
      </c>
      <c r="T543" s="3" t="s">
        <v>72</v>
      </c>
      <c r="U543" s="10">
        <v>1108</v>
      </c>
      <c r="V543" s="32">
        <v>22</v>
      </c>
      <c r="W543" s="27">
        <v>1.9855595667870037E-2</v>
      </c>
      <c r="X543" s="34">
        <v>0</v>
      </c>
      <c r="Y543" s="27">
        <v>0</v>
      </c>
      <c r="Z543" s="27">
        <v>0</v>
      </c>
      <c r="AA543" s="35">
        <v>22</v>
      </c>
      <c r="AB543" s="27">
        <v>1</v>
      </c>
      <c r="AC543" s="27">
        <f t="shared" si="49"/>
        <v>1.9855595667870037E-2</v>
      </c>
      <c r="AD543" s="36">
        <v>0</v>
      </c>
      <c r="AE543" s="27">
        <v>0</v>
      </c>
      <c r="AF543" s="27">
        <f t="shared" si="50"/>
        <v>0</v>
      </c>
      <c r="AG543" s="37">
        <v>0</v>
      </c>
      <c r="AH543" s="27">
        <v>0</v>
      </c>
      <c r="AI543" s="27">
        <f t="shared" si="51"/>
        <v>0</v>
      </c>
      <c r="AJ543" s="38">
        <v>0</v>
      </c>
      <c r="AK543" s="27">
        <v>0</v>
      </c>
      <c r="AL543" s="27">
        <f t="shared" si="52"/>
        <v>0</v>
      </c>
      <c r="AM543" s="40">
        <v>0</v>
      </c>
      <c r="AN543" s="27">
        <v>0</v>
      </c>
      <c r="AO543" s="27">
        <f t="shared" si="53"/>
        <v>0</v>
      </c>
      <c r="AP543" s="7" t="b">
        <v>1</v>
      </c>
      <c r="AQ543" s="6" t="b">
        <v>0</v>
      </c>
      <c r="AR543" s="6" t="b">
        <v>0</v>
      </c>
      <c r="AS543" s="6" t="b">
        <v>0</v>
      </c>
      <c r="AT543" s="7" t="b">
        <v>1</v>
      </c>
      <c r="AU543" s="6" t="b">
        <v>0</v>
      </c>
      <c r="AV543" s="6" t="b">
        <v>0</v>
      </c>
      <c r="AW543" s="6" t="b">
        <v>0</v>
      </c>
      <c r="AX543" s="6" t="b">
        <v>0</v>
      </c>
      <c r="AY543" s="6" t="b">
        <v>0</v>
      </c>
      <c r="AZ543" s="6" t="b">
        <v>0</v>
      </c>
      <c r="BA543" s="6" t="b">
        <v>0</v>
      </c>
      <c r="BB543" s="6" t="b">
        <v>0</v>
      </c>
    </row>
    <row r="544" spans="1:54" ht="15" x14ac:dyDescent="0.25">
      <c r="A544" s="3" t="s">
        <v>1145</v>
      </c>
      <c r="B544" s="3" t="str">
        <f ca="1">IFERROR(__xludf.DUMMYFUNCTION("SPLIT(A544,""/"")"),"kibitzr")</f>
        <v>kibitzr</v>
      </c>
      <c r="C544" s="3" t="str">
        <f ca="1">IFERROR(__xludf.DUMMYFUNCTION("""COMPUTED_VALUE"""),"kibitzr")</f>
        <v>kibitzr</v>
      </c>
      <c r="D544" s="4" t="s">
        <v>1146</v>
      </c>
      <c r="E544" s="5">
        <v>42608.781770833331</v>
      </c>
      <c r="F544" s="5">
        <v>44291.349432870367</v>
      </c>
      <c r="G544" s="13">
        <f t="shared" si="48"/>
        <v>1682.5676620370359</v>
      </c>
      <c r="H544" s="6" t="b">
        <v>0</v>
      </c>
      <c r="I544" s="7" t="b">
        <v>1</v>
      </c>
      <c r="J544" s="8">
        <v>362</v>
      </c>
      <c r="K544" s="8">
        <v>11</v>
      </c>
      <c r="L544" s="8">
        <v>45</v>
      </c>
      <c r="M544" s="8">
        <v>6</v>
      </c>
      <c r="N544" s="8">
        <v>3</v>
      </c>
      <c r="O544" s="8">
        <v>15</v>
      </c>
      <c r="P544" s="8">
        <v>63</v>
      </c>
      <c r="Q544" s="8">
        <v>5</v>
      </c>
      <c r="R544" s="8">
        <v>38</v>
      </c>
      <c r="S544" s="8">
        <v>17</v>
      </c>
      <c r="T544" s="3" t="s">
        <v>72</v>
      </c>
      <c r="U544" s="10">
        <v>2501</v>
      </c>
      <c r="V544" s="32">
        <v>65</v>
      </c>
      <c r="W544" s="27">
        <v>2.5989604158336666E-2</v>
      </c>
      <c r="X544" s="34">
        <v>18</v>
      </c>
      <c r="Y544" s="27">
        <v>0.27692307692307694</v>
      </c>
      <c r="Z544" s="27">
        <v>7.1971211515393842E-3</v>
      </c>
      <c r="AA544" s="35">
        <v>23</v>
      </c>
      <c r="AB544" s="27">
        <v>0.35384615384615387</v>
      </c>
      <c r="AC544" s="27">
        <f t="shared" si="49"/>
        <v>9.1963214714114363E-3</v>
      </c>
      <c r="AD544" s="36">
        <v>11</v>
      </c>
      <c r="AE544" s="27">
        <v>0.16923076923076924</v>
      </c>
      <c r="AF544" s="27">
        <f t="shared" si="50"/>
        <v>4.3982407037185126E-3</v>
      </c>
      <c r="AG544" s="37">
        <v>11</v>
      </c>
      <c r="AH544" s="27">
        <v>0.16923076923076924</v>
      </c>
      <c r="AI544" s="27">
        <f t="shared" si="51"/>
        <v>4.3982407037185126E-3</v>
      </c>
      <c r="AJ544" s="38">
        <v>0</v>
      </c>
      <c r="AK544" s="27">
        <v>0</v>
      </c>
      <c r="AL544" s="27">
        <f t="shared" si="52"/>
        <v>0</v>
      </c>
      <c r="AM544" s="40">
        <v>2</v>
      </c>
      <c r="AN544" s="27">
        <v>3.0769230769230771E-2</v>
      </c>
      <c r="AO544" s="27">
        <f t="shared" si="53"/>
        <v>7.9968012794882047E-4</v>
      </c>
      <c r="AP544" s="7" t="b">
        <v>1</v>
      </c>
      <c r="AQ544" s="6" t="b">
        <v>0</v>
      </c>
      <c r="AR544" s="6" t="b">
        <v>0</v>
      </c>
      <c r="AS544" s="6" t="b">
        <v>0</v>
      </c>
      <c r="AT544" s="7" t="b">
        <v>1</v>
      </c>
      <c r="AU544" s="6" t="b">
        <v>0</v>
      </c>
      <c r="AV544" s="6" t="b">
        <v>0</v>
      </c>
      <c r="AW544" s="6" t="b">
        <v>0</v>
      </c>
      <c r="AX544" s="6" t="b">
        <v>0</v>
      </c>
      <c r="AY544" s="6" t="b">
        <v>0</v>
      </c>
      <c r="AZ544" s="6" t="b">
        <v>0</v>
      </c>
      <c r="BA544" s="6" t="b">
        <v>0</v>
      </c>
      <c r="BB544" s="6" t="b">
        <v>0</v>
      </c>
    </row>
    <row r="545" spans="1:54" ht="15" x14ac:dyDescent="0.25">
      <c r="A545" s="3" t="s">
        <v>1147</v>
      </c>
      <c r="B545" s="3" t="str">
        <f ca="1">IFERROR(__xludf.DUMMYFUNCTION("SPLIT(A545,""/"")"),"Kinto")</f>
        <v>Kinto</v>
      </c>
      <c r="C545" s="3" t="str">
        <f ca="1">IFERROR(__xludf.DUMMYFUNCTION("""COMPUTED_VALUE"""),"kinto")</f>
        <v>kinto</v>
      </c>
      <c r="D545" s="4" t="s">
        <v>1148</v>
      </c>
      <c r="E545" s="5">
        <v>42060.56554398148</v>
      </c>
      <c r="F545" s="5">
        <v>44289.116759259261</v>
      </c>
      <c r="G545" s="13">
        <f t="shared" si="48"/>
        <v>2228.551215277781</v>
      </c>
      <c r="H545" s="6" t="b">
        <v>0</v>
      </c>
      <c r="I545" s="7" t="b">
        <v>1</v>
      </c>
      <c r="J545" s="8">
        <v>4066</v>
      </c>
      <c r="K545" s="8">
        <v>108</v>
      </c>
      <c r="L545" s="8">
        <v>383</v>
      </c>
      <c r="M545" s="8">
        <v>146</v>
      </c>
      <c r="N545" s="8">
        <v>76</v>
      </c>
      <c r="O545" s="8">
        <v>110</v>
      </c>
      <c r="P545" s="8">
        <v>2023</v>
      </c>
      <c r="Q545" s="8">
        <v>13</v>
      </c>
      <c r="R545" s="8">
        <v>731</v>
      </c>
      <c r="S545" s="8">
        <v>92</v>
      </c>
      <c r="T545" s="3" t="s">
        <v>92</v>
      </c>
      <c r="U545" s="10">
        <v>21071</v>
      </c>
      <c r="V545" s="32">
        <v>71</v>
      </c>
      <c r="W545" s="27">
        <v>3.3695600588486544E-3</v>
      </c>
      <c r="X545" s="34">
        <v>4</v>
      </c>
      <c r="Y545" s="27">
        <v>5.6338028169014086E-2</v>
      </c>
      <c r="Z545" s="27">
        <v>1.8983436951260026E-4</v>
      </c>
      <c r="AA545" s="35">
        <v>18</v>
      </c>
      <c r="AB545" s="27">
        <v>0.25352112676056338</v>
      </c>
      <c r="AC545" s="27">
        <f t="shared" si="49"/>
        <v>8.5425466280670116E-4</v>
      </c>
      <c r="AD545" s="36">
        <v>31</v>
      </c>
      <c r="AE545" s="27">
        <v>0.43661971830985913</v>
      </c>
      <c r="AF545" s="27">
        <f t="shared" si="50"/>
        <v>1.4712163637226521E-3</v>
      </c>
      <c r="AG545" s="37">
        <v>15</v>
      </c>
      <c r="AH545" s="27">
        <v>0.21126760563380281</v>
      </c>
      <c r="AI545" s="27">
        <f t="shared" si="51"/>
        <v>7.1187888567225091E-4</v>
      </c>
      <c r="AJ545" s="38">
        <v>1</v>
      </c>
      <c r="AK545" s="27">
        <v>1.4084507042253521E-2</v>
      </c>
      <c r="AL545" s="27">
        <f t="shared" si="52"/>
        <v>4.7458592378150065E-5</v>
      </c>
      <c r="AM545" s="40">
        <v>0</v>
      </c>
      <c r="AN545" s="27">
        <v>0</v>
      </c>
      <c r="AO545" s="27">
        <f t="shared" si="53"/>
        <v>0</v>
      </c>
      <c r="AP545" s="7" t="b">
        <v>1</v>
      </c>
      <c r="AQ545" s="7" t="b">
        <v>1</v>
      </c>
      <c r="AR545" s="6" t="b">
        <v>0</v>
      </c>
      <c r="AS545" s="6" t="b">
        <v>0</v>
      </c>
      <c r="AT545" s="7" t="b">
        <v>1</v>
      </c>
      <c r="AU545" s="6" t="b">
        <v>0</v>
      </c>
      <c r="AV545" s="6" t="b">
        <v>0</v>
      </c>
      <c r="AW545" s="6" t="b">
        <v>0</v>
      </c>
      <c r="AX545" s="6" t="b">
        <v>0</v>
      </c>
      <c r="AY545" s="6" t="b">
        <v>0</v>
      </c>
      <c r="AZ545" s="6" t="b">
        <v>0</v>
      </c>
      <c r="BA545" s="6" t="b">
        <v>0</v>
      </c>
      <c r="BB545" s="6" t="b">
        <v>0</v>
      </c>
    </row>
    <row r="546" spans="1:54" ht="15" x14ac:dyDescent="0.25">
      <c r="A546" s="3" t="s">
        <v>1149</v>
      </c>
      <c r="B546" s="3" t="str">
        <f ca="1">IFERROR(__xludf.DUMMYFUNCTION("SPLIT(A546,""/"")"),"Kismuz")</f>
        <v>Kismuz</v>
      </c>
      <c r="C546" s="3" t="str">
        <f ca="1">IFERROR(__xludf.DUMMYFUNCTION("""COMPUTED_VALUE"""),"btgym")</f>
        <v>btgym</v>
      </c>
      <c r="D546" s="4" t="s">
        <v>1150</v>
      </c>
      <c r="E546" s="5">
        <v>42879.691168981481</v>
      </c>
      <c r="F546" s="5">
        <v>44290.523993055554</v>
      </c>
      <c r="G546" s="13">
        <f t="shared" si="48"/>
        <v>1410.8328240740739</v>
      </c>
      <c r="H546" s="6" t="b">
        <v>0</v>
      </c>
      <c r="I546" s="6" t="b">
        <v>0</v>
      </c>
      <c r="J546" s="8">
        <v>772</v>
      </c>
      <c r="K546" s="8">
        <v>96</v>
      </c>
      <c r="L546" s="8">
        <v>221</v>
      </c>
      <c r="M546" s="8">
        <v>0</v>
      </c>
      <c r="N546" s="8">
        <v>5</v>
      </c>
      <c r="O546" s="8">
        <v>9</v>
      </c>
      <c r="P546" s="8">
        <v>17</v>
      </c>
      <c r="Q546" s="8">
        <v>1</v>
      </c>
      <c r="R546" s="8">
        <v>130</v>
      </c>
      <c r="S546" s="8">
        <v>10</v>
      </c>
      <c r="T546" s="3" t="s">
        <v>160</v>
      </c>
      <c r="U546" s="10">
        <v>12579</v>
      </c>
      <c r="V546" s="32">
        <v>385</v>
      </c>
      <c r="W546" s="27">
        <v>3.0606566499721759E-2</v>
      </c>
      <c r="X546" s="34">
        <v>189</v>
      </c>
      <c r="Y546" s="27">
        <v>0.49090909090909091</v>
      </c>
      <c r="Z546" s="27">
        <v>1.5025041736227046E-2</v>
      </c>
      <c r="AA546" s="35">
        <v>62</v>
      </c>
      <c r="AB546" s="27">
        <v>0.16103896103896104</v>
      </c>
      <c r="AC546" s="27">
        <f t="shared" si="49"/>
        <v>4.928849670085062E-3</v>
      </c>
      <c r="AD546" s="36">
        <v>28</v>
      </c>
      <c r="AE546" s="27">
        <v>7.2727272727272724E-2</v>
      </c>
      <c r="AF546" s="27">
        <f t="shared" si="50"/>
        <v>2.2259321090706734E-3</v>
      </c>
      <c r="AG546" s="37">
        <v>104</v>
      </c>
      <c r="AH546" s="27">
        <v>0.27012987012987011</v>
      </c>
      <c r="AI546" s="27">
        <f t="shared" si="51"/>
        <v>8.2677478336910717E-3</v>
      </c>
      <c r="AJ546" s="38">
        <v>0</v>
      </c>
      <c r="AK546" s="27">
        <v>0</v>
      </c>
      <c r="AL546" s="27">
        <f t="shared" si="52"/>
        <v>0</v>
      </c>
      <c r="AM546" s="40">
        <v>0</v>
      </c>
      <c r="AN546" s="27">
        <v>0</v>
      </c>
      <c r="AO546" s="27">
        <f t="shared" si="53"/>
        <v>0</v>
      </c>
      <c r="AP546" s="7" t="b">
        <v>1</v>
      </c>
      <c r="AQ546" s="7" t="b">
        <v>1</v>
      </c>
      <c r="AR546" s="6" t="b">
        <v>0</v>
      </c>
      <c r="AS546" s="6" t="b">
        <v>0</v>
      </c>
      <c r="AT546" s="6" t="b">
        <v>0</v>
      </c>
      <c r="AU546" s="6" t="b">
        <v>0</v>
      </c>
      <c r="AV546" s="6" t="b">
        <v>0</v>
      </c>
      <c r="AW546" s="7" t="b">
        <v>1</v>
      </c>
      <c r="AX546" s="6" t="b">
        <v>0</v>
      </c>
      <c r="AY546" s="6" t="b">
        <v>0</v>
      </c>
      <c r="AZ546" s="6" t="b">
        <v>0</v>
      </c>
      <c r="BA546" s="6" t="b">
        <v>0</v>
      </c>
      <c r="BB546" s="6" t="b">
        <v>0</v>
      </c>
    </row>
    <row r="547" spans="1:54" ht="15" x14ac:dyDescent="0.25">
      <c r="A547" s="3" t="s">
        <v>1151</v>
      </c>
      <c r="B547" s="3" t="str">
        <f ca="1">IFERROR(__xludf.DUMMYFUNCTION("SPLIT(A547,""/"")"),"kivy")</f>
        <v>kivy</v>
      </c>
      <c r="C547" s="3" t="str">
        <f ca="1">IFERROR(__xludf.DUMMYFUNCTION("""COMPUTED_VALUE"""),"python-for-android")</f>
        <v>python-for-android</v>
      </c>
      <c r="D547" s="4" t="s">
        <v>1152</v>
      </c>
      <c r="E547" s="5">
        <v>40875.376805555556</v>
      </c>
      <c r="F547" s="5">
        <v>44294.976122685184</v>
      </c>
      <c r="G547" s="13">
        <f t="shared" si="48"/>
        <v>3419.5993171296286</v>
      </c>
      <c r="H547" s="6" t="b">
        <v>0</v>
      </c>
      <c r="I547" s="7" t="b">
        <v>1</v>
      </c>
      <c r="J547" s="8">
        <v>6436</v>
      </c>
      <c r="K547" s="8">
        <v>359</v>
      </c>
      <c r="L547" s="8">
        <v>1289</v>
      </c>
      <c r="M547" s="8">
        <v>10</v>
      </c>
      <c r="N547" s="8">
        <v>85</v>
      </c>
      <c r="O547" s="8">
        <v>189</v>
      </c>
      <c r="P547" s="8">
        <v>1302</v>
      </c>
      <c r="Q547" s="8">
        <v>39</v>
      </c>
      <c r="R547" s="8">
        <v>1140</v>
      </c>
      <c r="S547" s="8">
        <v>219</v>
      </c>
      <c r="T547" s="3" t="s">
        <v>72</v>
      </c>
      <c r="U547" s="10">
        <v>11091</v>
      </c>
      <c r="V547" s="32">
        <v>16</v>
      </c>
      <c r="W547" s="27">
        <v>1.4426111261383104E-3</v>
      </c>
      <c r="X547" s="34">
        <v>5</v>
      </c>
      <c r="Y547" s="27">
        <v>0.3125</v>
      </c>
      <c r="Z547" s="27">
        <v>4.5081597691822196E-4</v>
      </c>
      <c r="AA547" s="35">
        <v>9</v>
      </c>
      <c r="AB547" s="27">
        <v>0.5625</v>
      </c>
      <c r="AC547" s="27">
        <f t="shared" si="49"/>
        <v>8.1146875845279957E-4</v>
      </c>
      <c r="AD547" s="36">
        <v>1</v>
      </c>
      <c r="AE547" s="27">
        <v>6.25E-2</v>
      </c>
      <c r="AF547" s="27">
        <f t="shared" si="50"/>
        <v>9.0163195383644401E-5</v>
      </c>
      <c r="AG547" s="37">
        <v>1</v>
      </c>
      <c r="AH547" s="27">
        <v>6.25E-2</v>
      </c>
      <c r="AI547" s="27">
        <f t="shared" si="51"/>
        <v>9.0163195383644401E-5</v>
      </c>
      <c r="AJ547" s="38">
        <v>0</v>
      </c>
      <c r="AK547" s="27">
        <v>0</v>
      </c>
      <c r="AL547" s="27">
        <f t="shared" si="52"/>
        <v>0</v>
      </c>
      <c r="AM547" s="40">
        <v>0</v>
      </c>
      <c r="AN547" s="27">
        <v>0</v>
      </c>
      <c r="AO547" s="27">
        <f t="shared" si="53"/>
        <v>0</v>
      </c>
      <c r="AP547" s="7" t="b">
        <v>1</v>
      </c>
      <c r="AQ547" s="6" t="b">
        <v>0</v>
      </c>
      <c r="AR547" s="6" t="b">
        <v>0</v>
      </c>
      <c r="AS547" s="6" t="b">
        <v>0</v>
      </c>
      <c r="AT547" s="7" t="b">
        <v>1</v>
      </c>
      <c r="AU547" s="6" t="b">
        <v>0</v>
      </c>
      <c r="AV547" s="6" t="b">
        <v>0</v>
      </c>
      <c r="AW547" s="6" t="b">
        <v>0</v>
      </c>
      <c r="AX547" s="6" t="b">
        <v>0</v>
      </c>
      <c r="AY547" s="6" t="b">
        <v>0</v>
      </c>
      <c r="AZ547" s="6" t="b">
        <v>0</v>
      </c>
      <c r="BA547" s="6" t="b">
        <v>0</v>
      </c>
      <c r="BB547" s="6" t="b">
        <v>0</v>
      </c>
    </row>
    <row r="548" spans="1:54" ht="15" x14ac:dyDescent="0.25">
      <c r="A548" s="3" t="s">
        <v>1153</v>
      </c>
      <c r="B548" s="3" t="str">
        <f ca="1">IFERROR(__xludf.DUMMYFUNCTION("SPLIT(A548,""/"")"),"kizniche")</f>
        <v>kizniche</v>
      </c>
      <c r="C548" s="3" t="str">
        <f ca="1">IFERROR(__xludf.DUMMYFUNCTION("""COMPUTED_VALUE"""),"Mycodo")</f>
        <v>Mycodo</v>
      </c>
      <c r="D548" s="4" t="s">
        <v>1154</v>
      </c>
      <c r="E548" s="5">
        <v>42040.946134259262</v>
      </c>
      <c r="F548" s="5">
        <v>44295.060590277775</v>
      </c>
      <c r="G548" s="13">
        <f t="shared" si="48"/>
        <v>2254.114456018513</v>
      </c>
      <c r="H548" s="6" t="b">
        <v>0</v>
      </c>
      <c r="I548" s="6" t="b">
        <v>0</v>
      </c>
      <c r="J548" s="8">
        <v>991</v>
      </c>
      <c r="K548" s="8">
        <v>96</v>
      </c>
      <c r="L548" s="8">
        <v>213</v>
      </c>
      <c r="M548" s="8">
        <v>274</v>
      </c>
      <c r="N548" s="8">
        <v>128</v>
      </c>
      <c r="O548" s="8">
        <v>23</v>
      </c>
      <c r="P548" s="8">
        <v>89</v>
      </c>
      <c r="Q548" s="8">
        <v>2</v>
      </c>
      <c r="R548" s="8">
        <v>886</v>
      </c>
      <c r="S548" s="8">
        <v>37</v>
      </c>
      <c r="T548" s="3" t="s">
        <v>49</v>
      </c>
      <c r="U548" s="10">
        <v>40242</v>
      </c>
      <c r="V548" s="32">
        <v>1313</v>
      </c>
      <c r="W548" s="27">
        <v>3.2627603001838874E-2</v>
      </c>
      <c r="X548" s="34">
        <v>473</v>
      </c>
      <c r="Y548" s="27">
        <v>0.36024371667936023</v>
      </c>
      <c r="Z548" s="27">
        <v>1.1753888971721088E-2</v>
      </c>
      <c r="AA548" s="35">
        <v>167</v>
      </c>
      <c r="AB548" s="27">
        <v>0.12718964204112718</v>
      </c>
      <c r="AC548" s="27">
        <f t="shared" si="49"/>
        <v>4.1498931464638931E-3</v>
      </c>
      <c r="AD548" s="36">
        <v>11</v>
      </c>
      <c r="AE548" s="27">
        <v>8.3777608530083772E-3</v>
      </c>
      <c r="AF548" s="27">
        <f t="shared" si="50"/>
        <v>2.7334625515630434E-4</v>
      </c>
      <c r="AG548" s="37">
        <v>645</v>
      </c>
      <c r="AH548" s="27">
        <v>0.49124143183549124</v>
      </c>
      <c r="AI548" s="27">
        <f t="shared" si="51"/>
        <v>1.6028030415983302E-2</v>
      </c>
      <c r="AJ548" s="38">
        <v>0</v>
      </c>
      <c r="AK548" s="27">
        <v>0</v>
      </c>
      <c r="AL548" s="27">
        <f t="shared" si="52"/>
        <v>0</v>
      </c>
      <c r="AM548" s="40">
        <v>0</v>
      </c>
      <c r="AN548" s="27">
        <v>0</v>
      </c>
      <c r="AO548" s="27">
        <f t="shared" si="53"/>
        <v>0</v>
      </c>
      <c r="AP548" s="7" t="b">
        <v>1</v>
      </c>
      <c r="AQ548" s="7" t="b">
        <v>1</v>
      </c>
      <c r="AR548" s="6" t="b">
        <v>0</v>
      </c>
      <c r="AS548" s="6" t="b">
        <v>0</v>
      </c>
      <c r="AT548" s="7" t="b">
        <v>1</v>
      </c>
      <c r="AU548" s="6" t="b">
        <v>0</v>
      </c>
      <c r="AV548" s="6" t="b">
        <v>0</v>
      </c>
      <c r="AW548" s="6" t="b">
        <v>0</v>
      </c>
      <c r="AX548" s="6" t="b">
        <v>0</v>
      </c>
      <c r="AY548" s="6" t="b">
        <v>0</v>
      </c>
      <c r="AZ548" s="6" t="b">
        <v>0</v>
      </c>
      <c r="BA548" s="6" t="b">
        <v>0</v>
      </c>
      <c r="BB548" s="6" t="b">
        <v>0</v>
      </c>
    </row>
    <row r="549" spans="1:54" ht="15" x14ac:dyDescent="0.25">
      <c r="A549" s="3" t="s">
        <v>1155</v>
      </c>
      <c r="B549" s="3" t="str">
        <f ca="1">IFERROR(__xludf.DUMMYFUNCTION("SPLIT(A549,""/"")"),"Kkevsterrr")</f>
        <v>Kkevsterrr</v>
      </c>
      <c r="C549" s="3" t="str">
        <f ca="1">IFERROR(__xludf.DUMMYFUNCTION("""COMPUTED_VALUE"""),"geneva")</f>
        <v>geneva</v>
      </c>
      <c r="D549" s="4" t="s">
        <v>1156</v>
      </c>
      <c r="E549" s="5">
        <v>43780.609479166669</v>
      </c>
      <c r="F549" s="5">
        <v>44294.768680555557</v>
      </c>
      <c r="G549" s="13">
        <f t="shared" si="48"/>
        <v>514.1592013888876</v>
      </c>
      <c r="H549" s="6" t="b">
        <v>0</v>
      </c>
      <c r="I549" s="6" t="b">
        <v>0</v>
      </c>
      <c r="J549" s="8">
        <v>862</v>
      </c>
      <c r="K549" s="8">
        <v>40</v>
      </c>
      <c r="L549" s="8">
        <v>67</v>
      </c>
      <c r="M549" s="8">
        <v>0</v>
      </c>
      <c r="N549" s="8">
        <v>2</v>
      </c>
      <c r="O549" s="8">
        <v>7</v>
      </c>
      <c r="P549" s="8">
        <v>12</v>
      </c>
      <c r="Q549" s="8">
        <v>2</v>
      </c>
      <c r="R549" s="8">
        <v>10</v>
      </c>
      <c r="S549" s="8">
        <v>4</v>
      </c>
      <c r="T549" s="3" t="s">
        <v>57</v>
      </c>
      <c r="U549" s="10">
        <v>9298</v>
      </c>
      <c r="V549" s="32">
        <v>377</v>
      </c>
      <c r="W549" s="27">
        <v>4.0546354054635407E-2</v>
      </c>
      <c r="X549" s="34">
        <v>252</v>
      </c>
      <c r="Y549" s="27">
        <v>0.66843501326259946</v>
      </c>
      <c r="Z549" s="27">
        <v>2.7102602710260271E-2</v>
      </c>
      <c r="AA549" s="35">
        <v>36</v>
      </c>
      <c r="AB549" s="27">
        <v>9.5490716180371346E-2</v>
      </c>
      <c r="AC549" s="27">
        <f t="shared" si="49"/>
        <v>3.8718003871800388E-3</v>
      </c>
      <c r="AD549" s="36">
        <v>10</v>
      </c>
      <c r="AE549" s="27">
        <v>2.6525198938992044E-2</v>
      </c>
      <c r="AF549" s="27">
        <f t="shared" si="50"/>
        <v>1.0755001075500108E-3</v>
      </c>
      <c r="AG549" s="37">
        <v>78</v>
      </c>
      <c r="AH549" s="27">
        <v>0.20689655172413793</v>
      </c>
      <c r="AI549" s="27">
        <f t="shared" si="51"/>
        <v>8.3889008388900836E-3</v>
      </c>
      <c r="AJ549" s="38">
        <v>1</v>
      </c>
      <c r="AK549" s="27">
        <v>2.6525198938992041E-3</v>
      </c>
      <c r="AL549" s="27">
        <f t="shared" si="52"/>
        <v>1.0755001075500108E-4</v>
      </c>
      <c r="AM549" s="40">
        <v>0</v>
      </c>
      <c r="AN549" s="27">
        <v>0</v>
      </c>
      <c r="AO549" s="27">
        <f t="shared" si="53"/>
        <v>0</v>
      </c>
      <c r="AP549" s="7" t="b">
        <v>1</v>
      </c>
      <c r="AQ549" s="6" t="b">
        <v>0</v>
      </c>
      <c r="AR549" s="6" t="b">
        <v>0</v>
      </c>
      <c r="AS549" s="6" t="b">
        <v>0</v>
      </c>
      <c r="AT549" s="7" t="b">
        <v>1</v>
      </c>
      <c r="AU549" s="6" t="b">
        <v>0</v>
      </c>
      <c r="AV549" s="6" t="b">
        <v>0</v>
      </c>
      <c r="AW549" s="6" t="b">
        <v>0</v>
      </c>
      <c r="AX549" s="6" t="b">
        <v>0</v>
      </c>
      <c r="AY549" s="6" t="b">
        <v>0</v>
      </c>
      <c r="AZ549" s="6" t="b">
        <v>0</v>
      </c>
      <c r="BA549" s="6" t="b">
        <v>0</v>
      </c>
      <c r="BB549" s="6" t="b">
        <v>0</v>
      </c>
    </row>
    <row r="550" spans="1:54" ht="15" x14ac:dyDescent="0.25">
      <c r="A550" s="3" t="s">
        <v>1157</v>
      </c>
      <c r="B550" s="3" t="str">
        <f ca="1">IFERROR(__xludf.DUMMYFUNCTION("SPLIT(A550,""/"")"),"klen")</f>
        <v>klen</v>
      </c>
      <c r="C550" s="3" t="str">
        <f ca="1">IFERROR(__xludf.DUMMYFUNCTION("""COMPUTED_VALUE"""),"py-frameworks-bench")</f>
        <v>py-frameworks-bench</v>
      </c>
      <c r="D550" s="4" t="s">
        <v>1158</v>
      </c>
      <c r="E550" s="5">
        <v>42124.890717592592</v>
      </c>
      <c r="F550" s="5">
        <v>44291.603009259263</v>
      </c>
      <c r="G550" s="13">
        <f t="shared" si="48"/>
        <v>2166.7122916666704</v>
      </c>
      <c r="H550" s="6" t="b">
        <v>0</v>
      </c>
      <c r="I550" s="6" t="b">
        <v>0</v>
      </c>
      <c r="J550" s="8">
        <v>514</v>
      </c>
      <c r="K550" s="8">
        <v>21</v>
      </c>
      <c r="L550" s="8">
        <v>58</v>
      </c>
      <c r="M550" s="8">
        <v>0</v>
      </c>
      <c r="N550" s="8">
        <v>0</v>
      </c>
      <c r="O550" s="8">
        <v>4</v>
      </c>
      <c r="P550" s="8">
        <v>30</v>
      </c>
      <c r="Q550" s="8">
        <v>19</v>
      </c>
      <c r="R550" s="8">
        <v>24</v>
      </c>
      <c r="S550" s="8">
        <v>18</v>
      </c>
      <c r="T550" s="11" t="s">
        <v>52</v>
      </c>
      <c r="U550" s="10">
        <v>598</v>
      </c>
      <c r="V550" s="32">
        <v>3</v>
      </c>
      <c r="W550" s="27">
        <v>5.016722408026756E-3</v>
      </c>
      <c r="X550" s="34">
        <v>0</v>
      </c>
      <c r="Y550" s="27">
        <v>0</v>
      </c>
      <c r="Z550" s="27">
        <v>0</v>
      </c>
      <c r="AA550" s="35">
        <v>2</v>
      </c>
      <c r="AB550" s="27">
        <v>0.66666666666666663</v>
      </c>
      <c r="AC550" s="27">
        <f t="shared" si="49"/>
        <v>3.3444816053511705E-3</v>
      </c>
      <c r="AD550" s="36">
        <v>1</v>
      </c>
      <c r="AE550" s="27">
        <v>0.33333333333333331</v>
      </c>
      <c r="AF550" s="27">
        <f t="shared" si="50"/>
        <v>1.6722408026755853E-3</v>
      </c>
      <c r="AG550" s="37">
        <v>0</v>
      </c>
      <c r="AH550" s="27">
        <v>0</v>
      </c>
      <c r="AI550" s="27">
        <f t="shared" si="51"/>
        <v>0</v>
      </c>
      <c r="AJ550" s="38">
        <v>0</v>
      </c>
      <c r="AK550" s="27">
        <v>0</v>
      </c>
      <c r="AL550" s="27">
        <f t="shared" si="52"/>
        <v>0</v>
      </c>
      <c r="AM550" s="40">
        <v>0</v>
      </c>
      <c r="AN550" s="27">
        <v>0</v>
      </c>
      <c r="AO550" s="27">
        <f t="shared" si="53"/>
        <v>0</v>
      </c>
      <c r="AP550" s="7" t="b">
        <v>1</v>
      </c>
      <c r="AQ550" s="6" t="b">
        <v>0</v>
      </c>
      <c r="AR550" s="6" t="b">
        <v>0</v>
      </c>
      <c r="AS550" s="6" t="b">
        <v>0</v>
      </c>
      <c r="AT550" s="7" t="b">
        <v>1</v>
      </c>
      <c r="AU550" s="6" t="b">
        <v>0</v>
      </c>
      <c r="AV550" s="6" t="b">
        <v>0</v>
      </c>
      <c r="AW550" s="6" t="b">
        <v>0</v>
      </c>
      <c r="AX550" s="6" t="b">
        <v>0</v>
      </c>
      <c r="AY550" s="6" t="b">
        <v>0</v>
      </c>
      <c r="AZ550" s="6" t="b">
        <v>0</v>
      </c>
      <c r="BA550" s="6" t="b">
        <v>0</v>
      </c>
      <c r="BB550" s="6" t="b">
        <v>0</v>
      </c>
    </row>
    <row r="551" spans="1:54" ht="15" x14ac:dyDescent="0.25">
      <c r="A551" s="3" t="s">
        <v>1159</v>
      </c>
      <c r="B551" s="3" t="str">
        <f ca="1">IFERROR(__xludf.DUMMYFUNCTION("SPLIT(A551,""/"")"),"knipknap")</f>
        <v>knipknap</v>
      </c>
      <c r="C551" s="3" t="str">
        <f ca="1">IFERROR(__xludf.DUMMYFUNCTION("""COMPUTED_VALUE"""),"SpiffWorkflow")</f>
        <v>SpiffWorkflow</v>
      </c>
      <c r="D551" s="4" t="s">
        <v>1160</v>
      </c>
      <c r="E551" s="5">
        <v>40172.382893518516</v>
      </c>
      <c r="F551" s="5">
        <v>44287.300335648149</v>
      </c>
      <c r="G551" s="13">
        <f t="shared" si="48"/>
        <v>4114.9174421296339</v>
      </c>
      <c r="H551" s="6" t="b">
        <v>0</v>
      </c>
      <c r="I551" s="6" t="b">
        <v>0</v>
      </c>
      <c r="J551" s="8">
        <v>963</v>
      </c>
      <c r="K551" s="8">
        <v>79</v>
      </c>
      <c r="L551" s="8">
        <v>214</v>
      </c>
      <c r="M551" s="8">
        <v>0</v>
      </c>
      <c r="N551" s="8">
        <v>10</v>
      </c>
      <c r="O551" s="8">
        <v>25</v>
      </c>
      <c r="P551" s="8">
        <v>53</v>
      </c>
      <c r="Q551" s="8">
        <v>6</v>
      </c>
      <c r="R551" s="8">
        <v>59</v>
      </c>
      <c r="S551" s="8">
        <v>26</v>
      </c>
      <c r="T551" s="3" t="s">
        <v>160</v>
      </c>
      <c r="U551" s="10">
        <v>7590</v>
      </c>
      <c r="V551" s="32">
        <v>47</v>
      </c>
      <c r="W551" s="27">
        <v>6.1923583662714101E-3</v>
      </c>
      <c r="X551" s="34">
        <v>27</v>
      </c>
      <c r="Y551" s="27">
        <v>0.57446808510638303</v>
      </c>
      <c r="Z551" s="27">
        <v>3.5573122529644267E-3</v>
      </c>
      <c r="AA551" s="35">
        <v>6</v>
      </c>
      <c r="AB551" s="27">
        <v>0.1276595744680851</v>
      </c>
      <c r="AC551" s="27">
        <f t="shared" si="49"/>
        <v>7.9051383399209485E-4</v>
      </c>
      <c r="AD551" s="36">
        <v>8</v>
      </c>
      <c r="AE551" s="27">
        <v>0.1702127659574468</v>
      </c>
      <c r="AF551" s="27">
        <f t="shared" si="50"/>
        <v>1.0540184453227931E-3</v>
      </c>
      <c r="AG551" s="37">
        <v>6</v>
      </c>
      <c r="AH551" s="27">
        <v>0.1276595744680851</v>
      </c>
      <c r="AI551" s="27">
        <f t="shared" si="51"/>
        <v>7.9051383399209485E-4</v>
      </c>
      <c r="AJ551" s="38">
        <v>0</v>
      </c>
      <c r="AK551" s="27">
        <v>0</v>
      </c>
      <c r="AL551" s="27">
        <f t="shared" si="52"/>
        <v>0</v>
      </c>
      <c r="AM551" s="40">
        <v>0</v>
      </c>
      <c r="AN551" s="27">
        <v>0</v>
      </c>
      <c r="AO551" s="27">
        <f t="shared" si="53"/>
        <v>0</v>
      </c>
      <c r="AP551" s="7" t="b">
        <v>1</v>
      </c>
      <c r="AQ551" s="6" t="b">
        <v>0</v>
      </c>
      <c r="AR551" s="6" t="b">
        <v>0</v>
      </c>
      <c r="AS551" s="6" t="b">
        <v>0</v>
      </c>
      <c r="AT551" s="7" t="b">
        <v>1</v>
      </c>
      <c r="AU551" s="6" t="b">
        <v>0</v>
      </c>
      <c r="AV551" s="6" t="b">
        <v>0</v>
      </c>
      <c r="AW551" s="6" t="b">
        <v>0</v>
      </c>
      <c r="AX551" s="6" t="b">
        <v>0</v>
      </c>
      <c r="AY551" s="6" t="b">
        <v>0</v>
      </c>
      <c r="AZ551" s="6" t="b">
        <v>0</v>
      </c>
      <c r="BA551" s="6" t="b">
        <v>0</v>
      </c>
      <c r="BB551" s="6" t="b">
        <v>0</v>
      </c>
    </row>
    <row r="552" spans="1:54" ht="15" x14ac:dyDescent="0.25">
      <c r="A552" s="3" t="s">
        <v>1161</v>
      </c>
      <c r="B552" s="3" t="str">
        <f ca="1">IFERROR(__xludf.DUMMYFUNCTION("SPLIT(A552,""/"")"),"koalalorenzo")</f>
        <v>koalalorenzo</v>
      </c>
      <c r="C552" s="3" t="str">
        <f ca="1">IFERROR(__xludf.DUMMYFUNCTION("""COMPUTED_VALUE"""),"python-digitalocean")</f>
        <v>python-digitalocean</v>
      </c>
      <c r="D552" s="4" t="s">
        <v>1162</v>
      </c>
      <c r="E552" s="5">
        <v>41318.465150462966</v>
      </c>
      <c r="F552" s="5">
        <v>44289.043645833335</v>
      </c>
      <c r="G552" s="13">
        <f t="shared" si="48"/>
        <v>2970.5784953703696</v>
      </c>
      <c r="H552" s="6" t="b">
        <v>0</v>
      </c>
      <c r="I552" s="6" t="b">
        <v>0</v>
      </c>
      <c r="J552" s="8">
        <v>1088</v>
      </c>
      <c r="K552" s="8">
        <v>45</v>
      </c>
      <c r="L552" s="8">
        <v>259</v>
      </c>
      <c r="M552" s="8">
        <v>26</v>
      </c>
      <c r="N552" s="8">
        <v>12</v>
      </c>
      <c r="O552" s="8">
        <v>80</v>
      </c>
      <c r="P552" s="8">
        <v>199</v>
      </c>
      <c r="Q552" s="8">
        <v>6</v>
      </c>
      <c r="R552" s="8">
        <v>137</v>
      </c>
      <c r="S552" s="8">
        <v>9</v>
      </c>
      <c r="T552" s="3" t="s">
        <v>160</v>
      </c>
      <c r="U552" s="10">
        <v>4110</v>
      </c>
      <c r="V552" s="32">
        <v>2</v>
      </c>
      <c r="W552" s="27">
        <v>4.8661800486618007E-4</v>
      </c>
      <c r="X552" s="34">
        <v>1</v>
      </c>
      <c r="Y552" s="27">
        <v>0.5</v>
      </c>
      <c r="Z552" s="27">
        <v>2.4330900243309004E-4</v>
      </c>
      <c r="AA552" s="35">
        <v>0</v>
      </c>
      <c r="AB552" s="27">
        <v>0</v>
      </c>
      <c r="AC552" s="27">
        <f t="shared" si="49"/>
        <v>0</v>
      </c>
      <c r="AD552" s="36">
        <v>0</v>
      </c>
      <c r="AE552" s="27">
        <v>0</v>
      </c>
      <c r="AF552" s="27">
        <f t="shared" si="50"/>
        <v>0</v>
      </c>
      <c r="AG552" s="37">
        <v>1</v>
      </c>
      <c r="AH552" s="27">
        <v>0.5</v>
      </c>
      <c r="AI552" s="27">
        <f t="shared" si="51"/>
        <v>2.4330900243309004E-4</v>
      </c>
      <c r="AJ552" s="38">
        <v>0</v>
      </c>
      <c r="AK552" s="27">
        <v>0</v>
      </c>
      <c r="AL552" s="27">
        <f t="shared" si="52"/>
        <v>0</v>
      </c>
      <c r="AM552" s="40">
        <v>0</v>
      </c>
      <c r="AN552" s="27">
        <v>0</v>
      </c>
      <c r="AO552" s="27">
        <f t="shared" si="53"/>
        <v>0</v>
      </c>
      <c r="AP552" s="7" t="b">
        <v>1</v>
      </c>
      <c r="AQ552" s="6" t="b">
        <v>0</v>
      </c>
      <c r="AR552" s="6" t="b">
        <v>0</v>
      </c>
      <c r="AS552" s="6" t="b">
        <v>0</v>
      </c>
      <c r="AT552" s="7" t="b">
        <v>1</v>
      </c>
      <c r="AU552" s="6" t="b">
        <v>0</v>
      </c>
      <c r="AV552" s="6" t="b">
        <v>0</v>
      </c>
      <c r="AW552" s="6" t="b">
        <v>0</v>
      </c>
      <c r="AX552" s="6" t="b">
        <v>0</v>
      </c>
      <c r="AY552" s="6" t="b">
        <v>0</v>
      </c>
      <c r="AZ552" s="6" t="b">
        <v>0</v>
      </c>
      <c r="BA552" s="6" t="b">
        <v>0</v>
      </c>
      <c r="BB552" s="6" t="b">
        <v>0</v>
      </c>
    </row>
    <row r="553" spans="1:54" ht="15" x14ac:dyDescent="0.25">
      <c r="A553" s="3" t="s">
        <v>1163</v>
      </c>
      <c r="B553" s="3" t="str">
        <f ca="1">IFERROR(__xludf.DUMMYFUNCTION("SPLIT(A553,""/"")"),"Komodo")</f>
        <v>Komodo</v>
      </c>
      <c r="C553" s="3" t="str">
        <f ca="1">IFERROR(__xludf.DUMMYFUNCTION("""COMPUTED_VALUE"""),"KomodoEdit")</f>
        <v>KomodoEdit</v>
      </c>
      <c r="D553" s="4" t="s">
        <v>1164</v>
      </c>
      <c r="E553" s="5">
        <v>41486.914814814816</v>
      </c>
      <c r="F553" s="5">
        <v>44295.075462962966</v>
      </c>
      <c r="G553" s="13">
        <f t="shared" si="48"/>
        <v>2808.1606481481504</v>
      </c>
      <c r="H553" s="6" t="b">
        <v>0</v>
      </c>
      <c r="I553" s="7" t="b">
        <v>1</v>
      </c>
      <c r="J553" s="8">
        <v>1853</v>
      </c>
      <c r="K553" s="8">
        <v>96</v>
      </c>
      <c r="L553" s="8">
        <v>264</v>
      </c>
      <c r="M553" s="8">
        <v>9</v>
      </c>
      <c r="N553" s="8">
        <v>146</v>
      </c>
      <c r="O553" s="8">
        <v>29</v>
      </c>
      <c r="P553" s="8">
        <v>202</v>
      </c>
      <c r="Q553" s="8">
        <v>14</v>
      </c>
      <c r="R553" s="8">
        <v>3725</v>
      </c>
      <c r="S553" s="8">
        <v>1175</v>
      </c>
      <c r="T553" s="3" t="s">
        <v>92</v>
      </c>
      <c r="U553" s="10">
        <v>240077</v>
      </c>
      <c r="V553" s="32">
        <v>3503</v>
      </c>
      <c r="W553" s="27">
        <v>1.4591152005398268E-2</v>
      </c>
      <c r="X553" s="34">
        <v>1569</v>
      </c>
      <c r="Y553" s="27">
        <v>0.44790179845846417</v>
      </c>
      <c r="Z553" s="27">
        <v>6.5354032247987104E-3</v>
      </c>
      <c r="AA553" s="35">
        <v>608</v>
      </c>
      <c r="AB553" s="27">
        <v>0.17356551527262346</v>
      </c>
      <c r="AC553" s="27">
        <f t="shared" si="49"/>
        <v>2.5325208162381234E-3</v>
      </c>
      <c r="AD553" s="36">
        <v>415</v>
      </c>
      <c r="AE553" s="27">
        <v>0.11846988295746504</v>
      </c>
      <c r="AF553" s="27">
        <f t="shared" si="50"/>
        <v>1.7286120702941139E-3</v>
      </c>
      <c r="AG553" s="37">
        <v>709</v>
      </c>
      <c r="AH553" s="27">
        <v>0.2023979446188981</v>
      </c>
      <c r="AI553" s="27">
        <f t="shared" si="51"/>
        <v>2.9532191755145226E-3</v>
      </c>
      <c r="AJ553" s="38">
        <v>5</v>
      </c>
      <c r="AK553" s="27">
        <v>1.4273479874393378E-3</v>
      </c>
      <c r="AL553" s="27">
        <f t="shared" si="52"/>
        <v>2.0826651449326673E-5</v>
      </c>
      <c r="AM553" s="40">
        <v>164</v>
      </c>
      <c r="AN553" s="27">
        <v>4.6817013988010275E-2</v>
      </c>
      <c r="AO553" s="27">
        <f t="shared" si="53"/>
        <v>6.8311416753791493E-4</v>
      </c>
      <c r="AP553" s="7" t="b">
        <v>1</v>
      </c>
      <c r="AQ553" s="6" t="b">
        <v>0</v>
      </c>
      <c r="AR553" s="6" t="b">
        <v>0</v>
      </c>
      <c r="AS553" s="6" t="b">
        <v>0</v>
      </c>
      <c r="AT553" s="7" t="b">
        <v>1</v>
      </c>
      <c r="AU553" s="6" t="b">
        <v>0</v>
      </c>
      <c r="AV553" s="6" t="b">
        <v>0</v>
      </c>
      <c r="AW553" s="6" t="b">
        <v>0</v>
      </c>
      <c r="AX553" s="6" t="b">
        <v>0</v>
      </c>
      <c r="AY553" s="6" t="b">
        <v>0</v>
      </c>
      <c r="AZ553" s="6" t="b">
        <v>0</v>
      </c>
      <c r="BA553" s="6" t="b">
        <v>0</v>
      </c>
      <c r="BB553" s="6" t="b">
        <v>0</v>
      </c>
    </row>
    <row r="554" spans="1:54" ht="15" x14ac:dyDescent="0.25">
      <c r="A554" s="3" t="s">
        <v>1165</v>
      </c>
      <c r="B554" s="3" t="str">
        <f ca="1">IFERROR(__xludf.DUMMYFUNCTION("SPLIT(A554,""/"")"),"kornia")</f>
        <v>kornia</v>
      </c>
      <c r="C554" s="3" t="str">
        <f ca="1">IFERROR(__xludf.DUMMYFUNCTION("""COMPUTED_VALUE"""),"kornia")</f>
        <v>kornia</v>
      </c>
      <c r="D554" s="4" t="s">
        <v>1166</v>
      </c>
      <c r="E554" s="5">
        <v>43334.438622685186</v>
      </c>
      <c r="F554" s="5">
        <v>44295.094305555554</v>
      </c>
      <c r="G554" s="13">
        <f t="shared" si="48"/>
        <v>960.65568287036876</v>
      </c>
      <c r="H554" s="6" t="b">
        <v>0</v>
      </c>
      <c r="I554" s="7" t="b">
        <v>1</v>
      </c>
      <c r="J554" s="8">
        <v>3811</v>
      </c>
      <c r="K554" s="8">
        <v>100</v>
      </c>
      <c r="L554" s="8">
        <v>368</v>
      </c>
      <c r="M554" s="8">
        <v>13</v>
      </c>
      <c r="N554" s="8">
        <v>8</v>
      </c>
      <c r="O554" s="8">
        <v>92</v>
      </c>
      <c r="P554" s="8">
        <v>582</v>
      </c>
      <c r="Q554" s="8">
        <v>19</v>
      </c>
      <c r="R554" s="8">
        <v>364</v>
      </c>
      <c r="S554" s="8">
        <v>68</v>
      </c>
      <c r="T554" s="3" t="s">
        <v>92</v>
      </c>
      <c r="U554" s="10">
        <v>24187</v>
      </c>
      <c r="V554" s="32">
        <v>22</v>
      </c>
      <c r="W554" s="27">
        <v>9.0957952619175595E-4</v>
      </c>
      <c r="X554" s="34">
        <v>3</v>
      </c>
      <c r="Y554" s="27">
        <v>0.13636363636363635</v>
      </c>
      <c r="Z554" s="27">
        <v>1.2403357175342126E-4</v>
      </c>
      <c r="AA554" s="35">
        <v>0</v>
      </c>
      <c r="AB554" s="27">
        <v>0</v>
      </c>
      <c r="AC554" s="27">
        <f t="shared" si="49"/>
        <v>0</v>
      </c>
      <c r="AD554" s="36">
        <v>19</v>
      </c>
      <c r="AE554" s="27">
        <v>0.86363636363636365</v>
      </c>
      <c r="AF554" s="27">
        <f t="shared" si="50"/>
        <v>7.855459544383347E-4</v>
      </c>
      <c r="AG554" s="37">
        <v>0</v>
      </c>
      <c r="AH554" s="27">
        <v>0</v>
      </c>
      <c r="AI554" s="27">
        <f t="shared" si="51"/>
        <v>0</v>
      </c>
      <c r="AJ554" s="38">
        <v>0</v>
      </c>
      <c r="AK554" s="27">
        <v>0</v>
      </c>
      <c r="AL554" s="27">
        <f t="shared" si="52"/>
        <v>0</v>
      </c>
      <c r="AM554" s="40">
        <v>0</v>
      </c>
      <c r="AN554" s="27">
        <v>0</v>
      </c>
      <c r="AO554" s="27">
        <f t="shared" si="53"/>
        <v>0</v>
      </c>
      <c r="AP554" s="7" t="b">
        <v>1</v>
      </c>
      <c r="AQ554" s="6" t="b">
        <v>0</v>
      </c>
      <c r="AR554" s="6" t="b">
        <v>0</v>
      </c>
      <c r="AS554" s="6" t="b">
        <v>0</v>
      </c>
      <c r="AT554" s="7" t="b">
        <v>1</v>
      </c>
      <c r="AU554" s="6" t="b">
        <v>0</v>
      </c>
      <c r="AV554" s="6" t="b">
        <v>0</v>
      </c>
      <c r="AW554" s="6" t="b">
        <v>0</v>
      </c>
      <c r="AX554" s="6" t="b">
        <v>0</v>
      </c>
      <c r="AY554" s="6" t="b">
        <v>0</v>
      </c>
      <c r="AZ554" s="6" t="b">
        <v>0</v>
      </c>
      <c r="BA554" s="6" t="b">
        <v>0</v>
      </c>
      <c r="BB554" s="6" t="b">
        <v>0</v>
      </c>
    </row>
    <row r="555" spans="1:54" ht="15" x14ac:dyDescent="0.25">
      <c r="A555" s="3" t="s">
        <v>1167</v>
      </c>
      <c r="B555" s="3" t="str">
        <f ca="1">IFERROR(__xludf.DUMMYFUNCTION("SPLIT(A555,""/"")"),"koursaros-ai")</f>
        <v>koursaros-ai</v>
      </c>
      <c r="C555" s="3" t="str">
        <f ca="1">IFERROR(__xludf.DUMMYFUNCTION("""COMPUTED_VALUE"""),"nboost")</f>
        <v>nboost</v>
      </c>
      <c r="D555" s="4" t="s">
        <v>1168</v>
      </c>
      <c r="E555" s="5">
        <v>43767.872499999998</v>
      </c>
      <c r="F555" s="5">
        <v>44285.900775462964</v>
      </c>
      <c r="G555" s="13">
        <f t="shared" si="48"/>
        <v>518.02827546296612</v>
      </c>
      <c r="H555" s="6" t="b">
        <v>0</v>
      </c>
      <c r="I555" s="7" t="b">
        <v>1</v>
      </c>
      <c r="J555" s="8">
        <v>556</v>
      </c>
      <c r="K555" s="8">
        <v>20</v>
      </c>
      <c r="L555" s="8">
        <v>61</v>
      </c>
      <c r="M555" s="8">
        <v>0</v>
      </c>
      <c r="N555" s="8">
        <v>2</v>
      </c>
      <c r="O555" s="8">
        <v>8</v>
      </c>
      <c r="P555" s="8">
        <v>21</v>
      </c>
      <c r="Q555" s="8">
        <v>1</v>
      </c>
      <c r="R555" s="8">
        <v>78</v>
      </c>
      <c r="S555" s="8">
        <v>29</v>
      </c>
      <c r="T555" s="3" t="s">
        <v>69</v>
      </c>
      <c r="U555" s="10">
        <v>1390</v>
      </c>
      <c r="V555" s="32">
        <v>14</v>
      </c>
      <c r="W555" s="27">
        <v>1.0071942446043165E-2</v>
      </c>
      <c r="X555" s="34">
        <v>0</v>
      </c>
      <c r="Y555" s="27">
        <v>0</v>
      </c>
      <c r="Z555" s="27">
        <v>0</v>
      </c>
      <c r="AA555" s="35">
        <v>11</v>
      </c>
      <c r="AB555" s="27">
        <v>0.7857142857142857</v>
      </c>
      <c r="AC555" s="27">
        <f t="shared" si="49"/>
        <v>7.9136690647482015E-3</v>
      </c>
      <c r="AD555" s="36">
        <v>0</v>
      </c>
      <c r="AE555" s="27">
        <v>0</v>
      </c>
      <c r="AF555" s="27">
        <f t="shared" si="50"/>
        <v>0</v>
      </c>
      <c r="AG555" s="37">
        <v>2</v>
      </c>
      <c r="AH555" s="27">
        <v>0.14285714285714285</v>
      </c>
      <c r="AI555" s="27">
        <f t="shared" si="51"/>
        <v>1.4388489208633094E-3</v>
      </c>
      <c r="AJ555" s="38">
        <v>1</v>
      </c>
      <c r="AK555" s="27">
        <v>7.1428571428571425E-2</v>
      </c>
      <c r="AL555" s="27">
        <f t="shared" si="52"/>
        <v>7.1942446043165469E-4</v>
      </c>
      <c r="AM555" s="40">
        <v>0</v>
      </c>
      <c r="AN555" s="27">
        <v>0</v>
      </c>
      <c r="AO555" s="27">
        <f t="shared" si="53"/>
        <v>0</v>
      </c>
      <c r="AP555" s="7" t="b">
        <v>1</v>
      </c>
      <c r="AQ555" s="6" t="b">
        <v>0</v>
      </c>
      <c r="AR555" s="6" t="b">
        <v>0</v>
      </c>
      <c r="AS555" s="6" t="b">
        <v>0</v>
      </c>
      <c r="AT555" s="7" t="b">
        <v>1</v>
      </c>
      <c r="AU555" s="6" t="b">
        <v>0</v>
      </c>
      <c r="AV555" s="6" t="b">
        <v>0</v>
      </c>
      <c r="AW555" s="6" t="b">
        <v>0</v>
      </c>
      <c r="AX555" s="6" t="b">
        <v>0</v>
      </c>
      <c r="AY555" s="6" t="b">
        <v>0</v>
      </c>
      <c r="AZ555" s="6" t="b">
        <v>0</v>
      </c>
      <c r="BA555" s="6" t="b">
        <v>0</v>
      </c>
      <c r="BB555" s="6" t="b">
        <v>0</v>
      </c>
    </row>
    <row r="556" spans="1:54" ht="15" x14ac:dyDescent="0.25">
      <c r="A556" s="3" t="s">
        <v>1169</v>
      </c>
      <c r="B556" s="3" t="str">
        <f ca="1">IFERROR(__xludf.DUMMYFUNCTION("SPLIT(A556,""/"")"),"Kozea")</f>
        <v>Kozea</v>
      </c>
      <c r="C556" s="3" t="str">
        <f ca="1">IFERROR(__xludf.DUMMYFUNCTION("""COMPUTED_VALUE"""),"Radicale")</f>
        <v>Radicale</v>
      </c>
      <c r="D556" s="4" t="s">
        <v>1170</v>
      </c>
      <c r="E556" s="5">
        <v>40766.352511574078</v>
      </c>
      <c r="F556" s="5">
        <v>44295.114120370374</v>
      </c>
      <c r="G556" s="13">
        <f t="shared" si="48"/>
        <v>3528.7616087962961</v>
      </c>
      <c r="H556" s="6" t="b">
        <v>0</v>
      </c>
      <c r="I556" s="7" t="b">
        <v>1</v>
      </c>
      <c r="J556" s="8">
        <v>2072</v>
      </c>
      <c r="K556" s="8">
        <v>114</v>
      </c>
      <c r="L556" s="8">
        <v>332</v>
      </c>
      <c r="M556" s="8">
        <v>35</v>
      </c>
      <c r="N556" s="8">
        <v>68</v>
      </c>
      <c r="O556" s="8">
        <v>79</v>
      </c>
      <c r="P556" s="8">
        <v>374</v>
      </c>
      <c r="Q556" s="8">
        <v>23</v>
      </c>
      <c r="R556" s="8">
        <v>781</v>
      </c>
      <c r="S556" s="8">
        <v>261</v>
      </c>
      <c r="T556" s="3" t="s">
        <v>49</v>
      </c>
      <c r="U556" s="10">
        <v>5597</v>
      </c>
      <c r="V556" s="32">
        <v>96</v>
      </c>
      <c r="W556" s="27">
        <v>1.7152045738788636E-2</v>
      </c>
      <c r="X556" s="34">
        <v>34</v>
      </c>
      <c r="Y556" s="27">
        <v>0.35416666666666669</v>
      </c>
      <c r="Z556" s="27">
        <v>6.0746828658209753E-3</v>
      </c>
      <c r="AA556" s="35">
        <v>19</v>
      </c>
      <c r="AB556" s="27">
        <v>0.19791666666666666</v>
      </c>
      <c r="AC556" s="27">
        <f t="shared" si="49"/>
        <v>3.3946757191352511E-3</v>
      </c>
      <c r="AD556" s="36">
        <v>32</v>
      </c>
      <c r="AE556" s="27">
        <v>0.33333333333333331</v>
      </c>
      <c r="AF556" s="27">
        <f t="shared" si="50"/>
        <v>5.7173485795962119E-3</v>
      </c>
      <c r="AG556" s="37">
        <v>7</v>
      </c>
      <c r="AH556" s="27">
        <v>7.2916666666666671E-2</v>
      </c>
      <c r="AI556" s="27">
        <f t="shared" si="51"/>
        <v>1.2506700017866715E-3</v>
      </c>
      <c r="AJ556" s="38">
        <v>4</v>
      </c>
      <c r="AK556" s="27">
        <v>4.1666666666666664E-2</v>
      </c>
      <c r="AL556" s="27">
        <f t="shared" si="52"/>
        <v>7.1466857244952648E-4</v>
      </c>
      <c r="AM556" s="40">
        <v>0</v>
      </c>
      <c r="AN556" s="27">
        <v>0</v>
      </c>
      <c r="AO556" s="27">
        <f t="shared" si="53"/>
        <v>0</v>
      </c>
      <c r="AP556" s="7" t="b">
        <v>1</v>
      </c>
      <c r="AQ556" s="6" t="b">
        <v>0</v>
      </c>
      <c r="AR556" s="6" t="b">
        <v>0</v>
      </c>
      <c r="AS556" s="6" t="b">
        <v>0</v>
      </c>
      <c r="AT556" s="7" t="b">
        <v>1</v>
      </c>
      <c r="AU556" s="6" t="b">
        <v>0</v>
      </c>
      <c r="AV556" s="6" t="b">
        <v>0</v>
      </c>
      <c r="AW556" s="6" t="b">
        <v>0</v>
      </c>
      <c r="AX556" s="6" t="b">
        <v>0</v>
      </c>
      <c r="AY556" s="6" t="b">
        <v>0</v>
      </c>
      <c r="AZ556" s="6" t="b">
        <v>0</v>
      </c>
      <c r="BA556" s="6" t="b">
        <v>0</v>
      </c>
      <c r="BB556" s="6" t="b">
        <v>0</v>
      </c>
    </row>
    <row r="557" spans="1:54" ht="15" x14ac:dyDescent="0.25">
      <c r="A557" s="3" t="s">
        <v>1171</v>
      </c>
      <c r="B557" s="3" t="str">
        <f ca="1">IFERROR(__xludf.DUMMYFUNCTION("SPLIT(A557,""/"")"),"Kozea")</f>
        <v>Kozea</v>
      </c>
      <c r="C557" s="3" t="str">
        <f ca="1">IFERROR(__xludf.DUMMYFUNCTION("""COMPUTED_VALUE"""),"wdb")</f>
        <v>wdb</v>
      </c>
      <c r="D557" s="4" t="s">
        <v>1172</v>
      </c>
      <c r="E557" s="5">
        <v>41187.694710648146</v>
      </c>
      <c r="F557" s="5">
        <v>44287.451018518521</v>
      </c>
      <c r="G557" s="13">
        <f t="shared" si="48"/>
        <v>3099.7563078703752</v>
      </c>
      <c r="H557" s="6" t="b">
        <v>0</v>
      </c>
      <c r="I557" s="7" t="b">
        <v>1</v>
      </c>
      <c r="J557" s="8">
        <v>1512</v>
      </c>
      <c r="K557" s="8">
        <v>73</v>
      </c>
      <c r="L557" s="8">
        <v>98</v>
      </c>
      <c r="M557" s="8">
        <v>0</v>
      </c>
      <c r="N557" s="8">
        <v>8</v>
      </c>
      <c r="O557" s="8">
        <v>19</v>
      </c>
      <c r="P557" s="8">
        <v>41</v>
      </c>
      <c r="Q557" s="8">
        <v>6</v>
      </c>
      <c r="R557" s="8">
        <v>106</v>
      </c>
      <c r="S557" s="8">
        <v>27</v>
      </c>
      <c r="T557" s="3" t="s">
        <v>49</v>
      </c>
      <c r="U557" s="10">
        <v>4322</v>
      </c>
      <c r="V557" s="32">
        <v>103</v>
      </c>
      <c r="W557" s="27">
        <v>2.3831559463211475E-2</v>
      </c>
      <c r="X557" s="34">
        <v>30</v>
      </c>
      <c r="Y557" s="27">
        <v>0.29126213592233008</v>
      </c>
      <c r="Z557" s="27">
        <v>6.9412309116149932E-3</v>
      </c>
      <c r="AA557" s="35">
        <v>40</v>
      </c>
      <c r="AB557" s="27">
        <v>0.38834951456310679</v>
      </c>
      <c r="AC557" s="27">
        <f t="shared" si="49"/>
        <v>9.2549745488199903E-3</v>
      </c>
      <c r="AD557" s="36">
        <v>25</v>
      </c>
      <c r="AE557" s="27">
        <v>0.24271844660194175</v>
      </c>
      <c r="AF557" s="27">
        <f t="shared" si="50"/>
        <v>5.7843590930124946E-3</v>
      </c>
      <c r="AG557" s="37">
        <v>8</v>
      </c>
      <c r="AH557" s="27">
        <v>7.7669902912621352E-2</v>
      </c>
      <c r="AI557" s="27">
        <f t="shared" si="51"/>
        <v>1.8509949097639982E-3</v>
      </c>
      <c r="AJ557" s="38">
        <v>0</v>
      </c>
      <c r="AK557" s="27">
        <v>0</v>
      </c>
      <c r="AL557" s="27">
        <f t="shared" si="52"/>
        <v>0</v>
      </c>
      <c r="AM557" s="40">
        <v>0</v>
      </c>
      <c r="AN557" s="27">
        <v>0</v>
      </c>
      <c r="AO557" s="27">
        <f t="shared" si="53"/>
        <v>0</v>
      </c>
      <c r="AP557" s="7" t="b">
        <v>1</v>
      </c>
      <c r="AQ557" s="6" t="b">
        <v>0</v>
      </c>
      <c r="AR557" s="6" t="b">
        <v>0</v>
      </c>
      <c r="AS557" s="6" t="b">
        <v>0</v>
      </c>
      <c r="AT557" s="7" t="b">
        <v>1</v>
      </c>
      <c r="AU557" s="6" t="b">
        <v>0</v>
      </c>
      <c r="AV557" s="6" t="b">
        <v>0</v>
      </c>
      <c r="AW557" s="6" t="b">
        <v>0</v>
      </c>
      <c r="AX557" s="6" t="b">
        <v>0</v>
      </c>
      <c r="AY557" s="6" t="b">
        <v>0</v>
      </c>
      <c r="AZ557" s="6" t="b">
        <v>0</v>
      </c>
      <c r="BA557" s="6" t="b">
        <v>0</v>
      </c>
      <c r="BB557" s="6" t="b">
        <v>0</v>
      </c>
    </row>
    <row r="558" spans="1:54" ht="15" x14ac:dyDescent="0.25">
      <c r="A558" s="3" t="s">
        <v>1173</v>
      </c>
      <c r="B558" s="3" t="str">
        <f ca="1">IFERROR(__xludf.DUMMYFUNCTION("SPLIT(A558,""/"")"),"krmaxwell")</f>
        <v>krmaxwell</v>
      </c>
      <c r="C558" s="3" t="str">
        <f ca="1">IFERROR(__xludf.DUMMYFUNCTION("""COMPUTED_VALUE"""),"maltrieve")</f>
        <v>maltrieve</v>
      </c>
      <c r="D558" s="4" t="s">
        <v>1174</v>
      </c>
      <c r="E558" s="5">
        <v>41303.098530092589</v>
      </c>
      <c r="F558" s="5">
        <v>44294.445810185185</v>
      </c>
      <c r="G558" s="13">
        <f t="shared" si="48"/>
        <v>2991.3472800925956</v>
      </c>
      <c r="H558" s="6" t="b">
        <v>0</v>
      </c>
      <c r="I558" s="6" t="b">
        <v>0</v>
      </c>
      <c r="J558" s="8">
        <v>555</v>
      </c>
      <c r="K558" s="8">
        <v>99</v>
      </c>
      <c r="L558" s="8">
        <v>155</v>
      </c>
      <c r="M558" s="8">
        <v>9</v>
      </c>
      <c r="N558" s="8">
        <v>1</v>
      </c>
      <c r="O558" s="8">
        <v>10</v>
      </c>
      <c r="P558" s="8">
        <v>69</v>
      </c>
      <c r="Q558" s="8">
        <v>5</v>
      </c>
      <c r="R558" s="8">
        <v>116</v>
      </c>
      <c r="S558" s="8">
        <v>29</v>
      </c>
      <c r="T558" s="3" t="s">
        <v>49</v>
      </c>
      <c r="U558" s="10">
        <v>555</v>
      </c>
      <c r="V558" s="32">
        <v>31</v>
      </c>
      <c r="W558" s="27">
        <v>5.5855855855855854E-2</v>
      </c>
      <c r="X558" s="34">
        <v>1</v>
      </c>
      <c r="Y558" s="27">
        <v>3.2258064516129031E-2</v>
      </c>
      <c r="Z558" s="27">
        <v>1.8018018018018018E-3</v>
      </c>
      <c r="AA558" s="35">
        <v>28</v>
      </c>
      <c r="AB558" s="27">
        <v>0.90322580645161288</v>
      </c>
      <c r="AC558" s="27">
        <f t="shared" si="49"/>
        <v>5.0450450450450449E-2</v>
      </c>
      <c r="AD558" s="36">
        <v>0</v>
      </c>
      <c r="AE558" s="27">
        <v>0</v>
      </c>
      <c r="AF558" s="27">
        <f t="shared" si="50"/>
        <v>0</v>
      </c>
      <c r="AG558" s="37">
        <v>2</v>
      </c>
      <c r="AH558" s="27">
        <v>6.4516129032258063E-2</v>
      </c>
      <c r="AI558" s="27">
        <f t="shared" si="51"/>
        <v>3.6036036036036037E-3</v>
      </c>
      <c r="AJ558" s="38">
        <v>0</v>
      </c>
      <c r="AK558" s="27">
        <v>0</v>
      </c>
      <c r="AL558" s="27">
        <f t="shared" si="52"/>
        <v>0</v>
      </c>
      <c r="AM558" s="40">
        <v>0</v>
      </c>
      <c r="AN558" s="27">
        <v>0</v>
      </c>
      <c r="AO558" s="27">
        <f t="shared" si="53"/>
        <v>0</v>
      </c>
      <c r="AP558" s="7" t="b">
        <v>1</v>
      </c>
      <c r="AQ558" s="6" t="b">
        <v>0</v>
      </c>
      <c r="AR558" s="6" t="b">
        <v>0</v>
      </c>
      <c r="AS558" s="6" t="b">
        <v>0</v>
      </c>
      <c r="AT558" s="7" t="b">
        <v>1</v>
      </c>
      <c r="AU558" s="6" t="b">
        <v>0</v>
      </c>
      <c r="AV558" s="6" t="b">
        <v>0</v>
      </c>
      <c r="AW558" s="6" t="b">
        <v>0</v>
      </c>
      <c r="AX558" s="6" t="b">
        <v>0</v>
      </c>
      <c r="AY558" s="6" t="b">
        <v>0</v>
      </c>
      <c r="AZ558" s="6" t="b">
        <v>0</v>
      </c>
      <c r="BA558" s="6" t="b">
        <v>0</v>
      </c>
      <c r="BB558" s="6" t="b">
        <v>0</v>
      </c>
    </row>
    <row r="559" spans="1:54" ht="15" x14ac:dyDescent="0.25">
      <c r="A559" s="3" t="s">
        <v>1175</v>
      </c>
      <c r="B559" s="3" t="str">
        <f ca="1">IFERROR(__xludf.DUMMYFUNCTION("SPLIT(A559,""/"")"),"KuangDD")</f>
        <v>KuangDD</v>
      </c>
      <c r="C559" s="3" t="str">
        <f ca="1">IFERROR(__xludf.DUMMYFUNCTION("""COMPUTED_VALUE"""),"zhrtvc")</f>
        <v>zhrtvc</v>
      </c>
      <c r="D559" s="4" t="s">
        <v>1176</v>
      </c>
      <c r="E559" s="5">
        <v>43792.172824074078</v>
      </c>
      <c r="F559" s="5">
        <v>44295.05978009259</v>
      </c>
      <c r="G559" s="13">
        <f t="shared" si="48"/>
        <v>502.88695601851214</v>
      </c>
      <c r="H559" s="6" t="b">
        <v>0</v>
      </c>
      <c r="I559" s="6" t="b">
        <v>0</v>
      </c>
      <c r="J559" s="8">
        <v>805</v>
      </c>
      <c r="K559" s="8">
        <v>50</v>
      </c>
      <c r="L559" s="8">
        <v>217</v>
      </c>
      <c r="M559" s="8">
        <v>0</v>
      </c>
      <c r="N559" s="8">
        <v>0</v>
      </c>
      <c r="O559" s="8">
        <v>3</v>
      </c>
      <c r="P559" s="8">
        <v>7</v>
      </c>
      <c r="Q559" s="8">
        <v>1</v>
      </c>
      <c r="R559" s="8">
        <v>83</v>
      </c>
      <c r="S559" s="8">
        <v>79</v>
      </c>
      <c r="T559" s="11" t="s">
        <v>52</v>
      </c>
      <c r="U559" s="10">
        <v>10812</v>
      </c>
      <c r="V559" s="32">
        <v>42</v>
      </c>
      <c r="W559" s="27">
        <v>3.8845726970033298E-3</v>
      </c>
      <c r="X559" s="34">
        <v>0</v>
      </c>
      <c r="Y559" s="27">
        <v>0</v>
      </c>
      <c r="Z559" s="27">
        <v>0</v>
      </c>
      <c r="AA559" s="35">
        <v>22</v>
      </c>
      <c r="AB559" s="27">
        <v>0.52380952380952384</v>
      </c>
      <c r="AC559" s="27">
        <f t="shared" si="49"/>
        <v>2.0347761746207916E-3</v>
      </c>
      <c r="AD559" s="36">
        <v>0</v>
      </c>
      <c r="AE559" s="27">
        <v>0</v>
      </c>
      <c r="AF559" s="27">
        <f t="shared" si="50"/>
        <v>0</v>
      </c>
      <c r="AG559" s="37">
        <v>1</v>
      </c>
      <c r="AH559" s="27">
        <v>2.3809523809523808E-2</v>
      </c>
      <c r="AI559" s="27">
        <f t="shared" si="51"/>
        <v>9.2489826119126898E-5</v>
      </c>
      <c r="AJ559" s="38">
        <v>0</v>
      </c>
      <c r="AK559" s="27">
        <v>0</v>
      </c>
      <c r="AL559" s="27">
        <f t="shared" si="52"/>
        <v>0</v>
      </c>
      <c r="AM559" s="40">
        <v>19</v>
      </c>
      <c r="AN559" s="27">
        <v>0.45238095238095238</v>
      </c>
      <c r="AO559" s="27">
        <f t="shared" si="53"/>
        <v>1.757306696263411E-3</v>
      </c>
      <c r="AP559" s="7" t="b">
        <v>1</v>
      </c>
      <c r="AQ559" s="6" t="b">
        <v>0</v>
      </c>
      <c r="AR559" s="6" t="b">
        <v>0</v>
      </c>
      <c r="AS559" s="6" t="b">
        <v>0</v>
      </c>
      <c r="AT559" s="7" t="b">
        <v>1</v>
      </c>
      <c r="AU559" s="6" t="b">
        <v>0</v>
      </c>
      <c r="AV559" s="6" t="b">
        <v>0</v>
      </c>
      <c r="AW559" s="6" t="b">
        <v>0</v>
      </c>
      <c r="AX559" s="6" t="b">
        <v>0</v>
      </c>
      <c r="AY559" s="6" t="b">
        <v>0</v>
      </c>
      <c r="AZ559" s="6" t="b">
        <v>0</v>
      </c>
      <c r="BA559" s="6" t="b">
        <v>0</v>
      </c>
      <c r="BB559" s="6" t="b">
        <v>0</v>
      </c>
    </row>
    <row r="560" spans="1:54" ht="15" x14ac:dyDescent="0.25">
      <c r="A560" s="3" t="s">
        <v>1177</v>
      </c>
      <c r="B560" s="3" t="str">
        <f ca="1">IFERROR(__xludf.DUMMYFUNCTION("SPLIT(A560,""/"")"),"kubeflow-kale")</f>
        <v>kubeflow-kale</v>
      </c>
      <c r="C560" s="3" t="str">
        <f ca="1">IFERROR(__xludf.DUMMYFUNCTION("""COMPUTED_VALUE"""),"kale")</f>
        <v>kale</v>
      </c>
      <c r="D560" s="4" t="s">
        <v>1178</v>
      </c>
      <c r="E560" s="5">
        <v>43489.749120370368</v>
      </c>
      <c r="F560" s="5">
        <v>44295.097581018519</v>
      </c>
      <c r="G560" s="13">
        <f t="shared" si="48"/>
        <v>805.34846064815065</v>
      </c>
      <c r="H560" s="6" t="b">
        <v>0</v>
      </c>
      <c r="I560" s="7" t="b">
        <v>1</v>
      </c>
      <c r="J560" s="8">
        <v>340</v>
      </c>
      <c r="K560" s="8">
        <v>13</v>
      </c>
      <c r="L560" s="8">
        <v>62</v>
      </c>
      <c r="M560" s="8">
        <v>6</v>
      </c>
      <c r="N560" s="8">
        <v>0</v>
      </c>
      <c r="O560" s="8">
        <v>9</v>
      </c>
      <c r="P560" s="8">
        <v>224</v>
      </c>
      <c r="Q560" s="8">
        <v>23</v>
      </c>
      <c r="R560" s="8">
        <v>103</v>
      </c>
      <c r="S560" s="8">
        <v>46</v>
      </c>
      <c r="T560" s="3" t="s">
        <v>69</v>
      </c>
      <c r="U560" s="10">
        <v>4890</v>
      </c>
      <c r="V560" s="32">
        <v>192</v>
      </c>
      <c r="W560" s="27">
        <v>3.9263803680981597E-2</v>
      </c>
      <c r="X560" s="34">
        <v>9</v>
      </c>
      <c r="Y560" s="27">
        <v>4.6875E-2</v>
      </c>
      <c r="Z560" s="27">
        <v>1.8404907975460123E-3</v>
      </c>
      <c r="AA560" s="35">
        <v>139</v>
      </c>
      <c r="AB560" s="27">
        <v>0.72395833333333337</v>
      </c>
      <c r="AC560" s="27">
        <f t="shared" si="49"/>
        <v>2.8425357873210634E-2</v>
      </c>
      <c r="AD560" s="36">
        <v>8</v>
      </c>
      <c r="AE560" s="27">
        <v>4.1666666666666664E-2</v>
      </c>
      <c r="AF560" s="27">
        <f t="shared" si="50"/>
        <v>1.6359918200408998E-3</v>
      </c>
      <c r="AG560" s="37">
        <v>37</v>
      </c>
      <c r="AH560" s="27">
        <v>0.19270833333333334</v>
      </c>
      <c r="AI560" s="27">
        <f t="shared" si="51"/>
        <v>7.5664621676891615E-3</v>
      </c>
      <c r="AJ560" s="38">
        <v>0</v>
      </c>
      <c r="AK560" s="27">
        <v>0</v>
      </c>
      <c r="AL560" s="27">
        <f t="shared" si="52"/>
        <v>0</v>
      </c>
      <c r="AM560" s="40">
        <v>0</v>
      </c>
      <c r="AN560" s="27">
        <v>0</v>
      </c>
      <c r="AO560" s="27">
        <f t="shared" si="53"/>
        <v>0</v>
      </c>
      <c r="AP560" s="7" t="b">
        <v>1</v>
      </c>
      <c r="AQ560" s="6" t="b">
        <v>0</v>
      </c>
      <c r="AR560" s="6" t="b">
        <v>0</v>
      </c>
      <c r="AS560" s="6" t="b">
        <v>0</v>
      </c>
      <c r="AT560" s="7" t="b">
        <v>1</v>
      </c>
      <c r="AU560" s="6" t="b">
        <v>0</v>
      </c>
      <c r="AV560" s="6" t="b">
        <v>0</v>
      </c>
      <c r="AW560" s="6" t="b">
        <v>0</v>
      </c>
      <c r="AX560" s="6" t="b">
        <v>0</v>
      </c>
      <c r="AY560" s="6" t="b">
        <v>0</v>
      </c>
      <c r="AZ560" s="6" t="b">
        <v>0</v>
      </c>
      <c r="BA560" s="6" t="b">
        <v>0</v>
      </c>
      <c r="BB560" s="6" t="b">
        <v>0</v>
      </c>
    </row>
    <row r="561" spans="1:54" ht="15" x14ac:dyDescent="0.25">
      <c r="A561" s="3" t="s">
        <v>1179</v>
      </c>
      <c r="B561" s="3" t="str">
        <f ca="1">IFERROR(__xludf.DUMMYFUNCTION("SPLIT(A561,""/"")"),"kubeflow")</f>
        <v>kubeflow</v>
      </c>
      <c r="C561" s="3" t="str">
        <f ca="1">IFERROR(__xludf.DUMMYFUNCTION("""COMPUTED_VALUE"""),"pipelines")</f>
        <v>pipelines</v>
      </c>
      <c r="D561" s="4" t="s">
        <v>1180</v>
      </c>
      <c r="E561" s="5">
        <v>43232.02207175926</v>
      </c>
      <c r="F561" s="5">
        <v>44295.03565972222</v>
      </c>
      <c r="G561" s="13">
        <f t="shared" si="48"/>
        <v>1063.0135879629597</v>
      </c>
      <c r="H561" s="6" t="b">
        <v>0</v>
      </c>
      <c r="I561" s="7" t="b">
        <v>1</v>
      </c>
      <c r="J561" s="8">
        <v>2087</v>
      </c>
      <c r="K561" s="8">
        <v>107</v>
      </c>
      <c r="L561" s="8">
        <v>854</v>
      </c>
      <c r="M561" s="8">
        <v>74</v>
      </c>
      <c r="N561" s="8">
        <v>41</v>
      </c>
      <c r="O561" s="8">
        <v>230</v>
      </c>
      <c r="P561" s="8">
        <v>3345</v>
      </c>
      <c r="Q561" s="8">
        <v>69</v>
      </c>
      <c r="R561" s="8">
        <v>2090</v>
      </c>
      <c r="S561" s="8">
        <v>387</v>
      </c>
      <c r="T561" s="3" t="s">
        <v>69</v>
      </c>
      <c r="U561" s="10">
        <v>42088</v>
      </c>
      <c r="V561" s="32">
        <v>313</v>
      </c>
      <c r="W561" s="27">
        <v>7.4367990876259265E-3</v>
      </c>
      <c r="X561" s="34">
        <v>7</v>
      </c>
      <c r="Y561" s="27">
        <v>2.2364217252396165E-2</v>
      </c>
      <c r="Z561" s="27">
        <v>1.6631819045808782E-4</v>
      </c>
      <c r="AA561" s="35">
        <v>207</v>
      </c>
      <c r="AB561" s="27">
        <v>0.66134185303514381</v>
      </c>
      <c r="AC561" s="27">
        <f t="shared" si="49"/>
        <v>4.9182664892605966E-3</v>
      </c>
      <c r="AD561" s="36">
        <v>41</v>
      </c>
      <c r="AE561" s="27">
        <v>0.13099041533546327</v>
      </c>
      <c r="AF561" s="27">
        <f t="shared" si="50"/>
        <v>9.7414940125451432E-4</v>
      </c>
      <c r="AG561" s="37">
        <v>57</v>
      </c>
      <c r="AH561" s="27">
        <v>0.18210862619808307</v>
      </c>
      <c r="AI561" s="27">
        <f t="shared" si="51"/>
        <v>1.3543052651587152E-3</v>
      </c>
      <c r="AJ561" s="38">
        <v>0</v>
      </c>
      <c r="AK561" s="27">
        <v>0</v>
      </c>
      <c r="AL561" s="27">
        <f t="shared" si="52"/>
        <v>0</v>
      </c>
      <c r="AM561" s="40">
        <v>0</v>
      </c>
      <c r="AN561" s="27">
        <v>0</v>
      </c>
      <c r="AO561" s="27">
        <f t="shared" si="53"/>
        <v>0</v>
      </c>
      <c r="AP561" s="7" t="b">
        <v>1</v>
      </c>
      <c r="AQ561" s="6" t="b">
        <v>0</v>
      </c>
      <c r="AR561" s="6" t="b">
        <v>0</v>
      </c>
      <c r="AS561" s="6" t="b">
        <v>0</v>
      </c>
      <c r="AT561" s="7" t="b">
        <v>1</v>
      </c>
      <c r="AU561" s="6" t="b">
        <v>0</v>
      </c>
      <c r="AV561" s="6" t="b">
        <v>0</v>
      </c>
      <c r="AW561" s="6" t="b">
        <v>0</v>
      </c>
      <c r="AX561" s="6" t="b">
        <v>0</v>
      </c>
      <c r="AY561" s="6" t="b">
        <v>0</v>
      </c>
      <c r="AZ561" s="6" t="b">
        <v>0</v>
      </c>
      <c r="BA561" s="6" t="b">
        <v>0</v>
      </c>
      <c r="BB561" s="6" t="b">
        <v>0</v>
      </c>
    </row>
    <row r="562" spans="1:54" ht="15" x14ac:dyDescent="0.25">
      <c r="A562" s="3" t="s">
        <v>1181</v>
      </c>
      <c r="B562" s="3" t="str">
        <f ca="1">IFERROR(__xludf.DUMMYFUNCTION("SPLIT(A562,""/"")"),"kubernetes-client")</f>
        <v>kubernetes-client</v>
      </c>
      <c r="C562" s="3" t="str">
        <f ca="1">IFERROR(__xludf.DUMMYFUNCTION("""COMPUTED_VALUE"""),"python")</f>
        <v>python</v>
      </c>
      <c r="D562" s="4" t="s">
        <v>1182</v>
      </c>
      <c r="E562" s="5">
        <v>42674.838923611111</v>
      </c>
      <c r="F562" s="5">
        <v>44294.585486111115</v>
      </c>
      <c r="G562" s="13">
        <f t="shared" si="48"/>
        <v>1619.7465625000041</v>
      </c>
      <c r="H562" s="6" t="b">
        <v>0</v>
      </c>
      <c r="I562" s="7" t="b">
        <v>1</v>
      </c>
      <c r="J562" s="8">
        <v>3592</v>
      </c>
      <c r="K562" s="8">
        <v>137</v>
      </c>
      <c r="L562" s="8">
        <v>1997</v>
      </c>
      <c r="M562" s="8">
        <v>50</v>
      </c>
      <c r="N562" s="8">
        <v>3</v>
      </c>
      <c r="O562" s="8">
        <v>83</v>
      </c>
      <c r="P562" s="8">
        <v>529</v>
      </c>
      <c r="Q562" s="8">
        <v>16</v>
      </c>
      <c r="R562" s="8">
        <v>878</v>
      </c>
      <c r="S562" s="8">
        <v>82</v>
      </c>
      <c r="T562" s="3" t="s">
        <v>69</v>
      </c>
      <c r="U562" s="10">
        <v>109162</v>
      </c>
      <c r="V562" s="32">
        <v>2</v>
      </c>
      <c r="W562" s="27">
        <v>1.8321393891647275E-5</v>
      </c>
      <c r="X562" s="34">
        <v>1</v>
      </c>
      <c r="Y562" s="27">
        <v>0.5</v>
      </c>
      <c r="Z562" s="27">
        <v>9.1606969458236375E-6</v>
      </c>
      <c r="AA562" s="35">
        <v>0</v>
      </c>
      <c r="AB562" s="27">
        <v>0</v>
      </c>
      <c r="AC562" s="27">
        <f t="shared" si="49"/>
        <v>0</v>
      </c>
      <c r="AD562" s="36">
        <v>1</v>
      </c>
      <c r="AE562" s="27">
        <v>0.5</v>
      </c>
      <c r="AF562" s="27">
        <f t="shared" si="50"/>
        <v>9.1606969458236375E-6</v>
      </c>
      <c r="AG562" s="37">
        <v>0</v>
      </c>
      <c r="AH562" s="27">
        <v>0</v>
      </c>
      <c r="AI562" s="27">
        <f t="shared" si="51"/>
        <v>0</v>
      </c>
      <c r="AJ562" s="38">
        <v>0</v>
      </c>
      <c r="AK562" s="27">
        <v>0</v>
      </c>
      <c r="AL562" s="27">
        <f t="shared" si="52"/>
        <v>0</v>
      </c>
      <c r="AM562" s="40">
        <v>0</v>
      </c>
      <c r="AN562" s="27">
        <v>0</v>
      </c>
      <c r="AO562" s="27">
        <f t="shared" si="53"/>
        <v>0</v>
      </c>
      <c r="AP562" s="7" t="b">
        <v>1</v>
      </c>
      <c r="AQ562" s="6" t="b">
        <v>0</v>
      </c>
      <c r="AR562" s="6" t="b">
        <v>0</v>
      </c>
      <c r="AS562" s="6" t="b">
        <v>0</v>
      </c>
      <c r="AT562" s="7" t="b">
        <v>1</v>
      </c>
      <c r="AU562" s="6" t="b">
        <v>0</v>
      </c>
      <c r="AV562" s="6" t="b">
        <v>0</v>
      </c>
      <c r="AW562" s="6" t="b">
        <v>0</v>
      </c>
      <c r="AX562" s="6" t="b">
        <v>0</v>
      </c>
      <c r="AY562" s="6" t="b">
        <v>0</v>
      </c>
      <c r="AZ562" s="6" t="b">
        <v>0</v>
      </c>
      <c r="BA562" s="6" t="b">
        <v>0</v>
      </c>
      <c r="BB562" s="6" t="b">
        <v>0</v>
      </c>
    </row>
    <row r="563" spans="1:54" ht="15" x14ac:dyDescent="0.25">
      <c r="A563" s="3" t="s">
        <v>1183</v>
      </c>
      <c r="B563" s="3" t="str">
        <f ca="1">IFERROR(__xludf.DUMMYFUNCTION("SPLIT(A563,""/"")"),"kyb3r")</f>
        <v>kyb3r</v>
      </c>
      <c r="C563" s="3" t="str">
        <f ca="1">IFERROR(__xludf.DUMMYFUNCTION("""COMPUTED_VALUE"""),"modmail")</f>
        <v>modmail</v>
      </c>
      <c r="D563" s="4" t="s">
        <v>1184</v>
      </c>
      <c r="E563" s="5">
        <v>43016.267291666663</v>
      </c>
      <c r="F563" s="5">
        <v>44294.732870370368</v>
      </c>
      <c r="G563" s="13">
        <f t="shared" si="48"/>
        <v>1278.4655787037045</v>
      </c>
      <c r="H563" s="6" t="b">
        <v>0</v>
      </c>
      <c r="I563" s="6" t="b">
        <v>0</v>
      </c>
      <c r="J563" s="8">
        <v>976</v>
      </c>
      <c r="K563" s="8">
        <v>57</v>
      </c>
      <c r="L563" s="8">
        <v>2942</v>
      </c>
      <c r="M563" s="8">
        <v>140</v>
      </c>
      <c r="N563" s="8">
        <v>43</v>
      </c>
      <c r="O563" s="8">
        <v>44</v>
      </c>
      <c r="P563" s="8">
        <v>295</v>
      </c>
      <c r="Q563" s="8">
        <v>3</v>
      </c>
      <c r="R563" s="8">
        <v>603</v>
      </c>
      <c r="S563" s="8">
        <v>23</v>
      </c>
      <c r="T563" s="3" t="s">
        <v>366</v>
      </c>
      <c r="U563" s="10">
        <v>5793</v>
      </c>
      <c r="V563" s="32">
        <v>231</v>
      </c>
      <c r="W563" s="27">
        <v>3.98757120662869E-2</v>
      </c>
      <c r="X563" s="34">
        <v>70</v>
      </c>
      <c r="Y563" s="27">
        <v>0.30303030303030304</v>
      </c>
      <c r="Z563" s="27">
        <v>1.2083549110996029E-2</v>
      </c>
      <c r="AA563" s="35">
        <v>60</v>
      </c>
      <c r="AB563" s="27">
        <v>0.25974025974025972</v>
      </c>
      <c r="AC563" s="27">
        <f t="shared" si="49"/>
        <v>1.0357327809425169E-2</v>
      </c>
      <c r="AD563" s="36">
        <v>60</v>
      </c>
      <c r="AE563" s="27">
        <v>0.25974025974025972</v>
      </c>
      <c r="AF563" s="27">
        <f t="shared" si="50"/>
        <v>1.0357327809425169E-2</v>
      </c>
      <c r="AG563" s="37">
        <v>23</v>
      </c>
      <c r="AH563" s="27">
        <v>9.9567099567099568E-2</v>
      </c>
      <c r="AI563" s="27">
        <f t="shared" si="51"/>
        <v>3.9703089936129815E-3</v>
      </c>
      <c r="AJ563" s="38">
        <v>16</v>
      </c>
      <c r="AK563" s="27">
        <v>6.9264069264069264E-2</v>
      </c>
      <c r="AL563" s="27">
        <f t="shared" si="52"/>
        <v>2.7619540825133781E-3</v>
      </c>
      <c r="AM563" s="40">
        <v>0</v>
      </c>
      <c r="AN563" s="27">
        <v>0</v>
      </c>
      <c r="AO563" s="27">
        <f t="shared" si="53"/>
        <v>0</v>
      </c>
      <c r="AP563" s="7" t="b">
        <v>1</v>
      </c>
      <c r="AQ563" s="6" t="b">
        <v>0</v>
      </c>
      <c r="AR563" s="6" t="b">
        <v>0</v>
      </c>
      <c r="AS563" s="6" t="b">
        <v>0</v>
      </c>
      <c r="AT563" s="7" t="b">
        <v>1</v>
      </c>
      <c r="AU563" s="6" t="b">
        <v>0</v>
      </c>
      <c r="AV563" s="6" t="b">
        <v>0</v>
      </c>
      <c r="AW563" s="6" t="b">
        <v>0</v>
      </c>
      <c r="AX563" s="6" t="b">
        <v>0</v>
      </c>
      <c r="AY563" s="6" t="b">
        <v>0</v>
      </c>
      <c r="AZ563" s="6" t="b">
        <v>0</v>
      </c>
      <c r="BA563" s="6" t="b">
        <v>0</v>
      </c>
      <c r="BB563" s="6" t="b">
        <v>0</v>
      </c>
    </row>
    <row r="564" spans="1:54" ht="15" x14ac:dyDescent="0.25">
      <c r="A564" s="3" t="s">
        <v>1185</v>
      </c>
      <c r="B564" s="3" t="str">
        <f ca="1">IFERROR(__xludf.DUMMYFUNCTION("SPLIT(A564,""/"")"),"kymatio")</f>
        <v>kymatio</v>
      </c>
      <c r="C564" s="3" t="str">
        <f ca="1">IFERROR(__xludf.DUMMYFUNCTION("""COMPUTED_VALUE"""),"kymatio")</f>
        <v>kymatio</v>
      </c>
      <c r="D564" s="4" t="s">
        <v>1186</v>
      </c>
      <c r="E564" s="5">
        <v>43375.073449074072</v>
      </c>
      <c r="F564" s="5">
        <v>44292.448333333334</v>
      </c>
      <c r="G564" s="13">
        <f t="shared" si="48"/>
        <v>917.37488425926131</v>
      </c>
      <c r="H564" s="6" t="b">
        <v>0</v>
      </c>
      <c r="I564" s="7" t="b">
        <v>1</v>
      </c>
      <c r="J564" s="8">
        <v>409</v>
      </c>
      <c r="K564" s="8">
        <v>26</v>
      </c>
      <c r="L564" s="8">
        <v>76</v>
      </c>
      <c r="M564" s="8">
        <v>0</v>
      </c>
      <c r="N564" s="8">
        <v>9</v>
      </c>
      <c r="O564" s="8">
        <v>23</v>
      </c>
      <c r="P564" s="8">
        <v>413</v>
      </c>
      <c r="Q564" s="8">
        <v>12</v>
      </c>
      <c r="R564" s="8">
        <v>296</v>
      </c>
      <c r="S564" s="8">
        <v>48</v>
      </c>
      <c r="T564" s="3" t="s">
        <v>57</v>
      </c>
      <c r="U564" s="10">
        <v>5862</v>
      </c>
      <c r="V564" s="32">
        <v>11</v>
      </c>
      <c r="W564" s="27">
        <v>1.8764926646195838E-3</v>
      </c>
      <c r="X564" s="34">
        <v>0</v>
      </c>
      <c r="Y564" s="27">
        <v>0</v>
      </c>
      <c r="Z564" s="27">
        <v>0</v>
      </c>
      <c r="AA564" s="35">
        <v>1</v>
      </c>
      <c r="AB564" s="27">
        <v>9.0909090909090912E-2</v>
      </c>
      <c r="AC564" s="27">
        <f t="shared" si="49"/>
        <v>1.7059024223814399E-4</v>
      </c>
      <c r="AD564" s="36">
        <v>10</v>
      </c>
      <c r="AE564" s="27">
        <v>0.90909090909090906</v>
      </c>
      <c r="AF564" s="27">
        <f t="shared" si="50"/>
        <v>1.7059024223814397E-3</v>
      </c>
      <c r="AG564" s="37">
        <v>0</v>
      </c>
      <c r="AH564" s="27">
        <v>0</v>
      </c>
      <c r="AI564" s="27">
        <f t="shared" si="51"/>
        <v>0</v>
      </c>
      <c r="AJ564" s="38">
        <v>0</v>
      </c>
      <c r="AK564" s="27">
        <v>0</v>
      </c>
      <c r="AL564" s="27">
        <f t="shared" si="52"/>
        <v>0</v>
      </c>
      <c r="AM564" s="40">
        <v>0</v>
      </c>
      <c r="AN564" s="27">
        <v>0</v>
      </c>
      <c r="AO564" s="27">
        <f t="shared" si="53"/>
        <v>0</v>
      </c>
      <c r="AP564" s="7" t="b">
        <v>1</v>
      </c>
      <c r="AQ564" s="6" t="b">
        <v>0</v>
      </c>
      <c r="AR564" s="6" t="b">
        <v>0</v>
      </c>
      <c r="AS564" s="6" t="b">
        <v>0</v>
      </c>
      <c r="AT564" s="7" t="b">
        <v>1</v>
      </c>
      <c r="AU564" s="6" t="b">
        <v>0</v>
      </c>
      <c r="AV564" s="6" t="b">
        <v>0</v>
      </c>
      <c r="AW564" s="6" t="b">
        <v>0</v>
      </c>
      <c r="AX564" s="6" t="b">
        <v>0</v>
      </c>
      <c r="AY564" s="6" t="b">
        <v>0</v>
      </c>
      <c r="AZ564" s="6" t="b">
        <v>0</v>
      </c>
      <c r="BA564" s="6" t="b">
        <v>0</v>
      </c>
      <c r="BB564" s="6" t="b">
        <v>0</v>
      </c>
    </row>
    <row r="565" spans="1:54" ht="15" x14ac:dyDescent="0.25">
      <c r="A565" s="3" t="s">
        <v>1187</v>
      </c>
      <c r="B565" s="3" t="str">
        <f ca="1">IFERROR(__xludf.DUMMYFUNCTION("SPLIT(A565,""/"")"),"kyuupichan")</f>
        <v>kyuupichan</v>
      </c>
      <c r="C565" s="3" t="str">
        <f ca="1">IFERROR(__xludf.DUMMYFUNCTION("""COMPUTED_VALUE"""),"electrumx")</f>
        <v>electrumx</v>
      </c>
      <c r="D565" s="4" t="s">
        <v>1188</v>
      </c>
      <c r="E565" s="5">
        <v>42651.33390046296</v>
      </c>
      <c r="F565" s="5">
        <v>44292.868437500001</v>
      </c>
      <c r="G565" s="13">
        <f t="shared" si="48"/>
        <v>1641.5345370370414</v>
      </c>
      <c r="H565" s="6" t="b">
        <v>0</v>
      </c>
      <c r="I565" s="6" t="b">
        <v>0</v>
      </c>
      <c r="J565" s="8">
        <v>626</v>
      </c>
      <c r="K565" s="8">
        <v>57</v>
      </c>
      <c r="L565" s="8">
        <v>595</v>
      </c>
      <c r="M565" s="8">
        <v>1</v>
      </c>
      <c r="N565" s="8">
        <v>40</v>
      </c>
      <c r="O565" s="8">
        <v>146</v>
      </c>
      <c r="P565" s="8">
        <v>470</v>
      </c>
      <c r="Q565" s="8">
        <v>3</v>
      </c>
      <c r="R565" s="8">
        <v>567</v>
      </c>
      <c r="S565" s="8">
        <v>18</v>
      </c>
      <c r="T565" s="3" t="s">
        <v>72</v>
      </c>
      <c r="U565" s="10">
        <v>6485</v>
      </c>
      <c r="V565" s="32">
        <v>141</v>
      </c>
      <c r="W565" s="27">
        <v>2.1742482652274478E-2</v>
      </c>
      <c r="X565" s="34">
        <v>1</v>
      </c>
      <c r="Y565" s="27">
        <v>7.0921985815602835E-3</v>
      </c>
      <c r="Z565" s="27">
        <v>1.5420200462606013E-4</v>
      </c>
      <c r="AA565" s="35">
        <v>121</v>
      </c>
      <c r="AB565" s="27">
        <v>0.85815602836879434</v>
      </c>
      <c r="AC565" s="27">
        <f t="shared" si="49"/>
        <v>1.8658442559753276E-2</v>
      </c>
      <c r="AD565" s="36">
        <v>7</v>
      </c>
      <c r="AE565" s="27">
        <v>4.9645390070921988E-2</v>
      </c>
      <c r="AF565" s="27">
        <f t="shared" si="50"/>
        <v>1.0794140323824211E-3</v>
      </c>
      <c r="AG565" s="37">
        <v>12</v>
      </c>
      <c r="AH565" s="27">
        <v>8.5106382978723402E-2</v>
      </c>
      <c r="AI565" s="27">
        <f t="shared" si="51"/>
        <v>1.8504240555127216E-3</v>
      </c>
      <c r="AJ565" s="38">
        <v>0</v>
      </c>
      <c r="AK565" s="27">
        <v>0</v>
      </c>
      <c r="AL565" s="27">
        <f t="shared" si="52"/>
        <v>0</v>
      </c>
      <c r="AM565" s="40">
        <v>0</v>
      </c>
      <c r="AN565" s="27">
        <v>0</v>
      </c>
      <c r="AO565" s="27">
        <f t="shared" si="53"/>
        <v>0</v>
      </c>
      <c r="AP565" s="7" t="b">
        <v>1</v>
      </c>
      <c r="AQ565" s="6" t="b">
        <v>0</v>
      </c>
      <c r="AR565" s="6" t="b">
        <v>0</v>
      </c>
      <c r="AS565" s="6" t="b">
        <v>0</v>
      </c>
      <c r="AT565" s="7" t="b">
        <v>1</v>
      </c>
      <c r="AU565" s="6" t="b">
        <v>0</v>
      </c>
      <c r="AV565" s="6" t="b">
        <v>0</v>
      </c>
      <c r="AW565" s="6" t="b">
        <v>0</v>
      </c>
      <c r="AX565" s="6" t="b">
        <v>0</v>
      </c>
      <c r="AY565" s="6" t="b">
        <v>0</v>
      </c>
      <c r="AZ565" s="6" t="b">
        <v>0</v>
      </c>
      <c r="BA565" s="6" t="b">
        <v>0</v>
      </c>
      <c r="BB565" s="6" t="b">
        <v>0</v>
      </c>
    </row>
    <row r="566" spans="1:54" ht="15" x14ac:dyDescent="0.25">
      <c r="A566" s="3" t="s">
        <v>1189</v>
      </c>
      <c r="B566" s="3" t="str">
        <f ca="1">IFERROR(__xludf.DUMMYFUNCTION("SPLIT(A566,""/"")"),"l3uddz")</f>
        <v>l3uddz</v>
      </c>
      <c r="C566" s="3" t="str">
        <f ca="1">IFERROR(__xludf.DUMMYFUNCTION("""COMPUTED_VALUE"""),"traktarr")</f>
        <v>traktarr</v>
      </c>
      <c r="D566" s="4" t="s">
        <v>1190</v>
      </c>
      <c r="E566" s="5">
        <v>43165.800520833334</v>
      </c>
      <c r="F566" s="5">
        <v>44293.255486111113</v>
      </c>
      <c r="G566" s="13">
        <f t="shared" si="48"/>
        <v>1127.4549652777787</v>
      </c>
      <c r="H566" s="6" t="b">
        <v>0</v>
      </c>
      <c r="I566" s="6" t="b">
        <v>0</v>
      </c>
      <c r="J566" s="8">
        <v>369</v>
      </c>
      <c r="K566" s="8">
        <v>22</v>
      </c>
      <c r="L566" s="8">
        <v>44</v>
      </c>
      <c r="M566" s="8">
        <v>10</v>
      </c>
      <c r="N566" s="8">
        <v>0</v>
      </c>
      <c r="O566" s="8">
        <v>11</v>
      </c>
      <c r="P566" s="8">
        <v>65</v>
      </c>
      <c r="Q566" s="8">
        <v>4</v>
      </c>
      <c r="R566" s="8">
        <v>82</v>
      </c>
      <c r="S566" s="8">
        <v>38</v>
      </c>
      <c r="T566" s="3" t="s">
        <v>49</v>
      </c>
      <c r="U566" s="10">
        <v>2222</v>
      </c>
      <c r="V566" s="32">
        <v>315</v>
      </c>
      <c r="W566" s="27">
        <v>0.14176417641764177</v>
      </c>
      <c r="X566" s="34">
        <v>132</v>
      </c>
      <c r="Y566" s="27">
        <v>0.41904761904761906</v>
      </c>
      <c r="Z566" s="27">
        <v>5.9405940594059403E-2</v>
      </c>
      <c r="AA566" s="35">
        <v>74</v>
      </c>
      <c r="AB566" s="27">
        <v>0.23492063492063492</v>
      </c>
      <c r="AC566" s="27">
        <f t="shared" si="49"/>
        <v>3.3303330333033301E-2</v>
      </c>
      <c r="AD566" s="36">
        <v>4</v>
      </c>
      <c r="AE566" s="27">
        <v>1.2698412698412698E-2</v>
      </c>
      <c r="AF566" s="27">
        <f t="shared" si="50"/>
        <v>1.8001800180018001E-3</v>
      </c>
      <c r="AG566" s="37">
        <v>105</v>
      </c>
      <c r="AH566" s="27">
        <v>0.33333333333333331</v>
      </c>
      <c r="AI566" s="27">
        <f t="shared" si="51"/>
        <v>4.7254725472547256E-2</v>
      </c>
      <c r="AJ566" s="38">
        <v>0</v>
      </c>
      <c r="AK566" s="27">
        <v>0</v>
      </c>
      <c r="AL566" s="27">
        <f t="shared" si="52"/>
        <v>0</v>
      </c>
      <c r="AM566" s="40">
        <v>0</v>
      </c>
      <c r="AN566" s="27">
        <v>0</v>
      </c>
      <c r="AO566" s="27">
        <f t="shared" si="53"/>
        <v>0</v>
      </c>
      <c r="AP566" s="7" t="b">
        <v>1</v>
      </c>
      <c r="AQ566" s="6" t="b">
        <v>0</v>
      </c>
      <c r="AR566" s="6" t="b">
        <v>0</v>
      </c>
      <c r="AS566" s="6" t="b">
        <v>0</v>
      </c>
      <c r="AT566" s="7" t="b">
        <v>1</v>
      </c>
      <c r="AU566" s="6" t="b">
        <v>0</v>
      </c>
      <c r="AV566" s="6" t="b">
        <v>0</v>
      </c>
      <c r="AW566" s="6" t="b">
        <v>0</v>
      </c>
      <c r="AX566" s="6" t="b">
        <v>0</v>
      </c>
      <c r="AY566" s="6" t="b">
        <v>0</v>
      </c>
      <c r="AZ566" s="6" t="b">
        <v>0</v>
      </c>
      <c r="BA566" s="6" t="b">
        <v>0</v>
      </c>
      <c r="BB566" s="6" t="b">
        <v>0</v>
      </c>
    </row>
    <row r="567" spans="1:54" ht="15" x14ac:dyDescent="0.25">
      <c r="A567" s="3" t="s">
        <v>1191</v>
      </c>
      <c r="B567" s="3" t="str">
        <f ca="1">IFERROR(__xludf.DUMMYFUNCTION("SPLIT(A567,""/"")"),"laixintao")</f>
        <v>laixintao</v>
      </c>
      <c r="C567" s="3" t="str">
        <f ca="1">IFERROR(__xludf.DUMMYFUNCTION("""COMPUTED_VALUE"""),"iredis")</f>
        <v>iredis</v>
      </c>
      <c r="D567" s="4" t="s">
        <v>1192</v>
      </c>
      <c r="E567" s="5">
        <v>43483.355034722219</v>
      </c>
      <c r="F567" s="5">
        <v>44294.094930555555</v>
      </c>
      <c r="G567" s="13">
        <f t="shared" si="48"/>
        <v>810.73989583333605</v>
      </c>
      <c r="H567" s="6" t="b">
        <v>0</v>
      </c>
      <c r="I567" s="6" t="b">
        <v>0</v>
      </c>
      <c r="J567" s="8">
        <v>1424</v>
      </c>
      <c r="K567" s="8">
        <v>17</v>
      </c>
      <c r="L567" s="8">
        <v>55</v>
      </c>
      <c r="M567" s="8">
        <v>29</v>
      </c>
      <c r="N567" s="8">
        <v>0</v>
      </c>
      <c r="O567" s="8">
        <v>17</v>
      </c>
      <c r="P567" s="8">
        <v>204</v>
      </c>
      <c r="Q567" s="8">
        <v>3</v>
      </c>
      <c r="R567" s="8">
        <v>177</v>
      </c>
      <c r="S567" s="8">
        <v>58</v>
      </c>
      <c r="T567" s="3" t="s">
        <v>92</v>
      </c>
      <c r="U567" s="10">
        <v>4034</v>
      </c>
      <c r="V567" s="32">
        <v>57</v>
      </c>
      <c r="W567" s="27">
        <v>1.412989588497769E-2</v>
      </c>
      <c r="X567" s="34">
        <v>22</v>
      </c>
      <c r="Y567" s="27">
        <v>0.38596491228070173</v>
      </c>
      <c r="Z567" s="27">
        <v>5.4536440257808624E-3</v>
      </c>
      <c r="AA567" s="35">
        <v>22</v>
      </c>
      <c r="AB567" s="27">
        <v>0.38596491228070173</v>
      </c>
      <c r="AC567" s="27">
        <f t="shared" si="49"/>
        <v>5.4536440257808624E-3</v>
      </c>
      <c r="AD567" s="36">
        <v>6</v>
      </c>
      <c r="AE567" s="27">
        <v>0.10526315789473684</v>
      </c>
      <c r="AF567" s="27">
        <f t="shared" si="50"/>
        <v>1.4873574615765989E-3</v>
      </c>
      <c r="AG567" s="37">
        <v>3</v>
      </c>
      <c r="AH567" s="27">
        <v>5.2631578947368418E-2</v>
      </c>
      <c r="AI567" s="27">
        <f t="shared" si="51"/>
        <v>7.4367873078829945E-4</v>
      </c>
      <c r="AJ567" s="38">
        <v>0</v>
      </c>
      <c r="AK567" s="27">
        <v>0</v>
      </c>
      <c r="AL567" s="27">
        <f t="shared" si="52"/>
        <v>0</v>
      </c>
      <c r="AM567" s="40">
        <v>0</v>
      </c>
      <c r="AN567" s="27">
        <v>0</v>
      </c>
      <c r="AO567" s="27">
        <f t="shared" si="53"/>
        <v>0</v>
      </c>
      <c r="AP567" s="7" t="b">
        <v>1</v>
      </c>
      <c r="AQ567" s="6" t="b">
        <v>0</v>
      </c>
      <c r="AR567" s="6" t="b">
        <v>0</v>
      </c>
      <c r="AS567" s="6" t="b">
        <v>0</v>
      </c>
      <c r="AT567" s="7" t="b">
        <v>1</v>
      </c>
      <c r="AU567" s="6" t="b">
        <v>0</v>
      </c>
      <c r="AV567" s="6" t="b">
        <v>0</v>
      </c>
      <c r="AW567" s="6" t="b">
        <v>0</v>
      </c>
      <c r="AX567" s="6" t="b">
        <v>0</v>
      </c>
      <c r="AY567" s="6" t="b">
        <v>0</v>
      </c>
      <c r="AZ567" s="6" t="b">
        <v>0</v>
      </c>
      <c r="BA567" s="6" t="b">
        <v>0</v>
      </c>
      <c r="BB567" s="6" t="b">
        <v>0</v>
      </c>
    </row>
    <row r="568" spans="1:54" ht="15" x14ac:dyDescent="0.25">
      <c r="A568" s="3" t="s">
        <v>1193</v>
      </c>
      <c r="B568" s="3" t="str">
        <f ca="1">IFERROR(__xludf.DUMMYFUNCTION("SPLIT(A568,""/"")"),"lancachenet")</f>
        <v>lancachenet</v>
      </c>
      <c r="C568" s="3" t="str">
        <f ca="1">IFERROR(__xludf.DUMMYFUNCTION("""COMPUTED_VALUE"""),"steamcache")</f>
        <v>steamcache</v>
      </c>
      <c r="D568" s="4" t="s">
        <v>1194</v>
      </c>
      <c r="E568" s="5">
        <v>42077.517905092594</v>
      </c>
      <c r="F568" s="5">
        <v>44262.010821759257</v>
      </c>
      <c r="G568" s="13">
        <f t="shared" si="48"/>
        <v>2184.4929166666625</v>
      </c>
      <c r="H568" s="6" t="b">
        <v>0</v>
      </c>
      <c r="I568" s="7" t="b">
        <v>1</v>
      </c>
      <c r="J568" s="8">
        <v>351</v>
      </c>
      <c r="K568" s="8">
        <v>32</v>
      </c>
      <c r="L568" s="8">
        <v>34</v>
      </c>
      <c r="M568" s="8">
        <v>0</v>
      </c>
      <c r="N568" s="8">
        <v>1</v>
      </c>
      <c r="O568" s="8">
        <v>5</v>
      </c>
      <c r="P568" s="8">
        <v>9</v>
      </c>
      <c r="Q568" s="8">
        <v>0</v>
      </c>
      <c r="R568" s="8">
        <v>0</v>
      </c>
      <c r="S568" s="8">
        <v>0</v>
      </c>
      <c r="T568" s="3" t="s">
        <v>72</v>
      </c>
      <c r="U568" s="10">
        <v>119</v>
      </c>
      <c r="V568" s="32">
        <v>6</v>
      </c>
      <c r="W568" s="27">
        <v>5.0420168067226892E-2</v>
      </c>
      <c r="X568" s="34">
        <v>3</v>
      </c>
      <c r="Y568" s="27">
        <v>0.5</v>
      </c>
      <c r="Z568" s="27">
        <v>2.5210084033613446E-2</v>
      </c>
      <c r="AA568" s="35">
        <v>0</v>
      </c>
      <c r="AB568" s="27">
        <v>0</v>
      </c>
      <c r="AC568" s="27">
        <f t="shared" si="49"/>
        <v>0</v>
      </c>
      <c r="AD568" s="36">
        <v>0</v>
      </c>
      <c r="AE568" s="27">
        <v>0</v>
      </c>
      <c r="AF568" s="27">
        <f t="shared" si="50"/>
        <v>0</v>
      </c>
      <c r="AG568" s="37">
        <v>3</v>
      </c>
      <c r="AH568" s="27">
        <v>0.5</v>
      </c>
      <c r="AI568" s="27">
        <f t="shared" si="51"/>
        <v>2.5210084033613446E-2</v>
      </c>
      <c r="AJ568" s="38">
        <v>0</v>
      </c>
      <c r="AK568" s="27">
        <v>0</v>
      </c>
      <c r="AL568" s="27">
        <f t="shared" si="52"/>
        <v>0</v>
      </c>
      <c r="AM568" s="40">
        <v>0</v>
      </c>
      <c r="AN568" s="27">
        <v>0</v>
      </c>
      <c r="AO568" s="27">
        <f t="shared" si="53"/>
        <v>0</v>
      </c>
      <c r="AP568" s="7" t="b">
        <v>1</v>
      </c>
      <c r="AQ568" s="6" t="b">
        <v>0</v>
      </c>
      <c r="AR568" s="6" t="b">
        <v>0</v>
      </c>
      <c r="AS568" s="6" t="b">
        <v>0</v>
      </c>
      <c r="AT568" s="7" t="b">
        <v>1</v>
      </c>
      <c r="AU568" s="6" t="b">
        <v>0</v>
      </c>
      <c r="AV568" s="6" t="b">
        <v>0</v>
      </c>
      <c r="AW568" s="6" t="b">
        <v>0</v>
      </c>
      <c r="AX568" s="6" t="b">
        <v>0</v>
      </c>
      <c r="AY568" s="6" t="b">
        <v>0</v>
      </c>
      <c r="AZ568" s="6" t="b">
        <v>0</v>
      </c>
      <c r="BA568" s="6" t="b">
        <v>0</v>
      </c>
      <c r="BB568" s="6" t="b">
        <v>0</v>
      </c>
    </row>
    <row r="569" spans="1:54" ht="15" x14ac:dyDescent="0.25">
      <c r="A569" s="3" t="s">
        <v>1195</v>
      </c>
      <c r="B569" s="3" t="str">
        <f ca="1">IFERROR(__xludf.DUMMYFUNCTION("SPLIT(A569,""/"")"),"langgithub")</f>
        <v>langgithub</v>
      </c>
      <c r="C569" s="3" t="str">
        <f ca="1">IFERROR(__xludf.DUMMYFUNCTION("""COMPUTED_VALUE"""),"CloudControl")</f>
        <v>CloudControl</v>
      </c>
      <c r="D569" s="4" t="s">
        <v>1196</v>
      </c>
      <c r="E569" s="5">
        <v>43615.102673611109</v>
      </c>
      <c r="F569" s="5">
        <v>44292.577094907407</v>
      </c>
      <c r="G569" s="13">
        <f t="shared" si="48"/>
        <v>677.47442129629781</v>
      </c>
      <c r="H569" s="6" t="b">
        <v>0</v>
      </c>
      <c r="I569" s="6" t="b">
        <v>0</v>
      </c>
      <c r="J569" s="8">
        <v>355</v>
      </c>
      <c r="K569" s="8">
        <v>19</v>
      </c>
      <c r="L569" s="8">
        <v>120</v>
      </c>
      <c r="M569" s="8">
        <v>0</v>
      </c>
      <c r="N569" s="8">
        <v>0</v>
      </c>
      <c r="O569" s="9">
        <v>0</v>
      </c>
      <c r="P569" s="8">
        <v>3</v>
      </c>
      <c r="Q569" s="8">
        <v>3</v>
      </c>
      <c r="R569" s="8">
        <v>5</v>
      </c>
      <c r="S569" s="8">
        <v>1</v>
      </c>
      <c r="T569" s="11" t="s">
        <v>52</v>
      </c>
      <c r="U569" s="10">
        <v>805</v>
      </c>
      <c r="V569" s="32">
        <v>30</v>
      </c>
      <c r="W569" s="27">
        <v>3.7267080745341616E-2</v>
      </c>
      <c r="X569" s="34">
        <v>23</v>
      </c>
      <c r="Y569" s="27">
        <v>0.76666666666666672</v>
      </c>
      <c r="Z569" s="27">
        <v>2.8571428571428571E-2</v>
      </c>
      <c r="AA569" s="35">
        <v>3</v>
      </c>
      <c r="AB569" s="27">
        <v>0.1</v>
      </c>
      <c r="AC569" s="27">
        <f t="shared" si="49"/>
        <v>3.7267080745341614E-3</v>
      </c>
      <c r="AD569" s="36">
        <v>1</v>
      </c>
      <c r="AE569" s="27">
        <v>3.3333333333333333E-2</v>
      </c>
      <c r="AF569" s="27">
        <f t="shared" si="50"/>
        <v>1.2422360248447205E-3</v>
      </c>
      <c r="AG569" s="37">
        <v>0</v>
      </c>
      <c r="AH569" s="27">
        <v>0</v>
      </c>
      <c r="AI569" s="27">
        <f t="shared" si="51"/>
        <v>0</v>
      </c>
      <c r="AJ569" s="38">
        <v>0</v>
      </c>
      <c r="AK569" s="27">
        <v>0</v>
      </c>
      <c r="AL569" s="27">
        <f t="shared" si="52"/>
        <v>0</v>
      </c>
      <c r="AM569" s="40">
        <v>0</v>
      </c>
      <c r="AN569" s="27">
        <v>0</v>
      </c>
      <c r="AO569" s="27">
        <f t="shared" si="53"/>
        <v>0</v>
      </c>
      <c r="AP569" s="7" t="b">
        <v>1</v>
      </c>
      <c r="AQ569" s="6" t="b">
        <v>0</v>
      </c>
      <c r="AR569" s="6" t="b">
        <v>0</v>
      </c>
      <c r="AS569" s="6" t="b">
        <v>0</v>
      </c>
      <c r="AT569" s="7" t="b">
        <v>1</v>
      </c>
      <c r="AU569" s="6" t="b">
        <v>0</v>
      </c>
      <c r="AV569" s="6" t="b">
        <v>0</v>
      </c>
      <c r="AW569" s="6" t="b">
        <v>0</v>
      </c>
      <c r="AX569" s="6" t="b">
        <v>0</v>
      </c>
      <c r="AY569" s="6" t="b">
        <v>0</v>
      </c>
      <c r="AZ569" s="6" t="b">
        <v>0</v>
      </c>
      <c r="BA569" s="6" t="b">
        <v>0</v>
      </c>
      <c r="BB569" s="6" t="b">
        <v>0</v>
      </c>
    </row>
    <row r="570" spans="1:54" ht="15" x14ac:dyDescent="0.25">
      <c r="A570" s="3" t="s">
        <v>1197</v>
      </c>
      <c r="B570" s="3" t="str">
        <f ca="1">IFERROR(__xludf.DUMMYFUNCTION("SPLIT(A570,""/"")"),"lanjelot")</f>
        <v>lanjelot</v>
      </c>
      <c r="C570" s="3" t="str">
        <f ca="1">IFERROR(__xludf.DUMMYFUNCTION("""COMPUTED_VALUE"""),"patator")</f>
        <v>patator</v>
      </c>
      <c r="D570" s="4" t="s">
        <v>1198</v>
      </c>
      <c r="E570" s="5">
        <v>41876.039131944446</v>
      </c>
      <c r="F570" s="5">
        <v>44295.090532407405</v>
      </c>
      <c r="G570" s="13">
        <f t="shared" si="48"/>
        <v>2419.0514004629586</v>
      </c>
      <c r="H570" s="6" t="b">
        <v>0</v>
      </c>
      <c r="I570" s="6" t="b">
        <v>0</v>
      </c>
      <c r="J570" s="8">
        <v>2475</v>
      </c>
      <c r="K570" s="8">
        <v>150</v>
      </c>
      <c r="L570" s="8">
        <v>609</v>
      </c>
      <c r="M570" s="8">
        <v>0</v>
      </c>
      <c r="N570" s="8">
        <v>0</v>
      </c>
      <c r="O570" s="8">
        <v>10</v>
      </c>
      <c r="P570" s="8">
        <v>33</v>
      </c>
      <c r="Q570" s="8">
        <v>4</v>
      </c>
      <c r="R570" s="8">
        <v>127</v>
      </c>
      <c r="S570" s="8">
        <v>14</v>
      </c>
      <c r="T570" s="3" t="s">
        <v>64</v>
      </c>
      <c r="U570" s="10">
        <v>2851</v>
      </c>
      <c r="V570" s="32">
        <v>71</v>
      </c>
      <c r="W570" s="27">
        <v>2.4903542616625744E-2</v>
      </c>
      <c r="X570" s="34">
        <v>54</v>
      </c>
      <c r="Y570" s="27">
        <v>0.76056338028169013</v>
      </c>
      <c r="Z570" s="27">
        <v>1.8940722553490004E-2</v>
      </c>
      <c r="AA570" s="35">
        <v>12</v>
      </c>
      <c r="AB570" s="27">
        <v>0.16901408450704225</v>
      </c>
      <c r="AC570" s="27">
        <f t="shared" si="49"/>
        <v>4.2090494563311121E-3</v>
      </c>
      <c r="AD570" s="36">
        <v>3</v>
      </c>
      <c r="AE570" s="27">
        <v>4.2253521126760563E-2</v>
      </c>
      <c r="AF570" s="27">
        <f t="shared" si="50"/>
        <v>1.052262364082778E-3</v>
      </c>
      <c r="AG570" s="37">
        <v>2</v>
      </c>
      <c r="AH570" s="27">
        <v>2.8169014084507043E-2</v>
      </c>
      <c r="AI570" s="27">
        <f t="shared" si="51"/>
        <v>7.0150824272185194E-4</v>
      </c>
      <c r="AJ570" s="38">
        <v>0</v>
      </c>
      <c r="AK570" s="27">
        <v>0</v>
      </c>
      <c r="AL570" s="27">
        <f t="shared" si="52"/>
        <v>0</v>
      </c>
      <c r="AM570" s="40">
        <v>0</v>
      </c>
      <c r="AN570" s="27">
        <v>0</v>
      </c>
      <c r="AO570" s="27">
        <f t="shared" si="53"/>
        <v>0</v>
      </c>
      <c r="AP570" s="7" t="b">
        <v>1</v>
      </c>
      <c r="AQ570" s="7" t="b">
        <v>1</v>
      </c>
      <c r="AR570" s="6" t="b">
        <v>0</v>
      </c>
      <c r="AS570" s="6" t="b">
        <v>0</v>
      </c>
      <c r="AT570" s="7" t="b">
        <v>1</v>
      </c>
      <c r="AU570" s="6" t="b">
        <v>0</v>
      </c>
      <c r="AV570" s="6" t="b">
        <v>0</v>
      </c>
      <c r="AW570" s="6" t="b">
        <v>0</v>
      </c>
      <c r="AX570" s="6" t="b">
        <v>0</v>
      </c>
      <c r="AY570" s="6" t="b">
        <v>0</v>
      </c>
      <c r="AZ570" s="6" t="b">
        <v>0</v>
      </c>
      <c r="BA570" s="6" t="b">
        <v>0</v>
      </c>
      <c r="BB570" s="6" t="b">
        <v>0</v>
      </c>
    </row>
    <row r="571" spans="1:54" ht="15" x14ac:dyDescent="0.25">
      <c r="A571" s="3" t="s">
        <v>1199</v>
      </c>
      <c r="B571" s="3" t="str">
        <f ca="1">IFERROR(__xludf.DUMMYFUNCTION("SPLIT(A571,""/"")"),"lardbit")</f>
        <v>lardbit</v>
      </c>
      <c r="C571" s="3" t="str">
        <f ca="1">IFERROR(__xludf.DUMMYFUNCTION("""COMPUTED_VALUE"""),"nefarious")</f>
        <v>nefarious</v>
      </c>
      <c r="D571" s="4" t="s">
        <v>1200</v>
      </c>
      <c r="E571" s="5">
        <v>43421.639594907407</v>
      </c>
      <c r="F571" s="5">
        <v>44293.713530092595</v>
      </c>
      <c r="G571" s="13">
        <f t="shared" si="48"/>
        <v>872.07393518518802</v>
      </c>
      <c r="H571" s="6" t="b">
        <v>0</v>
      </c>
      <c r="I571" s="6" t="b">
        <v>0</v>
      </c>
      <c r="J571" s="8">
        <v>378</v>
      </c>
      <c r="K571" s="8">
        <v>16</v>
      </c>
      <c r="L571" s="8">
        <v>33</v>
      </c>
      <c r="M571" s="8">
        <v>0</v>
      </c>
      <c r="N571" s="8">
        <v>0</v>
      </c>
      <c r="O571" s="8">
        <v>3</v>
      </c>
      <c r="P571" s="8">
        <v>59</v>
      </c>
      <c r="Q571" s="8">
        <v>6</v>
      </c>
      <c r="R571" s="8">
        <v>44</v>
      </c>
      <c r="S571" s="8">
        <v>13</v>
      </c>
      <c r="T571" s="3" t="s">
        <v>49</v>
      </c>
      <c r="U571" s="10">
        <v>2552</v>
      </c>
      <c r="V571" s="32">
        <v>72</v>
      </c>
      <c r="W571" s="27">
        <v>2.8213166144200628E-2</v>
      </c>
      <c r="X571" s="34">
        <v>0</v>
      </c>
      <c r="Y571" s="27">
        <v>0</v>
      </c>
      <c r="Z571" s="27">
        <v>0</v>
      </c>
      <c r="AA571" s="35">
        <v>40</v>
      </c>
      <c r="AB571" s="27">
        <v>0.55555555555555558</v>
      </c>
      <c r="AC571" s="27">
        <f t="shared" si="49"/>
        <v>1.5673981191222569E-2</v>
      </c>
      <c r="AD571" s="36">
        <v>13</v>
      </c>
      <c r="AE571" s="27">
        <v>0.18055555555555555</v>
      </c>
      <c r="AF571" s="27">
        <f t="shared" si="50"/>
        <v>5.0940438871473351E-3</v>
      </c>
      <c r="AG571" s="37">
        <v>9</v>
      </c>
      <c r="AH571" s="27">
        <v>0.125</v>
      </c>
      <c r="AI571" s="27">
        <f t="shared" si="51"/>
        <v>3.5266457680250786E-3</v>
      </c>
      <c r="AJ571" s="38">
        <v>0</v>
      </c>
      <c r="AK571" s="27">
        <v>0</v>
      </c>
      <c r="AL571" s="27">
        <f t="shared" si="52"/>
        <v>0</v>
      </c>
      <c r="AM571" s="40">
        <v>0</v>
      </c>
      <c r="AN571" s="27">
        <v>0</v>
      </c>
      <c r="AO571" s="27">
        <f t="shared" si="53"/>
        <v>0</v>
      </c>
      <c r="AP571" s="7" t="b">
        <v>1</v>
      </c>
      <c r="AQ571" s="7" t="b">
        <v>1</v>
      </c>
      <c r="AR571" s="6" t="b">
        <v>0</v>
      </c>
      <c r="AS571" s="6" t="b">
        <v>0</v>
      </c>
      <c r="AT571" s="7" t="b">
        <v>1</v>
      </c>
      <c r="AU571" s="6" t="b">
        <v>0</v>
      </c>
      <c r="AV571" s="6" t="b">
        <v>0</v>
      </c>
      <c r="AW571" s="6" t="b">
        <v>0</v>
      </c>
      <c r="AX571" s="6" t="b">
        <v>0</v>
      </c>
      <c r="AY571" s="6" t="b">
        <v>0</v>
      </c>
      <c r="AZ571" s="6" t="b">
        <v>0</v>
      </c>
      <c r="BA571" s="6" t="b">
        <v>0</v>
      </c>
      <c r="BB571" s="6" t="b">
        <v>0</v>
      </c>
    </row>
    <row r="572" spans="1:54" ht="15" x14ac:dyDescent="0.25">
      <c r="A572" s="3" t="s">
        <v>1201</v>
      </c>
      <c r="B572" s="3" t="str">
        <f ca="1">IFERROR(__xludf.DUMMYFUNCTION("SPLIT(A572,""/"")"),"learningequality")</f>
        <v>learningequality</v>
      </c>
      <c r="C572" s="3" t="str">
        <f ca="1">IFERROR(__xludf.DUMMYFUNCTION("""COMPUTED_VALUE"""),"ka-lite")</f>
        <v>ka-lite</v>
      </c>
      <c r="D572" s="4" t="s">
        <v>1202</v>
      </c>
      <c r="E572" s="5">
        <v>41161.834490740737</v>
      </c>
      <c r="F572" s="5">
        <v>44292.627256944441</v>
      </c>
      <c r="G572" s="13">
        <f t="shared" si="48"/>
        <v>3130.7927662037036</v>
      </c>
      <c r="H572" s="6" t="b">
        <v>0</v>
      </c>
      <c r="I572" s="7" t="b">
        <v>1</v>
      </c>
      <c r="J572" s="8">
        <v>451</v>
      </c>
      <c r="K572" s="8">
        <v>70</v>
      </c>
      <c r="L572" s="8">
        <v>294</v>
      </c>
      <c r="M572" s="8">
        <v>25</v>
      </c>
      <c r="N572" s="8">
        <v>184</v>
      </c>
      <c r="O572" s="8">
        <v>80</v>
      </c>
      <c r="P572" s="8">
        <v>2736</v>
      </c>
      <c r="Q572" s="8">
        <v>3</v>
      </c>
      <c r="R572" s="8">
        <v>2892</v>
      </c>
      <c r="S572" s="8">
        <v>73</v>
      </c>
      <c r="T572" s="3" t="s">
        <v>92</v>
      </c>
      <c r="U572" s="10">
        <v>88684</v>
      </c>
      <c r="V572" s="32">
        <v>303</v>
      </c>
      <c r="W572" s="27">
        <v>3.4166253213657482E-3</v>
      </c>
      <c r="X572" s="34">
        <v>45</v>
      </c>
      <c r="Y572" s="27">
        <v>0.14851485148514851</v>
      </c>
      <c r="Z572" s="27">
        <v>5.074196021830319E-4</v>
      </c>
      <c r="AA572" s="35">
        <v>74</v>
      </c>
      <c r="AB572" s="27">
        <v>0.24422442244224424</v>
      </c>
      <c r="AC572" s="27">
        <f t="shared" si="49"/>
        <v>8.3442334581209688E-4</v>
      </c>
      <c r="AD572" s="36">
        <v>112</v>
      </c>
      <c r="AE572" s="27">
        <v>0.36963696369636961</v>
      </c>
      <c r="AF572" s="27">
        <f t="shared" si="50"/>
        <v>1.2629110098777683E-3</v>
      </c>
      <c r="AG572" s="37">
        <v>56</v>
      </c>
      <c r="AH572" s="27">
        <v>0.18481848184818481</v>
      </c>
      <c r="AI572" s="27">
        <f t="shared" si="51"/>
        <v>6.3145550493888417E-4</v>
      </c>
      <c r="AJ572" s="38">
        <v>0</v>
      </c>
      <c r="AK572" s="27">
        <v>0</v>
      </c>
      <c r="AL572" s="27">
        <f t="shared" si="52"/>
        <v>0</v>
      </c>
      <c r="AM572" s="40">
        <v>12</v>
      </c>
      <c r="AN572" s="27">
        <v>3.9603960396039604E-2</v>
      </c>
      <c r="AO572" s="27">
        <f t="shared" si="53"/>
        <v>1.3531189391547516E-4</v>
      </c>
      <c r="AP572" s="7" t="b">
        <v>1</v>
      </c>
      <c r="AQ572" s="6" t="b">
        <v>0</v>
      </c>
      <c r="AR572" s="6" t="b">
        <v>0</v>
      </c>
      <c r="AS572" s="6" t="b">
        <v>0</v>
      </c>
      <c r="AT572" s="7" t="b">
        <v>1</v>
      </c>
      <c r="AU572" s="6" t="b">
        <v>0</v>
      </c>
      <c r="AV572" s="6" t="b">
        <v>0</v>
      </c>
      <c r="AW572" s="6" t="b">
        <v>0</v>
      </c>
      <c r="AX572" s="6" t="b">
        <v>0</v>
      </c>
      <c r="AY572" s="6" t="b">
        <v>0</v>
      </c>
      <c r="AZ572" s="6" t="b">
        <v>0</v>
      </c>
      <c r="BA572" s="6" t="b">
        <v>0</v>
      </c>
      <c r="BB572" s="6" t="b">
        <v>0</v>
      </c>
    </row>
    <row r="573" spans="1:54" ht="15" x14ac:dyDescent="0.25">
      <c r="A573" s="3" t="s">
        <v>1203</v>
      </c>
      <c r="B573" s="3" t="str">
        <f ca="1">IFERROR(__xludf.DUMMYFUNCTION("SPLIT(A573,""/"")"),"leeroybrun")</f>
        <v>leeroybrun</v>
      </c>
      <c r="C573" s="3" t="str">
        <f ca="1">IFERROR(__xludf.DUMMYFUNCTION("""COMPUTED_VALUE"""),"glacier-vault-remove")</f>
        <v>glacier-vault-remove</v>
      </c>
      <c r="D573" s="4" t="s">
        <v>1204</v>
      </c>
      <c r="E573" s="5">
        <v>41457.249537037038</v>
      </c>
      <c r="F573" s="5">
        <v>44286.610081018516</v>
      </c>
      <c r="G573" s="13">
        <f t="shared" si="48"/>
        <v>2829.3605439814783</v>
      </c>
      <c r="H573" s="6" t="b">
        <v>0</v>
      </c>
      <c r="I573" s="6" t="b">
        <v>0</v>
      </c>
      <c r="J573" s="8">
        <v>329</v>
      </c>
      <c r="K573" s="8">
        <v>13</v>
      </c>
      <c r="L573" s="8">
        <v>45</v>
      </c>
      <c r="M573" s="8">
        <v>0</v>
      </c>
      <c r="N573" s="8">
        <v>0</v>
      </c>
      <c r="O573" s="8">
        <v>12</v>
      </c>
      <c r="P573" s="8">
        <v>22</v>
      </c>
      <c r="Q573" s="8">
        <v>0</v>
      </c>
      <c r="R573" s="8">
        <v>27</v>
      </c>
      <c r="S573" s="8">
        <v>0</v>
      </c>
      <c r="T573" s="11" t="s">
        <v>52</v>
      </c>
      <c r="U573" s="10">
        <v>172</v>
      </c>
      <c r="V573" s="32">
        <v>32</v>
      </c>
      <c r="W573" s="27">
        <v>0.18604651162790697</v>
      </c>
      <c r="X573" s="34">
        <v>0</v>
      </c>
      <c r="Y573" s="27">
        <v>0</v>
      </c>
      <c r="Z573" s="27">
        <v>0</v>
      </c>
      <c r="AA573" s="35">
        <v>27</v>
      </c>
      <c r="AB573" s="27">
        <v>0.84375</v>
      </c>
      <c r="AC573" s="27">
        <f t="shared" si="49"/>
        <v>0.15697674418604651</v>
      </c>
      <c r="AD573" s="36">
        <v>0</v>
      </c>
      <c r="AE573" s="27">
        <v>0</v>
      </c>
      <c r="AF573" s="27">
        <f t="shared" si="50"/>
        <v>0</v>
      </c>
      <c r="AG573" s="37">
        <v>5</v>
      </c>
      <c r="AH573" s="27">
        <v>0.15625</v>
      </c>
      <c r="AI573" s="27">
        <f t="shared" si="51"/>
        <v>2.9069767441860465E-2</v>
      </c>
      <c r="AJ573" s="38">
        <v>0</v>
      </c>
      <c r="AK573" s="27">
        <v>0</v>
      </c>
      <c r="AL573" s="27">
        <f t="shared" si="52"/>
        <v>0</v>
      </c>
      <c r="AM573" s="40">
        <v>0</v>
      </c>
      <c r="AN573" s="27">
        <v>0</v>
      </c>
      <c r="AO573" s="27">
        <f t="shared" si="53"/>
        <v>0</v>
      </c>
      <c r="AP573" s="7" t="b">
        <v>1</v>
      </c>
      <c r="AQ573" s="6" t="b">
        <v>0</v>
      </c>
      <c r="AR573" s="6" t="b">
        <v>0</v>
      </c>
      <c r="AS573" s="6" t="b">
        <v>0</v>
      </c>
      <c r="AT573" s="7" t="b">
        <v>1</v>
      </c>
      <c r="AU573" s="6" t="b">
        <v>0</v>
      </c>
      <c r="AV573" s="6" t="b">
        <v>0</v>
      </c>
      <c r="AW573" s="6" t="b">
        <v>0</v>
      </c>
      <c r="AX573" s="6" t="b">
        <v>0</v>
      </c>
      <c r="AY573" s="6" t="b">
        <v>0</v>
      </c>
      <c r="AZ573" s="6" t="b">
        <v>0</v>
      </c>
      <c r="BA573" s="6" t="b">
        <v>0</v>
      </c>
      <c r="BB573" s="6" t="b">
        <v>0</v>
      </c>
    </row>
    <row r="574" spans="1:54" ht="15" x14ac:dyDescent="0.25">
      <c r="A574" s="3" t="s">
        <v>1205</v>
      </c>
      <c r="B574" s="3" t="str">
        <f ca="1">IFERROR(__xludf.DUMMYFUNCTION("SPLIT(A574,""/"")"),"levlaz")</f>
        <v>levlaz</v>
      </c>
      <c r="C574" s="3" t="str">
        <f ca="1">IFERROR(__xludf.DUMMYFUNCTION("""COMPUTED_VALUE"""),"braindump")</f>
        <v>braindump</v>
      </c>
      <c r="D574" s="4" t="s">
        <v>1206</v>
      </c>
      <c r="E574" s="5">
        <v>42330.844386574077</v>
      </c>
      <c r="F574" s="5">
        <v>44233.351238425923</v>
      </c>
      <c r="G574" s="13">
        <f t="shared" si="48"/>
        <v>1902.5068518518456</v>
      </c>
      <c r="H574" s="6" t="b">
        <v>0</v>
      </c>
      <c r="I574" s="6" t="b">
        <v>0</v>
      </c>
      <c r="J574" s="8">
        <v>534</v>
      </c>
      <c r="K574" s="8">
        <v>16</v>
      </c>
      <c r="L574" s="8">
        <v>50</v>
      </c>
      <c r="M574" s="8">
        <v>10</v>
      </c>
      <c r="N574" s="8">
        <v>18</v>
      </c>
      <c r="O574" s="8">
        <v>13</v>
      </c>
      <c r="P574" s="8">
        <v>142</v>
      </c>
      <c r="Q574" s="8">
        <v>0</v>
      </c>
      <c r="R574" s="8">
        <v>0</v>
      </c>
      <c r="S574" s="8">
        <v>0</v>
      </c>
      <c r="T574" s="3" t="s">
        <v>72</v>
      </c>
      <c r="U574" s="10">
        <v>1531</v>
      </c>
      <c r="V574" s="32">
        <v>1</v>
      </c>
      <c r="W574" s="27">
        <v>6.5316786414108428E-4</v>
      </c>
      <c r="X574" s="34">
        <v>0</v>
      </c>
      <c r="Y574" s="27">
        <v>0</v>
      </c>
      <c r="Z574" s="27">
        <v>0</v>
      </c>
      <c r="AA574" s="35">
        <v>1</v>
      </c>
      <c r="AB574" s="27">
        <v>1</v>
      </c>
      <c r="AC574" s="27">
        <f t="shared" si="49"/>
        <v>6.5316786414108428E-4</v>
      </c>
      <c r="AD574" s="36">
        <v>0</v>
      </c>
      <c r="AE574" s="27">
        <v>0</v>
      </c>
      <c r="AF574" s="27">
        <f t="shared" si="50"/>
        <v>0</v>
      </c>
      <c r="AG574" s="37">
        <v>0</v>
      </c>
      <c r="AH574" s="27">
        <v>0</v>
      </c>
      <c r="AI574" s="27">
        <f t="shared" si="51"/>
        <v>0</v>
      </c>
      <c r="AJ574" s="38">
        <v>0</v>
      </c>
      <c r="AK574" s="27">
        <v>0</v>
      </c>
      <c r="AL574" s="27">
        <f t="shared" si="52"/>
        <v>0</v>
      </c>
      <c r="AM574" s="40">
        <v>0</v>
      </c>
      <c r="AN574" s="27">
        <v>0</v>
      </c>
      <c r="AO574" s="27">
        <f t="shared" si="53"/>
        <v>0</v>
      </c>
      <c r="AP574" s="7" t="b">
        <v>1</v>
      </c>
      <c r="AQ574" s="7" t="b">
        <v>1</v>
      </c>
      <c r="AR574" s="6" t="b">
        <v>0</v>
      </c>
      <c r="AS574" s="6" t="b">
        <v>0</v>
      </c>
      <c r="AT574" s="7" t="b">
        <v>1</v>
      </c>
      <c r="AU574" s="6" t="b">
        <v>0</v>
      </c>
      <c r="AV574" s="6" t="b">
        <v>0</v>
      </c>
      <c r="AW574" s="6" t="b">
        <v>0</v>
      </c>
      <c r="AX574" s="6" t="b">
        <v>0</v>
      </c>
      <c r="AY574" s="6" t="b">
        <v>0</v>
      </c>
      <c r="AZ574" s="6" t="b">
        <v>0</v>
      </c>
      <c r="BA574" s="6" t="b">
        <v>0</v>
      </c>
      <c r="BB574" s="6" t="b">
        <v>0</v>
      </c>
    </row>
    <row r="575" spans="1:54" ht="15" x14ac:dyDescent="0.25">
      <c r="A575" s="3" t="s">
        <v>1207</v>
      </c>
      <c r="B575" s="3" t="str">
        <f ca="1">IFERROR(__xludf.DUMMYFUNCTION("SPLIT(A575,""/"")"),"liangliangyy")</f>
        <v>liangliangyy</v>
      </c>
      <c r="C575" s="3" t="str">
        <f ca="1">IFERROR(__xludf.DUMMYFUNCTION("""COMPUTED_VALUE"""),"DjangoBlog")</f>
        <v>DjangoBlog</v>
      </c>
      <c r="D575" s="4" t="s">
        <v>1208</v>
      </c>
      <c r="E575" s="5">
        <v>42676.547164351854</v>
      </c>
      <c r="F575" s="5">
        <v>44295.079837962963</v>
      </c>
      <c r="G575" s="13">
        <f t="shared" si="48"/>
        <v>1618.5326736111092</v>
      </c>
      <c r="H575" s="6" t="b">
        <v>0</v>
      </c>
      <c r="I575" s="6" t="b">
        <v>0</v>
      </c>
      <c r="J575" s="8">
        <v>3711</v>
      </c>
      <c r="K575" s="8">
        <v>172</v>
      </c>
      <c r="L575" s="8">
        <v>1788</v>
      </c>
      <c r="M575" s="8">
        <v>14</v>
      </c>
      <c r="N575" s="8">
        <v>2</v>
      </c>
      <c r="O575" s="8">
        <v>9</v>
      </c>
      <c r="P575" s="8">
        <v>196</v>
      </c>
      <c r="Q575" s="8">
        <v>2</v>
      </c>
      <c r="R575" s="8">
        <v>257</v>
      </c>
      <c r="S575" s="8">
        <v>21</v>
      </c>
      <c r="T575" s="3" t="s">
        <v>72</v>
      </c>
      <c r="U575" s="10">
        <v>4034</v>
      </c>
      <c r="V575" s="32">
        <v>55</v>
      </c>
      <c r="W575" s="27">
        <v>1.3634110064452157E-2</v>
      </c>
      <c r="X575" s="34">
        <v>1</v>
      </c>
      <c r="Y575" s="27">
        <v>1.8181818181818181E-2</v>
      </c>
      <c r="Z575" s="27">
        <v>2.4789291026276647E-4</v>
      </c>
      <c r="AA575" s="35">
        <v>24</v>
      </c>
      <c r="AB575" s="27">
        <v>0.43636363636363634</v>
      </c>
      <c r="AC575" s="27">
        <f t="shared" si="49"/>
        <v>5.9494298463063956E-3</v>
      </c>
      <c r="AD575" s="36">
        <v>4</v>
      </c>
      <c r="AE575" s="27">
        <v>7.2727272727272724E-2</v>
      </c>
      <c r="AF575" s="27">
        <f t="shared" si="50"/>
        <v>9.9157164105106587E-4</v>
      </c>
      <c r="AG575" s="37">
        <v>11</v>
      </c>
      <c r="AH575" s="27">
        <v>0.2</v>
      </c>
      <c r="AI575" s="27">
        <f t="shared" si="51"/>
        <v>2.7268220128904312E-3</v>
      </c>
      <c r="AJ575" s="38">
        <v>0</v>
      </c>
      <c r="AK575" s="27">
        <v>0</v>
      </c>
      <c r="AL575" s="27">
        <f t="shared" si="52"/>
        <v>0</v>
      </c>
      <c r="AM575" s="40">
        <v>0</v>
      </c>
      <c r="AN575" s="27">
        <v>0</v>
      </c>
      <c r="AO575" s="27">
        <f t="shared" si="53"/>
        <v>0</v>
      </c>
      <c r="AP575" s="7" t="b">
        <v>1</v>
      </c>
      <c r="AQ575" s="6" t="b">
        <v>0</v>
      </c>
      <c r="AR575" s="6" t="b">
        <v>0</v>
      </c>
      <c r="AS575" s="6" t="b">
        <v>0</v>
      </c>
      <c r="AT575" s="7" t="b">
        <v>1</v>
      </c>
      <c r="AU575" s="6" t="b">
        <v>0</v>
      </c>
      <c r="AV575" s="6" t="b">
        <v>0</v>
      </c>
      <c r="AW575" s="6" t="b">
        <v>0</v>
      </c>
      <c r="AX575" s="6" t="b">
        <v>0</v>
      </c>
      <c r="AY575" s="6" t="b">
        <v>0</v>
      </c>
      <c r="AZ575" s="6" t="b">
        <v>0</v>
      </c>
      <c r="BA575" s="6" t="b">
        <v>0</v>
      </c>
      <c r="BB575" s="6" t="b">
        <v>0</v>
      </c>
    </row>
    <row r="576" spans="1:54" ht="15" x14ac:dyDescent="0.25">
      <c r="A576" s="3" t="s">
        <v>1209</v>
      </c>
      <c r="B576" s="3" t="str">
        <f ca="1">IFERROR(__xludf.DUMMYFUNCTION("SPLIT(A576,""/"")"),"liberapay")</f>
        <v>liberapay</v>
      </c>
      <c r="C576" s="4" t="str">
        <f ca="1">IFERROR(__xludf.DUMMYFUNCTION("""COMPUTED_VALUE"""),"liberapay.com")</f>
        <v>liberapay.com</v>
      </c>
      <c r="D576" s="4" t="s">
        <v>1210</v>
      </c>
      <c r="E576" s="5">
        <v>42146.586018518516</v>
      </c>
      <c r="F576" s="5">
        <v>44295.087916666664</v>
      </c>
      <c r="G576" s="13">
        <f t="shared" si="48"/>
        <v>2148.501898148148</v>
      </c>
      <c r="H576" s="6" t="b">
        <v>0</v>
      </c>
      <c r="I576" s="7" t="b">
        <v>1</v>
      </c>
      <c r="J576" s="8">
        <v>1037</v>
      </c>
      <c r="K576" s="8">
        <v>44</v>
      </c>
      <c r="L576" s="8">
        <v>146</v>
      </c>
      <c r="M576" s="8">
        <v>0</v>
      </c>
      <c r="N576" s="8">
        <v>44</v>
      </c>
      <c r="O576" s="8">
        <v>368</v>
      </c>
      <c r="P576" s="8">
        <v>986</v>
      </c>
      <c r="Q576" s="8">
        <v>15</v>
      </c>
      <c r="R576" s="8">
        <v>1001</v>
      </c>
      <c r="S576" s="8">
        <v>429</v>
      </c>
      <c r="T576" s="11" t="s">
        <v>52</v>
      </c>
      <c r="U576" s="10">
        <v>18629</v>
      </c>
      <c r="V576" s="32">
        <v>32</v>
      </c>
      <c r="W576" s="27">
        <v>1.7177518922110687E-3</v>
      </c>
      <c r="X576" s="34">
        <v>10</v>
      </c>
      <c r="Y576" s="27">
        <v>0.3125</v>
      </c>
      <c r="Z576" s="27">
        <v>5.3679746631595904E-4</v>
      </c>
      <c r="AA576" s="35">
        <v>6</v>
      </c>
      <c r="AB576" s="27">
        <v>0.1875</v>
      </c>
      <c r="AC576" s="27">
        <f t="shared" si="49"/>
        <v>3.2207847978957537E-4</v>
      </c>
      <c r="AD576" s="36">
        <v>6</v>
      </c>
      <c r="AE576" s="27">
        <v>0.1875</v>
      </c>
      <c r="AF576" s="27">
        <f t="shared" si="50"/>
        <v>3.2207847978957537E-4</v>
      </c>
      <c r="AG576" s="37">
        <v>9</v>
      </c>
      <c r="AH576" s="27">
        <v>0.28125</v>
      </c>
      <c r="AI576" s="27">
        <f t="shared" si="51"/>
        <v>4.8311771968436308E-4</v>
      </c>
      <c r="AJ576" s="38">
        <v>0</v>
      </c>
      <c r="AK576" s="27">
        <v>0</v>
      </c>
      <c r="AL576" s="27">
        <f t="shared" si="52"/>
        <v>0</v>
      </c>
      <c r="AM576" s="40">
        <v>1</v>
      </c>
      <c r="AN576" s="27">
        <v>3.125E-2</v>
      </c>
      <c r="AO576" s="27">
        <f t="shared" si="53"/>
        <v>5.3679746631595897E-5</v>
      </c>
      <c r="AP576" s="7" t="b">
        <v>1</v>
      </c>
      <c r="AQ576" s="6" t="b">
        <v>0</v>
      </c>
      <c r="AR576" s="6" t="b">
        <v>0</v>
      </c>
      <c r="AS576" s="6" t="b">
        <v>0</v>
      </c>
      <c r="AT576" s="7" t="b">
        <v>1</v>
      </c>
      <c r="AU576" s="6" t="b">
        <v>0</v>
      </c>
      <c r="AV576" s="6" t="b">
        <v>0</v>
      </c>
      <c r="AW576" s="6" t="b">
        <v>0</v>
      </c>
      <c r="AX576" s="6" t="b">
        <v>0</v>
      </c>
      <c r="AY576" s="6" t="b">
        <v>0</v>
      </c>
      <c r="AZ576" s="6" t="b">
        <v>0</v>
      </c>
      <c r="BA576" s="6" t="b">
        <v>0</v>
      </c>
      <c r="BB576" s="6" t="b">
        <v>0</v>
      </c>
    </row>
    <row r="577" spans="1:54" ht="15" x14ac:dyDescent="0.25">
      <c r="A577" s="3" t="s">
        <v>1211</v>
      </c>
      <c r="B577" s="3" t="str">
        <f ca="1">IFERROR(__xludf.DUMMYFUNCTION("SPLIT(A577,""/"")"),"lightbulb-framework")</f>
        <v>lightbulb-framework</v>
      </c>
      <c r="C577" s="3" t="str">
        <f ca="1">IFERROR(__xludf.DUMMYFUNCTION("""COMPUTED_VALUE"""),"lightbulb-framework")</f>
        <v>lightbulb-framework</v>
      </c>
      <c r="D577" s="4" t="s">
        <v>1212</v>
      </c>
      <c r="E577" s="5">
        <v>42677.761631944442</v>
      </c>
      <c r="F577" s="5">
        <v>44269.803263888891</v>
      </c>
      <c r="G577" s="13">
        <f t="shared" si="48"/>
        <v>1592.0416319444485</v>
      </c>
      <c r="H577" s="6" t="b">
        <v>0</v>
      </c>
      <c r="I577" s="7" t="b">
        <v>1</v>
      </c>
      <c r="J577" s="8">
        <v>443</v>
      </c>
      <c r="K577" s="8">
        <v>32</v>
      </c>
      <c r="L577" s="8">
        <v>66</v>
      </c>
      <c r="M577" s="8">
        <v>0</v>
      </c>
      <c r="N577" s="8">
        <v>0</v>
      </c>
      <c r="O577" s="8">
        <v>3</v>
      </c>
      <c r="P577" s="8">
        <v>11</v>
      </c>
      <c r="Q577" s="8">
        <v>0</v>
      </c>
      <c r="R577" s="8">
        <v>9</v>
      </c>
      <c r="S577" s="8">
        <v>4</v>
      </c>
      <c r="T577" s="3" t="s">
        <v>72</v>
      </c>
      <c r="U577" s="10">
        <v>10323</v>
      </c>
      <c r="V577" s="32">
        <v>28</v>
      </c>
      <c r="W577" s="27">
        <v>2.7123898091640027E-3</v>
      </c>
      <c r="X577" s="34">
        <v>19</v>
      </c>
      <c r="Y577" s="27">
        <v>0.6785714285714286</v>
      </c>
      <c r="Z577" s="27">
        <v>1.8405502276470018E-3</v>
      </c>
      <c r="AA577" s="35">
        <v>1</v>
      </c>
      <c r="AB577" s="27">
        <v>3.5714285714285712E-2</v>
      </c>
      <c r="AC577" s="27">
        <f t="shared" si="49"/>
        <v>9.6871064613000092E-5</v>
      </c>
      <c r="AD577" s="36">
        <v>8</v>
      </c>
      <c r="AE577" s="27">
        <v>0.2857142857142857</v>
      </c>
      <c r="AF577" s="27">
        <f t="shared" si="50"/>
        <v>7.7496851690400073E-4</v>
      </c>
      <c r="AG577" s="37">
        <v>0</v>
      </c>
      <c r="AH577" s="27">
        <v>0</v>
      </c>
      <c r="AI577" s="27">
        <f t="shared" si="51"/>
        <v>0</v>
      </c>
      <c r="AJ577" s="38">
        <v>0</v>
      </c>
      <c r="AK577" s="27">
        <v>0</v>
      </c>
      <c r="AL577" s="27">
        <f t="shared" si="52"/>
        <v>0</v>
      </c>
      <c r="AM577" s="40">
        <v>0</v>
      </c>
      <c r="AN577" s="27">
        <v>0</v>
      </c>
      <c r="AO577" s="27">
        <f t="shared" si="53"/>
        <v>0</v>
      </c>
      <c r="AP577" s="7" t="b">
        <v>1</v>
      </c>
      <c r="AQ577" s="6" t="b">
        <v>0</v>
      </c>
      <c r="AR577" s="6" t="b">
        <v>0</v>
      </c>
      <c r="AS577" s="6" t="b">
        <v>0</v>
      </c>
      <c r="AT577" s="7" t="b">
        <v>1</v>
      </c>
      <c r="AU577" s="6" t="b">
        <v>0</v>
      </c>
      <c r="AV577" s="6" t="b">
        <v>0</v>
      </c>
      <c r="AW577" s="6" t="b">
        <v>0</v>
      </c>
      <c r="AX577" s="6" t="b">
        <v>0</v>
      </c>
      <c r="AY577" s="6" t="b">
        <v>0</v>
      </c>
      <c r="AZ577" s="6" t="b">
        <v>0</v>
      </c>
      <c r="BA577" s="6" t="b">
        <v>0</v>
      </c>
      <c r="BB577" s="6" t="b">
        <v>0</v>
      </c>
    </row>
    <row r="578" spans="1:54" ht="15" x14ac:dyDescent="0.25">
      <c r="A578" s="3" t="s">
        <v>1213</v>
      </c>
      <c r="B578" s="3" t="str">
        <f ca="1">IFERROR(__xludf.DUMMYFUNCTION("SPLIT(A578,""/"")"),"liiight")</f>
        <v>liiight</v>
      </c>
      <c r="C578" s="3" t="str">
        <f ca="1">IFERROR(__xludf.DUMMYFUNCTION("""COMPUTED_VALUE"""),"notifiers")</f>
        <v>notifiers</v>
      </c>
      <c r="D578" s="4" t="s">
        <v>1214</v>
      </c>
      <c r="E578" s="5">
        <v>42887.430763888886</v>
      </c>
      <c r="F578" s="5">
        <v>44294.644907407404</v>
      </c>
      <c r="G578" s="13">
        <f t="shared" si="48"/>
        <v>1407.2141435185185</v>
      </c>
      <c r="H578" s="6" t="b">
        <v>0</v>
      </c>
      <c r="I578" s="6" t="b">
        <v>0</v>
      </c>
      <c r="J578" s="8">
        <v>1823</v>
      </c>
      <c r="K578" s="8">
        <v>38</v>
      </c>
      <c r="L578" s="8">
        <v>71</v>
      </c>
      <c r="M578" s="8">
        <v>5</v>
      </c>
      <c r="N578" s="8">
        <v>0</v>
      </c>
      <c r="O578" s="8">
        <v>14</v>
      </c>
      <c r="P578" s="8">
        <v>316</v>
      </c>
      <c r="Q578" s="8">
        <v>10</v>
      </c>
      <c r="R578" s="8">
        <v>80</v>
      </c>
      <c r="S578" s="8">
        <v>27</v>
      </c>
      <c r="T578" s="3" t="s">
        <v>72</v>
      </c>
      <c r="U578" s="10">
        <v>2777</v>
      </c>
      <c r="V578" s="32">
        <v>21</v>
      </c>
      <c r="W578" s="27">
        <v>7.562117392870004E-3</v>
      </c>
      <c r="X578" s="34">
        <v>16</v>
      </c>
      <c r="Y578" s="27">
        <v>0.76190476190476186</v>
      </c>
      <c r="Z578" s="27">
        <v>5.7616132517104793E-3</v>
      </c>
      <c r="AA578" s="35">
        <v>5</v>
      </c>
      <c r="AB578" s="27">
        <v>0.23809523809523808</v>
      </c>
      <c r="AC578" s="27">
        <f t="shared" si="49"/>
        <v>1.8005041411595247E-3</v>
      </c>
      <c r="AD578" s="36">
        <v>0</v>
      </c>
      <c r="AE578" s="27">
        <v>0</v>
      </c>
      <c r="AF578" s="27">
        <f t="shared" si="50"/>
        <v>0</v>
      </c>
      <c r="AG578" s="37">
        <v>0</v>
      </c>
      <c r="AH578" s="27">
        <v>0</v>
      </c>
      <c r="AI578" s="27">
        <f t="shared" si="51"/>
        <v>0</v>
      </c>
      <c r="AJ578" s="38">
        <v>0</v>
      </c>
      <c r="AK578" s="27">
        <v>0</v>
      </c>
      <c r="AL578" s="27">
        <f t="shared" si="52"/>
        <v>0</v>
      </c>
      <c r="AM578" s="40">
        <v>0</v>
      </c>
      <c r="AN578" s="27">
        <v>0</v>
      </c>
      <c r="AO578" s="27">
        <f t="shared" si="53"/>
        <v>0</v>
      </c>
      <c r="AP578" s="7" t="b">
        <v>1</v>
      </c>
      <c r="AQ578" s="6" t="b">
        <v>0</v>
      </c>
      <c r="AR578" s="6" t="b">
        <v>0</v>
      </c>
      <c r="AS578" s="6" t="b">
        <v>0</v>
      </c>
      <c r="AT578" s="7" t="b">
        <v>1</v>
      </c>
      <c r="AU578" s="6" t="b">
        <v>0</v>
      </c>
      <c r="AV578" s="6" t="b">
        <v>0</v>
      </c>
      <c r="AW578" s="6" t="b">
        <v>0</v>
      </c>
      <c r="AX578" s="6" t="b">
        <v>0</v>
      </c>
      <c r="AY578" s="6" t="b">
        <v>0</v>
      </c>
      <c r="AZ578" s="6" t="b">
        <v>0</v>
      </c>
      <c r="BA578" s="6" t="b">
        <v>0</v>
      </c>
      <c r="BB578" s="6" t="b">
        <v>0</v>
      </c>
    </row>
    <row r="579" spans="1:54" ht="15" x14ac:dyDescent="0.25">
      <c r="A579" s="3" t="s">
        <v>1215</v>
      </c>
      <c r="B579" s="3" t="str">
        <f ca="1">IFERROR(__xludf.DUMMYFUNCTION("SPLIT(A579,""/"")"),"line")</f>
        <v>line</v>
      </c>
      <c r="C579" s="3" t="str">
        <f ca="1">IFERROR(__xludf.DUMMYFUNCTION("""COMPUTED_VALUE"""),"promgen")</f>
        <v>promgen</v>
      </c>
      <c r="D579" s="4" t="s">
        <v>1216</v>
      </c>
      <c r="E579" s="5">
        <v>42584.107789351852</v>
      </c>
      <c r="F579" s="5">
        <v>44295.044166666667</v>
      </c>
      <c r="G579" s="13">
        <f t="shared" ref="G579:G642" si="54">F579-E579</f>
        <v>1710.9363773148143</v>
      </c>
      <c r="H579" s="6" t="b">
        <v>0</v>
      </c>
      <c r="I579" s="7" t="b">
        <v>1</v>
      </c>
      <c r="J579" s="8">
        <v>764</v>
      </c>
      <c r="K579" s="8">
        <v>54</v>
      </c>
      <c r="L579" s="8">
        <v>123</v>
      </c>
      <c r="M579" s="8">
        <v>43</v>
      </c>
      <c r="N579" s="8">
        <v>0</v>
      </c>
      <c r="O579" s="8">
        <v>13</v>
      </c>
      <c r="P579" s="8">
        <v>260</v>
      </c>
      <c r="Q579" s="8">
        <v>13</v>
      </c>
      <c r="R579" s="8">
        <v>79</v>
      </c>
      <c r="S579" s="8">
        <v>18</v>
      </c>
      <c r="T579" s="3" t="s">
        <v>72</v>
      </c>
      <c r="U579" s="10">
        <v>3837</v>
      </c>
      <c r="V579" s="32">
        <v>101</v>
      </c>
      <c r="W579" s="27">
        <v>2.6322647902006776E-2</v>
      </c>
      <c r="X579" s="34">
        <v>37</v>
      </c>
      <c r="Y579" s="27">
        <v>0.36633663366336633</v>
      </c>
      <c r="Z579" s="27">
        <v>9.6429502215272349E-3</v>
      </c>
      <c r="AA579" s="35">
        <v>29</v>
      </c>
      <c r="AB579" s="27">
        <v>0.28712871287128711</v>
      </c>
      <c r="AC579" s="27">
        <f t="shared" ref="AC579:AC642" si="55">AA579/U579</f>
        <v>7.5579880114672923E-3</v>
      </c>
      <c r="AD579" s="36">
        <v>22</v>
      </c>
      <c r="AE579" s="27">
        <v>0.21782178217821782</v>
      </c>
      <c r="AF579" s="27">
        <f t="shared" ref="AF579:AF642" si="56">AD579/U579</f>
        <v>5.7336460776648427E-3</v>
      </c>
      <c r="AG579" s="37">
        <v>8</v>
      </c>
      <c r="AH579" s="27">
        <v>7.9207920792079209E-2</v>
      </c>
      <c r="AI579" s="27">
        <f t="shared" ref="AI579:AI642" si="57">AG579/U579</f>
        <v>2.0849622100599426E-3</v>
      </c>
      <c r="AJ579" s="38">
        <v>0</v>
      </c>
      <c r="AK579" s="27">
        <v>0</v>
      </c>
      <c r="AL579" s="27">
        <f t="shared" ref="AL579:AL642" si="58">AJ579/U579</f>
        <v>0</v>
      </c>
      <c r="AM579" s="40">
        <v>5</v>
      </c>
      <c r="AN579" s="27">
        <v>4.9504950495049507E-2</v>
      </c>
      <c r="AO579" s="27">
        <f t="shared" ref="AO579:AO642" si="59">AM579/U579</f>
        <v>1.3031013812874641E-3</v>
      </c>
      <c r="AP579" s="7" t="b">
        <v>1</v>
      </c>
      <c r="AQ579" s="7" t="b">
        <v>1</v>
      </c>
      <c r="AR579" s="6" t="b">
        <v>0</v>
      </c>
      <c r="AS579" s="6" t="b">
        <v>0</v>
      </c>
      <c r="AT579" s="7" t="b">
        <v>1</v>
      </c>
      <c r="AU579" s="6" t="b">
        <v>0</v>
      </c>
      <c r="AV579" s="6" t="b">
        <v>0</v>
      </c>
      <c r="AW579" s="6" t="b">
        <v>0</v>
      </c>
      <c r="AX579" s="6" t="b">
        <v>0</v>
      </c>
      <c r="AY579" s="6" t="b">
        <v>0</v>
      </c>
      <c r="AZ579" s="6" t="b">
        <v>0</v>
      </c>
      <c r="BA579" s="6" t="b">
        <v>0</v>
      </c>
      <c r="BB579" s="6" t="b">
        <v>0</v>
      </c>
    </row>
    <row r="580" spans="1:54" ht="15" x14ac:dyDescent="0.25">
      <c r="A580" s="3" t="s">
        <v>1217</v>
      </c>
      <c r="B580" s="3" t="str">
        <f ca="1">IFERROR(__xludf.DUMMYFUNCTION("SPLIT(A580,""/"")"),"linkchecker")</f>
        <v>linkchecker</v>
      </c>
      <c r="C580" s="3" t="str">
        <f ca="1">IFERROR(__xludf.DUMMYFUNCTION("""COMPUTED_VALUE"""),"linkchecker")</f>
        <v>linkchecker</v>
      </c>
      <c r="D580" s="4" t="s">
        <v>1218</v>
      </c>
      <c r="E580" s="5">
        <v>42766.65697916667</v>
      </c>
      <c r="F580" s="5">
        <v>44293.932476851849</v>
      </c>
      <c r="G580" s="13">
        <f t="shared" si="54"/>
        <v>1527.2754976851793</v>
      </c>
      <c r="H580" s="6" t="b">
        <v>0</v>
      </c>
      <c r="I580" s="7" t="b">
        <v>1</v>
      </c>
      <c r="J580" s="8">
        <v>405</v>
      </c>
      <c r="K580" s="8">
        <v>17</v>
      </c>
      <c r="L580" s="8">
        <v>88</v>
      </c>
      <c r="M580" s="8">
        <v>4</v>
      </c>
      <c r="N580" s="8">
        <v>2</v>
      </c>
      <c r="O580" s="8">
        <v>43</v>
      </c>
      <c r="P580" s="8">
        <v>308</v>
      </c>
      <c r="Q580" s="8">
        <v>6</v>
      </c>
      <c r="R580" s="8">
        <v>226</v>
      </c>
      <c r="S580" s="8">
        <v>77</v>
      </c>
      <c r="T580" s="3" t="s">
        <v>64</v>
      </c>
      <c r="U580" s="10">
        <v>11606</v>
      </c>
      <c r="V580" s="32">
        <v>160</v>
      </c>
      <c r="W580" s="27">
        <v>1.3785972772703775E-2</v>
      </c>
      <c r="X580" s="34">
        <v>98</v>
      </c>
      <c r="Y580" s="27">
        <v>0.61250000000000004</v>
      </c>
      <c r="Z580" s="27">
        <v>8.4439083232810616E-3</v>
      </c>
      <c r="AA580" s="35">
        <v>4</v>
      </c>
      <c r="AB580" s="27">
        <v>2.5000000000000001E-2</v>
      </c>
      <c r="AC580" s="27">
        <f t="shared" si="55"/>
        <v>3.4464931931759432E-4</v>
      </c>
      <c r="AD580" s="36">
        <v>54</v>
      </c>
      <c r="AE580" s="27">
        <v>0.33750000000000002</v>
      </c>
      <c r="AF580" s="27">
        <f t="shared" si="56"/>
        <v>4.6527658107875236E-3</v>
      </c>
      <c r="AG580" s="37">
        <v>3</v>
      </c>
      <c r="AH580" s="27">
        <v>1.8749999999999999E-2</v>
      </c>
      <c r="AI580" s="27">
        <f t="shared" si="57"/>
        <v>2.5848698948819574E-4</v>
      </c>
      <c r="AJ580" s="38">
        <v>1</v>
      </c>
      <c r="AK580" s="27">
        <v>6.2500000000000003E-3</v>
      </c>
      <c r="AL580" s="27">
        <f t="shared" si="58"/>
        <v>8.6162329829398581E-5</v>
      </c>
      <c r="AM580" s="40">
        <v>0</v>
      </c>
      <c r="AN580" s="27">
        <v>0</v>
      </c>
      <c r="AO580" s="27">
        <f t="shared" si="59"/>
        <v>0</v>
      </c>
      <c r="AP580" s="7" t="b">
        <v>1</v>
      </c>
      <c r="AQ580" s="6" t="b">
        <v>0</v>
      </c>
      <c r="AR580" s="6" t="b">
        <v>0</v>
      </c>
      <c r="AS580" s="6" t="b">
        <v>0</v>
      </c>
      <c r="AT580" s="7" t="b">
        <v>1</v>
      </c>
      <c r="AU580" s="6" t="b">
        <v>0</v>
      </c>
      <c r="AV580" s="6" t="b">
        <v>0</v>
      </c>
      <c r="AW580" s="6" t="b">
        <v>0</v>
      </c>
      <c r="AX580" s="6" t="b">
        <v>0</v>
      </c>
      <c r="AY580" s="6" t="b">
        <v>0</v>
      </c>
      <c r="AZ580" s="6" t="b">
        <v>0</v>
      </c>
      <c r="BA580" s="6" t="b">
        <v>0</v>
      </c>
      <c r="BB580" s="6" t="b">
        <v>0</v>
      </c>
    </row>
    <row r="581" spans="1:54" ht="15" x14ac:dyDescent="0.25">
      <c r="A581" s="3" t="s">
        <v>1219</v>
      </c>
      <c r="B581" s="3" t="str">
        <f ca="1">IFERROR(__xludf.DUMMYFUNCTION("SPLIT(A581,""/"")"),"linkedin")</f>
        <v>linkedin</v>
      </c>
      <c r="C581" s="3" t="str">
        <f ca="1">IFERROR(__xludf.DUMMYFUNCTION("""COMPUTED_VALUE"""),"iris")</f>
        <v>iris</v>
      </c>
      <c r="D581" s="4" t="s">
        <v>1220</v>
      </c>
      <c r="E581" s="5">
        <v>42753.889131944445</v>
      </c>
      <c r="F581" s="5">
        <v>44284.983564814815</v>
      </c>
      <c r="G581" s="13">
        <f t="shared" si="54"/>
        <v>1531.0944328703699</v>
      </c>
      <c r="H581" s="6" t="b">
        <v>0</v>
      </c>
      <c r="I581" s="7" t="b">
        <v>1</v>
      </c>
      <c r="J581" s="8">
        <v>602</v>
      </c>
      <c r="K581" s="8">
        <v>38</v>
      </c>
      <c r="L581" s="8">
        <v>107</v>
      </c>
      <c r="M581" s="8">
        <v>35</v>
      </c>
      <c r="N581" s="8">
        <v>2</v>
      </c>
      <c r="O581" s="8">
        <v>24</v>
      </c>
      <c r="P581" s="8">
        <v>528</v>
      </c>
      <c r="Q581" s="8">
        <v>5</v>
      </c>
      <c r="R581" s="8">
        <v>79</v>
      </c>
      <c r="S581" s="8">
        <v>27</v>
      </c>
      <c r="T581" s="3" t="s">
        <v>153</v>
      </c>
      <c r="U581" s="10">
        <v>11428</v>
      </c>
      <c r="V581" s="32">
        <v>468</v>
      </c>
      <c r="W581" s="27">
        <v>4.0952047602380116E-2</v>
      </c>
      <c r="X581" s="34">
        <v>21</v>
      </c>
      <c r="Y581" s="27">
        <v>4.4871794871794872E-2</v>
      </c>
      <c r="Z581" s="27">
        <v>1.8375918795939796E-3</v>
      </c>
      <c r="AA581" s="35">
        <v>163</v>
      </c>
      <c r="AB581" s="27">
        <v>0.34829059829059827</v>
      </c>
      <c r="AC581" s="27">
        <f t="shared" si="55"/>
        <v>1.4263213160658032E-2</v>
      </c>
      <c r="AD581" s="36">
        <v>89</v>
      </c>
      <c r="AE581" s="27">
        <v>0.19017094017094016</v>
      </c>
      <c r="AF581" s="27">
        <f t="shared" si="56"/>
        <v>7.7878893944697235E-3</v>
      </c>
      <c r="AG581" s="37">
        <v>193</v>
      </c>
      <c r="AH581" s="27">
        <v>0.41239316239316237</v>
      </c>
      <c r="AI581" s="27">
        <f t="shared" si="57"/>
        <v>1.6888344417220862E-2</v>
      </c>
      <c r="AJ581" s="38">
        <v>1</v>
      </c>
      <c r="AK581" s="27">
        <v>2.136752136752137E-3</v>
      </c>
      <c r="AL581" s="27">
        <f t="shared" si="58"/>
        <v>8.7504375218760936E-5</v>
      </c>
      <c r="AM581" s="40">
        <v>0</v>
      </c>
      <c r="AN581" s="27">
        <v>0</v>
      </c>
      <c r="AO581" s="27">
        <f t="shared" si="59"/>
        <v>0</v>
      </c>
      <c r="AP581" s="7" t="b">
        <v>1</v>
      </c>
      <c r="AQ581" s="6" t="b">
        <v>0</v>
      </c>
      <c r="AR581" s="6" t="b">
        <v>0</v>
      </c>
      <c r="AS581" s="6" t="b">
        <v>0</v>
      </c>
      <c r="AT581" s="7" t="b">
        <v>1</v>
      </c>
      <c r="AU581" s="6" t="b">
        <v>0</v>
      </c>
      <c r="AV581" s="6" t="b">
        <v>0</v>
      </c>
      <c r="AW581" s="6" t="b">
        <v>0</v>
      </c>
      <c r="AX581" s="6" t="b">
        <v>0</v>
      </c>
      <c r="AY581" s="6" t="b">
        <v>0</v>
      </c>
      <c r="AZ581" s="6" t="b">
        <v>0</v>
      </c>
      <c r="BA581" s="6" t="b">
        <v>0</v>
      </c>
      <c r="BB581" s="6" t="b">
        <v>0</v>
      </c>
    </row>
    <row r="582" spans="1:54" ht="15" x14ac:dyDescent="0.25">
      <c r="A582" s="3" t="s">
        <v>1221</v>
      </c>
      <c r="B582" s="3" t="str">
        <f ca="1">IFERROR(__xludf.DUMMYFUNCTION("SPLIT(A582,""/"")"),"linkedin")</f>
        <v>linkedin</v>
      </c>
      <c r="C582" s="3" t="str">
        <f ca="1">IFERROR(__xludf.DUMMYFUNCTION("""COMPUTED_VALUE"""),"oncall")</f>
        <v>oncall</v>
      </c>
      <c r="D582" s="4" t="s">
        <v>1222</v>
      </c>
      <c r="E582" s="5">
        <v>42857.978738425925</v>
      </c>
      <c r="F582" s="5">
        <v>44289.865104166667</v>
      </c>
      <c r="G582" s="13">
        <f t="shared" si="54"/>
        <v>1431.8863657407419</v>
      </c>
      <c r="H582" s="6" t="b">
        <v>0</v>
      </c>
      <c r="I582" s="7" t="b">
        <v>1</v>
      </c>
      <c r="J582" s="8">
        <v>712</v>
      </c>
      <c r="K582" s="8">
        <v>47</v>
      </c>
      <c r="L582" s="8">
        <v>144</v>
      </c>
      <c r="M582" s="8">
        <v>23</v>
      </c>
      <c r="N582" s="8">
        <v>1</v>
      </c>
      <c r="O582" s="8">
        <v>30</v>
      </c>
      <c r="P582" s="8">
        <v>252</v>
      </c>
      <c r="Q582" s="8">
        <v>3</v>
      </c>
      <c r="R582" s="8">
        <v>93</v>
      </c>
      <c r="S582" s="8">
        <v>42</v>
      </c>
      <c r="T582" s="3" t="s">
        <v>153</v>
      </c>
      <c r="U582" s="10">
        <v>7446</v>
      </c>
      <c r="V582" s="32">
        <v>96</v>
      </c>
      <c r="W582" s="27">
        <v>1.2892828364222401E-2</v>
      </c>
      <c r="X582" s="34">
        <v>28</v>
      </c>
      <c r="Y582" s="27">
        <v>0.29166666666666669</v>
      </c>
      <c r="Z582" s="27">
        <v>3.7604082728982004E-3</v>
      </c>
      <c r="AA582" s="35">
        <v>38</v>
      </c>
      <c r="AB582" s="27">
        <v>0.39583333333333331</v>
      </c>
      <c r="AC582" s="27">
        <f t="shared" si="55"/>
        <v>5.1034112275047004E-3</v>
      </c>
      <c r="AD582" s="36">
        <v>6</v>
      </c>
      <c r="AE582" s="27">
        <v>6.25E-2</v>
      </c>
      <c r="AF582" s="27">
        <f t="shared" si="56"/>
        <v>8.0580177276390005E-4</v>
      </c>
      <c r="AG582" s="37">
        <v>24</v>
      </c>
      <c r="AH582" s="27">
        <v>0.25</v>
      </c>
      <c r="AI582" s="27">
        <f t="shared" si="57"/>
        <v>3.2232070910556002E-3</v>
      </c>
      <c r="AJ582" s="38">
        <v>0</v>
      </c>
      <c r="AK582" s="27">
        <v>0</v>
      </c>
      <c r="AL582" s="27">
        <f t="shared" si="58"/>
        <v>0</v>
      </c>
      <c r="AM582" s="40">
        <v>0</v>
      </c>
      <c r="AN582" s="27">
        <v>0</v>
      </c>
      <c r="AO582" s="27">
        <f t="shared" si="59"/>
        <v>0</v>
      </c>
      <c r="AP582" s="7" t="b">
        <v>1</v>
      </c>
      <c r="AQ582" s="7" t="b">
        <v>1</v>
      </c>
      <c r="AR582" s="6" t="b">
        <v>0</v>
      </c>
      <c r="AS582" s="6" t="b">
        <v>0</v>
      </c>
      <c r="AT582" s="7" t="b">
        <v>1</v>
      </c>
      <c r="AU582" s="6" t="b">
        <v>0</v>
      </c>
      <c r="AV582" s="6" t="b">
        <v>0</v>
      </c>
      <c r="AW582" s="6" t="b">
        <v>0</v>
      </c>
      <c r="AX582" s="6" t="b">
        <v>0</v>
      </c>
      <c r="AY582" s="6" t="b">
        <v>0</v>
      </c>
      <c r="AZ582" s="6" t="b">
        <v>0</v>
      </c>
      <c r="BA582" s="6" t="b">
        <v>0</v>
      </c>
      <c r="BB582" s="6" t="b">
        <v>0</v>
      </c>
    </row>
    <row r="583" spans="1:54" ht="15" x14ac:dyDescent="0.25">
      <c r="A583" s="3" t="s">
        <v>1223</v>
      </c>
      <c r="B583" s="3" t="str">
        <f ca="1">IFERROR(__xludf.DUMMYFUNCTION("SPLIT(A583,""/"")"),"LinOTP")</f>
        <v>LinOTP</v>
      </c>
      <c r="C583" s="3" t="str">
        <f ca="1">IFERROR(__xludf.DUMMYFUNCTION("""COMPUTED_VALUE"""),"LinOTP")</f>
        <v>LinOTP</v>
      </c>
      <c r="D583" s="4" t="s">
        <v>1224</v>
      </c>
      <c r="E583" s="5">
        <v>41779.4768287037</v>
      </c>
      <c r="F583" s="5">
        <v>44290.683437500003</v>
      </c>
      <c r="G583" s="13">
        <f t="shared" si="54"/>
        <v>2511.206608796303</v>
      </c>
      <c r="H583" s="6" t="b">
        <v>0</v>
      </c>
      <c r="I583" s="7" t="b">
        <v>1</v>
      </c>
      <c r="J583" s="8">
        <v>416</v>
      </c>
      <c r="K583" s="8">
        <v>47</v>
      </c>
      <c r="L583" s="8">
        <v>98</v>
      </c>
      <c r="M583" s="8">
        <v>0</v>
      </c>
      <c r="N583" s="8">
        <v>0</v>
      </c>
      <c r="O583" s="8">
        <v>14</v>
      </c>
      <c r="P583" s="8">
        <v>20</v>
      </c>
      <c r="Q583" s="8">
        <v>3</v>
      </c>
      <c r="R583" s="8">
        <v>138</v>
      </c>
      <c r="S583" s="8">
        <v>88</v>
      </c>
      <c r="T583" s="3" t="s">
        <v>92</v>
      </c>
      <c r="U583" s="10">
        <v>65569</v>
      </c>
      <c r="V583" s="32">
        <v>1597</v>
      </c>
      <c r="W583" s="27">
        <v>2.4356021900593269E-2</v>
      </c>
      <c r="X583" s="34">
        <v>593</v>
      </c>
      <c r="Y583" s="27">
        <v>0.37132122730118972</v>
      </c>
      <c r="Z583" s="27">
        <v>9.0439079443029487E-3</v>
      </c>
      <c r="AA583" s="35">
        <v>243</v>
      </c>
      <c r="AB583" s="27">
        <v>0.15216030056355667</v>
      </c>
      <c r="AC583" s="27">
        <f t="shared" si="55"/>
        <v>3.7060196129268404E-3</v>
      </c>
      <c r="AD583" s="36">
        <v>182</v>
      </c>
      <c r="AE583" s="27">
        <v>0.11396368190356919</v>
      </c>
      <c r="AF583" s="27">
        <f t="shared" si="56"/>
        <v>2.7757019323155761E-3</v>
      </c>
      <c r="AG583" s="37">
        <v>561</v>
      </c>
      <c r="AH583" s="27">
        <v>0.35128365685660612</v>
      </c>
      <c r="AI583" s="27">
        <f t="shared" si="57"/>
        <v>8.5558724397199904E-3</v>
      </c>
      <c r="AJ583" s="38">
        <v>3</v>
      </c>
      <c r="AK583" s="27">
        <v>1.878522229179712E-3</v>
      </c>
      <c r="AL583" s="27">
        <f t="shared" si="58"/>
        <v>4.575332855465235E-5</v>
      </c>
      <c r="AM583" s="40">
        <v>14</v>
      </c>
      <c r="AN583" s="27">
        <v>8.7664370695053218E-3</v>
      </c>
      <c r="AO583" s="27">
        <f t="shared" si="59"/>
        <v>2.1351553325504429E-4</v>
      </c>
      <c r="AP583" s="7" t="b">
        <v>1</v>
      </c>
      <c r="AQ583" s="7" t="b">
        <v>1</v>
      </c>
      <c r="AR583" s="6" t="b">
        <v>0</v>
      </c>
      <c r="AS583" s="6" t="b">
        <v>0</v>
      </c>
      <c r="AT583" s="7" t="b">
        <v>1</v>
      </c>
      <c r="AU583" s="6" t="b">
        <v>0</v>
      </c>
      <c r="AV583" s="6" t="b">
        <v>0</v>
      </c>
      <c r="AW583" s="6" t="b">
        <v>0</v>
      </c>
      <c r="AX583" s="6" t="b">
        <v>0</v>
      </c>
      <c r="AY583" s="6" t="b">
        <v>0</v>
      </c>
      <c r="AZ583" s="6" t="b">
        <v>0</v>
      </c>
      <c r="BA583" s="6" t="b">
        <v>0</v>
      </c>
      <c r="BB583" s="6" t="b">
        <v>0</v>
      </c>
    </row>
    <row r="584" spans="1:54" ht="15" x14ac:dyDescent="0.25">
      <c r="A584" s="3" t="s">
        <v>1225</v>
      </c>
      <c r="B584" s="3" t="str">
        <f ca="1">IFERROR(__xludf.DUMMYFUNCTION("SPLIT(A584,""/"")"),"LiuRoy")</f>
        <v>LiuRoy</v>
      </c>
      <c r="C584" s="3" t="str">
        <f ca="1">IFERROR(__xludf.DUMMYFUNCTION("""COMPUTED_VALUE"""),"zhihu_spider")</f>
        <v>zhihu_spider</v>
      </c>
      <c r="D584" s="4" t="s">
        <v>1226</v>
      </c>
      <c r="E584" s="5">
        <v>42445.235613425924</v>
      </c>
      <c r="F584" s="5">
        <v>44294.38003472222</v>
      </c>
      <c r="G584" s="13">
        <f t="shared" si="54"/>
        <v>1849.1444212962961</v>
      </c>
      <c r="H584" s="6" t="b">
        <v>0</v>
      </c>
      <c r="I584" s="6" t="b">
        <v>0</v>
      </c>
      <c r="J584" s="8">
        <v>971</v>
      </c>
      <c r="K584" s="8">
        <v>100</v>
      </c>
      <c r="L584" s="8">
        <v>581</v>
      </c>
      <c r="M584" s="8">
        <v>0</v>
      </c>
      <c r="N584" s="8">
        <v>0</v>
      </c>
      <c r="O584" s="9">
        <v>0</v>
      </c>
      <c r="P584" s="8">
        <v>3</v>
      </c>
      <c r="Q584" s="8">
        <v>1</v>
      </c>
      <c r="R584" s="8">
        <v>14</v>
      </c>
      <c r="S584" s="8">
        <v>7</v>
      </c>
      <c r="T584" s="11" t="s">
        <v>52</v>
      </c>
      <c r="U584" s="10">
        <v>228</v>
      </c>
      <c r="V584" s="32">
        <v>3</v>
      </c>
      <c r="W584" s="27">
        <v>1.3157894736842105E-2</v>
      </c>
      <c r="X584" s="34">
        <v>0</v>
      </c>
      <c r="Y584" s="27">
        <v>0</v>
      </c>
      <c r="Z584" s="27">
        <v>0</v>
      </c>
      <c r="AA584" s="35">
        <v>1</v>
      </c>
      <c r="AB584" s="27">
        <v>0.33333333333333331</v>
      </c>
      <c r="AC584" s="27">
        <f t="shared" si="55"/>
        <v>4.3859649122807015E-3</v>
      </c>
      <c r="AD584" s="36">
        <v>0</v>
      </c>
      <c r="AE584" s="27">
        <v>0</v>
      </c>
      <c r="AF584" s="27">
        <f t="shared" si="56"/>
        <v>0</v>
      </c>
      <c r="AG584" s="37">
        <v>2</v>
      </c>
      <c r="AH584" s="27">
        <v>0.66666666666666663</v>
      </c>
      <c r="AI584" s="27">
        <f t="shared" si="57"/>
        <v>8.771929824561403E-3</v>
      </c>
      <c r="AJ584" s="38">
        <v>0</v>
      </c>
      <c r="AK584" s="27">
        <v>0</v>
      </c>
      <c r="AL584" s="27">
        <f t="shared" si="58"/>
        <v>0</v>
      </c>
      <c r="AM584" s="40">
        <v>0</v>
      </c>
      <c r="AN584" s="27">
        <v>0</v>
      </c>
      <c r="AO584" s="27">
        <f t="shared" si="59"/>
        <v>0</v>
      </c>
      <c r="AP584" s="6" t="b">
        <v>0</v>
      </c>
      <c r="AQ584" s="7" t="b">
        <v>1</v>
      </c>
      <c r="AR584" s="6" t="b">
        <v>0</v>
      </c>
      <c r="AS584" s="6" t="b">
        <v>0</v>
      </c>
      <c r="AT584" s="7" t="b">
        <v>1</v>
      </c>
      <c r="AU584" s="6" t="b">
        <v>0</v>
      </c>
      <c r="AV584" s="6" t="b">
        <v>0</v>
      </c>
      <c r="AW584" s="6" t="b">
        <v>0</v>
      </c>
      <c r="AX584" s="6" t="b">
        <v>0</v>
      </c>
      <c r="AY584" s="6" t="b">
        <v>0</v>
      </c>
      <c r="AZ584" s="6" t="b">
        <v>0</v>
      </c>
      <c r="BA584" s="6" t="b">
        <v>0</v>
      </c>
      <c r="BB584" s="6" t="b">
        <v>0</v>
      </c>
    </row>
    <row r="585" spans="1:54" ht="15" x14ac:dyDescent="0.25">
      <c r="A585" s="3" t="s">
        <v>1227</v>
      </c>
      <c r="B585" s="3" t="str">
        <f ca="1">IFERROR(__xludf.DUMMYFUNCTION("SPLIT(A585,""/"")"),"llimllib")</f>
        <v>llimllib</v>
      </c>
      <c r="C585" s="3" t="str">
        <f ca="1">IFERROR(__xludf.DUMMYFUNCTION("""COMPUTED_VALUE"""),"limbo")</f>
        <v>limbo</v>
      </c>
      <c r="D585" s="4" t="s">
        <v>1228</v>
      </c>
      <c r="E585" s="5">
        <v>41724.81040509259</v>
      </c>
      <c r="F585" s="5">
        <v>44293.63108796296</v>
      </c>
      <c r="G585" s="13">
        <f t="shared" si="54"/>
        <v>2568.8206828703696</v>
      </c>
      <c r="H585" s="6" t="b">
        <v>0</v>
      </c>
      <c r="I585" s="6" t="b">
        <v>0</v>
      </c>
      <c r="J585" s="8">
        <v>387</v>
      </c>
      <c r="K585" s="8">
        <v>26</v>
      </c>
      <c r="L585" s="8">
        <v>138</v>
      </c>
      <c r="M585" s="8">
        <v>1</v>
      </c>
      <c r="N585" s="8">
        <v>11</v>
      </c>
      <c r="O585" s="8">
        <v>17</v>
      </c>
      <c r="P585" s="8">
        <v>129</v>
      </c>
      <c r="Q585" s="8">
        <v>15</v>
      </c>
      <c r="R585" s="8">
        <v>86</v>
      </c>
      <c r="S585" s="8">
        <v>32</v>
      </c>
      <c r="T585" s="3" t="s">
        <v>72</v>
      </c>
      <c r="U585" s="10">
        <v>1852</v>
      </c>
      <c r="V585" s="32">
        <v>19</v>
      </c>
      <c r="W585" s="27">
        <v>1.0259179265658747E-2</v>
      </c>
      <c r="X585" s="34">
        <v>8</v>
      </c>
      <c r="Y585" s="27">
        <v>0.42105263157894735</v>
      </c>
      <c r="Z585" s="27">
        <v>4.3196544276457886E-3</v>
      </c>
      <c r="AA585" s="35">
        <v>1</v>
      </c>
      <c r="AB585" s="27">
        <v>5.2631578947368418E-2</v>
      </c>
      <c r="AC585" s="27">
        <f t="shared" si="55"/>
        <v>5.3995680345572358E-4</v>
      </c>
      <c r="AD585" s="36">
        <v>8</v>
      </c>
      <c r="AE585" s="27">
        <v>0.42105263157894735</v>
      </c>
      <c r="AF585" s="27">
        <f t="shared" si="56"/>
        <v>4.3196544276457886E-3</v>
      </c>
      <c r="AG585" s="37">
        <v>2</v>
      </c>
      <c r="AH585" s="27">
        <v>0.10526315789473684</v>
      </c>
      <c r="AI585" s="27">
        <f t="shared" si="57"/>
        <v>1.0799136069114472E-3</v>
      </c>
      <c r="AJ585" s="38">
        <v>0</v>
      </c>
      <c r="AK585" s="27">
        <v>0</v>
      </c>
      <c r="AL585" s="27">
        <f t="shared" si="58"/>
        <v>0</v>
      </c>
      <c r="AM585" s="40">
        <v>0</v>
      </c>
      <c r="AN585" s="27">
        <v>0</v>
      </c>
      <c r="AO585" s="27">
        <f t="shared" si="59"/>
        <v>0</v>
      </c>
      <c r="AP585" s="7" t="b">
        <v>1</v>
      </c>
      <c r="AQ585" s="6" t="b">
        <v>0</v>
      </c>
      <c r="AR585" s="6" t="b">
        <v>0</v>
      </c>
      <c r="AS585" s="6" t="b">
        <v>0</v>
      </c>
      <c r="AT585" s="7" t="b">
        <v>1</v>
      </c>
      <c r="AU585" s="6" t="b">
        <v>0</v>
      </c>
      <c r="AV585" s="6" t="b">
        <v>0</v>
      </c>
      <c r="AW585" s="6" t="b">
        <v>0</v>
      </c>
      <c r="AX585" s="6" t="b">
        <v>0</v>
      </c>
      <c r="AY585" s="6" t="b">
        <v>0</v>
      </c>
      <c r="AZ585" s="6" t="b">
        <v>0</v>
      </c>
      <c r="BA585" s="6" t="b">
        <v>0</v>
      </c>
      <c r="BB585" s="6" t="b">
        <v>0</v>
      </c>
    </row>
    <row r="586" spans="1:54" ht="15" x14ac:dyDescent="0.25">
      <c r="A586" s="3" t="s">
        <v>1229</v>
      </c>
      <c r="B586" s="3" t="str">
        <f ca="1">IFERROR(__xludf.DUMMYFUNCTION("SPLIT(A586,""/"")"),"llSourcell")</f>
        <v>llSourcell</v>
      </c>
      <c r="C586" s="3" t="str">
        <f ca="1">IFERROR(__xludf.DUMMYFUNCTION("""COMPUTED_VALUE"""),"AI_Startup_Prototype")</f>
        <v>AI_Startup_Prototype</v>
      </c>
      <c r="D586" s="4" t="s">
        <v>1230</v>
      </c>
      <c r="E586" s="5">
        <v>43551.283263888887</v>
      </c>
      <c r="F586" s="5">
        <v>44286.801458333335</v>
      </c>
      <c r="G586" s="13">
        <f t="shared" si="54"/>
        <v>735.51819444444845</v>
      </c>
      <c r="H586" s="6" t="b">
        <v>0</v>
      </c>
      <c r="I586" s="6" t="b">
        <v>0</v>
      </c>
      <c r="J586" s="8">
        <v>353</v>
      </c>
      <c r="K586" s="8">
        <v>25</v>
      </c>
      <c r="L586" s="8">
        <v>251</v>
      </c>
      <c r="M586" s="8">
        <v>0</v>
      </c>
      <c r="N586" s="8">
        <v>0</v>
      </c>
      <c r="O586" s="8">
        <v>3</v>
      </c>
      <c r="P586" s="8">
        <v>3</v>
      </c>
      <c r="Q586" s="8">
        <v>0</v>
      </c>
      <c r="R586" s="8">
        <v>18</v>
      </c>
      <c r="S586" s="8">
        <v>15</v>
      </c>
      <c r="T586" s="11" t="s">
        <v>52</v>
      </c>
      <c r="U586" s="10">
        <v>845</v>
      </c>
      <c r="V586" s="32">
        <v>0</v>
      </c>
      <c r="W586" s="27">
        <v>0</v>
      </c>
      <c r="X586" s="34">
        <v>0</v>
      </c>
      <c r="Y586" s="27">
        <v>0</v>
      </c>
      <c r="Z586" s="27">
        <v>0</v>
      </c>
      <c r="AA586" s="35">
        <v>0</v>
      </c>
      <c r="AB586" s="27">
        <v>0</v>
      </c>
      <c r="AC586" s="27">
        <f t="shared" si="55"/>
        <v>0</v>
      </c>
      <c r="AD586" s="36">
        <v>0</v>
      </c>
      <c r="AE586" s="27">
        <v>0</v>
      </c>
      <c r="AF586" s="27">
        <f t="shared" si="56"/>
        <v>0</v>
      </c>
      <c r="AG586" s="37">
        <v>0</v>
      </c>
      <c r="AH586" s="27">
        <v>0</v>
      </c>
      <c r="AI586" s="27">
        <f t="shared" si="57"/>
        <v>0</v>
      </c>
      <c r="AJ586" s="38">
        <v>0</v>
      </c>
      <c r="AK586" s="27">
        <v>0</v>
      </c>
      <c r="AL586" s="27">
        <f t="shared" si="58"/>
        <v>0</v>
      </c>
      <c r="AM586" s="40">
        <v>0</v>
      </c>
      <c r="AN586" s="27">
        <v>0</v>
      </c>
      <c r="AO586" s="27">
        <f t="shared" si="59"/>
        <v>0</v>
      </c>
      <c r="AP586" s="7" t="b">
        <v>1</v>
      </c>
      <c r="AQ586" s="7" t="b">
        <v>1</v>
      </c>
      <c r="AR586" s="6" t="b">
        <v>0</v>
      </c>
      <c r="AS586" s="6" t="b">
        <v>0</v>
      </c>
      <c r="AT586" s="7" t="b">
        <v>1</v>
      </c>
      <c r="AU586" s="6" t="b">
        <v>0</v>
      </c>
      <c r="AV586" s="6" t="b">
        <v>0</v>
      </c>
      <c r="AW586" s="6" t="b">
        <v>0</v>
      </c>
      <c r="AX586" s="6" t="b">
        <v>0</v>
      </c>
      <c r="AY586" s="6" t="b">
        <v>0</v>
      </c>
      <c r="AZ586" s="6" t="b">
        <v>0</v>
      </c>
      <c r="BA586" s="7" t="b">
        <v>1</v>
      </c>
      <c r="BB586" s="6" t="b">
        <v>0</v>
      </c>
    </row>
    <row r="587" spans="1:54" ht="15" x14ac:dyDescent="0.25">
      <c r="A587" s="3" t="s">
        <v>1231</v>
      </c>
      <c r="B587" s="3" t="str">
        <f ca="1">IFERROR(__xludf.DUMMYFUNCTION("SPLIT(A587,""/"")"),"lmco")</f>
        <v>lmco</v>
      </c>
      <c r="C587" s="3" t="str">
        <f ca="1">IFERROR(__xludf.DUMMYFUNCTION("""COMPUTED_VALUE"""),"laikaboss")</f>
        <v>laikaboss</v>
      </c>
      <c r="D587" s="4" t="s">
        <v>1232</v>
      </c>
      <c r="E587" s="5">
        <v>42167.617395833331</v>
      </c>
      <c r="F587" s="5">
        <v>44294.483912037038</v>
      </c>
      <c r="G587" s="13">
        <f t="shared" si="54"/>
        <v>2126.8665162037069</v>
      </c>
      <c r="H587" s="6" t="b">
        <v>0</v>
      </c>
      <c r="I587" s="7" t="b">
        <v>1</v>
      </c>
      <c r="J587" s="8">
        <v>681</v>
      </c>
      <c r="K587" s="8">
        <v>138</v>
      </c>
      <c r="L587" s="8">
        <v>145</v>
      </c>
      <c r="M587" s="8">
        <v>0</v>
      </c>
      <c r="N587" s="8">
        <v>2</v>
      </c>
      <c r="O587" s="8">
        <v>17</v>
      </c>
      <c r="P587" s="8">
        <v>51</v>
      </c>
      <c r="Q587" s="8">
        <v>12</v>
      </c>
      <c r="R587" s="8">
        <v>28</v>
      </c>
      <c r="S587" s="8">
        <v>13</v>
      </c>
      <c r="T587" s="3" t="s">
        <v>69</v>
      </c>
      <c r="U587" s="10">
        <v>4373</v>
      </c>
      <c r="V587" s="32">
        <v>165</v>
      </c>
      <c r="W587" s="27">
        <v>3.7731534415732904E-2</v>
      </c>
      <c r="X587" s="34">
        <v>136</v>
      </c>
      <c r="Y587" s="27">
        <v>0.82424242424242422</v>
      </c>
      <c r="Z587" s="27">
        <v>3.1099931397210154E-2</v>
      </c>
      <c r="AA587" s="35">
        <v>2</v>
      </c>
      <c r="AB587" s="27">
        <v>1.2121212121212121E-2</v>
      </c>
      <c r="AC587" s="27">
        <f t="shared" si="55"/>
        <v>4.5735193231191402E-4</v>
      </c>
      <c r="AD587" s="36">
        <v>3</v>
      </c>
      <c r="AE587" s="27">
        <v>1.8181818181818181E-2</v>
      </c>
      <c r="AF587" s="27">
        <f t="shared" si="56"/>
        <v>6.8602789846787104E-4</v>
      </c>
      <c r="AG587" s="37">
        <v>24</v>
      </c>
      <c r="AH587" s="27">
        <v>0.14545454545454545</v>
      </c>
      <c r="AI587" s="27">
        <f t="shared" si="57"/>
        <v>5.4882231877429683E-3</v>
      </c>
      <c r="AJ587" s="38">
        <v>0</v>
      </c>
      <c r="AK587" s="27">
        <v>0</v>
      </c>
      <c r="AL587" s="27">
        <f t="shared" si="58"/>
        <v>0</v>
      </c>
      <c r="AM587" s="40">
        <v>0</v>
      </c>
      <c r="AN587" s="27">
        <v>0</v>
      </c>
      <c r="AO587" s="27">
        <f t="shared" si="59"/>
        <v>0</v>
      </c>
      <c r="AP587" s="7" t="b">
        <v>1</v>
      </c>
      <c r="AQ587" s="7" t="b">
        <v>1</v>
      </c>
      <c r="AR587" s="6" t="b">
        <v>0</v>
      </c>
      <c r="AS587" s="6" t="b">
        <v>0</v>
      </c>
      <c r="AT587" s="7" t="b">
        <v>1</v>
      </c>
      <c r="AU587" s="6" t="b">
        <v>0</v>
      </c>
      <c r="AV587" s="6" t="b">
        <v>0</v>
      </c>
      <c r="AW587" s="6" t="b">
        <v>0</v>
      </c>
      <c r="AX587" s="6" t="b">
        <v>0</v>
      </c>
      <c r="AY587" s="6" t="b">
        <v>0</v>
      </c>
      <c r="AZ587" s="6" t="b">
        <v>0</v>
      </c>
      <c r="BA587" s="6" t="b">
        <v>0</v>
      </c>
      <c r="BB587" s="6" t="b">
        <v>0</v>
      </c>
    </row>
    <row r="588" spans="1:54" ht="15" x14ac:dyDescent="0.25">
      <c r="A588" s="3" t="s">
        <v>1233</v>
      </c>
      <c r="B588" s="3" t="str">
        <f ca="1">IFERROR(__xludf.DUMMYFUNCTION("SPLIT(A588,""/"")"),"localstack")</f>
        <v>localstack</v>
      </c>
      <c r="C588" s="3" t="str">
        <f ca="1">IFERROR(__xludf.DUMMYFUNCTION("""COMPUTED_VALUE"""),"localstack")</f>
        <v>localstack</v>
      </c>
      <c r="D588" s="4" t="s">
        <v>1234</v>
      </c>
      <c r="E588" s="5">
        <v>42668.991701388892</v>
      </c>
      <c r="F588" s="5">
        <v>44295.092256944445</v>
      </c>
      <c r="G588" s="13">
        <f t="shared" si="54"/>
        <v>1626.100555555553</v>
      </c>
      <c r="H588" s="6" t="b">
        <v>0</v>
      </c>
      <c r="I588" s="7" t="b">
        <v>1</v>
      </c>
      <c r="J588" s="8">
        <v>29528</v>
      </c>
      <c r="K588" s="8">
        <v>461</v>
      </c>
      <c r="L588" s="8">
        <v>2265</v>
      </c>
      <c r="M588" s="8">
        <v>29</v>
      </c>
      <c r="N588" s="8">
        <v>15</v>
      </c>
      <c r="O588" s="8">
        <v>337</v>
      </c>
      <c r="P588" s="8">
        <v>1461</v>
      </c>
      <c r="Q588" s="8">
        <v>18</v>
      </c>
      <c r="R588" s="8">
        <v>2379</v>
      </c>
      <c r="S588" s="8">
        <v>254</v>
      </c>
      <c r="T588" s="3" t="s">
        <v>92</v>
      </c>
      <c r="U588" s="10">
        <v>28746</v>
      </c>
      <c r="V588" s="32">
        <v>273</v>
      </c>
      <c r="W588" s="27">
        <v>9.4969734919640985E-3</v>
      </c>
      <c r="X588" s="34">
        <v>91</v>
      </c>
      <c r="Y588" s="27">
        <v>0.33333333333333331</v>
      </c>
      <c r="Z588" s="27">
        <v>3.1656578306546996E-3</v>
      </c>
      <c r="AA588" s="35">
        <v>71</v>
      </c>
      <c r="AB588" s="27">
        <v>0.26007326007326009</v>
      </c>
      <c r="AC588" s="27">
        <f t="shared" si="55"/>
        <v>2.4699088568844361E-3</v>
      </c>
      <c r="AD588" s="36">
        <v>88</v>
      </c>
      <c r="AE588" s="27">
        <v>0.32234432234432236</v>
      </c>
      <c r="AF588" s="27">
        <f t="shared" si="56"/>
        <v>3.0612954845891604E-3</v>
      </c>
      <c r="AG588" s="37">
        <v>21</v>
      </c>
      <c r="AH588" s="27">
        <v>7.6923076923076927E-2</v>
      </c>
      <c r="AI588" s="27">
        <f t="shared" si="57"/>
        <v>7.3053642245877689E-4</v>
      </c>
      <c r="AJ588" s="38">
        <v>0</v>
      </c>
      <c r="AK588" s="27">
        <v>0</v>
      </c>
      <c r="AL588" s="27">
        <f t="shared" si="58"/>
        <v>0</v>
      </c>
      <c r="AM588" s="40">
        <v>2</v>
      </c>
      <c r="AN588" s="27">
        <v>7.326007326007326E-3</v>
      </c>
      <c r="AO588" s="27">
        <f t="shared" si="59"/>
        <v>6.9574897377026374E-5</v>
      </c>
      <c r="AP588" s="7" t="b">
        <v>1</v>
      </c>
      <c r="AQ588" s="7" t="b">
        <v>1</v>
      </c>
      <c r="AR588" s="6" t="b">
        <v>0</v>
      </c>
      <c r="AS588" s="6" t="b">
        <v>0</v>
      </c>
      <c r="AT588" s="7" t="b">
        <v>1</v>
      </c>
      <c r="AU588" s="6" t="b">
        <v>0</v>
      </c>
      <c r="AV588" s="6" t="b">
        <v>0</v>
      </c>
      <c r="AW588" s="6" t="b">
        <v>0</v>
      </c>
      <c r="AX588" s="6" t="b">
        <v>0</v>
      </c>
      <c r="AY588" s="6" t="b">
        <v>0</v>
      </c>
      <c r="AZ588" s="6" t="b">
        <v>0</v>
      </c>
      <c r="BA588" s="6" t="b">
        <v>0</v>
      </c>
      <c r="BB588" s="6" t="b">
        <v>0</v>
      </c>
    </row>
    <row r="589" spans="1:54" ht="15" x14ac:dyDescent="0.25">
      <c r="A589" s="3" t="s">
        <v>1235</v>
      </c>
      <c r="B589" s="3" t="str">
        <f ca="1">IFERROR(__xludf.DUMMYFUNCTION("SPLIT(A589,""/"")"),"locustio")</f>
        <v>locustio</v>
      </c>
      <c r="C589" s="3" t="str">
        <f ca="1">IFERROR(__xludf.DUMMYFUNCTION("""COMPUTED_VALUE"""),"locust")</f>
        <v>locust</v>
      </c>
      <c r="D589" s="4" t="s">
        <v>1236</v>
      </c>
      <c r="E589" s="5">
        <v>40591.463923611111</v>
      </c>
      <c r="F589" s="5">
        <v>44294.782071759262</v>
      </c>
      <c r="G589" s="13">
        <f t="shared" si="54"/>
        <v>3703.3181481481515</v>
      </c>
      <c r="H589" s="6" t="b">
        <v>0</v>
      </c>
      <c r="I589" s="7" t="b">
        <v>1</v>
      </c>
      <c r="J589" s="8">
        <v>15789</v>
      </c>
      <c r="K589" s="8">
        <v>452</v>
      </c>
      <c r="L589" s="8">
        <v>2034</v>
      </c>
      <c r="M589" s="8">
        <v>41</v>
      </c>
      <c r="N589" s="8">
        <v>39</v>
      </c>
      <c r="O589" s="8">
        <v>166</v>
      </c>
      <c r="P589" s="8">
        <v>612</v>
      </c>
      <c r="Q589" s="8">
        <v>3</v>
      </c>
      <c r="R589" s="8">
        <v>1126</v>
      </c>
      <c r="S589" s="8">
        <v>51</v>
      </c>
      <c r="T589" s="3" t="s">
        <v>72</v>
      </c>
      <c r="U589" s="10">
        <v>8212</v>
      </c>
      <c r="V589" s="32">
        <v>145</v>
      </c>
      <c r="W589" s="27">
        <v>1.7657087189478813E-2</v>
      </c>
      <c r="X589" s="34">
        <v>10</v>
      </c>
      <c r="Y589" s="27">
        <v>6.8965517241379309E-2</v>
      </c>
      <c r="Z589" s="27">
        <v>1.2177301509985387E-3</v>
      </c>
      <c r="AA589" s="35">
        <v>61</v>
      </c>
      <c r="AB589" s="27">
        <v>0.4206896551724138</v>
      </c>
      <c r="AC589" s="27">
        <f t="shared" si="55"/>
        <v>7.4281539210910861E-3</v>
      </c>
      <c r="AD589" s="36">
        <v>12</v>
      </c>
      <c r="AE589" s="27">
        <v>8.2758620689655171E-2</v>
      </c>
      <c r="AF589" s="27">
        <f t="shared" si="56"/>
        <v>1.4612761811982464E-3</v>
      </c>
      <c r="AG589" s="37">
        <v>19</v>
      </c>
      <c r="AH589" s="27">
        <v>0.1310344827586207</v>
      </c>
      <c r="AI589" s="27">
        <f t="shared" si="57"/>
        <v>2.3136872868972235E-3</v>
      </c>
      <c r="AJ589" s="38">
        <v>0</v>
      </c>
      <c r="AK589" s="27">
        <v>0</v>
      </c>
      <c r="AL589" s="27">
        <f t="shared" si="58"/>
        <v>0</v>
      </c>
      <c r="AM589" s="40">
        <v>41</v>
      </c>
      <c r="AN589" s="27">
        <v>0.28275862068965518</v>
      </c>
      <c r="AO589" s="27">
        <f t="shared" si="59"/>
        <v>4.992693619094009E-3</v>
      </c>
      <c r="AP589" s="7" t="b">
        <v>1</v>
      </c>
      <c r="AQ589" s="7" t="b">
        <v>1</v>
      </c>
      <c r="AR589" s="6" t="b">
        <v>0</v>
      </c>
      <c r="AS589" s="6" t="b">
        <v>0</v>
      </c>
      <c r="AT589" s="7" t="b">
        <v>1</v>
      </c>
      <c r="AU589" s="6" t="b">
        <v>0</v>
      </c>
      <c r="AV589" s="6" t="b">
        <v>0</v>
      </c>
      <c r="AW589" s="6" t="b">
        <v>0</v>
      </c>
      <c r="AX589" s="6" t="b">
        <v>0</v>
      </c>
      <c r="AY589" s="6" t="b">
        <v>0</v>
      </c>
      <c r="AZ589" s="6" t="b">
        <v>0</v>
      </c>
      <c r="BA589" s="6" t="b">
        <v>0</v>
      </c>
      <c r="BB589" s="6" t="b">
        <v>0</v>
      </c>
    </row>
    <row r="590" spans="1:54" ht="15" x14ac:dyDescent="0.25">
      <c r="A590" s="3" t="s">
        <v>1237</v>
      </c>
      <c r="B590" s="3" t="str">
        <f ca="1">IFERROR(__xludf.DUMMYFUNCTION("SPLIT(A590,""/"")"),"log2timeline")</f>
        <v>log2timeline</v>
      </c>
      <c r="C590" s="3" t="str">
        <f ca="1">IFERROR(__xludf.DUMMYFUNCTION("""COMPUTED_VALUE"""),"plaso")</f>
        <v>plaso</v>
      </c>
      <c r="D590" s="4" t="s">
        <v>1238</v>
      </c>
      <c r="E590" s="5">
        <v>41890.978796296295</v>
      </c>
      <c r="F590" s="5">
        <v>44294.706145833334</v>
      </c>
      <c r="G590" s="13">
        <f t="shared" si="54"/>
        <v>2403.7273495370391</v>
      </c>
      <c r="H590" s="6" t="b">
        <v>0</v>
      </c>
      <c r="I590" s="7" t="b">
        <v>1</v>
      </c>
      <c r="J590" s="8">
        <v>1074</v>
      </c>
      <c r="K590" s="8">
        <v>83</v>
      </c>
      <c r="L590" s="8">
        <v>235</v>
      </c>
      <c r="M590" s="8">
        <v>34</v>
      </c>
      <c r="N590" s="8">
        <v>5</v>
      </c>
      <c r="O590" s="8">
        <v>67</v>
      </c>
      <c r="P590" s="8">
        <v>1858</v>
      </c>
      <c r="Q590" s="8">
        <v>8</v>
      </c>
      <c r="R590" s="8">
        <v>1686</v>
      </c>
      <c r="S590" s="8">
        <v>276</v>
      </c>
      <c r="T590" s="3" t="s">
        <v>69</v>
      </c>
      <c r="U590" s="10">
        <v>60593</v>
      </c>
      <c r="V590" s="32">
        <v>434</v>
      </c>
      <c r="W590" s="27">
        <v>7.1625435281303124E-3</v>
      </c>
      <c r="X590" s="34">
        <v>202</v>
      </c>
      <c r="Y590" s="27">
        <v>0.46543778801843316</v>
      </c>
      <c r="Z590" s="27">
        <v>3.3337184163187168E-3</v>
      </c>
      <c r="AA590" s="35">
        <v>14</v>
      </c>
      <c r="AB590" s="27">
        <v>3.2258064516129031E-2</v>
      </c>
      <c r="AC590" s="27">
        <f t="shared" si="55"/>
        <v>2.3104979123001008E-4</v>
      </c>
      <c r="AD590" s="36">
        <v>110</v>
      </c>
      <c r="AE590" s="27">
        <v>0.25345622119815669</v>
      </c>
      <c r="AF590" s="27">
        <f t="shared" si="56"/>
        <v>1.8153912168072219E-3</v>
      </c>
      <c r="AG590" s="37">
        <v>108</v>
      </c>
      <c r="AH590" s="27">
        <v>0.24884792626728111</v>
      </c>
      <c r="AI590" s="27">
        <f t="shared" si="57"/>
        <v>1.7823841037743634E-3</v>
      </c>
      <c r="AJ590" s="38">
        <v>0</v>
      </c>
      <c r="AK590" s="27">
        <v>0</v>
      </c>
      <c r="AL590" s="27">
        <f t="shared" si="58"/>
        <v>0</v>
      </c>
      <c r="AM590" s="40">
        <v>0</v>
      </c>
      <c r="AN590" s="27">
        <v>0</v>
      </c>
      <c r="AO590" s="27">
        <f t="shared" si="59"/>
        <v>0</v>
      </c>
      <c r="AP590" s="7" t="b">
        <v>1</v>
      </c>
      <c r="AQ590" s="6" t="b">
        <v>0</v>
      </c>
      <c r="AR590" s="6" t="b">
        <v>0</v>
      </c>
      <c r="AS590" s="6" t="b">
        <v>0</v>
      </c>
      <c r="AT590" s="7" t="b">
        <v>1</v>
      </c>
      <c r="AU590" s="6" t="b">
        <v>0</v>
      </c>
      <c r="AV590" s="6" t="b">
        <v>0</v>
      </c>
      <c r="AW590" s="6" t="b">
        <v>0</v>
      </c>
      <c r="AX590" s="6" t="b">
        <v>0</v>
      </c>
      <c r="AY590" s="6" t="b">
        <v>0</v>
      </c>
      <c r="AZ590" s="6" t="b">
        <v>0</v>
      </c>
      <c r="BA590" s="6" t="b">
        <v>0</v>
      </c>
      <c r="BB590" s="6" t="b">
        <v>0</v>
      </c>
    </row>
    <row r="591" spans="1:54" ht="15" x14ac:dyDescent="0.25">
      <c r="A591" s="3" t="s">
        <v>1239</v>
      </c>
      <c r="B591" s="3" t="str">
        <f ca="1">IFERROR(__xludf.DUMMYFUNCTION("SPLIT(A591,""/"")"),"Lonero-Team")</f>
        <v>Lonero-Team</v>
      </c>
      <c r="C591" s="3" t="str">
        <f ca="1">IFERROR(__xludf.DUMMYFUNCTION("""COMPUTED_VALUE"""),"Decentralized-Internet")</f>
        <v>Decentralized-Internet</v>
      </c>
      <c r="D591" s="4" t="s">
        <v>1240</v>
      </c>
      <c r="E591" s="5">
        <v>43769.679849537039</v>
      </c>
      <c r="F591" s="5">
        <v>44294.97550925926</v>
      </c>
      <c r="G591" s="13">
        <f t="shared" si="54"/>
        <v>525.2956597222219</v>
      </c>
      <c r="H591" s="6" t="b">
        <v>0</v>
      </c>
      <c r="I591" s="7" t="b">
        <v>1</v>
      </c>
      <c r="J591" s="8">
        <v>409</v>
      </c>
      <c r="K591" s="8">
        <v>25</v>
      </c>
      <c r="L591" s="8">
        <v>167</v>
      </c>
      <c r="M591" s="8">
        <v>13</v>
      </c>
      <c r="N591" s="8">
        <v>41</v>
      </c>
      <c r="O591" s="8">
        <v>10</v>
      </c>
      <c r="P591" s="8">
        <v>2025</v>
      </c>
      <c r="Q591" s="8">
        <v>0</v>
      </c>
      <c r="R591" s="8">
        <v>155</v>
      </c>
      <c r="S591" s="8">
        <v>0</v>
      </c>
      <c r="T591" s="3" t="s">
        <v>72</v>
      </c>
      <c r="U591" s="10">
        <v>12698</v>
      </c>
      <c r="V591" s="32">
        <v>112</v>
      </c>
      <c r="W591" s="27">
        <v>8.8202866593164279E-3</v>
      </c>
      <c r="X591" s="34">
        <v>40</v>
      </c>
      <c r="Y591" s="27">
        <v>0.35714285714285715</v>
      </c>
      <c r="Z591" s="27">
        <v>3.1501023783272958E-3</v>
      </c>
      <c r="AA591" s="35">
        <v>34</v>
      </c>
      <c r="AB591" s="27">
        <v>0.30357142857142855</v>
      </c>
      <c r="AC591" s="27">
        <f t="shared" si="55"/>
        <v>2.6775870215782014E-3</v>
      </c>
      <c r="AD591" s="36">
        <v>12</v>
      </c>
      <c r="AE591" s="27">
        <v>0.10714285714285714</v>
      </c>
      <c r="AF591" s="27">
        <f t="shared" si="56"/>
        <v>9.4503071349818872E-4</v>
      </c>
      <c r="AG591" s="37">
        <v>20</v>
      </c>
      <c r="AH591" s="27">
        <v>0.17857142857142858</v>
      </c>
      <c r="AI591" s="27">
        <f t="shared" si="57"/>
        <v>1.5750511891636479E-3</v>
      </c>
      <c r="AJ591" s="38">
        <v>4</v>
      </c>
      <c r="AK591" s="27">
        <v>3.5714285714285712E-2</v>
      </c>
      <c r="AL591" s="27">
        <f t="shared" si="58"/>
        <v>3.1501023783272954E-4</v>
      </c>
      <c r="AM591" s="40">
        <v>0</v>
      </c>
      <c r="AN591" s="27">
        <v>0</v>
      </c>
      <c r="AO591" s="27">
        <f t="shared" si="59"/>
        <v>0</v>
      </c>
      <c r="AP591" s="7" t="b">
        <v>1</v>
      </c>
      <c r="AQ591" s="7" t="b">
        <v>1</v>
      </c>
      <c r="AR591" s="6" t="b">
        <v>0</v>
      </c>
      <c r="AS591" s="6" t="b">
        <v>0</v>
      </c>
      <c r="AT591" s="7" t="b">
        <v>1</v>
      </c>
      <c r="AU591" s="6" t="b">
        <v>0</v>
      </c>
      <c r="AV591" s="6" t="b">
        <v>0</v>
      </c>
      <c r="AW591" s="6" t="b">
        <v>0</v>
      </c>
      <c r="AX591" s="6" t="b">
        <v>0</v>
      </c>
      <c r="AY591" s="6" t="b">
        <v>0</v>
      </c>
      <c r="AZ591" s="6" t="b">
        <v>0</v>
      </c>
      <c r="BA591" s="6" t="b">
        <v>0</v>
      </c>
      <c r="BB591" s="6" t="b">
        <v>0</v>
      </c>
    </row>
    <row r="592" spans="1:54" ht="15" x14ac:dyDescent="0.25">
      <c r="A592" s="3" t="s">
        <v>1241</v>
      </c>
      <c r="B592" s="3" t="str">
        <f ca="1">IFERROR(__xludf.DUMMYFUNCTION("SPLIT(A592,""/"")"),"Lookyloo")</f>
        <v>Lookyloo</v>
      </c>
      <c r="C592" s="3" t="str">
        <f ca="1">IFERROR(__xludf.DUMMYFUNCTION("""COMPUTED_VALUE"""),"lookyloo")</f>
        <v>lookyloo</v>
      </c>
      <c r="D592" s="4" t="s">
        <v>1242</v>
      </c>
      <c r="E592" s="5">
        <v>42939.745416666665</v>
      </c>
      <c r="F592" s="5">
        <v>44294.720138888886</v>
      </c>
      <c r="G592" s="13">
        <f t="shared" si="54"/>
        <v>1354.9747222222213</v>
      </c>
      <c r="H592" s="6" t="b">
        <v>0</v>
      </c>
      <c r="I592" s="7" t="b">
        <v>1</v>
      </c>
      <c r="J592" s="8">
        <v>382</v>
      </c>
      <c r="K592" s="8">
        <v>21</v>
      </c>
      <c r="L592" s="8">
        <v>44</v>
      </c>
      <c r="M592" s="8">
        <v>3</v>
      </c>
      <c r="N592" s="8">
        <v>1</v>
      </c>
      <c r="O592" s="8">
        <v>10</v>
      </c>
      <c r="P592" s="8">
        <v>74</v>
      </c>
      <c r="Q592" s="8">
        <v>0</v>
      </c>
      <c r="R592" s="8">
        <v>120</v>
      </c>
      <c r="S592" s="8">
        <v>45</v>
      </c>
      <c r="T592" s="3" t="s">
        <v>92</v>
      </c>
      <c r="U592" s="10">
        <v>3275</v>
      </c>
      <c r="V592" s="32">
        <v>41</v>
      </c>
      <c r="W592" s="27">
        <v>1.2519083969465649E-2</v>
      </c>
      <c r="X592" s="34">
        <v>0</v>
      </c>
      <c r="Y592" s="27">
        <v>0</v>
      </c>
      <c r="Z592" s="27">
        <v>0</v>
      </c>
      <c r="AA592" s="35">
        <v>14</v>
      </c>
      <c r="AB592" s="27">
        <v>0.34146341463414637</v>
      </c>
      <c r="AC592" s="27">
        <f t="shared" si="55"/>
        <v>4.2748091603053437E-3</v>
      </c>
      <c r="AD592" s="36">
        <v>23</v>
      </c>
      <c r="AE592" s="27">
        <v>0.56097560975609762</v>
      </c>
      <c r="AF592" s="27">
        <f t="shared" si="56"/>
        <v>7.0229007633587784E-3</v>
      </c>
      <c r="AG592" s="37">
        <v>1</v>
      </c>
      <c r="AH592" s="27">
        <v>2.4390243902439025E-2</v>
      </c>
      <c r="AI592" s="27">
        <f t="shared" si="57"/>
        <v>3.0534351145038169E-4</v>
      </c>
      <c r="AJ592" s="38">
        <v>2</v>
      </c>
      <c r="AK592" s="27">
        <v>4.878048780487805E-2</v>
      </c>
      <c r="AL592" s="27">
        <f t="shared" si="58"/>
        <v>6.1068702290076337E-4</v>
      </c>
      <c r="AM592" s="40">
        <v>0</v>
      </c>
      <c r="AN592" s="27">
        <v>0</v>
      </c>
      <c r="AO592" s="27">
        <f t="shared" si="59"/>
        <v>0</v>
      </c>
      <c r="AP592" s="7" t="b">
        <v>1</v>
      </c>
      <c r="AQ592" s="7" t="b">
        <v>1</v>
      </c>
      <c r="AR592" s="6" t="b">
        <v>0</v>
      </c>
      <c r="AS592" s="6" t="b">
        <v>0</v>
      </c>
      <c r="AT592" s="7" t="b">
        <v>1</v>
      </c>
      <c r="AU592" s="6" t="b">
        <v>0</v>
      </c>
      <c r="AV592" s="6" t="b">
        <v>0</v>
      </c>
      <c r="AW592" s="6" t="b">
        <v>0</v>
      </c>
      <c r="AX592" s="6" t="b">
        <v>0</v>
      </c>
      <c r="AY592" s="6" t="b">
        <v>0</v>
      </c>
      <c r="AZ592" s="6" t="b">
        <v>0</v>
      </c>
      <c r="BA592" s="6" t="b">
        <v>0</v>
      </c>
      <c r="BB592" s="6" t="b">
        <v>0</v>
      </c>
    </row>
    <row r="593" spans="1:54" ht="15" x14ac:dyDescent="0.25">
      <c r="A593" s="3" t="s">
        <v>1243</v>
      </c>
      <c r="B593" s="3" t="str">
        <f ca="1">IFERROR(__xludf.DUMMYFUNCTION("SPLIT(A593,""/"")"),"lowerquality")</f>
        <v>lowerquality</v>
      </c>
      <c r="C593" s="3" t="str">
        <f ca="1">IFERROR(__xludf.DUMMYFUNCTION("""COMPUTED_VALUE"""),"gentle")</f>
        <v>gentle</v>
      </c>
      <c r="D593" s="4" t="s">
        <v>1244</v>
      </c>
      <c r="E593" s="5">
        <v>42300.417187500003</v>
      </c>
      <c r="F593" s="5">
        <v>44287.293726851851</v>
      </c>
      <c r="G593" s="13">
        <f t="shared" si="54"/>
        <v>1986.8765393518479</v>
      </c>
      <c r="H593" s="6" t="b">
        <v>0</v>
      </c>
      <c r="I593" s="7" t="b">
        <v>1</v>
      </c>
      <c r="J593" s="8">
        <v>925</v>
      </c>
      <c r="K593" s="8">
        <v>38</v>
      </c>
      <c r="L593" s="8">
        <v>208</v>
      </c>
      <c r="M593" s="8">
        <v>8</v>
      </c>
      <c r="N593" s="8">
        <v>30</v>
      </c>
      <c r="O593" s="8">
        <v>14</v>
      </c>
      <c r="P593" s="8">
        <v>99</v>
      </c>
      <c r="Q593" s="8">
        <v>9</v>
      </c>
      <c r="R593" s="8">
        <v>191</v>
      </c>
      <c r="S593" s="8">
        <v>122</v>
      </c>
      <c r="T593" s="3" t="s">
        <v>72</v>
      </c>
      <c r="U593" s="10">
        <v>1138</v>
      </c>
      <c r="V593" s="32">
        <v>16</v>
      </c>
      <c r="W593" s="27">
        <v>1.4059753954305799E-2</v>
      </c>
      <c r="X593" s="34">
        <v>2</v>
      </c>
      <c r="Y593" s="27">
        <v>0.125</v>
      </c>
      <c r="Z593" s="27">
        <v>1.7574692442882249E-3</v>
      </c>
      <c r="AA593" s="35">
        <v>13</v>
      </c>
      <c r="AB593" s="27">
        <v>0.8125</v>
      </c>
      <c r="AC593" s="27">
        <f t="shared" si="55"/>
        <v>1.1423550087873463E-2</v>
      </c>
      <c r="AD593" s="36">
        <v>0</v>
      </c>
      <c r="AE593" s="27">
        <v>0</v>
      </c>
      <c r="AF593" s="27">
        <f t="shared" si="56"/>
        <v>0</v>
      </c>
      <c r="AG593" s="37">
        <v>1</v>
      </c>
      <c r="AH593" s="27">
        <v>6.25E-2</v>
      </c>
      <c r="AI593" s="27">
        <f t="shared" si="57"/>
        <v>8.7873462214411243E-4</v>
      </c>
      <c r="AJ593" s="38">
        <v>0</v>
      </c>
      <c r="AK593" s="27">
        <v>0</v>
      </c>
      <c r="AL593" s="27">
        <f t="shared" si="58"/>
        <v>0</v>
      </c>
      <c r="AM593" s="40">
        <v>0</v>
      </c>
      <c r="AN593" s="27">
        <v>0</v>
      </c>
      <c r="AO593" s="27">
        <f t="shared" si="59"/>
        <v>0</v>
      </c>
      <c r="AP593" s="7" t="b">
        <v>1</v>
      </c>
      <c r="AQ593" s="6" t="b">
        <v>0</v>
      </c>
      <c r="AR593" s="6" t="b">
        <v>0</v>
      </c>
      <c r="AS593" s="6" t="b">
        <v>0</v>
      </c>
      <c r="AT593" s="7" t="b">
        <v>1</v>
      </c>
      <c r="AU593" s="6" t="b">
        <v>0</v>
      </c>
      <c r="AV593" s="6" t="b">
        <v>0</v>
      </c>
      <c r="AW593" s="6" t="b">
        <v>0</v>
      </c>
      <c r="AX593" s="6" t="b">
        <v>0</v>
      </c>
      <c r="AY593" s="6" t="b">
        <v>0</v>
      </c>
      <c r="AZ593" s="6" t="b">
        <v>0</v>
      </c>
      <c r="BA593" s="6" t="b">
        <v>0</v>
      </c>
      <c r="BB593" s="6" t="b">
        <v>0</v>
      </c>
    </row>
    <row r="594" spans="1:54" ht="15" x14ac:dyDescent="0.25">
      <c r="A594" s="3" t="s">
        <v>1245</v>
      </c>
      <c r="B594" s="3" t="str">
        <f ca="1">IFERROR(__xludf.DUMMYFUNCTION("SPLIT(A594,""/"")"),"lspvic")</f>
        <v>lspvic</v>
      </c>
      <c r="C594" s="3" t="str">
        <f ca="1">IFERROR(__xludf.DUMMYFUNCTION("""COMPUTED_VALUE"""),"jupyter_tensorboard")</f>
        <v>jupyter_tensorboard</v>
      </c>
      <c r="D594" s="4" t="s">
        <v>1246</v>
      </c>
      <c r="E594" s="5">
        <v>42969.336956018517</v>
      </c>
      <c r="F594" s="5">
        <v>44294.361689814818</v>
      </c>
      <c r="G594" s="13">
        <f t="shared" si="54"/>
        <v>1325.024733796301</v>
      </c>
      <c r="H594" s="6" t="b">
        <v>0</v>
      </c>
      <c r="I594" s="6" t="b">
        <v>0</v>
      </c>
      <c r="J594" s="8">
        <v>450</v>
      </c>
      <c r="K594" s="8">
        <v>17</v>
      </c>
      <c r="L594" s="8">
        <v>66</v>
      </c>
      <c r="M594" s="8">
        <v>0</v>
      </c>
      <c r="N594" s="8">
        <v>0</v>
      </c>
      <c r="O594" s="8">
        <v>4</v>
      </c>
      <c r="P594" s="8">
        <v>8</v>
      </c>
      <c r="Q594" s="8">
        <v>3</v>
      </c>
      <c r="R594" s="8">
        <v>65</v>
      </c>
      <c r="S594" s="8">
        <v>38</v>
      </c>
      <c r="T594" s="3" t="s">
        <v>72</v>
      </c>
      <c r="U594" s="10">
        <v>410</v>
      </c>
      <c r="V594" s="32">
        <v>5</v>
      </c>
      <c r="W594" s="27">
        <v>1.2195121951219513E-2</v>
      </c>
      <c r="X594" s="34">
        <v>3</v>
      </c>
      <c r="Y594" s="27">
        <v>0.6</v>
      </c>
      <c r="Z594" s="27">
        <v>7.3170731707317077E-3</v>
      </c>
      <c r="AA594" s="35">
        <v>2</v>
      </c>
      <c r="AB594" s="27">
        <v>0.4</v>
      </c>
      <c r="AC594" s="27">
        <f t="shared" si="55"/>
        <v>4.8780487804878049E-3</v>
      </c>
      <c r="AD594" s="36">
        <v>0</v>
      </c>
      <c r="AE594" s="27">
        <v>0</v>
      </c>
      <c r="AF594" s="27">
        <f t="shared" si="56"/>
        <v>0</v>
      </c>
      <c r="AG594" s="37">
        <v>0</v>
      </c>
      <c r="AH594" s="27">
        <v>0</v>
      </c>
      <c r="AI594" s="27">
        <f t="shared" si="57"/>
        <v>0</v>
      </c>
      <c r="AJ594" s="38">
        <v>0</v>
      </c>
      <c r="AK594" s="27">
        <v>0</v>
      </c>
      <c r="AL594" s="27">
        <f t="shared" si="58"/>
        <v>0</v>
      </c>
      <c r="AM594" s="40">
        <v>0</v>
      </c>
      <c r="AN594" s="27">
        <v>0</v>
      </c>
      <c r="AO594" s="27">
        <f t="shared" si="59"/>
        <v>0</v>
      </c>
      <c r="AP594" s="7" t="b">
        <v>1</v>
      </c>
      <c r="AQ594" s="6" t="b">
        <v>0</v>
      </c>
      <c r="AR594" s="6" t="b">
        <v>0</v>
      </c>
      <c r="AS594" s="6" t="b">
        <v>0</v>
      </c>
      <c r="AT594" s="7" t="b">
        <v>1</v>
      </c>
      <c r="AU594" s="6" t="b">
        <v>0</v>
      </c>
      <c r="AV594" s="6" t="b">
        <v>0</v>
      </c>
      <c r="AW594" s="6" t="b">
        <v>0</v>
      </c>
      <c r="AX594" s="6" t="b">
        <v>0</v>
      </c>
      <c r="AY594" s="6" t="b">
        <v>0</v>
      </c>
      <c r="AZ594" s="6" t="b">
        <v>0</v>
      </c>
      <c r="BA594" s="6" t="b">
        <v>0</v>
      </c>
      <c r="BB594" s="6" t="b">
        <v>0</v>
      </c>
    </row>
    <row r="595" spans="1:54" ht="15" x14ac:dyDescent="0.25">
      <c r="A595" s="3" t="s">
        <v>1247</v>
      </c>
      <c r="B595" s="3" t="str">
        <f ca="1">IFERROR(__xludf.DUMMYFUNCTION("SPLIT(A595,""/"")"),"LTD-Beget")</f>
        <v>LTD-Beget</v>
      </c>
      <c r="C595" s="3" t="str">
        <f ca="1">IFERROR(__xludf.DUMMYFUNCTION("""COMPUTED_VALUE"""),"sprutio")</f>
        <v>sprutio</v>
      </c>
      <c r="D595" s="4" t="s">
        <v>1248</v>
      </c>
      <c r="E595" s="5">
        <v>42354.483888888892</v>
      </c>
      <c r="F595" s="5">
        <v>44283.777418981481</v>
      </c>
      <c r="G595" s="13">
        <f t="shared" si="54"/>
        <v>1929.2935300925892</v>
      </c>
      <c r="H595" s="6" t="b">
        <v>0</v>
      </c>
      <c r="I595" s="7" t="b">
        <v>1</v>
      </c>
      <c r="J595" s="8">
        <v>436</v>
      </c>
      <c r="K595" s="8">
        <v>36</v>
      </c>
      <c r="L595" s="8">
        <v>80</v>
      </c>
      <c r="M595" s="8">
        <v>0</v>
      </c>
      <c r="N595" s="8">
        <v>2</v>
      </c>
      <c r="O595" s="8">
        <v>8</v>
      </c>
      <c r="P595" s="8">
        <v>34</v>
      </c>
      <c r="Q595" s="8">
        <v>4</v>
      </c>
      <c r="R595" s="8">
        <v>76</v>
      </c>
      <c r="S595" s="8">
        <v>46</v>
      </c>
      <c r="T595" s="3" t="s">
        <v>49</v>
      </c>
      <c r="U595" s="10">
        <v>3443</v>
      </c>
      <c r="V595" s="32">
        <v>28</v>
      </c>
      <c r="W595" s="27">
        <v>8.1324426372349698E-3</v>
      </c>
      <c r="X595" s="34">
        <v>0</v>
      </c>
      <c r="Y595" s="27">
        <v>0</v>
      </c>
      <c r="Z595" s="27">
        <v>0</v>
      </c>
      <c r="AA595" s="35">
        <v>4</v>
      </c>
      <c r="AB595" s="27">
        <v>0.14285714285714285</v>
      </c>
      <c r="AC595" s="27">
        <f t="shared" si="55"/>
        <v>1.1617775196049957E-3</v>
      </c>
      <c r="AD595" s="36">
        <v>0</v>
      </c>
      <c r="AE595" s="27">
        <v>0</v>
      </c>
      <c r="AF595" s="27">
        <f t="shared" si="56"/>
        <v>0</v>
      </c>
      <c r="AG595" s="37">
        <v>24</v>
      </c>
      <c r="AH595" s="27">
        <v>0.8571428571428571</v>
      </c>
      <c r="AI595" s="27">
        <f t="shared" si="57"/>
        <v>6.9706651176299735E-3</v>
      </c>
      <c r="AJ595" s="38">
        <v>0</v>
      </c>
      <c r="AK595" s="27">
        <v>0</v>
      </c>
      <c r="AL595" s="27">
        <f t="shared" si="58"/>
        <v>0</v>
      </c>
      <c r="AM595" s="40">
        <v>0</v>
      </c>
      <c r="AN595" s="27">
        <v>0</v>
      </c>
      <c r="AO595" s="27">
        <f t="shared" si="59"/>
        <v>0</v>
      </c>
      <c r="AP595" s="7" t="b">
        <v>1</v>
      </c>
      <c r="AQ595" s="7" t="b">
        <v>1</v>
      </c>
      <c r="AR595" s="6" t="b">
        <v>0</v>
      </c>
      <c r="AS595" s="6" t="b">
        <v>0</v>
      </c>
      <c r="AT595" s="7" t="b">
        <v>1</v>
      </c>
      <c r="AU595" s="6" t="b">
        <v>0</v>
      </c>
      <c r="AV595" s="6" t="b">
        <v>0</v>
      </c>
      <c r="AW595" s="6" t="b">
        <v>0</v>
      </c>
      <c r="AX595" s="6" t="b">
        <v>0</v>
      </c>
      <c r="AY595" s="6" t="b">
        <v>0</v>
      </c>
      <c r="AZ595" s="6" t="b">
        <v>0</v>
      </c>
      <c r="BA595" s="6" t="b">
        <v>0</v>
      </c>
      <c r="BB595" s="6" t="b">
        <v>0</v>
      </c>
    </row>
    <row r="596" spans="1:54" ht="15" x14ac:dyDescent="0.25">
      <c r="A596" s="3" t="s">
        <v>1249</v>
      </c>
      <c r="B596" s="3" t="str">
        <f ca="1">IFERROR(__xludf.DUMMYFUNCTION("SPLIT(A596,""/"")"),"ludwig-ai")</f>
        <v>ludwig-ai</v>
      </c>
      <c r="C596" s="3" t="str">
        <f ca="1">IFERROR(__xludf.DUMMYFUNCTION("""COMPUTED_VALUE"""),"ludwig")</f>
        <v>ludwig</v>
      </c>
      <c r="D596" s="4" t="s">
        <v>1250</v>
      </c>
      <c r="E596" s="5">
        <v>43461.998749999999</v>
      </c>
      <c r="F596" s="5">
        <v>44295.073692129627</v>
      </c>
      <c r="G596" s="13">
        <f t="shared" si="54"/>
        <v>833.07494212962774</v>
      </c>
      <c r="H596" s="6" t="b">
        <v>0</v>
      </c>
      <c r="I596" s="7" t="b">
        <v>1</v>
      </c>
      <c r="J596" s="8">
        <v>7638</v>
      </c>
      <c r="K596" s="8">
        <v>183</v>
      </c>
      <c r="L596" s="8">
        <v>861</v>
      </c>
      <c r="M596" s="8">
        <v>10</v>
      </c>
      <c r="N596" s="8">
        <v>54</v>
      </c>
      <c r="O596" s="8">
        <v>87</v>
      </c>
      <c r="P596" s="8">
        <v>613</v>
      </c>
      <c r="Q596" s="8">
        <v>18</v>
      </c>
      <c r="R596" s="8">
        <v>529</v>
      </c>
      <c r="S596" s="8">
        <v>107</v>
      </c>
      <c r="T596" s="3" t="s">
        <v>69</v>
      </c>
      <c r="U596" s="10">
        <v>19805</v>
      </c>
      <c r="V596" s="32">
        <v>378</v>
      </c>
      <c r="W596" s="27">
        <v>1.9086089371370865E-2</v>
      </c>
      <c r="X596" s="34">
        <v>136</v>
      </c>
      <c r="Y596" s="27">
        <v>0.35978835978835977</v>
      </c>
      <c r="Z596" s="27">
        <v>6.8669527896995704E-3</v>
      </c>
      <c r="AA596" s="35">
        <v>157</v>
      </c>
      <c r="AB596" s="27">
        <v>0.41534391534391535</v>
      </c>
      <c r="AC596" s="27">
        <f t="shared" si="55"/>
        <v>7.927291088109063E-3</v>
      </c>
      <c r="AD596" s="36">
        <v>26</v>
      </c>
      <c r="AE596" s="27">
        <v>6.8783068783068779E-2</v>
      </c>
      <c r="AF596" s="27">
        <f t="shared" si="56"/>
        <v>1.3127997980308002E-3</v>
      </c>
      <c r="AG596" s="37">
        <v>53</v>
      </c>
      <c r="AH596" s="27">
        <v>0.1402116402116402</v>
      </c>
      <c r="AI596" s="27">
        <f t="shared" si="57"/>
        <v>2.6760918959858621E-3</v>
      </c>
      <c r="AJ596" s="38">
        <v>4</v>
      </c>
      <c r="AK596" s="27">
        <v>1.0582010582010581E-2</v>
      </c>
      <c r="AL596" s="27">
        <f t="shared" si="58"/>
        <v>2.019691996970462E-4</v>
      </c>
      <c r="AM596" s="40">
        <v>1</v>
      </c>
      <c r="AN596" s="27">
        <v>2.6455026455026454E-3</v>
      </c>
      <c r="AO596" s="27">
        <f t="shared" si="59"/>
        <v>5.0492299924261551E-5</v>
      </c>
      <c r="AP596" s="7" t="b">
        <v>1</v>
      </c>
      <c r="AQ596" s="6" t="b">
        <v>0</v>
      </c>
      <c r="AR596" s="6" t="b">
        <v>0</v>
      </c>
      <c r="AS596" s="6" t="b">
        <v>0</v>
      </c>
      <c r="AT596" s="7" t="b">
        <v>1</v>
      </c>
      <c r="AU596" s="6" t="b">
        <v>0</v>
      </c>
      <c r="AV596" s="6" t="b">
        <v>0</v>
      </c>
      <c r="AW596" s="6" t="b">
        <v>0</v>
      </c>
      <c r="AX596" s="6" t="b">
        <v>0</v>
      </c>
      <c r="AY596" s="6" t="b">
        <v>0</v>
      </c>
      <c r="AZ596" s="6" t="b">
        <v>0</v>
      </c>
      <c r="BA596" s="6" t="b">
        <v>0</v>
      </c>
      <c r="BB596" s="6" t="b">
        <v>0</v>
      </c>
    </row>
    <row r="597" spans="1:54" ht="15" x14ac:dyDescent="0.25">
      <c r="A597" s="3" t="s">
        <v>1251</v>
      </c>
      <c r="B597" s="3" t="str">
        <f ca="1">IFERROR(__xludf.DUMMYFUNCTION("SPLIT(A597,""/"")"),"lyft")</f>
        <v>lyft</v>
      </c>
      <c r="C597" s="3" t="str">
        <f ca="1">IFERROR(__xludf.DUMMYFUNCTION("""COMPUTED_VALUE"""),"confidant")</f>
        <v>confidant</v>
      </c>
      <c r="D597" s="4" t="s">
        <v>1252</v>
      </c>
      <c r="E597" s="5">
        <v>42258.751527777778</v>
      </c>
      <c r="F597" s="5">
        <v>44294.876562500001</v>
      </c>
      <c r="G597" s="13">
        <f t="shared" si="54"/>
        <v>2036.1250347222231</v>
      </c>
      <c r="H597" s="6" t="b">
        <v>0</v>
      </c>
      <c r="I597" s="7" t="b">
        <v>1</v>
      </c>
      <c r="J597" s="8">
        <v>1633</v>
      </c>
      <c r="K597" s="8">
        <v>297</v>
      </c>
      <c r="L597" s="8">
        <v>88</v>
      </c>
      <c r="M597" s="8">
        <v>7</v>
      </c>
      <c r="N597" s="8">
        <v>6</v>
      </c>
      <c r="O597" s="8">
        <v>23</v>
      </c>
      <c r="P597" s="8">
        <v>231</v>
      </c>
      <c r="Q597" s="8">
        <v>10</v>
      </c>
      <c r="R597" s="8">
        <v>87</v>
      </c>
      <c r="S597" s="8">
        <v>23</v>
      </c>
      <c r="T597" s="3" t="s">
        <v>69</v>
      </c>
      <c r="U597" s="10">
        <v>5486</v>
      </c>
      <c r="V597" s="32">
        <v>130</v>
      </c>
      <c r="W597" s="27">
        <v>2.3696682464454975E-2</v>
      </c>
      <c r="X597" s="34">
        <v>11</v>
      </c>
      <c r="Y597" s="27">
        <v>8.461538461538462E-2</v>
      </c>
      <c r="Z597" s="27">
        <v>2.0051039008384978E-3</v>
      </c>
      <c r="AA597" s="35">
        <v>38</v>
      </c>
      <c r="AB597" s="27">
        <v>0.29230769230769232</v>
      </c>
      <c r="AC597" s="27">
        <f t="shared" si="55"/>
        <v>6.926722566532993E-3</v>
      </c>
      <c r="AD597" s="36">
        <v>38</v>
      </c>
      <c r="AE597" s="27">
        <v>0.29230769230769232</v>
      </c>
      <c r="AF597" s="27">
        <f t="shared" si="56"/>
        <v>6.926722566532993E-3</v>
      </c>
      <c r="AG597" s="37">
        <v>31</v>
      </c>
      <c r="AH597" s="27">
        <v>0.23846153846153847</v>
      </c>
      <c r="AI597" s="27">
        <f t="shared" si="57"/>
        <v>5.6507473569084943E-3</v>
      </c>
      <c r="AJ597" s="38">
        <v>0</v>
      </c>
      <c r="AK597" s="27">
        <v>0</v>
      </c>
      <c r="AL597" s="27">
        <f t="shared" si="58"/>
        <v>0</v>
      </c>
      <c r="AM597" s="40">
        <v>0</v>
      </c>
      <c r="AN597" s="27">
        <v>0</v>
      </c>
      <c r="AO597" s="27">
        <f t="shared" si="59"/>
        <v>0</v>
      </c>
      <c r="AP597" s="7" t="b">
        <v>1</v>
      </c>
      <c r="AQ597" s="7" t="b">
        <v>1</v>
      </c>
      <c r="AR597" s="6" t="b">
        <v>0</v>
      </c>
      <c r="AS597" s="6" t="b">
        <v>0</v>
      </c>
      <c r="AT597" s="7" t="b">
        <v>1</v>
      </c>
      <c r="AU597" s="6" t="b">
        <v>0</v>
      </c>
      <c r="AV597" s="6" t="b">
        <v>0</v>
      </c>
      <c r="AW597" s="6" t="b">
        <v>0</v>
      </c>
      <c r="AX597" s="6" t="b">
        <v>0</v>
      </c>
      <c r="AY597" s="6" t="b">
        <v>0</v>
      </c>
      <c r="AZ597" s="6" t="b">
        <v>0</v>
      </c>
      <c r="BA597" s="6" t="b">
        <v>0</v>
      </c>
      <c r="BB597" s="6" t="b">
        <v>0</v>
      </c>
    </row>
    <row r="598" spans="1:54" ht="15" x14ac:dyDescent="0.25">
      <c r="A598" s="3" t="s">
        <v>1253</v>
      </c>
      <c r="B598" s="3" t="str">
        <f ca="1">IFERROR(__xludf.DUMMYFUNCTION("SPLIT(A598,""/"")"),"lyft")</f>
        <v>lyft</v>
      </c>
      <c r="C598" s="3" t="str">
        <f ca="1">IFERROR(__xludf.DUMMYFUNCTION("""COMPUTED_VALUE"""),"metadataproxy")</f>
        <v>metadataproxy</v>
      </c>
      <c r="D598" s="4" t="s">
        <v>1254</v>
      </c>
      <c r="E598" s="5">
        <v>42431.914155092592</v>
      </c>
      <c r="F598" s="5">
        <v>44294.90388888889</v>
      </c>
      <c r="G598" s="13">
        <f t="shared" si="54"/>
        <v>1862.9897337962975</v>
      </c>
      <c r="H598" s="6" t="b">
        <v>0</v>
      </c>
      <c r="I598" s="7" t="b">
        <v>1</v>
      </c>
      <c r="J598" s="8">
        <v>412</v>
      </c>
      <c r="K598" s="8">
        <v>235</v>
      </c>
      <c r="L598" s="8">
        <v>56</v>
      </c>
      <c r="M598" s="8">
        <v>0</v>
      </c>
      <c r="N598" s="8">
        <v>0</v>
      </c>
      <c r="O598" s="8">
        <v>34</v>
      </c>
      <c r="P598" s="8">
        <v>74</v>
      </c>
      <c r="Q598" s="8">
        <v>3</v>
      </c>
      <c r="R598" s="8">
        <v>31</v>
      </c>
      <c r="S598" s="8">
        <v>6</v>
      </c>
      <c r="T598" s="3" t="s">
        <v>92</v>
      </c>
      <c r="U598" s="10">
        <v>665</v>
      </c>
      <c r="V598" s="32">
        <v>24</v>
      </c>
      <c r="W598" s="27">
        <v>3.6090225563909777E-2</v>
      </c>
      <c r="X598" s="34">
        <v>10</v>
      </c>
      <c r="Y598" s="27">
        <v>0.41666666666666669</v>
      </c>
      <c r="Z598" s="27">
        <v>1.5037593984962405E-2</v>
      </c>
      <c r="AA598" s="35">
        <v>1</v>
      </c>
      <c r="AB598" s="27">
        <v>4.1666666666666664E-2</v>
      </c>
      <c r="AC598" s="27">
        <f t="shared" si="55"/>
        <v>1.5037593984962407E-3</v>
      </c>
      <c r="AD598" s="36">
        <v>0</v>
      </c>
      <c r="AE598" s="27">
        <v>0</v>
      </c>
      <c r="AF598" s="27">
        <f t="shared" si="56"/>
        <v>0</v>
      </c>
      <c r="AG598" s="37">
        <v>13</v>
      </c>
      <c r="AH598" s="27">
        <v>0.54166666666666663</v>
      </c>
      <c r="AI598" s="27">
        <f t="shared" si="57"/>
        <v>1.9548872180451128E-2</v>
      </c>
      <c r="AJ598" s="38">
        <v>0</v>
      </c>
      <c r="AK598" s="27">
        <v>0</v>
      </c>
      <c r="AL598" s="27">
        <f t="shared" si="58"/>
        <v>0</v>
      </c>
      <c r="AM598" s="40">
        <v>0</v>
      </c>
      <c r="AN598" s="27">
        <v>0</v>
      </c>
      <c r="AO598" s="27">
        <f t="shared" si="59"/>
        <v>0</v>
      </c>
      <c r="AP598" s="7" t="b">
        <v>1</v>
      </c>
      <c r="AQ598" s="6" t="b">
        <v>0</v>
      </c>
      <c r="AR598" s="6" t="b">
        <v>0</v>
      </c>
      <c r="AS598" s="6" t="b">
        <v>0</v>
      </c>
      <c r="AT598" s="7" t="b">
        <v>1</v>
      </c>
      <c r="AU598" s="6" t="b">
        <v>0</v>
      </c>
      <c r="AV598" s="6" t="b">
        <v>0</v>
      </c>
      <c r="AW598" s="6" t="b">
        <v>0</v>
      </c>
      <c r="AX598" s="6" t="b">
        <v>0</v>
      </c>
      <c r="AY598" s="6" t="b">
        <v>0</v>
      </c>
      <c r="AZ598" s="6" t="b">
        <v>0</v>
      </c>
      <c r="BA598" s="6" t="b">
        <v>0</v>
      </c>
      <c r="BB598" s="6" t="b">
        <v>0</v>
      </c>
    </row>
    <row r="599" spans="1:54" ht="15" x14ac:dyDescent="0.25">
      <c r="A599" s="3" t="s">
        <v>1255</v>
      </c>
      <c r="B599" s="3" t="str">
        <f ca="1">IFERROR(__xludf.DUMMYFUNCTION("SPLIT(A599,""/"")"),"lzzy12")</f>
        <v>lzzy12</v>
      </c>
      <c r="C599" s="3" t="str">
        <f ca="1">IFERROR(__xludf.DUMMYFUNCTION("""COMPUTED_VALUE"""),"python-aria-mirror-bot")</f>
        <v>python-aria-mirror-bot</v>
      </c>
      <c r="D599" s="4" t="s">
        <v>1256</v>
      </c>
      <c r="E599" s="5">
        <v>43729.549444444441</v>
      </c>
      <c r="F599" s="5">
        <v>44295.119942129626</v>
      </c>
      <c r="G599" s="13">
        <f t="shared" si="54"/>
        <v>565.57049768518482</v>
      </c>
      <c r="H599" s="6" t="b">
        <v>0</v>
      </c>
      <c r="I599" s="6" t="b">
        <v>0</v>
      </c>
      <c r="J599" s="8">
        <v>395</v>
      </c>
      <c r="K599" s="8">
        <v>48</v>
      </c>
      <c r="L599" s="8">
        <v>710</v>
      </c>
      <c r="M599" s="8">
        <v>3</v>
      </c>
      <c r="N599" s="8">
        <v>11</v>
      </c>
      <c r="O599" s="8">
        <v>13</v>
      </c>
      <c r="P599" s="8">
        <v>70</v>
      </c>
      <c r="Q599" s="8">
        <v>8</v>
      </c>
      <c r="R599" s="8">
        <v>146</v>
      </c>
      <c r="S599" s="8">
        <v>27</v>
      </c>
      <c r="T599" s="3" t="s">
        <v>49</v>
      </c>
      <c r="U599" s="10">
        <v>2324</v>
      </c>
      <c r="V599" s="32">
        <v>67</v>
      </c>
      <c r="W599" s="27">
        <v>2.8829604130808949E-2</v>
      </c>
      <c r="X599" s="34">
        <v>2</v>
      </c>
      <c r="Y599" s="27">
        <v>2.9850746268656716E-2</v>
      </c>
      <c r="Z599" s="27">
        <v>8.6058519793459555E-4</v>
      </c>
      <c r="AA599" s="35">
        <v>48</v>
      </c>
      <c r="AB599" s="27">
        <v>0.71641791044776115</v>
      </c>
      <c r="AC599" s="27">
        <f t="shared" si="55"/>
        <v>2.0654044750430294E-2</v>
      </c>
      <c r="AD599" s="36">
        <v>3</v>
      </c>
      <c r="AE599" s="27">
        <v>4.4776119402985072E-2</v>
      </c>
      <c r="AF599" s="27">
        <f t="shared" si="56"/>
        <v>1.2908777969018934E-3</v>
      </c>
      <c r="AG599" s="37">
        <v>14</v>
      </c>
      <c r="AH599" s="27">
        <v>0.20895522388059701</v>
      </c>
      <c r="AI599" s="27">
        <f t="shared" si="57"/>
        <v>6.024096385542169E-3</v>
      </c>
      <c r="AJ599" s="38">
        <v>0</v>
      </c>
      <c r="AK599" s="27">
        <v>0</v>
      </c>
      <c r="AL599" s="27">
        <f t="shared" si="58"/>
        <v>0</v>
      </c>
      <c r="AM599" s="40">
        <v>0</v>
      </c>
      <c r="AN599" s="27">
        <v>0</v>
      </c>
      <c r="AO599" s="27">
        <f t="shared" si="59"/>
        <v>0</v>
      </c>
      <c r="AP599" s="7" t="b">
        <v>1</v>
      </c>
      <c r="AQ599" s="6" t="b">
        <v>0</v>
      </c>
      <c r="AR599" s="6" t="b">
        <v>0</v>
      </c>
      <c r="AS599" s="6" t="b">
        <v>0</v>
      </c>
      <c r="AT599" s="7" t="b">
        <v>1</v>
      </c>
      <c r="AU599" s="6" t="b">
        <v>0</v>
      </c>
      <c r="AV599" s="6" t="b">
        <v>0</v>
      </c>
      <c r="AW599" s="6" t="b">
        <v>0</v>
      </c>
      <c r="AX599" s="6" t="b">
        <v>0</v>
      </c>
      <c r="AY599" s="6" t="b">
        <v>0</v>
      </c>
      <c r="AZ599" s="6" t="b">
        <v>0</v>
      </c>
      <c r="BA599" s="6" t="b">
        <v>0</v>
      </c>
      <c r="BB599" s="6" t="b">
        <v>0</v>
      </c>
    </row>
    <row r="600" spans="1:54" ht="15" x14ac:dyDescent="0.25">
      <c r="A600" s="3" t="s">
        <v>1257</v>
      </c>
      <c r="B600" s="3" t="str">
        <f ca="1">IFERROR(__xludf.DUMMYFUNCTION("SPLIT(A600,""/"")"),"m4n3dw0lf")</f>
        <v>m4n3dw0lf</v>
      </c>
      <c r="C600" s="3" t="str">
        <f ca="1">IFERROR(__xludf.DUMMYFUNCTION("""COMPUTED_VALUE"""),"pythem")</f>
        <v>pythem</v>
      </c>
      <c r="D600" s="4" t="s">
        <v>1258</v>
      </c>
      <c r="E600" s="5">
        <v>42478.818425925929</v>
      </c>
      <c r="F600" s="5">
        <v>44292.617303240739</v>
      </c>
      <c r="G600" s="13">
        <f t="shared" si="54"/>
        <v>1813.7988773148099</v>
      </c>
      <c r="H600" s="6" t="b">
        <v>0</v>
      </c>
      <c r="I600" s="6" t="b">
        <v>0</v>
      </c>
      <c r="J600" s="8">
        <v>1060</v>
      </c>
      <c r="K600" s="8">
        <v>82</v>
      </c>
      <c r="L600" s="8">
        <v>307</v>
      </c>
      <c r="M600" s="8">
        <v>0</v>
      </c>
      <c r="N600" s="8">
        <v>0</v>
      </c>
      <c r="O600" s="8">
        <v>6</v>
      </c>
      <c r="P600" s="8">
        <v>11</v>
      </c>
      <c r="Q600" s="8">
        <v>1</v>
      </c>
      <c r="R600" s="8">
        <v>36</v>
      </c>
      <c r="S600" s="8">
        <v>9</v>
      </c>
      <c r="T600" s="3" t="s">
        <v>49</v>
      </c>
      <c r="U600" s="10">
        <v>3740</v>
      </c>
      <c r="V600" s="32">
        <v>0</v>
      </c>
      <c r="W600" s="27">
        <v>0</v>
      </c>
      <c r="X600" s="34">
        <v>0</v>
      </c>
      <c r="Y600" s="27">
        <v>0</v>
      </c>
      <c r="Z600" s="27">
        <v>0</v>
      </c>
      <c r="AA600" s="35">
        <v>0</v>
      </c>
      <c r="AB600" s="27">
        <v>0</v>
      </c>
      <c r="AC600" s="27">
        <f t="shared" si="55"/>
        <v>0</v>
      </c>
      <c r="AD600" s="36">
        <v>0</v>
      </c>
      <c r="AE600" s="27">
        <v>0</v>
      </c>
      <c r="AF600" s="27">
        <f t="shared" si="56"/>
        <v>0</v>
      </c>
      <c r="AG600" s="37">
        <v>0</v>
      </c>
      <c r="AH600" s="27">
        <v>0</v>
      </c>
      <c r="AI600" s="27">
        <f t="shared" si="57"/>
        <v>0</v>
      </c>
      <c r="AJ600" s="38">
        <v>0</v>
      </c>
      <c r="AK600" s="27">
        <v>0</v>
      </c>
      <c r="AL600" s="27">
        <f t="shared" si="58"/>
        <v>0</v>
      </c>
      <c r="AM600" s="40">
        <v>0</v>
      </c>
      <c r="AN600" s="27">
        <v>0</v>
      </c>
      <c r="AO600" s="27">
        <f t="shared" si="59"/>
        <v>0</v>
      </c>
      <c r="AP600" s="7" t="b">
        <v>1</v>
      </c>
      <c r="AQ600" s="6" t="b">
        <v>0</v>
      </c>
      <c r="AR600" s="6" t="b">
        <v>0</v>
      </c>
      <c r="AS600" s="6" t="b">
        <v>0</v>
      </c>
      <c r="AT600" s="7" t="b">
        <v>1</v>
      </c>
      <c r="AU600" s="6" t="b">
        <v>0</v>
      </c>
      <c r="AV600" s="6" t="b">
        <v>0</v>
      </c>
      <c r="AW600" s="6" t="b">
        <v>0</v>
      </c>
      <c r="AX600" s="6" t="b">
        <v>0</v>
      </c>
      <c r="AY600" s="6" t="b">
        <v>0</v>
      </c>
      <c r="AZ600" s="6" t="b">
        <v>0</v>
      </c>
      <c r="BA600" s="6" t="b">
        <v>0</v>
      </c>
      <c r="BB600" s="6" t="b">
        <v>0</v>
      </c>
    </row>
    <row r="601" spans="1:54" ht="15" x14ac:dyDescent="0.25">
      <c r="A601" s="3" t="s">
        <v>1259</v>
      </c>
      <c r="B601" s="3" t="str">
        <f ca="1">IFERROR(__xludf.DUMMYFUNCTION("SPLIT(A601,""/"")"),"madflojo")</f>
        <v>madflojo</v>
      </c>
      <c r="C601" s="3" t="str">
        <f ca="1">IFERROR(__xludf.DUMMYFUNCTION("""COMPUTED_VALUE"""),"automatron")</f>
        <v>automatron</v>
      </c>
      <c r="D601" s="4" t="s">
        <v>1260</v>
      </c>
      <c r="E601" s="5">
        <v>42505.934432870374</v>
      </c>
      <c r="F601" s="5">
        <v>44290.318854166668</v>
      </c>
      <c r="G601" s="13">
        <f t="shared" si="54"/>
        <v>1784.384421296294</v>
      </c>
      <c r="H601" s="6" t="b">
        <v>0</v>
      </c>
      <c r="I601" s="6" t="b">
        <v>0</v>
      </c>
      <c r="J601" s="8">
        <v>382</v>
      </c>
      <c r="K601" s="8">
        <v>29</v>
      </c>
      <c r="L601" s="8">
        <v>55</v>
      </c>
      <c r="M601" s="8">
        <v>8</v>
      </c>
      <c r="N601" s="8">
        <v>0</v>
      </c>
      <c r="O601" s="8">
        <v>3</v>
      </c>
      <c r="P601" s="8">
        <v>87</v>
      </c>
      <c r="Q601" s="8">
        <v>0</v>
      </c>
      <c r="R601" s="8">
        <v>40</v>
      </c>
      <c r="S601" s="8">
        <v>4</v>
      </c>
      <c r="T601" s="3" t="s">
        <v>69</v>
      </c>
      <c r="U601" s="10">
        <v>1921</v>
      </c>
      <c r="V601" s="32">
        <v>94</v>
      </c>
      <c r="W601" s="27">
        <v>4.8932847475273294E-2</v>
      </c>
      <c r="X601" s="34">
        <v>54</v>
      </c>
      <c r="Y601" s="27">
        <v>0.57446808510638303</v>
      </c>
      <c r="Z601" s="27">
        <v>2.8110359187922956E-2</v>
      </c>
      <c r="AA601" s="35">
        <v>19</v>
      </c>
      <c r="AB601" s="27">
        <v>0.20212765957446807</v>
      </c>
      <c r="AC601" s="27">
        <f t="shared" si="55"/>
        <v>9.8906819364914106E-3</v>
      </c>
      <c r="AD601" s="36">
        <v>10</v>
      </c>
      <c r="AE601" s="27">
        <v>0.10638297872340426</v>
      </c>
      <c r="AF601" s="27">
        <f t="shared" si="56"/>
        <v>5.2056220718375845E-3</v>
      </c>
      <c r="AG601" s="37">
        <v>11</v>
      </c>
      <c r="AH601" s="27">
        <v>0.11702127659574468</v>
      </c>
      <c r="AI601" s="27">
        <f t="shared" si="57"/>
        <v>5.726184279021343E-3</v>
      </c>
      <c r="AJ601" s="38">
        <v>0</v>
      </c>
      <c r="AK601" s="27">
        <v>0</v>
      </c>
      <c r="AL601" s="27">
        <f t="shared" si="58"/>
        <v>0</v>
      </c>
      <c r="AM601" s="40">
        <v>0</v>
      </c>
      <c r="AN601" s="27">
        <v>0</v>
      </c>
      <c r="AO601" s="27">
        <f t="shared" si="59"/>
        <v>0</v>
      </c>
      <c r="AP601" s="7" t="b">
        <v>1</v>
      </c>
      <c r="AQ601" s="7" t="b">
        <v>1</v>
      </c>
      <c r="AR601" s="6" t="b">
        <v>0</v>
      </c>
      <c r="AS601" s="6" t="b">
        <v>0</v>
      </c>
      <c r="AT601" s="7" t="b">
        <v>1</v>
      </c>
      <c r="AU601" s="6" t="b">
        <v>0</v>
      </c>
      <c r="AV601" s="6" t="b">
        <v>0</v>
      </c>
      <c r="AW601" s="6" t="b">
        <v>0</v>
      </c>
      <c r="AX601" s="6" t="b">
        <v>0</v>
      </c>
      <c r="AY601" s="6" t="b">
        <v>0</v>
      </c>
      <c r="AZ601" s="6" t="b">
        <v>0</v>
      </c>
      <c r="BA601" s="6" t="b">
        <v>0</v>
      </c>
      <c r="BB601" s="6" t="b">
        <v>0</v>
      </c>
    </row>
    <row r="602" spans="1:54" ht="15" x14ac:dyDescent="0.25">
      <c r="A602" s="3" t="s">
        <v>1261</v>
      </c>
      <c r="B602" s="3" t="str">
        <f ca="1">IFERROR(__xludf.DUMMYFUNCTION("SPLIT(A602,""/"")"),"madhawav")</f>
        <v>madhawav</v>
      </c>
      <c r="C602" s="3" t="str">
        <f ca="1">IFERROR(__xludf.DUMMYFUNCTION("""COMPUTED_VALUE"""),"YOLO3-4-Py")</f>
        <v>YOLO3-4-Py</v>
      </c>
      <c r="D602" s="4" t="s">
        <v>1262</v>
      </c>
      <c r="E602" s="5">
        <v>43191.64334490741</v>
      </c>
      <c r="F602" s="5">
        <v>44288.547476851854</v>
      </c>
      <c r="G602" s="13">
        <f t="shared" si="54"/>
        <v>1096.9041319444441</v>
      </c>
      <c r="H602" s="6" t="b">
        <v>0</v>
      </c>
      <c r="I602" s="6" t="b">
        <v>0</v>
      </c>
      <c r="J602" s="8">
        <v>503</v>
      </c>
      <c r="K602" s="8">
        <v>25</v>
      </c>
      <c r="L602" s="8">
        <v>156</v>
      </c>
      <c r="M602" s="8">
        <v>1</v>
      </c>
      <c r="N602" s="8">
        <v>0</v>
      </c>
      <c r="O602" s="8">
        <v>4</v>
      </c>
      <c r="P602" s="8">
        <v>16</v>
      </c>
      <c r="Q602" s="8">
        <v>0</v>
      </c>
      <c r="R602" s="8">
        <v>116</v>
      </c>
      <c r="S602" s="8">
        <v>2</v>
      </c>
      <c r="T602" s="3" t="s">
        <v>69</v>
      </c>
      <c r="U602" s="10">
        <v>446</v>
      </c>
      <c r="V602" s="32">
        <v>18</v>
      </c>
      <c r="W602" s="27">
        <v>4.0358744394618833E-2</v>
      </c>
      <c r="X602" s="34">
        <v>0</v>
      </c>
      <c r="Y602" s="27">
        <v>0</v>
      </c>
      <c r="Z602" s="27">
        <v>0</v>
      </c>
      <c r="AA602" s="35">
        <v>18</v>
      </c>
      <c r="AB602" s="27">
        <v>1</v>
      </c>
      <c r="AC602" s="27">
        <f t="shared" si="55"/>
        <v>4.0358744394618833E-2</v>
      </c>
      <c r="AD602" s="36">
        <v>0</v>
      </c>
      <c r="AE602" s="27">
        <v>0</v>
      </c>
      <c r="AF602" s="27">
        <f t="shared" si="56"/>
        <v>0</v>
      </c>
      <c r="AG602" s="37">
        <v>0</v>
      </c>
      <c r="AH602" s="27">
        <v>0</v>
      </c>
      <c r="AI602" s="27">
        <f t="shared" si="57"/>
        <v>0</v>
      </c>
      <c r="AJ602" s="38">
        <v>0</v>
      </c>
      <c r="AK602" s="27">
        <v>0</v>
      </c>
      <c r="AL602" s="27">
        <f t="shared" si="58"/>
        <v>0</v>
      </c>
      <c r="AM602" s="40">
        <v>0</v>
      </c>
      <c r="AN602" s="27">
        <v>0</v>
      </c>
      <c r="AO602" s="27">
        <f t="shared" si="59"/>
        <v>0</v>
      </c>
      <c r="AP602" s="7" t="b">
        <v>1</v>
      </c>
      <c r="AQ602" s="6" t="b">
        <v>0</v>
      </c>
      <c r="AR602" s="6" t="b">
        <v>0</v>
      </c>
      <c r="AS602" s="6" t="b">
        <v>0</v>
      </c>
      <c r="AT602" s="7" t="b">
        <v>1</v>
      </c>
      <c r="AU602" s="6" t="b">
        <v>0</v>
      </c>
      <c r="AV602" s="6" t="b">
        <v>0</v>
      </c>
      <c r="AW602" s="6" t="b">
        <v>0</v>
      </c>
      <c r="AX602" s="6" t="b">
        <v>0</v>
      </c>
      <c r="AY602" s="6" t="b">
        <v>0</v>
      </c>
      <c r="AZ602" s="6" t="b">
        <v>0</v>
      </c>
      <c r="BA602" s="6" t="b">
        <v>0</v>
      </c>
      <c r="BB602" s="6" t="b">
        <v>0</v>
      </c>
    </row>
    <row r="603" spans="1:54" ht="15" x14ac:dyDescent="0.25">
      <c r="A603" s="3" t="s">
        <v>1263</v>
      </c>
      <c r="B603" s="3" t="str">
        <f ca="1">IFERROR(__xludf.DUMMYFUNCTION("SPLIT(A603,""/"")"),"mahyarnajibi")</f>
        <v>mahyarnajibi</v>
      </c>
      <c r="C603" s="3" t="str">
        <f ca="1">IFERROR(__xludf.DUMMYFUNCTION("""COMPUTED_VALUE"""),"SNIPER")</f>
        <v>SNIPER</v>
      </c>
      <c r="D603" s="4" t="s">
        <v>1264</v>
      </c>
      <c r="E603" s="5">
        <v>43113.615069444444</v>
      </c>
      <c r="F603" s="5">
        <v>44294.209722222222</v>
      </c>
      <c r="G603" s="13">
        <f t="shared" si="54"/>
        <v>1180.5946527777778</v>
      </c>
      <c r="H603" s="6" t="b">
        <v>0</v>
      </c>
      <c r="I603" s="6" t="b">
        <v>0</v>
      </c>
      <c r="J603" s="8">
        <v>2615</v>
      </c>
      <c r="K603" s="8">
        <v>84</v>
      </c>
      <c r="L603" s="8">
        <v>433</v>
      </c>
      <c r="M603" s="8">
        <v>0</v>
      </c>
      <c r="N603" s="8">
        <v>0</v>
      </c>
      <c r="O603" s="8">
        <v>5</v>
      </c>
      <c r="P603" s="8">
        <v>8</v>
      </c>
      <c r="Q603" s="8">
        <v>2</v>
      </c>
      <c r="R603" s="8">
        <v>176</v>
      </c>
      <c r="S603" s="8">
        <v>111</v>
      </c>
      <c r="T603" s="3" t="s">
        <v>92</v>
      </c>
      <c r="U603" s="10">
        <v>6671</v>
      </c>
      <c r="V603" s="32">
        <v>2</v>
      </c>
      <c r="W603" s="27">
        <v>2.9980512666766604E-4</v>
      </c>
      <c r="X603" s="34">
        <v>0</v>
      </c>
      <c r="Y603" s="27">
        <v>0</v>
      </c>
      <c r="Z603" s="27">
        <v>0</v>
      </c>
      <c r="AA603" s="35">
        <v>2</v>
      </c>
      <c r="AB603" s="27">
        <v>1</v>
      </c>
      <c r="AC603" s="27">
        <f t="shared" si="55"/>
        <v>2.9980512666766604E-4</v>
      </c>
      <c r="AD603" s="36">
        <v>0</v>
      </c>
      <c r="AE603" s="27">
        <v>0</v>
      </c>
      <c r="AF603" s="27">
        <f t="shared" si="56"/>
        <v>0</v>
      </c>
      <c r="AG603" s="37">
        <v>0</v>
      </c>
      <c r="AH603" s="27">
        <v>0</v>
      </c>
      <c r="AI603" s="27">
        <f t="shared" si="57"/>
        <v>0</v>
      </c>
      <c r="AJ603" s="38">
        <v>0</v>
      </c>
      <c r="AK603" s="27">
        <v>0</v>
      </c>
      <c r="AL603" s="27">
        <f t="shared" si="58"/>
        <v>0</v>
      </c>
      <c r="AM603" s="40">
        <v>0</v>
      </c>
      <c r="AN603" s="27">
        <v>0</v>
      </c>
      <c r="AO603" s="27">
        <f t="shared" si="59"/>
        <v>0</v>
      </c>
      <c r="AP603" s="7" t="b">
        <v>1</v>
      </c>
      <c r="AQ603" s="6" t="b">
        <v>0</v>
      </c>
      <c r="AR603" s="6" t="b">
        <v>0</v>
      </c>
      <c r="AS603" s="6" t="b">
        <v>0</v>
      </c>
      <c r="AT603" s="7" t="b">
        <v>1</v>
      </c>
      <c r="AU603" s="6" t="b">
        <v>0</v>
      </c>
      <c r="AV603" s="6" t="b">
        <v>0</v>
      </c>
      <c r="AW603" s="6" t="b">
        <v>0</v>
      </c>
      <c r="AX603" s="6" t="b">
        <v>0</v>
      </c>
      <c r="AY603" s="6" t="b">
        <v>0</v>
      </c>
      <c r="AZ603" s="6" t="b">
        <v>0</v>
      </c>
      <c r="BA603" s="6" t="b">
        <v>0</v>
      </c>
      <c r="BB603" s="6" t="b">
        <v>0</v>
      </c>
    </row>
    <row r="604" spans="1:54" ht="15" x14ac:dyDescent="0.25">
      <c r="A604" s="3" t="s">
        <v>1265</v>
      </c>
      <c r="B604" s="3" t="str">
        <f ca="1">IFERROR(__xludf.DUMMYFUNCTION("SPLIT(A604,""/"")"),"Maicius")</f>
        <v>Maicius</v>
      </c>
      <c r="C604" s="3" t="str">
        <f ca="1">IFERROR(__xludf.DUMMYFUNCTION("""COMPUTED_VALUE"""),"QQZoneMood")</f>
        <v>QQZoneMood</v>
      </c>
      <c r="D604" s="4" t="s">
        <v>1266</v>
      </c>
      <c r="E604" s="5">
        <v>42780.563275462962</v>
      </c>
      <c r="F604" s="5">
        <v>44293.697905092595</v>
      </c>
      <c r="G604" s="13">
        <f t="shared" si="54"/>
        <v>1513.1346296296324</v>
      </c>
      <c r="H604" s="6" t="b">
        <v>0</v>
      </c>
      <c r="I604" s="6" t="b">
        <v>0</v>
      </c>
      <c r="J604" s="8">
        <v>439</v>
      </c>
      <c r="K604" s="8">
        <v>19</v>
      </c>
      <c r="L604" s="8">
        <v>121</v>
      </c>
      <c r="M604" s="8">
        <v>4</v>
      </c>
      <c r="N604" s="8">
        <v>0</v>
      </c>
      <c r="O604" s="8">
        <v>3</v>
      </c>
      <c r="P604" s="8">
        <v>37</v>
      </c>
      <c r="Q604" s="8">
        <v>0</v>
      </c>
      <c r="R604" s="8">
        <v>19</v>
      </c>
      <c r="S604" s="8">
        <v>1</v>
      </c>
      <c r="T604" s="3" t="s">
        <v>72</v>
      </c>
      <c r="U604" s="10">
        <v>3654</v>
      </c>
      <c r="V604" s="32">
        <v>9</v>
      </c>
      <c r="W604" s="27">
        <v>2.4630541871921183E-3</v>
      </c>
      <c r="X604" s="34">
        <v>0</v>
      </c>
      <c r="Y604" s="27">
        <v>0</v>
      </c>
      <c r="Z604" s="27">
        <v>0</v>
      </c>
      <c r="AA604" s="35">
        <v>3</v>
      </c>
      <c r="AB604" s="27">
        <v>0.33333333333333331</v>
      </c>
      <c r="AC604" s="27">
        <f t="shared" si="55"/>
        <v>8.2101806239737272E-4</v>
      </c>
      <c r="AD604" s="36">
        <v>0</v>
      </c>
      <c r="AE604" s="27">
        <v>0</v>
      </c>
      <c r="AF604" s="27">
        <f t="shared" si="56"/>
        <v>0</v>
      </c>
      <c r="AG604" s="37">
        <v>4</v>
      </c>
      <c r="AH604" s="27">
        <v>0.44444444444444442</v>
      </c>
      <c r="AI604" s="27">
        <f t="shared" si="57"/>
        <v>1.0946907498631637E-3</v>
      </c>
      <c r="AJ604" s="38">
        <v>0</v>
      </c>
      <c r="AK604" s="27">
        <v>0</v>
      </c>
      <c r="AL604" s="27">
        <f t="shared" si="58"/>
        <v>0</v>
      </c>
      <c r="AM604" s="40">
        <v>0</v>
      </c>
      <c r="AN604" s="27">
        <v>0</v>
      </c>
      <c r="AO604" s="27">
        <f t="shared" si="59"/>
        <v>0</v>
      </c>
      <c r="AP604" s="7" t="b">
        <v>1</v>
      </c>
      <c r="AQ604" s="7" t="b">
        <v>1</v>
      </c>
      <c r="AR604" s="6" t="b">
        <v>0</v>
      </c>
      <c r="AS604" s="6" t="b">
        <v>0</v>
      </c>
      <c r="AT604" s="7" t="b">
        <v>1</v>
      </c>
      <c r="AU604" s="6" t="b">
        <v>0</v>
      </c>
      <c r="AV604" s="6" t="b">
        <v>0</v>
      </c>
      <c r="AW604" s="6" t="b">
        <v>0</v>
      </c>
      <c r="AX604" s="6" t="b">
        <v>0</v>
      </c>
      <c r="AY604" s="6" t="b">
        <v>0</v>
      </c>
      <c r="AZ604" s="6" t="b">
        <v>0</v>
      </c>
      <c r="BA604" s="6" t="b">
        <v>0</v>
      </c>
      <c r="BB604" s="6" t="b">
        <v>0</v>
      </c>
    </row>
    <row r="605" spans="1:54" ht="15" x14ac:dyDescent="0.25">
      <c r="A605" s="3" t="s">
        <v>1267</v>
      </c>
      <c r="B605" s="3" t="str">
        <f ca="1">IFERROR(__xludf.DUMMYFUNCTION("SPLIT(A605,""/"")"),"mailpile")</f>
        <v>mailpile</v>
      </c>
      <c r="C605" s="3" t="str">
        <f ca="1">IFERROR(__xludf.DUMMYFUNCTION("""COMPUTED_VALUE"""),"Mailpile")</f>
        <v>Mailpile</v>
      </c>
      <c r="D605" s="4" t="s">
        <v>1268</v>
      </c>
      <c r="E605" s="5">
        <v>40846.989837962959</v>
      </c>
      <c r="F605" s="5">
        <v>44294.860138888886</v>
      </c>
      <c r="G605" s="13">
        <f t="shared" si="54"/>
        <v>3447.8703009259261</v>
      </c>
      <c r="H605" s="6" t="b">
        <v>0</v>
      </c>
      <c r="I605" s="7" t="b">
        <v>1</v>
      </c>
      <c r="J605" s="8">
        <v>8374</v>
      </c>
      <c r="K605" s="8">
        <v>414</v>
      </c>
      <c r="L605" s="8">
        <v>1003</v>
      </c>
      <c r="M605" s="8">
        <v>8</v>
      </c>
      <c r="N605" s="8">
        <v>60</v>
      </c>
      <c r="O605" s="8">
        <v>166</v>
      </c>
      <c r="P605" s="8">
        <v>600</v>
      </c>
      <c r="Q605" s="8">
        <v>17</v>
      </c>
      <c r="R605" s="8">
        <v>1685</v>
      </c>
      <c r="S605" s="8">
        <v>382</v>
      </c>
      <c r="T605" s="3" t="s">
        <v>92</v>
      </c>
      <c r="U605" s="10">
        <v>38343</v>
      </c>
      <c r="V605" s="32">
        <v>239</v>
      </c>
      <c r="W605" s="27">
        <v>6.2332107555486006E-3</v>
      </c>
      <c r="X605" s="34">
        <v>114</v>
      </c>
      <c r="Y605" s="27">
        <v>0.47698744769874479</v>
      </c>
      <c r="Z605" s="27">
        <v>2.9731632892574917E-3</v>
      </c>
      <c r="AA605" s="35">
        <v>25</v>
      </c>
      <c r="AB605" s="27">
        <v>0.10460251046025104</v>
      </c>
      <c r="AC605" s="27">
        <f t="shared" si="55"/>
        <v>6.5200949325822186E-4</v>
      </c>
      <c r="AD605" s="36">
        <v>52</v>
      </c>
      <c r="AE605" s="27">
        <v>0.21757322175732219</v>
      </c>
      <c r="AF605" s="27">
        <f t="shared" si="56"/>
        <v>1.3561797459771014E-3</v>
      </c>
      <c r="AG605" s="37">
        <v>34</v>
      </c>
      <c r="AH605" s="27">
        <v>0.14225941422594143</v>
      </c>
      <c r="AI605" s="27">
        <f t="shared" si="57"/>
        <v>8.8673291083118174E-4</v>
      </c>
      <c r="AJ605" s="38">
        <v>0</v>
      </c>
      <c r="AK605" s="27">
        <v>0</v>
      </c>
      <c r="AL605" s="27">
        <f t="shared" si="58"/>
        <v>0</v>
      </c>
      <c r="AM605" s="40">
        <v>13</v>
      </c>
      <c r="AN605" s="27">
        <v>5.4393305439330547E-2</v>
      </c>
      <c r="AO605" s="27">
        <f t="shared" si="59"/>
        <v>3.3904493649427534E-4</v>
      </c>
      <c r="AP605" s="7" t="b">
        <v>1</v>
      </c>
      <c r="AQ605" s="7" t="b">
        <v>1</v>
      </c>
      <c r="AR605" s="6" t="b">
        <v>0</v>
      </c>
      <c r="AS605" s="6" t="b">
        <v>0</v>
      </c>
      <c r="AT605" s="7" t="b">
        <v>1</v>
      </c>
      <c r="AU605" s="6" t="b">
        <v>0</v>
      </c>
      <c r="AV605" s="6" t="b">
        <v>0</v>
      </c>
      <c r="AW605" s="6" t="b">
        <v>0</v>
      </c>
      <c r="AX605" s="6" t="b">
        <v>0</v>
      </c>
      <c r="AY605" s="6" t="b">
        <v>0</v>
      </c>
      <c r="AZ605" s="6" t="b">
        <v>0</v>
      </c>
      <c r="BA605" s="6" t="b">
        <v>0</v>
      </c>
      <c r="BB605" s="6" t="b">
        <v>0</v>
      </c>
    </row>
    <row r="606" spans="1:54" ht="15" x14ac:dyDescent="0.25">
      <c r="A606" s="3" t="s">
        <v>1269</v>
      </c>
      <c r="B606" s="3" t="str">
        <f ca="1">IFERROR(__xludf.DUMMYFUNCTION("SPLIT(A606,""/"")"),"Mailu")</f>
        <v>Mailu</v>
      </c>
      <c r="C606" s="3" t="str">
        <f ca="1">IFERROR(__xludf.DUMMYFUNCTION("""COMPUTED_VALUE"""),"Mailu")</f>
        <v>Mailu</v>
      </c>
      <c r="D606" s="4" t="s">
        <v>1270</v>
      </c>
      <c r="E606" s="5">
        <v>42379.899942129632</v>
      </c>
      <c r="F606" s="5">
        <v>44294.507291666669</v>
      </c>
      <c r="G606" s="13">
        <f t="shared" si="54"/>
        <v>1914.6073495370365</v>
      </c>
      <c r="H606" s="6" t="b">
        <v>0</v>
      </c>
      <c r="I606" s="7" t="b">
        <v>1</v>
      </c>
      <c r="J606" s="8">
        <v>2611</v>
      </c>
      <c r="K606" s="8">
        <v>86</v>
      </c>
      <c r="L606" s="8">
        <v>482</v>
      </c>
      <c r="M606" s="8">
        <v>2</v>
      </c>
      <c r="N606" s="8">
        <v>24</v>
      </c>
      <c r="O606" s="8">
        <v>133</v>
      </c>
      <c r="P606" s="8">
        <v>680</v>
      </c>
      <c r="Q606" s="8">
        <v>39</v>
      </c>
      <c r="R606" s="8">
        <v>1118</v>
      </c>
      <c r="S606" s="8">
        <v>126</v>
      </c>
      <c r="T606" s="3" t="s">
        <v>92</v>
      </c>
      <c r="U606" s="10">
        <v>3170</v>
      </c>
      <c r="V606" s="32">
        <v>5</v>
      </c>
      <c r="W606" s="27">
        <v>1.5772870662460567E-3</v>
      </c>
      <c r="X606" s="34">
        <v>0</v>
      </c>
      <c r="Y606" s="27">
        <v>0</v>
      </c>
      <c r="Z606" s="27">
        <v>0</v>
      </c>
      <c r="AA606" s="35">
        <v>5</v>
      </c>
      <c r="AB606" s="27">
        <v>1</v>
      </c>
      <c r="AC606" s="27">
        <f t="shared" si="55"/>
        <v>1.5772870662460567E-3</v>
      </c>
      <c r="AD606" s="36">
        <v>0</v>
      </c>
      <c r="AE606" s="27">
        <v>0</v>
      </c>
      <c r="AF606" s="27">
        <f t="shared" si="56"/>
        <v>0</v>
      </c>
      <c r="AG606" s="37">
        <v>0</v>
      </c>
      <c r="AH606" s="27">
        <v>0</v>
      </c>
      <c r="AI606" s="27">
        <f t="shared" si="57"/>
        <v>0</v>
      </c>
      <c r="AJ606" s="38">
        <v>0</v>
      </c>
      <c r="AK606" s="27">
        <v>0</v>
      </c>
      <c r="AL606" s="27">
        <f t="shared" si="58"/>
        <v>0</v>
      </c>
      <c r="AM606" s="40">
        <v>0</v>
      </c>
      <c r="AN606" s="27">
        <v>0</v>
      </c>
      <c r="AO606" s="27">
        <f t="shared" si="59"/>
        <v>0</v>
      </c>
      <c r="AP606" s="7" t="b">
        <v>1</v>
      </c>
      <c r="AQ606" s="7" t="b">
        <v>1</v>
      </c>
      <c r="AR606" s="6" t="b">
        <v>0</v>
      </c>
      <c r="AS606" s="6" t="b">
        <v>0</v>
      </c>
      <c r="AT606" s="7" t="b">
        <v>1</v>
      </c>
      <c r="AU606" s="6" t="b">
        <v>0</v>
      </c>
      <c r="AV606" s="6" t="b">
        <v>0</v>
      </c>
      <c r="AW606" s="6" t="b">
        <v>0</v>
      </c>
      <c r="AX606" s="6" t="b">
        <v>0</v>
      </c>
      <c r="AY606" s="6" t="b">
        <v>0</v>
      </c>
      <c r="AZ606" s="6" t="b">
        <v>0</v>
      </c>
      <c r="BA606" s="6" t="b">
        <v>0</v>
      </c>
      <c r="BB606" s="6" t="b">
        <v>0</v>
      </c>
    </row>
    <row r="607" spans="1:54" ht="15" x14ac:dyDescent="0.25">
      <c r="A607" s="3" t="s">
        <v>1271</v>
      </c>
      <c r="B607" s="3" t="str">
        <f ca="1">IFERROR(__xludf.DUMMYFUNCTION("SPLIT(A607,""/"")"),"makerdao")</f>
        <v>makerdao</v>
      </c>
      <c r="C607" s="3" t="str">
        <f ca="1">IFERROR(__xludf.DUMMYFUNCTION("""COMPUTED_VALUE"""),"market-maker-keeper")</f>
        <v>market-maker-keeper</v>
      </c>
      <c r="D607" s="4" t="s">
        <v>1272</v>
      </c>
      <c r="E607" s="5">
        <v>43069.786620370367</v>
      </c>
      <c r="F607" s="5">
        <v>44286.933206018519</v>
      </c>
      <c r="G607" s="13">
        <f t="shared" si="54"/>
        <v>1217.1465856481518</v>
      </c>
      <c r="H607" s="6" t="b">
        <v>0</v>
      </c>
      <c r="I607" s="7" t="b">
        <v>1</v>
      </c>
      <c r="J607" s="8">
        <v>349</v>
      </c>
      <c r="K607" s="8">
        <v>31</v>
      </c>
      <c r="L607" s="8">
        <v>131</v>
      </c>
      <c r="M607" s="8">
        <v>0</v>
      </c>
      <c r="N607" s="8">
        <v>0</v>
      </c>
      <c r="O607" s="8">
        <v>14</v>
      </c>
      <c r="P607" s="8">
        <v>204</v>
      </c>
      <c r="Q607" s="8">
        <v>2</v>
      </c>
      <c r="R607" s="8">
        <v>23</v>
      </c>
      <c r="S607" s="8">
        <v>7</v>
      </c>
      <c r="T607" s="3" t="s">
        <v>366</v>
      </c>
      <c r="U607" s="10">
        <v>9092</v>
      </c>
      <c r="V607" s="32">
        <v>209</v>
      </c>
      <c r="W607" s="27">
        <v>2.2987241531016278E-2</v>
      </c>
      <c r="X607" s="34">
        <v>82</v>
      </c>
      <c r="Y607" s="27">
        <v>0.3923444976076555</v>
      </c>
      <c r="Z607" s="27">
        <v>9.0189177298724155E-3</v>
      </c>
      <c r="AA607" s="35">
        <v>93</v>
      </c>
      <c r="AB607" s="27">
        <v>0.44497607655502391</v>
      </c>
      <c r="AC607" s="27">
        <f t="shared" si="55"/>
        <v>1.0228772547294325E-2</v>
      </c>
      <c r="AD607" s="36">
        <v>24</v>
      </c>
      <c r="AE607" s="27">
        <v>0.11483253588516747</v>
      </c>
      <c r="AF607" s="27">
        <f t="shared" si="56"/>
        <v>2.6396832380114386E-3</v>
      </c>
      <c r="AG607" s="37">
        <v>8</v>
      </c>
      <c r="AH607" s="27">
        <v>3.8277511961722487E-2</v>
      </c>
      <c r="AI607" s="27">
        <f t="shared" si="57"/>
        <v>8.7989441267047959E-4</v>
      </c>
      <c r="AJ607" s="38">
        <v>0</v>
      </c>
      <c r="AK607" s="27">
        <v>0</v>
      </c>
      <c r="AL607" s="27">
        <f t="shared" si="58"/>
        <v>0</v>
      </c>
      <c r="AM607" s="40">
        <v>0</v>
      </c>
      <c r="AN607" s="27">
        <v>0</v>
      </c>
      <c r="AO607" s="27">
        <f t="shared" si="59"/>
        <v>0</v>
      </c>
      <c r="AP607" s="7" t="b">
        <v>1</v>
      </c>
      <c r="AQ607" s="7" t="b">
        <v>1</v>
      </c>
      <c r="AR607" s="6" t="b">
        <v>0</v>
      </c>
      <c r="AS607" s="6" t="b">
        <v>0</v>
      </c>
      <c r="AT607" s="7" t="b">
        <v>1</v>
      </c>
      <c r="AU607" s="6" t="b">
        <v>0</v>
      </c>
      <c r="AV607" s="6" t="b">
        <v>0</v>
      </c>
      <c r="AW607" s="6" t="b">
        <v>0</v>
      </c>
      <c r="AX607" s="6" t="b">
        <v>0</v>
      </c>
      <c r="AY607" s="6" t="b">
        <v>0</v>
      </c>
      <c r="AZ607" s="6" t="b">
        <v>0</v>
      </c>
      <c r="BA607" s="6" t="b">
        <v>0</v>
      </c>
      <c r="BB607" s="6" t="b">
        <v>0</v>
      </c>
    </row>
    <row r="608" spans="1:54" ht="15" x14ac:dyDescent="0.25">
      <c r="A608" s="3" t="s">
        <v>1273</v>
      </c>
      <c r="B608" s="3" t="str">
        <f ca="1">IFERROR(__xludf.DUMMYFUNCTION("SPLIT(A608,""/"")"),"manateelazycat")</f>
        <v>manateelazycat</v>
      </c>
      <c r="C608" s="3" t="str">
        <f ca="1">IFERROR(__xludf.DUMMYFUNCTION("""COMPUTED_VALUE"""),"emacs-application-framework")</f>
        <v>emacs-application-framework</v>
      </c>
      <c r="D608" s="4" t="s">
        <v>1274</v>
      </c>
      <c r="E608" s="5">
        <v>43275.605752314812</v>
      </c>
      <c r="F608" s="5">
        <v>44293.792569444442</v>
      </c>
      <c r="G608" s="13">
        <f t="shared" si="54"/>
        <v>1018.1868171296301</v>
      </c>
      <c r="H608" s="6" t="b">
        <v>0</v>
      </c>
      <c r="I608" s="6" t="b">
        <v>0</v>
      </c>
      <c r="J608" s="8">
        <v>1502</v>
      </c>
      <c r="K608" s="8">
        <v>58</v>
      </c>
      <c r="L608" s="8">
        <v>119</v>
      </c>
      <c r="M608" s="8">
        <v>0</v>
      </c>
      <c r="N608" s="8">
        <v>32</v>
      </c>
      <c r="O608" s="8">
        <v>43</v>
      </c>
      <c r="P608" s="8">
        <v>370</v>
      </c>
      <c r="Q608" s="8">
        <v>0</v>
      </c>
      <c r="R608" s="8">
        <v>245</v>
      </c>
      <c r="S608" s="8">
        <v>5</v>
      </c>
      <c r="T608" s="3" t="s">
        <v>49</v>
      </c>
      <c r="U608" s="10">
        <v>4262</v>
      </c>
      <c r="V608" s="32">
        <v>0</v>
      </c>
      <c r="W608" s="27">
        <v>0</v>
      </c>
      <c r="X608" s="34">
        <v>0</v>
      </c>
      <c r="Y608" s="27">
        <v>0</v>
      </c>
      <c r="Z608" s="27">
        <v>0</v>
      </c>
      <c r="AA608" s="35">
        <v>0</v>
      </c>
      <c r="AB608" s="27">
        <v>0</v>
      </c>
      <c r="AC608" s="27">
        <f t="shared" si="55"/>
        <v>0</v>
      </c>
      <c r="AD608" s="36">
        <v>0</v>
      </c>
      <c r="AE608" s="27">
        <v>0</v>
      </c>
      <c r="AF608" s="27">
        <f t="shared" si="56"/>
        <v>0</v>
      </c>
      <c r="AG608" s="37">
        <v>0</v>
      </c>
      <c r="AH608" s="27">
        <v>0</v>
      </c>
      <c r="AI608" s="27">
        <f t="shared" si="57"/>
        <v>0</v>
      </c>
      <c r="AJ608" s="38">
        <v>0</v>
      </c>
      <c r="AK608" s="27">
        <v>0</v>
      </c>
      <c r="AL608" s="27">
        <f t="shared" si="58"/>
        <v>0</v>
      </c>
      <c r="AM608" s="40">
        <v>0</v>
      </c>
      <c r="AN608" s="27">
        <v>0</v>
      </c>
      <c r="AO608" s="27">
        <f t="shared" si="59"/>
        <v>0</v>
      </c>
      <c r="AP608" s="7" t="b">
        <v>1</v>
      </c>
      <c r="AQ608" s="6" t="b">
        <v>0</v>
      </c>
      <c r="AR608" s="6" t="b">
        <v>0</v>
      </c>
      <c r="AS608" s="6" t="b">
        <v>0</v>
      </c>
      <c r="AT608" s="7" t="b">
        <v>1</v>
      </c>
      <c r="AU608" s="6" t="b">
        <v>0</v>
      </c>
      <c r="AV608" s="6" t="b">
        <v>0</v>
      </c>
      <c r="AW608" s="6" t="b">
        <v>0</v>
      </c>
      <c r="AX608" s="6" t="b">
        <v>0</v>
      </c>
      <c r="AY608" s="6" t="b">
        <v>0</v>
      </c>
      <c r="AZ608" s="6" t="b">
        <v>0</v>
      </c>
      <c r="BA608" s="6" t="b">
        <v>0</v>
      </c>
      <c r="BB608" s="6" t="b">
        <v>0</v>
      </c>
    </row>
    <row r="609" spans="1:54" ht="15" x14ac:dyDescent="0.25">
      <c r="A609" s="3" t="s">
        <v>1275</v>
      </c>
      <c r="B609" s="3" t="str">
        <f ca="1">IFERROR(__xludf.DUMMYFUNCTION("SPLIT(A609,""/"")"),"ManimCommunity")</f>
        <v>ManimCommunity</v>
      </c>
      <c r="C609" s="3" t="str">
        <f ca="1">IFERROR(__xludf.DUMMYFUNCTION("""COMPUTED_VALUE"""),"manim")</f>
        <v>manim</v>
      </c>
      <c r="D609" s="4" t="s">
        <v>1276</v>
      </c>
      <c r="E609" s="5">
        <v>43970.109178240738</v>
      </c>
      <c r="F609" s="5">
        <v>44295.173009259262</v>
      </c>
      <c r="G609" s="13">
        <f t="shared" si="54"/>
        <v>325.06383101852407</v>
      </c>
      <c r="H609" s="6" t="b">
        <v>0</v>
      </c>
      <c r="I609" s="7" t="b">
        <v>1</v>
      </c>
      <c r="J609" s="8">
        <v>2021</v>
      </c>
      <c r="K609" s="8">
        <v>35</v>
      </c>
      <c r="L609" s="8">
        <v>230</v>
      </c>
      <c r="M609" s="8">
        <v>6</v>
      </c>
      <c r="N609" s="8">
        <v>10</v>
      </c>
      <c r="O609" s="8">
        <v>163</v>
      </c>
      <c r="P609" s="8">
        <v>771</v>
      </c>
      <c r="Q609" s="8">
        <v>29</v>
      </c>
      <c r="R609" s="8">
        <v>523</v>
      </c>
      <c r="S609" s="8">
        <v>127</v>
      </c>
      <c r="T609" s="3" t="s">
        <v>72</v>
      </c>
      <c r="U609" s="10">
        <v>19313</v>
      </c>
      <c r="V609" s="32">
        <v>70</v>
      </c>
      <c r="W609" s="27">
        <v>3.6245016310257339E-3</v>
      </c>
      <c r="X609" s="34">
        <v>19</v>
      </c>
      <c r="Y609" s="27">
        <v>0.27142857142857141</v>
      </c>
      <c r="Z609" s="27">
        <v>9.8379329984984217E-4</v>
      </c>
      <c r="AA609" s="35">
        <v>19</v>
      </c>
      <c r="AB609" s="27">
        <v>0.27142857142857141</v>
      </c>
      <c r="AC609" s="27">
        <f t="shared" si="55"/>
        <v>9.8379329984984217E-4</v>
      </c>
      <c r="AD609" s="36">
        <v>22</v>
      </c>
      <c r="AE609" s="27">
        <v>0.31428571428571428</v>
      </c>
      <c r="AF609" s="27">
        <f t="shared" si="56"/>
        <v>1.1391290840366592E-3</v>
      </c>
      <c r="AG609" s="37">
        <v>10</v>
      </c>
      <c r="AH609" s="27">
        <v>0.14285714285714285</v>
      </c>
      <c r="AI609" s="27">
        <f t="shared" si="57"/>
        <v>5.1778594728939058E-4</v>
      </c>
      <c r="AJ609" s="38">
        <v>0</v>
      </c>
      <c r="AK609" s="27">
        <v>0</v>
      </c>
      <c r="AL609" s="27">
        <f t="shared" si="58"/>
        <v>0</v>
      </c>
      <c r="AM609" s="40">
        <v>0</v>
      </c>
      <c r="AN609" s="27">
        <v>0</v>
      </c>
      <c r="AO609" s="27">
        <f t="shared" si="59"/>
        <v>0</v>
      </c>
      <c r="AP609" s="7" t="b">
        <v>1</v>
      </c>
      <c r="AQ609" s="6" t="b">
        <v>0</v>
      </c>
      <c r="AR609" s="6" t="b">
        <v>0</v>
      </c>
      <c r="AS609" s="6" t="b">
        <v>0</v>
      </c>
      <c r="AT609" s="7" t="b">
        <v>1</v>
      </c>
      <c r="AU609" s="6" t="b">
        <v>0</v>
      </c>
      <c r="AV609" s="6" t="b">
        <v>0</v>
      </c>
      <c r="AW609" s="6" t="b">
        <v>0</v>
      </c>
      <c r="AX609" s="6" t="b">
        <v>0</v>
      </c>
      <c r="AY609" s="6" t="b">
        <v>0</v>
      </c>
      <c r="AZ609" s="6" t="b">
        <v>0</v>
      </c>
      <c r="BA609" s="6" t="b">
        <v>0</v>
      </c>
      <c r="BB609" s="6" t="b">
        <v>0</v>
      </c>
    </row>
    <row r="610" spans="1:54" ht="15" x14ac:dyDescent="0.25">
      <c r="A610" s="3" t="s">
        <v>1277</v>
      </c>
      <c r="B610" s="3" t="str">
        <f ca="1">IFERROR(__xludf.DUMMYFUNCTION("SPLIT(A610,""/"")"),"mantl")</f>
        <v>mantl</v>
      </c>
      <c r="C610" s="3" t="str">
        <f ca="1">IFERROR(__xludf.DUMMYFUNCTION("""COMPUTED_VALUE"""),"mantl")</f>
        <v>mantl</v>
      </c>
      <c r="D610" s="4" t="s">
        <v>1278</v>
      </c>
      <c r="E610" s="5">
        <v>42031.733935185184</v>
      </c>
      <c r="F610" s="5">
        <v>44284.963206018518</v>
      </c>
      <c r="G610" s="13">
        <f t="shared" si="54"/>
        <v>2253.2292708333334</v>
      </c>
      <c r="H610" s="6" t="b">
        <v>0</v>
      </c>
      <c r="I610" s="7" t="b">
        <v>1</v>
      </c>
      <c r="J610" s="8">
        <v>3050</v>
      </c>
      <c r="K610" s="8">
        <v>201</v>
      </c>
      <c r="L610" s="8">
        <v>418</v>
      </c>
      <c r="M610" s="8">
        <v>29</v>
      </c>
      <c r="N610" s="8">
        <v>156</v>
      </c>
      <c r="O610" s="8">
        <v>103</v>
      </c>
      <c r="P610" s="8">
        <v>1063</v>
      </c>
      <c r="Q610" s="8">
        <v>14</v>
      </c>
      <c r="R610" s="8">
        <v>969</v>
      </c>
      <c r="S610" s="8">
        <v>158</v>
      </c>
      <c r="T610" s="3" t="s">
        <v>69</v>
      </c>
      <c r="U610" s="10">
        <v>1877</v>
      </c>
      <c r="V610" s="32">
        <v>31</v>
      </c>
      <c r="W610" s="27">
        <v>1.6515716568993075E-2</v>
      </c>
      <c r="X610" s="34">
        <v>0</v>
      </c>
      <c r="Y610" s="27">
        <v>0</v>
      </c>
      <c r="Z610" s="27">
        <v>0</v>
      </c>
      <c r="AA610" s="35">
        <v>13</v>
      </c>
      <c r="AB610" s="27">
        <v>0.41935483870967744</v>
      </c>
      <c r="AC610" s="27">
        <f t="shared" si="55"/>
        <v>6.9259456579648373E-3</v>
      </c>
      <c r="AD610" s="36">
        <v>11</v>
      </c>
      <c r="AE610" s="27">
        <v>0.35483870967741937</v>
      </c>
      <c r="AF610" s="27">
        <f t="shared" si="56"/>
        <v>5.8604155567394782E-3</v>
      </c>
      <c r="AG610" s="37">
        <v>5</v>
      </c>
      <c r="AH610" s="27">
        <v>0.16129032258064516</v>
      </c>
      <c r="AI610" s="27">
        <f t="shared" si="57"/>
        <v>2.6638252530633991E-3</v>
      </c>
      <c r="AJ610" s="38">
        <v>2</v>
      </c>
      <c r="AK610" s="27">
        <v>6.4516129032258063E-2</v>
      </c>
      <c r="AL610" s="27">
        <f t="shared" si="58"/>
        <v>1.0655301012253596E-3</v>
      </c>
      <c r="AM610" s="40">
        <v>0</v>
      </c>
      <c r="AN610" s="27">
        <v>0</v>
      </c>
      <c r="AO610" s="27">
        <f t="shared" si="59"/>
        <v>0</v>
      </c>
      <c r="AP610" s="7" t="b">
        <v>1</v>
      </c>
      <c r="AQ610" s="6" t="b">
        <v>0</v>
      </c>
      <c r="AR610" s="6" t="b">
        <v>0</v>
      </c>
      <c r="AS610" s="6" t="b">
        <v>0</v>
      </c>
      <c r="AT610" s="7" t="b">
        <v>1</v>
      </c>
      <c r="AU610" s="6" t="b">
        <v>0</v>
      </c>
      <c r="AV610" s="6" t="b">
        <v>0</v>
      </c>
      <c r="AW610" s="6" t="b">
        <v>0</v>
      </c>
      <c r="AX610" s="6" t="b">
        <v>0</v>
      </c>
      <c r="AY610" s="6" t="b">
        <v>0</v>
      </c>
      <c r="AZ610" s="6" t="b">
        <v>0</v>
      </c>
      <c r="BA610" s="6" t="b">
        <v>0</v>
      </c>
      <c r="BB610" s="6" t="b">
        <v>0</v>
      </c>
    </row>
    <row r="611" spans="1:54" ht="15" x14ac:dyDescent="0.25">
      <c r="A611" s="3" t="s">
        <v>1279</v>
      </c>
      <c r="B611" s="12">
        <f ca="1">IFERROR(__xludf.DUMMYFUNCTION("SPLIT(A611,""/"")"),44265)</f>
        <v>44265</v>
      </c>
      <c r="C611" s="3" t="str">
        <f ca="1">IFERROR(__xludf.DUMMYFUNCTION("""COMPUTED_VALUE"""),"wsgidav")</f>
        <v>wsgidav</v>
      </c>
      <c r="D611" s="4" t="s">
        <v>1280</v>
      </c>
      <c r="E611" s="5">
        <v>41630.61</v>
      </c>
      <c r="F611" s="5">
        <v>44293.056712962964</v>
      </c>
      <c r="G611" s="13">
        <f t="shared" si="54"/>
        <v>2662.4467129629629</v>
      </c>
      <c r="H611" s="6" t="b">
        <v>0</v>
      </c>
      <c r="I611" s="6" t="b">
        <v>0</v>
      </c>
      <c r="J611" s="8">
        <v>481</v>
      </c>
      <c r="K611" s="8">
        <v>20</v>
      </c>
      <c r="L611" s="8">
        <v>90</v>
      </c>
      <c r="M611" s="8">
        <v>28</v>
      </c>
      <c r="N611" s="8">
        <v>3</v>
      </c>
      <c r="O611" s="8">
        <v>34</v>
      </c>
      <c r="P611" s="8">
        <v>100</v>
      </c>
      <c r="Q611" s="8">
        <v>1</v>
      </c>
      <c r="R611" s="8">
        <v>114</v>
      </c>
      <c r="S611" s="8">
        <v>3</v>
      </c>
      <c r="T611" s="3" t="s">
        <v>72</v>
      </c>
      <c r="U611" s="10">
        <v>8058</v>
      </c>
      <c r="V611" s="32">
        <v>281</v>
      </c>
      <c r="W611" s="27">
        <v>3.4872176718788783E-2</v>
      </c>
      <c r="X611" s="34">
        <v>103</v>
      </c>
      <c r="Y611" s="27">
        <v>0.36654804270462632</v>
      </c>
      <c r="Z611" s="27">
        <v>1.2782328121121867E-2</v>
      </c>
      <c r="AA611" s="35">
        <v>76</v>
      </c>
      <c r="AB611" s="27">
        <v>0.27046263345195731</v>
      </c>
      <c r="AC611" s="27">
        <f t="shared" si="55"/>
        <v>9.4316207495656491E-3</v>
      </c>
      <c r="AD611" s="36">
        <v>41</v>
      </c>
      <c r="AE611" s="27">
        <v>0.14590747330960854</v>
      </c>
      <c r="AF611" s="27">
        <f t="shared" si="56"/>
        <v>5.0881111938446263E-3</v>
      </c>
      <c r="AG611" s="37">
        <v>58</v>
      </c>
      <c r="AH611" s="27">
        <v>0.20640569395017794</v>
      </c>
      <c r="AI611" s="27">
        <f t="shared" si="57"/>
        <v>7.1978158351948375E-3</v>
      </c>
      <c r="AJ611" s="38">
        <v>0</v>
      </c>
      <c r="AK611" s="27">
        <v>0</v>
      </c>
      <c r="AL611" s="27">
        <f t="shared" si="58"/>
        <v>0</v>
      </c>
      <c r="AM611" s="40">
        <v>2</v>
      </c>
      <c r="AN611" s="27">
        <v>7.1174377224199285E-3</v>
      </c>
      <c r="AO611" s="27">
        <f t="shared" si="59"/>
        <v>2.4820054604120131E-4</v>
      </c>
      <c r="AP611" s="7" t="b">
        <v>1</v>
      </c>
      <c r="AQ611" s="7" t="b">
        <v>1</v>
      </c>
      <c r="AR611" s="6" t="b">
        <v>0</v>
      </c>
      <c r="AS611" s="6" t="b">
        <v>0</v>
      </c>
      <c r="AT611" s="7" t="b">
        <v>1</v>
      </c>
      <c r="AU611" s="6" t="b">
        <v>0</v>
      </c>
      <c r="AV611" s="6" t="b">
        <v>0</v>
      </c>
      <c r="AW611" s="6" t="b">
        <v>0</v>
      </c>
      <c r="AX611" s="6" t="b">
        <v>0</v>
      </c>
      <c r="AY611" s="6" t="b">
        <v>0</v>
      </c>
      <c r="AZ611" s="6" t="b">
        <v>0</v>
      </c>
      <c r="BA611" s="6" t="b">
        <v>0</v>
      </c>
      <c r="BB611" s="6" t="b">
        <v>0</v>
      </c>
    </row>
    <row r="612" spans="1:54" ht="15" x14ac:dyDescent="0.25">
      <c r="A612" s="3" t="s">
        <v>1281</v>
      </c>
      <c r="B612" s="3" t="str">
        <f ca="1">IFERROR(__xludf.DUMMYFUNCTION("SPLIT(A612,""/"")"),"Mariewelt")</f>
        <v>Mariewelt</v>
      </c>
      <c r="C612" s="3" t="str">
        <f ca="1">IFERROR(__xludf.DUMMYFUNCTION("""COMPUTED_VALUE"""),"OpenChem")</f>
        <v>OpenChem</v>
      </c>
      <c r="D612" s="4" t="s">
        <v>1282</v>
      </c>
      <c r="E612" s="5">
        <v>43291.060798611114</v>
      </c>
      <c r="F612" s="5">
        <v>44290.95207175926</v>
      </c>
      <c r="G612" s="13">
        <f t="shared" si="54"/>
        <v>999.89127314814687</v>
      </c>
      <c r="H612" s="6" t="b">
        <v>0</v>
      </c>
      <c r="I612" s="6" t="b">
        <v>0</v>
      </c>
      <c r="J612" s="8">
        <v>364</v>
      </c>
      <c r="K612" s="8">
        <v>33</v>
      </c>
      <c r="L612" s="8">
        <v>59</v>
      </c>
      <c r="M612" s="8">
        <v>0</v>
      </c>
      <c r="N612" s="8">
        <v>0</v>
      </c>
      <c r="O612" s="8">
        <v>2</v>
      </c>
      <c r="P612" s="8">
        <v>10</v>
      </c>
      <c r="Q612" s="8">
        <v>0</v>
      </c>
      <c r="R612" s="8">
        <v>13</v>
      </c>
      <c r="S612" s="8">
        <v>11</v>
      </c>
      <c r="T612" s="3" t="s">
        <v>72</v>
      </c>
      <c r="U612" s="10">
        <v>4383</v>
      </c>
      <c r="V612" s="32">
        <v>15</v>
      </c>
      <c r="W612" s="27">
        <v>3.4223134839151265E-3</v>
      </c>
      <c r="X612" s="34">
        <v>0</v>
      </c>
      <c r="Y612" s="27">
        <v>0</v>
      </c>
      <c r="Z612" s="27">
        <v>0</v>
      </c>
      <c r="AA612" s="35">
        <v>12</v>
      </c>
      <c r="AB612" s="27">
        <v>0.8</v>
      </c>
      <c r="AC612" s="27">
        <f t="shared" si="55"/>
        <v>2.7378507871321013E-3</v>
      </c>
      <c r="AD612" s="36">
        <v>3</v>
      </c>
      <c r="AE612" s="27">
        <v>0.2</v>
      </c>
      <c r="AF612" s="27">
        <f t="shared" si="56"/>
        <v>6.8446269678302531E-4</v>
      </c>
      <c r="AG612" s="37">
        <v>0</v>
      </c>
      <c r="AH612" s="27">
        <v>0</v>
      </c>
      <c r="AI612" s="27">
        <f t="shared" si="57"/>
        <v>0</v>
      </c>
      <c r="AJ612" s="38">
        <v>0</v>
      </c>
      <c r="AK612" s="27">
        <v>0</v>
      </c>
      <c r="AL612" s="27">
        <f t="shared" si="58"/>
        <v>0</v>
      </c>
      <c r="AM612" s="40">
        <v>0</v>
      </c>
      <c r="AN612" s="27">
        <v>0</v>
      </c>
      <c r="AO612" s="27">
        <f t="shared" si="59"/>
        <v>0</v>
      </c>
      <c r="AP612" s="7" t="b">
        <v>1</v>
      </c>
      <c r="AQ612" s="6" t="b">
        <v>0</v>
      </c>
      <c r="AR612" s="6" t="b">
        <v>0</v>
      </c>
      <c r="AS612" s="6" t="b">
        <v>0</v>
      </c>
      <c r="AT612" s="7" t="b">
        <v>1</v>
      </c>
      <c r="AU612" s="6" t="b">
        <v>0</v>
      </c>
      <c r="AV612" s="6" t="b">
        <v>0</v>
      </c>
      <c r="AW612" s="6" t="b">
        <v>0</v>
      </c>
      <c r="AX612" s="6" t="b">
        <v>0</v>
      </c>
      <c r="AY612" s="6" t="b">
        <v>0</v>
      </c>
      <c r="AZ612" s="6" t="b">
        <v>0</v>
      </c>
      <c r="BA612" s="6" t="b">
        <v>0</v>
      </c>
      <c r="BB612" s="6" t="b">
        <v>0</v>
      </c>
    </row>
    <row r="613" spans="1:54" ht="15" x14ac:dyDescent="0.25">
      <c r="A613" s="3" t="s">
        <v>1283</v>
      </c>
      <c r="B613" s="3" t="str">
        <f ca="1">IFERROR(__xludf.DUMMYFUNCTION("SPLIT(A613,""/"")"),"mariusmotea")</f>
        <v>mariusmotea</v>
      </c>
      <c r="C613" s="3" t="str">
        <f ca="1">IFERROR(__xludf.DUMMYFUNCTION("""COMPUTED_VALUE"""),"diyHue")</f>
        <v>diyHue</v>
      </c>
      <c r="D613" s="4" t="s">
        <v>1284</v>
      </c>
      <c r="E613" s="5">
        <v>42814.834236111114</v>
      </c>
      <c r="F613" s="5">
        <v>44285.025879629633</v>
      </c>
      <c r="G613" s="13">
        <f t="shared" si="54"/>
        <v>1470.1916435185194</v>
      </c>
      <c r="H613" s="6" t="b">
        <v>0</v>
      </c>
      <c r="I613" s="6" t="b">
        <v>0</v>
      </c>
      <c r="J613" s="8">
        <v>587</v>
      </c>
      <c r="K613" s="8">
        <v>61</v>
      </c>
      <c r="L613" s="8">
        <v>109</v>
      </c>
      <c r="M613" s="8">
        <v>6</v>
      </c>
      <c r="N613" s="8">
        <v>15</v>
      </c>
      <c r="O613" s="8">
        <v>41</v>
      </c>
      <c r="P613" s="8">
        <v>130</v>
      </c>
      <c r="Q613" s="8">
        <v>0</v>
      </c>
      <c r="R613" s="8">
        <v>383</v>
      </c>
      <c r="S613" s="8">
        <v>4</v>
      </c>
      <c r="T613" s="3" t="s">
        <v>92</v>
      </c>
      <c r="U613" s="10">
        <v>2183</v>
      </c>
      <c r="V613" s="32">
        <v>103</v>
      </c>
      <c r="W613" s="27">
        <v>4.7182775996335316E-2</v>
      </c>
      <c r="X613" s="34">
        <v>17</v>
      </c>
      <c r="Y613" s="27">
        <v>0.1650485436893204</v>
      </c>
      <c r="Z613" s="27">
        <v>7.7874484654145669E-3</v>
      </c>
      <c r="AA613" s="35">
        <v>79</v>
      </c>
      <c r="AB613" s="27">
        <v>0.76699029126213591</v>
      </c>
      <c r="AC613" s="27">
        <f t="shared" si="55"/>
        <v>3.6188731103985343E-2</v>
      </c>
      <c r="AD613" s="36">
        <v>0</v>
      </c>
      <c r="AE613" s="27">
        <v>0</v>
      </c>
      <c r="AF613" s="27">
        <f t="shared" si="56"/>
        <v>0</v>
      </c>
      <c r="AG613" s="37">
        <v>6</v>
      </c>
      <c r="AH613" s="27">
        <v>5.8252427184466021E-2</v>
      </c>
      <c r="AI613" s="27">
        <f t="shared" si="57"/>
        <v>2.7485112230874941E-3</v>
      </c>
      <c r="AJ613" s="38">
        <v>0</v>
      </c>
      <c r="AK613" s="27">
        <v>0</v>
      </c>
      <c r="AL613" s="27">
        <f t="shared" si="58"/>
        <v>0</v>
      </c>
      <c r="AM613" s="40">
        <v>0</v>
      </c>
      <c r="AN613" s="27">
        <v>0</v>
      </c>
      <c r="AO613" s="27">
        <f t="shared" si="59"/>
        <v>0</v>
      </c>
      <c r="AP613" s="6" t="b">
        <v>0</v>
      </c>
      <c r="AQ613" s="7" t="b">
        <v>1</v>
      </c>
      <c r="AR613" s="6" t="b">
        <v>0</v>
      </c>
      <c r="AS613" s="6" t="b">
        <v>0</v>
      </c>
      <c r="AT613" s="7" t="b">
        <v>1</v>
      </c>
      <c r="AU613" s="6" t="b">
        <v>0</v>
      </c>
      <c r="AV613" s="6" t="b">
        <v>0</v>
      </c>
      <c r="AW613" s="6" t="b">
        <v>0</v>
      </c>
      <c r="AX613" s="6" t="b">
        <v>0</v>
      </c>
      <c r="AY613" s="6" t="b">
        <v>0</v>
      </c>
      <c r="AZ613" s="6" t="b">
        <v>0</v>
      </c>
      <c r="BA613" s="6" t="b">
        <v>0</v>
      </c>
      <c r="BB613" s="6" t="b">
        <v>0</v>
      </c>
    </row>
    <row r="614" spans="1:54" ht="15" x14ac:dyDescent="0.25">
      <c r="A614" s="3" t="s">
        <v>1285</v>
      </c>
      <c r="B614" s="3" t="str">
        <f ca="1">IFERROR(__xludf.DUMMYFUNCTION("SPLIT(A614,""/"")"),"mars-project")</f>
        <v>mars-project</v>
      </c>
      <c r="C614" s="3" t="str">
        <f ca="1">IFERROR(__xludf.DUMMYFUNCTION("""COMPUTED_VALUE"""),"mars")</f>
        <v>mars</v>
      </c>
      <c r="D614" s="4" t="s">
        <v>1286</v>
      </c>
      <c r="E614" s="5">
        <v>43439.669479166667</v>
      </c>
      <c r="F614" s="5">
        <v>44295.005289351851</v>
      </c>
      <c r="G614" s="13">
        <f t="shared" si="54"/>
        <v>855.33581018518453</v>
      </c>
      <c r="H614" s="6" t="b">
        <v>0</v>
      </c>
      <c r="I614" s="7" t="b">
        <v>1</v>
      </c>
      <c r="J614" s="8">
        <v>2085</v>
      </c>
      <c r="K614" s="8">
        <v>86</v>
      </c>
      <c r="L614" s="8">
        <v>245</v>
      </c>
      <c r="M614" s="8">
        <v>78</v>
      </c>
      <c r="N614" s="8">
        <v>0</v>
      </c>
      <c r="O614" s="8">
        <v>19</v>
      </c>
      <c r="P614" s="8">
        <v>1290</v>
      </c>
      <c r="Q614" s="8">
        <v>2</v>
      </c>
      <c r="R614" s="8">
        <v>793</v>
      </c>
      <c r="S614" s="8">
        <v>116</v>
      </c>
      <c r="T614" s="3" t="s">
        <v>69</v>
      </c>
      <c r="U614" s="10">
        <v>127646</v>
      </c>
      <c r="V614" s="32">
        <v>272</v>
      </c>
      <c r="W614" s="27">
        <v>2.1308932516490922E-3</v>
      </c>
      <c r="X614" s="34">
        <v>153</v>
      </c>
      <c r="Y614" s="27">
        <v>0.5625</v>
      </c>
      <c r="Z614" s="27">
        <v>1.1986274540526144E-3</v>
      </c>
      <c r="AA614" s="35">
        <v>22</v>
      </c>
      <c r="AB614" s="27">
        <v>8.0882352941176475E-2</v>
      </c>
      <c r="AC614" s="27">
        <f t="shared" si="55"/>
        <v>1.7235166005985302E-4</v>
      </c>
      <c r="AD614" s="36">
        <v>64</v>
      </c>
      <c r="AE614" s="27">
        <v>0.23529411764705882</v>
      </c>
      <c r="AF614" s="27">
        <f t="shared" si="56"/>
        <v>5.013866474468452E-4</v>
      </c>
      <c r="AG614" s="37">
        <v>32</v>
      </c>
      <c r="AH614" s="27">
        <v>0.11764705882352941</v>
      </c>
      <c r="AI614" s="27">
        <f t="shared" si="57"/>
        <v>2.506933237234226E-4</v>
      </c>
      <c r="AJ614" s="38">
        <v>1</v>
      </c>
      <c r="AK614" s="27">
        <v>3.6764705882352941E-3</v>
      </c>
      <c r="AL614" s="27">
        <f t="shared" si="58"/>
        <v>7.8341663663569563E-6</v>
      </c>
      <c r="AM614" s="40">
        <v>0</v>
      </c>
      <c r="AN614" s="27">
        <v>0</v>
      </c>
      <c r="AO614" s="27">
        <f t="shared" si="59"/>
        <v>0</v>
      </c>
      <c r="AP614" s="7" t="b">
        <v>1</v>
      </c>
      <c r="AQ614" s="6" t="b">
        <v>0</v>
      </c>
      <c r="AR614" s="6" t="b">
        <v>0</v>
      </c>
      <c r="AS614" s="6" t="b">
        <v>0</v>
      </c>
      <c r="AT614" s="7" t="b">
        <v>1</v>
      </c>
      <c r="AU614" s="6" t="b">
        <v>0</v>
      </c>
      <c r="AV614" s="6" t="b">
        <v>0</v>
      </c>
      <c r="AW614" s="6" t="b">
        <v>0</v>
      </c>
      <c r="AX614" s="6" t="b">
        <v>0</v>
      </c>
      <c r="AY614" s="6" t="b">
        <v>0</v>
      </c>
      <c r="AZ614" s="6" t="b">
        <v>0</v>
      </c>
      <c r="BA614" s="6" t="b">
        <v>0</v>
      </c>
      <c r="BB614" s="6" t="b">
        <v>0</v>
      </c>
    </row>
    <row r="615" spans="1:54" ht="15" x14ac:dyDescent="0.25">
      <c r="A615" s="3" t="s">
        <v>1287</v>
      </c>
      <c r="B615" s="3" t="str">
        <f ca="1">IFERROR(__xludf.DUMMYFUNCTION("SPLIT(A615,""/"")"),"Marten4n6")</f>
        <v>Marten4n6</v>
      </c>
      <c r="C615" s="3" t="str">
        <f ca="1">IFERROR(__xludf.DUMMYFUNCTION("""COMPUTED_VALUE"""),"EvilOSX")</f>
        <v>EvilOSX</v>
      </c>
      <c r="D615" s="4" t="s">
        <v>1288</v>
      </c>
      <c r="E615" s="5">
        <v>43145.777025462965</v>
      </c>
      <c r="F615" s="5">
        <v>44294.292615740742</v>
      </c>
      <c r="G615" s="13">
        <f t="shared" si="54"/>
        <v>1148.5155902777769</v>
      </c>
      <c r="H615" s="6" t="b">
        <v>0</v>
      </c>
      <c r="I615" s="6" t="b">
        <v>0</v>
      </c>
      <c r="J615" s="8">
        <v>1660</v>
      </c>
      <c r="K615" s="8">
        <v>105</v>
      </c>
      <c r="L615" s="8">
        <v>367</v>
      </c>
      <c r="M615" s="8">
        <v>0</v>
      </c>
      <c r="N615" s="8">
        <v>2</v>
      </c>
      <c r="O615" s="8">
        <v>7</v>
      </c>
      <c r="P615" s="8">
        <v>13</v>
      </c>
      <c r="Q615" s="8">
        <v>2</v>
      </c>
      <c r="R615" s="8">
        <v>109</v>
      </c>
      <c r="S615" s="8">
        <v>39</v>
      </c>
      <c r="T615" s="3" t="s">
        <v>49</v>
      </c>
      <c r="U615" s="10">
        <v>3094</v>
      </c>
      <c r="V615" s="32">
        <v>24</v>
      </c>
      <c r="W615" s="27">
        <v>7.7569489334195219E-3</v>
      </c>
      <c r="X615" s="34">
        <v>9</v>
      </c>
      <c r="Y615" s="27">
        <v>0.375</v>
      </c>
      <c r="Z615" s="27">
        <v>2.9088558500323207E-3</v>
      </c>
      <c r="AA615" s="35">
        <v>7</v>
      </c>
      <c r="AB615" s="27">
        <v>0.29166666666666669</v>
      </c>
      <c r="AC615" s="27">
        <f t="shared" si="55"/>
        <v>2.2624434389140274E-3</v>
      </c>
      <c r="AD615" s="36">
        <v>0</v>
      </c>
      <c r="AE615" s="27">
        <v>0</v>
      </c>
      <c r="AF615" s="27">
        <f t="shared" si="56"/>
        <v>0</v>
      </c>
      <c r="AG615" s="37">
        <v>8</v>
      </c>
      <c r="AH615" s="27">
        <v>0.33333333333333331</v>
      </c>
      <c r="AI615" s="27">
        <f t="shared" si="57"/>
        <v>2.5856496444731738E-3</v>
      </c>
      <c r="AJ615" s="38">
        <v>0</v>
      </c>
      <c r="AK615" s="27">
        <v>0</v>
      </c>
      <c r="AL615" s="27">
        <f t="shared" si="58"/>
        <v>0</v>
      </c>
      <c r="AM615" s="40">
        <v>0</v>
      </c>
      <c r="AN615" s="27">
        <v>0</v>
      </c>
      <c r="AO615" s="27">
        <f t="shared" si="59"/>
        <v>0</v>
      </c>
      <c r="AP615" s="7" t="b">
        <v>1</v>
      </c>
      <c r="AQ615" s="6" t="b">
        <v>0</v>
      </c>
      <c r="AR615" s="6" t="b">
        <v>0</v>
      </c>
      <c r="AS615" s="6" t="b">
        <v>0</v>
      </c>
      <c r="AT615" s="7" t="b">
        <v>1</v>
      </c>
      <c r="AU615" s="6" t="b">
        <v>0</v>
      </c>
      <c r="AV615" s="6" t="b">
        <v>0</v>
      </c>
      <c r="AW615" s="6" t="b">
        <v>0</v>
      </c>
      <c r="AX615" s="6" t="b">
        <v>0</v>
      </c>
      <c r="AY615" s="6" t="b">
        <v>0</v>
      </c>
      <c r="AZ615" s="6" t="b">
        <v>0</v>
      </c>
      <c r="BA615" s="6" t="b">
        <v>0</v>
      </c>
      <c r="BB615" s="6" t="b">
        <v>0</v>
      </c>
    </row>
    <row r="616" spans="1:54" ht="15" x14ac:dyDescent="0.25">
      <c r="A616" s="3" t="s">
        <v>1289</v>
      </c>
      <c r="B616" s="3" t="str">
        <f ca="1">IFERROR(__xludf.DUMMYFUNCTION("SPLIT(A616,""/"")"),"martomo")</f>
        <v>martomo</v>
      </c>
      <c r="C616" s="3" t="str">
        <f ca="1">IFERROR(__xludf.DUMMYFUNCTION("""COMPUTED_VALUE"""),"SublimeTextXdebug")</f>
        <v>SublimeTextXdebug</v>
      </c>
      <c r="D616" s="4" t="s">
        <v>1290</v>
      </c>
      <c r="E616" s="5">
        <v>41365.53392361111</v>
      </c>
      <c r="F616" s="5">
        <v>44278.70752314815</v>
      </c>
      <c r="G616" s="13">
        <f t="shared" si="54"/>
        <v>2913.17359953704</v>
      </c>
      <c r="H616" s="6" t="b">
        <v>0</v>
      </c>
      <c r="I616" s="6" t="b">
        <v>0</v>
      </c>
      <c r="J616" s="8">
        <v>564</v>
      </c>
      <c r="K616" s="8">
        <v>26</v>
      </c>
      <c r="L616" s="8">
        <v>93</v>
      </c>
      <c r="M616" s="8">
        <v>0</v>
      </c>
      <c r="N616" s="8">
        <v>2</v>
      </c>
      <c r="O616" s="9">
        <v>0</v>
      </c>
      <c r="P616" s="8">
        <v>37</v>
      </c>
      <c r="Q616" s="8">
        <v>9</v>
      </c>
      <c r="R616" s="8">
        <v>171</v>
      </c>
      <c r="S616" s="8">
        <v>64</v>
      </c>
      <c r="T616" s="3" t="s">
        <v>72</v>
      </c>
      <c r="U616" s="10">
        <v>3873</v>
      </c>
      <c r="V616" s="32">
        <v>2</v>
      </c>
      <c r="W616" s="27">
        <v>5.1639555899819257E-4</v>
      </c>
      <c r="X616" s="34">
        <v>1</v>
      </c>
      <c r="Y616" s="27">
        <v>0.5</v>
      </c>
      <c r="Z616" s="27">
        <v>2.5819777949909629E-4</v>
      </c>
      <c r="AA616" s="35">
        <v>1</v>
      </c>
      <c r="AB616" s="27">
        <v>0.5</v>
      </c>
      <c r="AC616" s="27">
        <f t="shared" si="55"/>
        <v>2.5819777949909629E-4</v>
      </c>
      <c r="AD616" s="36">
        <v>0</v>
      </c>
      <c r="AE616" s="27">
        <v>0</v>
      </c>
      <c r="AF616" s="27">
        <f t="shared" si="56"/>
        <v>0</v>
      </c>
      <c r="AG616" s="37">
        <v>0</v>
      </c>
      <c r="AH616" s="27">
        <v>0</v>
      </c>
      <c r="AI616" s="27">
        <f t="shared" si="57"/>
        <v>0</v>
      </c>
      <c r="AJ616" s="38">
        <v>0</v>
      </c>
      <c r="AK616" s="27">
        <v>0</v>
      </c>
      <c r="AL616" s="27">
        <f t="shared" si="58"/>
        <v>0</v>
      </c>
      <c r="AM616" s="40">
        <v>0</v>
      </c>
      <c r="AN616" s="27">
        <v>0</v>
      </c>
      <c r="AO616" s="27">
        <f t="shared" si="59"/>
        <v>0</v>
      </c>
      <c r="AP616" s="7" t="b">
        <v>1</v>
      </c>
      <c r="AQ616" s="6" t="b">
        <v>0</v>
      </c>
      <c r="AR616" s="6" t="b">
        <v>0</v>
      </c>
      <c r="AS616" s="6" t="b">
        <v>0</v>
      </c>
      <c r="AT616" s="7" t="b">
        <v>1</v>
      </c>
      <c r="AU616" s="6" t="b">
        <v>0</v>
      </c>
      <c r="AV616" s="6" t="b">
        <v>0</v>
      </c>
      <c r="AW616" s="6" t="b">
        <v>0</v>
      </c>
      <c r="AX616" s="6" t="b">
        <v>0</v>
      </c>
      <c r="AY616" s="6" t="b">
        <v>0</v>
      </c>
      <c r="AZ616" s="6" t="b">
        <v>0</v>
      </c>
      <c r="BA616" s="6" t="b">
        <v>0</v>
      </c>
      <c r="BB616" s="6" t="b">
        <v>0</v>
      </c>
    </row>
    <row r="617" spans="1:54" ht="15" x14ac:dyDescent="0.25">
      <c r="A617" s="3" t="s">
        <v>1291</v>
      </c>
      <c r="B617" s="3" t="str">
        <f ca="1">IFERROR(__xludf.DUMMYFUNCTION("SPLIT(A617,""/"")"),"matrix-org")</f>
        <v>matrix-org</v>
      </c>
      <c r="C617" s="3" t="str">
        <f ca="1">IFERROR(__xludf.DUMMYFUNCTION("""COMPUTED_VALUE"""),"synapse")</f>
        <v>synapse</v>
      </c>
      <c r="D617" s="4" t="s">
        <v>1292</v>
      </c>
      <c r="E617" s="5">
        <v>41862.660902777781</v>
      </c>
      <c r="F617" s="5">
        <v>44294.986527777779</v>
      </c>
      <c r="G617" s="13">
        <f t="shared" si="54"/>
        <v>2432.3256249999977</v>
      </c>
      <c r="H617" s="6" t="b">
        <v>0</v>
      </c>
      <c r="I617" s="7" t="b">
        <v>1</v>
      </c>
      <c r="J617" s="8">
        <v>7704</v>
      </c>
      <c r="K617" s="8">
        <v>251</v>
      </c>
      <c r="L617" s="8">
        <v>1339</v>
      </c>
      <c r="M617" s="8">
        <v>321</v>
      </c>
      <c r="N617" s="8">
        <v>59</v>
      </c>
      <c r="O617" s="8">
        <v>296</v>
      </c>
      <c r="P617" s="8">
        <v>5728</v>
      </c>
      <c r="Q617" s="8">
        <v>59</v>
      </c>
      <c r="R617" s="8">
        <v>4013</v>
      </c>
      <c r="S617" s="8">
        <v>1200</v>
      </c>
      <c r="T617" s="3" t="s">
        <v>69</v>
      </c>
      <c r="U617" s="10">
        <v>84319</v>
      </c>
      <c r="V617" s="32">
        <v>1245</v>
      </c>
      <c r="W617" s="27">
        <v>1.476535537660551E-2</v>
      </c>
      <c r="X617" s="34">
        <v>355</v>
      </c>
      <c r="Y617" s="27">
        <v>0.28514056224899598</v>
      </c>
      <c r="Z617" s="27">
        <v>4.2102017338915311E-3</v>
      </c>
      <c r="AA617" s="35">
        <v>457</v>
      </c>
      <c r="AB617" s="27">
        <v>0.3670682730923695</v>
      </c>
      <c r="AC617" s="27">
        <f t="shared" si="55"/>
        <v>5.4198934996857176E-3</v>
      </c>
      <c r="AD617" s="36">
        <v>272</v>
      </c>
      <c r="AE617" s="27">
        <v>0.21847389558232932</v>
      </c>
      <c r="AF617" s="27">
        <f t="shared" si="56"/>
        <v>3.2258447087844971E-3</v>
      </c>
      <c r="AG617" s="37">
        <v>150</v>
      </c>
      <c r="AH617" s="27">
        <v>0.12048192771084337</v>
      </c>
      <c r="AI617" s="27">
        <f t="shared" si="57"/>
        <v>1.7789584791090976E-3</v>
      </c>
      <c r="AJ617" s="38">
        <v>2</v>
      </c>
      <c r="AK617" s="27">
        <v>1.606425702811245E-3</v>
      </c>
      <c r="AL617" s="27">
        <f t="shared" si="58"/>
        <v>2.3719446388121302E-5</v>
      </c>
      <c r="AM617" s="40">
        <v>0</v>
      </c>
      <c r="AN617" s="27">
        <v>0</v>
      </c>
      <c r="AO617" s="27">
        <f t="shared" si="59"/>
        <v>0</v>
      </c>
      <c r="AP617" s="7" t="b">
        <v>1</v>
      </c>
      <c r="AQ617" s="7" t="b">
        <v>1</v>
      </c>
      <c r="AR617" s="6" t="b">
        <v>0</v>
      </c>
      <c r="AS617" s="6" t="b">
        <v>0</v>
      </c>
      <c r="AT617" s="7" t="b">
        <v>1</v>
      </c>
      <c r="AU617" s="6" t="b">
        <v>0</v>
      </c>
      <c r="AV617" s="6" t="b">
        <v>0</v>
      </c>
      <c r="AW617" s="6" t="b">
        <v>0</v>
      </c>
      <c r="AX617" s="6" t="b">
        <v>0</v>
      </c>
      <c r="AY617" s="6" t="b">
        <v>0</v>
      </c>
      <c r="AZ617" s="6" t="b">
        <v>0</v>
      </c>
      <c r="BA617" s="6" t="b">
        <v>0</v>
      </c>
      <c r="BB617" s="6" t="b">
        <v>0</v>
      </c>
    </row>
    <row r="618" spans="1:54" ht="15" x14ac:dyDescent="0.25">
      <c r="A618" s="3" t="s">
        <v>1293</v>
      </c>
      <c r="B618" s="3" t="str">
        <f ca="1">IFERROR(__xludf.DUMMYFUNCTION("SPLIT(A618,""/"")"),"mattupstate")</f>
        <v>mattupstate</v>
      </c>
      <c r="C618" s="3" t="str">
        <f ca="1">IFERROR(__xludf.DUMMYFUNCTION("""COMPUTED_VALUE"""),"overholt")</f>
        <v>overholt</v>
      </c>
      <c r="D618" s="4" t="s">
        <v>1294</v>
      </c>
      <c r="E618" s="5">
        <v>41451.693888888891</v>
      </c>
      <c r="F618" s="5">
        <v>44288.730486111112</v>
      </c>
      <c r="G618" s="13">
        <f t="shared" si="54"/>
        <v>2837.0365972222207</v>
      </c>
      <c r="H618" s="6" t="b">
        <v>0</v>
      </c>
      <c r="I618" s="6" t="b">
        <v>0</v>
      </c>
      <c r="J618" s="8">
        <v>1566</v>
      </c>
      <c r="K618" s="8">
        <v>60</v>
      </c>
      <c r="L618" s="8">
        <v>237</v>
      </c>
      <c r="M618" s="8">
        <v>0</v>
      </c>
      <c r="N618" s="8">
        <v>0</v>
      </c>
      <c r="O618" s="8">
        <v>4</v>
      </c>
      <c r="P618" s="8">
        <v>15</v>
      </c>
      <c r="Q618" s="8">
        <v>7</v>
      </c>
      <c r="R618" s="8">
        <v>36</v>
      </c>
      <c r="S618" s="8">
        <v>18</v>
      </c>
      <c r="T618" s="3" t="s">
        <v>72</v>
      </c>
      <c r="U618" s="10">
        <v>1011</v>
      </c>
      <c r="V618" s="32">
        <v>0</v>
      </c>
      <c r="W618" s="27">
        <v>0</v>
      </c>
      <c r="X618" s="34">
        <v>0</v>
      </c>
      <c r="Y618" s="27">
        <v>0</v>
      </c>
      <c r="Z618" s="27">
        <v>0</v>
      </c>
      <c r="AA618" s="35">
        <v>0</v>
      </c>
      <c r="AB618" s="27">
        <v>0</v>
      </c>
      <c r="AC618" s="27">
        <f t="shared" si="55"/>
        <v>0</v>
      </c>
      <c r="AD618" s="36">
        <v>0</v>
      </c>
      <c r="AE618" s="27">
        <v>0</v>
      </c>
      <c r="AF618" s="27">
        <f t="shared" si="56"/>
        <v>0</v>
      </c>
      <c r="AG618" s="37">
        <v>0</v>
      </c>
      <c r="AH618" s="27">
        <v>0</v>
      </c>
      <c r="AI618" s="27">
        <f t="shared" si="57"/>
        <v>0</v>
      </c>
      <c r="AJ618" s="38">
        <v>0</v>
      </c>
      <c r="AK618" s="27">
        <v>0</v>
      </c>
      <c r="AL618" s="27">
        <f t="shared" si="58"/>
        <v>0</v>
      </c>
      <c r="AM618" s="40">
        <v>0</v>
      </c>
      <c r="AN618" s="27">
        <v>0</v>
      </c>
      <c r="AO618" s="27">
        <f t="shared" si="59"/>
        <v>0</v>
      </c>
      <c r="AP618" s="7" t="b">
        <v>1</v>
      </c>
      <c r="AQ618" s="6" t="b">
        <v>0</v>
      </c>
      <c r="AR618" s="6" t="b">
        <v>0</v>
      </c>
      <c r="AS618" s="6" t="b">
        <v>0</v>
      </c>
      <c r="AT618" s="7" t="b">
        <v>1</v>
      </c>
      <c r="AU618" s="6" t="b">
        <v>0</v>
      </c>
      <c r="AV618" s="6" t="b">
        <v>0</v>
      </c>
      <c r="AW618" s="6" t="b">
        <v>0</v>
      </c>
      <c r="AX618" s="6" t="b">
        <v>0</v>
      </c>
      <c r="AY618" s="6" t="b">
        <v>0</v>
      </c>
      <c r="AZ618" s="6" t="b">
        <v>0</v>
      </c>
      <c r="BA618" s="6" t="b">
        <v>0</v>
      </c>
      <c r="BB618" s="6" t="b">
        <v>0</v>
      </c>
    </row>
    <row r="619" spans="1:54" ht="15" x14ac:dyDescent="0.25">
      <c r="A619" s="3" t="s">
        <v>1295</v>
      </c>
      <c r="B619" s="3" t="str">
        <f ca="1">IFERROR(__xludf.DUMMYFUNCTION("SPLIT(A619,""/"")"),"maurosoria")</f>
        <v>maurosoria</v>
      </c>
      <c r="C619" s="3" t="str">
        <f ca="1">IFERROR(__xludf.DUMMYFUNCTION("""COMPUTED_VALUE"""),"dirsearch")</f>
        <v>dirsearch</v>
      </c>
      <c r="D619" s="4" t="s">
        <v>1296</v>
      </c>
      <c r="E619" s="5">
        <v>41394.665046296293</v>
      </c>
      <c r="F619" s="5">
        <v>44295.006504629629</v>
      </c>
      <c r="G619" s="13">
        <f t="shared" si="54"/>
        <v>2900.341458333336</v>
      </c>
      <c r="H619" s="6" t="b">
        <v>0</v>
      </c>
      <c r="I619" s="6" t="b">
        <v>0</v>
      </c>
      <c r="J619" s="8">
        <v>5838</v>
      </c>
      <c r="K619" s="8">
        <v>257</v>
      </c>
      <c r="L619" s="8">
        <v>1413</v>
      </c>
      <c r="M619" s="8">
        <v>14</v>
      </c>
      <c r="N619" s="8">
        <v>4</v>
      </c>
      <c r="O619" s="8">
        <v>63</v>
      </c>
      <c r="P619" s="8">
        <v>504</v>
      </c>
      <c r="Q619" s="8">
        <v>9</v>
      </c>
      <c r="R619" s="8">
        <v>273</v>
      </c>
      <c r="S619" s="8">
        <v>50</v>
      </c>
      <c r="T619" s="11" t="s">
        <v>52</v>
      </c>
      <c r="U619" s="10">
        <v>10424</v>
      </c>
      <c r="V619" s="32">
        <v>60</v>
      </c>
      <c r="W619" s="27">
        <v>5.7559478127398311E-3</v>
      </c>
      <c r="X619" s="34">
        <v>26</v>
      </c>
      <c r="Y619" s="27">
        <v>0.43333333333333335</v>
      </c>
      <c r="Z619" s="27">
        <v>2.4942440521872602E-3</v>
      </c>
      <c r="AA619" s="35">
        <v>6</v>
      </c>
      <c r="AB619" s="27">
        <v>0.1</v>
      </c>
      <c r="AC619" s="27">
        <f t="shared" si="55"/>
        <v>5.7559478127398314E-4</v>
      </c>
      <c r="AD619" s="36">
        <v>15</v>
      </c>
      <c r="AE619" s="27">
        <v>0.25</v>
      </c>
      <c r="AF619" s="27">
        <f t="shared" si="56"/>
        <v>1.4389869531849578E-3</v>
      </c>
      <c r="AG619" s="37">
        <v>13</v>
      </c>
      <c r="AH619" s="27">
        <v>0.21666666666666667</v>
      </c>
      <c r="AI619" s="27">
        <f t="shared" si="57"/>
        <v>1.2471220260936301E-3</v>
      </c>
      <c r="AJ619" s="38">
        <v>0</v>
      </c>
      <c r="AK619" s="27">
        <v>0</v>
      </c>
      <c r="AL619" s="27">
        <f t="shared" si="58"/>
        <v>0</v>
      </c>
      <c r="AM619" s="40">
        <v>0</v>
      </c>
      <c r="AN619" s="27">
        <v>0</v>
      </c>
      <c r="AO619" s="27">
        <f t="shared" si="59"/>
        <v>0</v>
      </c>
      <c r="AP619" s="7" t="b">
        <v>1</v>
      </c>
      <c r="AQ619" s="6" t="b">
        <v>0</v>
      </c>
      <c r="AR619" s="6" t="b">
        <v>0</v>
      </c>
      <c r="AS619" s="6" t="b">
        <v>0</v>
      </c>
      <c r="AT619" s="7" t="b">
        <v>1</v>
      </c>
      <c r="AU619" s="6" t="b">
        <v>0</v>
      </c>
      <c r="AV619" s="6" t="b">
        <v>0</v>
      </c>
      <c r="AW619" s="6" t="b">
        <v>0</v>
      </c>
      <c r="AX619" s="6" t="b">
        <v>0</v>
      </c>
      <c r="AY619" s="6" t="b">
        <v>0</v>
      </c>
      <c r="AZ619" s="6" t="b">
        <v>0</v>
      </c>
      <c r="BA619" s="6" t="b">
        <v>0</v>
      </c>
      <c r="BB619" s="6" t="b">
        <v>0</v>
      </c>
    </row>
    <row r="620" spans="1:54" ht="15" x14ac:dyDescent="0.25">
      <c r="A620" s="3" t="s">
        <v>1297</v>
      </c>
      <c r="B620" s="3" t="str">
        <f ca="1">IFERROR(__xludf.DUMMYFUNCTION("SPLIT(A620,""/"")"),"maxbbraun")</f>
        <v>maxbbraun</v>
      </c>
      <c r="C620" s="3" t="str">
        <f ca="1">IFERROR(__xludf.DUMMYFUNCTION("""COMPUTED_VALUE"""),"trump2cash")</f>
        <v>trump2cash</v>
      </c>
      <c r="D620" s="4" t="s">
        <v>1298</v>
      </c>
      <c r="E620" s="5">
        <v>42757.163148148145</v>
      </c>
      <c r="F620" s="5">
        <v>44295.105775462966</v>
      </c>
      <c r="G620" s="13">
        <f t="shared" si="54"/>
        <v>1537.9426273148201</v>
      </c>
      <c r="H620" s="6" t="b">
        <v>0</v>
      </c>
      <c r="I620" s="6" t="b">
        <v>0</v>
      </c>
      <c r="J620" s="8">
        <v>5927</v>
      </c>
      <c r="K620" s="8">
        <v>291</v>
      </c>
      <c r="L620" s="8">
        <v>822</v>
      </c>
      <c r="M620" s="8">
        <v>0</v>
      </c>
      <c r="N620" s="8">
        <v>1</v>
      </c>
      <c r="O620" s="9">
        <v>0</v>
      </c>
      <c r="P620" s="8">
        <v>11</v>
      </c>
      <c r="Q620" s="8">
        <v>8</v>
      </c>
      <c r="R620" s="8">
        <v>56</v>
      </c>
      <c r="S620" s="8">
        <v>25</v>
      </c>
      <c r="T620" s="3" t="s">
        <v>72</v>
      </c>
      <c r="U620" s="10">
        <v>1646</v>
      </c>
      <c r="V620" s="32">
        <v>119</v>
      </c>
      <c r="W620" s="27">
        <v>7.2296476306196844E-2</v>
      </c>
      <c r="X620" s="34">
        <v>45</v>
      </c>
      <c r="Y620" s="27">
        <v>0.37815126050420167</v>
      </c>
      <c r="Z620" s="27">
        <v>2.7339003645200487E-2</v>
      </c>
      <c r="AA620" s="35">
        <v>9</v>
      </c>
      <c r="AB620" s="27">
        <v>7.5630252100840331E-2</v>
      </c>
      <c r="AC620" s="27">
        <f t="shared" si="55"/>
        <v>5.4678007290400975E-3</v>
      </c>
      <c r="AD620" s="36">
        <v>27</v>
      </c>
      <c r="AE620" s="27">
        <v>0.22689075630252101</v>
      </c>
      <c r="AF620" s="27">
        <f t="shared" si="56"/>
        <v>1.6403402187120292E-2</v>
      </c>
      <c r="AG620" s="37">
        <v>37</v>
      </c>
      <c r="AH620" s="27">
        <v>0.31092436974789917</v>
      </c>
      <c r="AI620" s="27">
        <f t="shared" si="57"/>
        <v>2.2478736330498177E-2</v>
      </c>
      <c r="AJ620" s="38">
        <v>1</v>
      </c>
      <c r="AK620" s="27">
        <v>8.4033613445378148E-3</v>
      </c>
      <c r="AL620" s="27">
        <f t="shared" si="58"/>
        <v>6.0753341433778852E-4</v>
      </c>
      <c r="AM620" s="40">
        <v>0</v>
      </c>
      <c r="AN620" s="27">
        <v>0</v>
      </c>
      <c r="AO620" s="27">
        <f t="shared" si="59"/>
        <v>0</v>
      </c>
      <c r="AP620" s="7" t="b">
        <v>1</v>
      </c>
      <c r="AQ620" s="6" t="b">
        <v>0</v>
      </c>
      <c r="AR620" s="6" t="b">
        <v>0</v>
      </c>
      <c r="AS620" s="6" t="b">
        <v>0</v>
      </c>
      <c r="AT620" s="7" t="b">
        <v>1</v>
      </c>
      <c r="AU620" s="6" t="b">
        <v>0</v>
      </c>
      <c r="AV620" s="6" t="b">
        <v>0</v>
      </c>
      <c r="AW620" s="6" t="b">
        <v>0</v>
      </c>
      <c r="AX620" s="6" t="b">
        <v>0</v>
      </c>
      <c r="AY620" s="6" t="b">
        <v>0</v>
      </c>
      <c r="AZ620" s="6" t="b">
        <v>0</v>
      </c>
      <c r="BA620" s="6" t="b">
        <v>0</v>
      </c>
      <c r="BB620" s="6" t="b">
        <v>0</v>
      </c>
    </row>
    <row r="621" spans="1:54" ht="15" x14ac:dyDescent="0.25">
      <c r="A621" s="3" t="s">
        <v>1299</v>
      </c>
      <c r="B621" s="3" t="str">
        <f ca="1">IFERROR(__xludf.DUMMYFUNCTION("SPLIT(A621,""/"")"),"mdn")</f>
        <v>mdn</v>
      </c>
      <c r="C621" s="3" t="str">
        <f ca="1">IFERROR(__xludf.DUMMYFUNCTION("""COMPUTED_VALUE"""),"kuma")</f>
        <v>kuma</v>
      </c>
      <c r="D621" s="4" t="s">
        <v>1300</v>
      </c>
      <c r="E621" s="5">
        <v>40584.908402777779</v>
      </c>
      <c r="F621" s="5">
        <v>44294.581655092596</v>
      </c>
      <c r="G621" s="13">
        <f t="shared" si="54"/>
        <v>3709.6732523148166</v>
      </c>
      <c r="H621" s="6" t="b">
        <v>0</v>
      </c>
      <c r="I621" s="7" t="b">
        <v>1</v>
      </c>
      <c r="J621" s="8">
        <v>1863</v>
      </c>
      <c r="K621" s="8">
        <v>138</v>
      </c>
      <c r="L621" s="8">
        <v>689</v>
      </c>
      <c r="M621" s="8">
        <v>0</v>
      </c>
      <c r="N621" s="8">
        <v>362</v>
      </c>
      <c r="O621" s="8">
        <v>285</v>
      </c>
      <c r="P621" s="8">
        <v>6450</v>
      </c>
      <c r="Q621" s="8">
        <v>11</v>
      </c>
      <c r="R621" s="8">
        <v>1230</v>
      </c>
      <c r="S621" s="8">
        <v>203</v>
      </c>
      <c r="T621" s="3" t="s">
        <v>75</v>
      </c>
      <c r="U621" s="10">
        <v>28089</v>
      </c>
      <c r="V621" s="32">
        <v>83</v>
      </c>
      <c r="W621" s="27">
        <v>2.9548933746306382E-3</v>
      </c>
      <c r="X621" s="34">
        <v>15</v>
      </c>
      <c r="Y621" s="27">
        <v>0.18072289156626506</v>
      </c>
      <c r="Z621" s="27">
        <v>5.3401687493324793E-4</v>
      </c>
      <c r="AA621" s="35">
        <v>34</v>
      </c>
      <c r="AB621" s="27">
        <v>0.40963855421686746</v>
      </c>
      <c r="AC621" s="27">
        <f t="shared" si="55"/>
        <v>1.2104382498486952E-3</v>
      </c>
      <c r="AD621" s="36">
        <v>15</v>
      </c>
      <c r="AE621" s="27">
        <v>0.18072289156626506</v>
      </c>
      <c r="AF621" s="27">
        <f t="shared" si="56"/>
        <v>5.3401687493324793E-4</v>
      </c>
      <c r="AG621" s="37">
        <v>18</v>
      </c>
      <c r="AH621" s="27">
        <v>0.21686746987951808</v>
      </c>
      <c r="AI621" s="27">
        <f t="shared" si="57"/>
        <v>6.4082024991989745E-4</v>
      </c>
      <c r="AJ621" s="38">
        <v>0</v>
      </c>
      <c r="AK621" s="27">
        <v>0</v>
      </c>
      <c r="AL621" s="27">
        <f t="shared" si="58"/>
        <v>0</v>
      </c>
      <c r="AM621" s="40">
        <v>1</v>
      </c>
      <c r="AN621" s="27">
        <v>1.2048192771084338E-2</v>
      </c>
      <c r="AO621" s="27">
        <f t="shared" si="59"/>
        <v>3.560112499554986E-5</v>
      </c>
      <c r="AP621" s="7" t="b">
        <v>1</v>
      </c>
      <c r="AQ621" s="7" t="b">
        <v>1</v>
      </c>
      <c r="AR621" s="6" t="b">
        <v>0</v>
      </c>
      <c r="AS621" s="6" t="b">
        <v>0</v>
      </c>
      <c r="AT621" s="7" t="b">
        <v>1</v>
      </c>
      <c r="AU621" s="6" t="b">
        <v>0</v>
      </c>
      <c r="AV621" s="6" t="b">
        <v>0</v>
      </c>
      <c r="AW621" s="6" t="b">
        <v>0</v>
      </c>
      <c r="AX621" s="6" t="b">
        <v>0</v>
      </c>
      <c r="AY621" s="6" t="b">
        <v>0</v>
      </c>
      <c r="AZ621" s="6" t="b">
        <v>0</v>
      </c>
      <c r="BA621" s="6" t="b">
        <v>0</v>
      </c>
      <c r="BB621" s="6" t="b">
        <v>0</v>
      </c>
    </row>
    <row r="622" spans="1:54" ht="15" x14ac:dyDescent="0.25">
      <c r="A622" s="3" t="s">
        <v>1301</v>
      </c>
      <c r="B622" s="3" t="str">
        <f ca="1">IFERROR(__xludf.DUMMYFUNCTION("SPLIT(A622,""/"")"),"MeetMe")</f>
        <v>MeetMe</v>
      </c>
      <c r="C622" s="3" t="str">
        <f ca="1">IFERROR(__xludf.DUMMYFUNCTION("""COMPUTED_VALUE"""),"newrelic-plugin-agent")</f>
        <v>newrelic-plugin-agent</v>
      </c>
      <c r="D622" s="4" t="s">
        <v>1302</v>
      </c>
      <c r="E622" s="5">
        <v>41443.993287037039</v>
      </c>
      <c r="F622" s="5">
        <v>44266.512499999997</v>
      </c>
      <c r="G622" s="13">
        <f t="shared" si="54"/>
        <v>2822.5192129629577</v>
      </c>
      <c r="H622" s="6" t="b">
        <v>0</v>
      </c>
      <c r="I622" s="7" t="b">
        <v>1</v>
      </c>
      <c r="J622" s="8">
        <v>433</v>
      </c>
      <c r="K622" s="8">
        <v>34</v>
      </c>
      <c r="L622" s="8">
        <v>253</v>
      </c>
      <c r="M622" s="8">
        <v>0</v>
      </c>
      <c r="N622" s="8">
        <v>8</v>
      </c>
      <c r="O622" s="8">
        <v>50</v>
      </c>
      <c r="P622" s="8">
        <v>119</v>
      </c>
      <c r="Q622" s="8">
        <v>31</v>
      </c>
      <c r="R622" s="8">
        <v>444</v>
      </c>
      <c r="S622" s="8">
        <v>192</v>
      </c>
      <c r="T622" s="3" t="s">
        <v>57</v>
      </c>
      <c r="U622" s="10">
        <v>1661</v>
      </c>
      <c r="V622" s="32">
        <v>54</v>
      </c>
      <c r="W622" s="27">
        <v>3.2510535821794098E-2</v>
      </c>
      <c r="X622" s="34">
        <v>21</v>
      </c>
      <c r="Y622" s="27">
        <v>0.3888888888888889</v>
      </c>
      <c r="Z622" s="27">
        <v>1.2642986152919929E-2</v>
      </c>
      <c r="AA622" s="35">
        <v>9</v>
      </c>
      <c r="AB622" s="27">
        <v>0.16666666666666666</v>
      </c>
      <c r="AC622" s="27">
        <f t="shared" si="55"/>
        <v>5.4184226369656833E-3</v>
      </c>
      <c r="AD622" s="36">
        <v>3</v>
      </c>
      <c r="AE622" s="27">
        <v>5.5555555555555552E-2</v>
      </c>
      <c r="AF622" s="27">
        <f t="shared" si="56"/>
        <v>1.8061408789885611E-3</v>
      </c>
      <c r="AG622" s="37">
        <v>18</v>
      </c>
      <c r="AH622" s="27">
        <v>0.33333333333333331</v>
      </c>
      <c r="AI622" s="27">
        <f t="shared" si="57"/>
        <v>1.0836845273931367E-2</v>
      </c>
      <c r="AJ622" s="38">
        <v>3</v>
      </c>
      <c r="AK622" s="27">
        <v>5.5555555555555552E-2</v>
      </c>
      <c r="AL622" s="27">
        <f t="shared" si="58"/>
        <v>1.8061408789885611E-3</v>
      </c>
      <c r="AM622" s="40">
        <v>0</v>
      </c>
      <c r="AN622" s="27">
        <v>0</v>
      </c>
      <c r="AO622" s="27">
        <f t="shared" si="59"/>
        <v>0</v>
      </c>
      <c r="AP622" s="7" t="b">
        <v>1</v>
      </c>
      <c r="AQ622" s="6" t="b">
        <v>0</v>
      </c>
      <c r="AR622" s="6" t="b">
        <v>0</v>
      </c>
      <c r="AS622" s="6" t="b">
        <v>0</v>
      </c>
      <c r="AT622" s="7" t="b">
        <v>1</v>
      </c>
      <c r="AU622" s="6" t="b">
        <v>0</v>
      </c>
      <c r="AV622" s="6" t="b">
        <v>0</v>
      </c>
      <c r="AW622" s="6" t="b">
        <v>0</v>
      </c>
      <c r="AX622" s="6" t="b">
        <v>0</v>
      </c>
      <c r="AY622" s="6" t="b">
        <v>0</v>
      </c>
      <c r="AZ622" s="6" t="b">
        <v>0</v>
      </c>
      <c r="BA622" s="6" t="b">
        <v>0</v>
      </c>
      <c r="BB622" s="6" t="b">
        <v>0</v>
      </c>
    </row>
    <row r="623" spans="1:54" ht="15" x14ac:dyDescent="0.25">
      <c r="A623" s="3" t="s">
        <v>1303</v>
      </c>
      <c r="B623" s="3" t="str">
        <f ca="1">IFERROR(__xludf.DUMMYFUNCTION("SPLIT(A623,""/"")"),"megvii-model")</f>
        <v>megvii-model</v>
      </c>
      <c r="C623" s="3" t="str">
        <f ca="1">IFERROR(__xludf.DUMMYFUNCTION("""COMPUTED_VALUE"""),"YOLOF")</f>
        <v>YOLOF</v>
      </c>
      <c r="D623" s="4" t="s">
        <v>1304</v>
      </c>
      <c r="E623" s="5">
        <v>44266.279305555552</v>
      </c>
      <c r="F623" s="5">
        <v>44294.768240740741</v>
      </c>
      <c r="G623" s="13">
        <f t="shared" si="54"/>
        <v>28.488935185188893</v>
      </c>
      <c r="H623" s="6" t="b">
        <v>0</v>
      </c>
      <c r="I623" s="6" t="b">
        <v>0</v>
      </c>
      <c r="J623" s="8">
        <v>516</v>
      </c>
      <c r="K623" s="8">
        <v>25</v>
      </c>
      <c r="L623" s="8">
        <v>63</v>
      </c>
      <c r="M623" s="8">
        <v>0</v>
      </c>
      <c r="N623" s="8">
        <v>0</v>
      </c>
      <c r="O623" s="8">
        <v>2</v>
      </c>
      <c r="P623" s="8">
        <v>1</v>
      </c>
      <c r="Q623" s="8">
        <v>1</v>
      </c>
      <c r="R623" s="8">
        <v>20</v>
      </c>
      <c r="S623" s="8">
        <v>3</v>
      </c>
      <c r="T623" s="3" t="s">
        <v>72</v>
      </c>
      <c r="U623" s="10">
        <v>29969</v>
      </c>
      <c r="V623" s="32">
        <v>216</v>
      </c>
      <c r="W623" s="27">
        <v>7.2074476959524845E-3</v>
      </c>
      <c r="X623" s="34">
        <v>0</v>
      </c>
      <c r="Y623" s="27">
        <v>0</v>
      </c>
      <c r="Z623" s="27">
        <v>0</v>
      </c>
      <c r="AA623" s="35">
        <v>154</v>
      </c>
      <c r="AB623" s="27">
        <v>0.71296296296296291</v>
      </c>
      <c r="AC623" s="27">
        <f t="shared" si="55"/>
        <v>5.1386432647068641E-3</v>
      </c>
      <c r="AD623" s="36">
        <v>49</v>
      </c>
      <c r="AE623" s="27">
        <v>0.22685185185185186</v>
      </c>
      <c r="AF623" s="27">
        <f t="shared" si="56"/>
        <v>1.635022856952184E-3</v>
      </c>
      <c r="AG623" s="37">
        <v>13</v>
      </c>
      <c r="AH623" s="27">
        <v>6.0185185185185182E-2</v>
      </c>
      <c r="AI623" s="27">
        <f t="shared" si="57"/>
        <v>4.3378157429343654E-4</v>
      </c>
      <c r="AJ623" s="38">
        <v>0</v>
      </c>
      <c r="AK623" s="27">
        <v>0</v>
      </c>
      <c r="AL623" s="27">
        <f t="shared" si="58"/>
        <v>0</v>
      </c>
      <c r="AM623" s="40">
        <v>0</v>
      </c>
      <c r="AN623" s="27">
        <v>0</v>
      </c>
      <c r="AO623" s="27">
        <f t="shared" si="59"/>
        <v>0</v>
      </c>
      <c r="AP623" s="7" t="b">
        <v>1</v>
      </c>
      <c r="AQ623" s="6" t="b">
        <v>0</v>
      </c>
      <c r="AR623" s="6" t="b">
        <v>0</v>
      </c>
      <c r="AS623" s="6" t="b">
        <v>0</v>
      </c>
      <c r="AT623" s="7" t="b">
        <v>1</v>
      </c>
      <c r="AU623" s="6" t="b">
        <v>0</v>
      </c>
      <c r="AV623" s="6" t="b">
        <v>0</v>
      </c>
      <c r="AW623" s="6" t="b">
        <v>0</v>
      </c>
      <c r="AX623" s="6" t="b">
        <v>0</v>
      </c>
      <c r="AY623" s="6" t="b">
        <v>0</v>
      </c>
      <c r="AZ623" s="6" t="b">
        <v>0</v>
      </c>
      <c r="BA623" s="6" t="b">
        <v>0</v>
      </c>
      <c r="BB623" s="6" t="b">
        <v>0</v>
      </c>
    </row>
    <row r="624" spans="1:54" ht="15" x14ac:dyDescent="0.25">
      <c r="A624" s="3" t="s">
        <v>1305</v>
      </c>
      <c r="B624" s="3" t="str">
        <f ca="1">IFERROR(__xludf.DUMMYFUNCTION("SPLIT(A624,""/"")"),"MegviiDetection")</f>
        <v>MegviiDetection</v>
      </c>
      <c r="C624" s="3" t="str">
        <f ca="1">IFERROR(__xludf.DUMMYFUNCTION("""COMPUTED_VALUE"""),"video_analyst")</f>
        <v>video_analyst</v>
      </c>
      <c r="D624" s="4" t="s">
        <v>1306</v>
      </c>
      <c r="E624" s="5">
        <v>43822.259027777778</v>
      </c>
      <c r="F624" s="5">
        <v>44287.138032407405</v>
      </c>
      <c r="G624" s="13">
        <f t="shared" si="54"/>
        <v>464.87900462962716</v>
      </c>
      <c r="H624" s="6" t="b">
        <v>0</v>
      </c>
      <c r="I624" s="7" t="b">
        <v>1</v>
      </c>
      <c r="J624" s="8">
        <v>554</v>
      </c>
      <c r="K624" s="8">
        <v>25</v>
      </c>
      <c r="L624" s="8">
        <v>136</v>
      </c>
      <c r="M624" s="8">
        <v>0</v>
      </c>
      <c r="N624" s="8">
        <v>0</v>
      </c>
      <c r="O624" s="8">
        <v>4</v>
      </c>
      <c r="P624" s="8">
        <v>96</v>
      </c>
      <c r="Q624" s="8">
        <v>0</v>
      </c>
      <c r="R624" s="8">
        <v>92</v>
      </c>
      <c r="S624" s="8">
        <v>8</v>
      </c>
      <c r="T624" s="3" t="s">
        <v>72</v>
      </c>
      <c r="U624" s="10">
        <v>14624</v>
      </c>
      <c r="V624" s="32">
        <v>196</v>
      </c>
      <c r="W624" s="27">
        <v>1.3402625820568928E-2</v>
      </c>
      <c r="X624" s="34">
        <v>20</v>
      </c>
      <c r="Y624" s="27">
        <v>0.10204081632653061</v>
      </c>
      <c r="Z624" s="27">
        <v>1.3676148796498905E-3</v>
      </c>
      <c r="AA624" s="35">
        <v>147</v>
      </c>
      <c r="AB624" s="27">
        <v>0.75</v>
      </c>
      <c r="AC624" s="27">
        <f t="shared" si="55"/>
        <v>1.0051969365426695E-2</v>
      </c>
      <c r="AD624" s="36">
        <v>6</v>
      </c>
      <c r="AE624" s="27">
        <v>3.0612244897959183E-2</v>
      </c>
      <c r="AF624" s="27">
        <f t="shared" si="56"/>
        <v>4.1028446389496716E-4</v>
      </c>
      <c r="AG624" s="37">
        <v>23</v>
      </c>
      <c r="AH624" s="27">
        <v>0.11734693877551021</v>
      </c>
      <c r="AI624" s="27">
        <f t="shared" si="57"/>
        <v>1.5727571115973743E-3</v>
      </c>
      <c r="AJ624" s="38">
        <v>0</v>
      </c>
      <c r="AK624" s="27">
        <v>0</v>
      </c>
      <c r="AL624" s="27">
        <f t="shared" si="58"/>
        <v>0</v>
      </c>
      <c r="AM624" s="40">
        <v>0</v>
      </c>
      <c r="AN624" s="27">
        <v>0</v>
      </c>
      <c r="AO624" s="27">
        <f t="shared" si="59"/>
        <v>0</v>
      </c>
      <c r="AP624" s="7" t="b">
        <v>1</v>
      </c>
      <c r="AQ624" s="6" t="b">
        <v>0</v>
      </c>
      <c r="AR624" s="6" t="b">
        <v>0</v>
      </c>
      <c r="AS624" s="6" t="b">
        <v>0</v>
      </c>
      <c r="AT624" s="6" t="b">
        <v>0</v>
      </c>
      <c r="AU624" s="6" t="b">
        <v>0</v>
      </c>
      <c r="AV624" s="6" t="b">
        <v>0</v>
      </c>
      <c r="AW624" s="6" t="b">
        <v>0</v>
      </c>
      <c r="AX624" s="7" t="b">
        <v>1</v>
      </c>
      <c r="AY624" s="6" t="b">
        <v>0</v>
      </c>
      <c r="AZ624" s="6" t="b">
        <v>0</v>
      </c>
      <c r="BA624" s="6" t="b">
        <v>0</v>
      </c>
      <c r="BB624" s="6" t="b">
        <v>0</v>
      </c>
    </row>
    <row r="625" spans="1:54" ht="15" x14ac:dyDescent="0.25">
      <c r="A625" s="3" t="s">
        <v>1307</v>
      </c>
      <c r="B625" s="3" t="str">
        <f ca="1">IFERROR(__xludf.DUMMYFUNCTION("SPLIT(A625,""/"")"),"Meituan-Dianping")</f>
        <v>Meituan-Dianping</v>
      </c>
      <c r="C625" s="3" t="str">
        <f ca="1">IFERROR(__xludf.DUMMYFUNCTION("""COMPUTED_VALUE"""),"lyrebird")</f>
        <v>lyrebird</v>
      </c>
      <c r="D625" s="4" t="s">
        <v>1308</v>
      </c>
      <c r="E625" s="5">
        <v>43293.368738425925</v>
      </c>
      <c r="F625" s="5">
        <v>44294.470659722225</v>
      </c>
      <c r="G625" s="13">
        <f t="shared" si="54"/>
        <v>1001.1019212963001</v>
      </c>
      <c r="H625" s="6" t="b">
        <v>0</v>
      </c>
      <c r="I625" s="7" t="b">
        <v>1</v>
      </c>
      <c r="J625" s="8">
        <v>678</v>
      </c>
      <c r="K625" s="8">
        <v>37</v>
      </c>
      <c r="L625" s="8">
        <v>143</v>
      </c>
      <c r="M625" s="8">
        <v>132</v>
      </c>
      <c r="N625" s="8">
        <v>0</v>
      </c>
      <c r="O625" s="8">
        <v>13</v>
      </c>
      <c r="P625" s="8">
        <v>358</v>
      </c>
      <c r="Q625" s="8">
        <v>3</v>
      </c>
      <c r="R625" s="8">
        <v>123</v>
      </c>
      <c r="S625" s="8">
        <v>38</v>
      </c>
      <c r="T625" s="3" t="s">
        <v>72</v>
      </c>
      <c r="U625" s="10">
        <v>4933</v>
      </c>
      <c r="V625" s="32">
        <v>68</v>
      </c>
      <c r="W625" s="27">
        <v>1.3784715183458342E-2</v>
      </c>
      <c r="X625" s="34">
        <v>15</v>
      </c>
      <c r="Y625" s="27">
        <v>0.22058823529411764</v>
      </c>
      <c r="Z625" s="27">
        <v>3.040745996351105E-3</v>
      </c>
      <c r="AA625" s="35">
        <v>9</v>
      </c>
      <c r="AB625" s="27">
        <v>0.13235294117647059</v>
      </c>
      <c r="AC625" s="27">
        <f t="shared" si="55"/>
        <v>1.8244475978106628E-3</v>
      </c>
      <c r="AD625" s="36">
        <v>20</v>
      </c>
      <c r="AE625" s="27">
        <v>0.29411764705882354</v>
      </c>
      <c r="AF625" s="27">
        <f t="shared" si="56"/>
        <v>4.0543279951348061E-3</v>
      </c>
      <c r="AG625" s="37">
        <v>23</v>
      </c>
      <c r="AH625" s="27">
        <v>0.33823529411764708</v>
      </c>
      <c r="AI625" s="27">
        <f t="shared" si="57"/>
        <v>4.6624771944050276E-3</v>
      </c>
      <c r="AJ625" s="38">
        <v>0</v>
      </c>
      <c r="AK625" s="27">
        <v>0</v>
      </c>
      <c r="AL625" s="27">
        <f t="shared" si="58"/>
        <v>0</v>
      </c>
      <c r="AM625" s="40">
        <v>1</v>
      </c>
      <c r="AN625" s="27">
        <v>1.4705882352941176E-2</v>
      </c>
      <c r="AO625" s="27">
        <f t="shared" si="59"/>
        <v>2.0271639975674033E-4</v>
      </c>
      <c r="AP625" s="7" t="b">
        <v>1</v>
      </c>
      <c r="AQ625" s="6" t="b">
        <v>0</v>
      </c>
      <c r="AR625" s="6" t="b">
        <v>0</v>
      </c>
      <c r="AS625" s="6" t="b">
        <v>0</v>
      </c>
      <c r="AT625" s="7" t="b">
        <v>1</v>
      </c>
      <c r="AU625" s="6" t="b">
        <v>0</v>
      </c>
      <c r="AV625" s="6" t="b">
        <v>0</v>
      </c>
      <c r="AW625" s="6" t="b">
        <v>0</v>
      </c>
      <c r="AX625" s="6" t="b">
        <v>0</v>
      </c>
      <c r="AY625" s="6" t="b">
        <v>0</v>
      </c>
      <c r="AZ625" s="6" t="b">
        <v>0</v>
      </c>
      <c r="BA625" s="6" t="b">
        <v>0</v>
      </c>
      <c r="BB625" s="6" t="b">
        <v>0</v>
      </c>
    </row>
    <row r="626" spans="1:54" ht="15" x14ac:dyDescent="0.25">
      <c r="A626" s="3" t="s">
        <v>1309</v>
      </c>
      <c r="B626" s="3" t="str">
        <f ca="1">IFERROR(__xludf.DUMMYFUNCTION("SPLIT(A626,""/"")"),"Melissa-AI")</f>
        <v>Melissa-AI</v>
      </c>
      <c r="C626" s="3" t="str">
        <f ca="1">IFERROR(__xludf.DUMMYFUNCTION("""COMPUTED_VALUE"""),"Melissa-Core")</f>
        <v>Melissa-Core</v>
      </c>
      <c r="D626" s="4" t="s">
        <v>1310</v>
      </c>
      <c r="E626" s="5">
        <v>42338.137557870374</v>
      </c>
      <c r="F626" s="5">
        <v>44292.728819444441</v>
      </c>
      <c r="G626" s="13">
        <f t="shared" si="54"/>
        <v>1954.5912615740672</v>
      </c>
      <c r="H626" s="6" t="b">
        <v>0</v>
      </c>
      <c r="I626" s="7" t="b">
        <v>1</v>
      </c>
      <c r="J626" s="8">
        <v>458</v>
      </c>
      <c r="K626" s="8">
        <v>78</v>
      </c>
      <c r="L626" s="8">
        <v>196</v>
      </c>
      <c r="M626" s="8">
        <v>0</v>
      </c>
      <c r="N626" s="8">
        <v>3</v>
      </c>
      <c r="O626" s="8">
        <v>20</v>
      </c>
      <c r="P626" s="8">
        <v>115</v>
      </c>
      <c r="Q626" s="8">
        <v>4</v>
      </c>
      <c r="R626" s="8">
        <v>104</v>
      </c>
      <c r="S626" s="8">
        <v>7</v>
      </c>
      <c r="T626" s="3" t="s">
        <v>72</v>
      </c>
      <c r="U626" s="10">
        <v>2756</v>
      </c>
      <c r="V626" s="32">
        <v>6</v>
      </c>
      <c r="W626" s="27">
        <v>2.1770682148040637E-3</v>
      </c>
      <c r="X626" s="34">
        <v>4</v>
      </c>
      <c r="Y626" s="27">
        <v>0.66666666666666663</v>
      </c>
      <c r="Z626" s="27">
        <v>1.4513788098693759E-3</v>
      </c>
      <c r="AA626" s="35">
        <v>1</v>
      </c>
      <c r="AB626" s="27">
        <v>0.16666666666666666</v>
      </c>
      <c r="AC626" s="27">
        <f t="shared" si="55"/>
        <v>3.6284470246734398E-4</v>
      </c>
      <c r="AD626" s="36">
        <v>1</v>
      </c>
      <c r="AE626" s="27">
        <v>0.16666666666666666</v>
      </c>
      <c r="AF626" s="27">
        <f t="shared" si="56"/>
        <v>3.6284470246734398E-4</v>
      </c>
      <c r="AG626" s="37">
        <v>0</v>
      </c>
      <c r="AH626" s="27">
        <v>0</v>
      </c>
      <c r="AI626" s="27">
        <f t="shared" si="57"/>
        <v>0</v>
      </c>
      <c r="AJ626" s="38">
        <v>0</v>
      </c>
      <c r="AK626" s="27">
        <v>0</v>
      </c>
      <c r="AL626" s="27">
        <f t="shared" si="58"/>
        <v>0</v>
      </c>
      <c r="AM626" s="40">
        <v>0</v>
      </c>
      <c r="AN626" s="27">
        <v>0</v>
      </c>
      <c r="AO626" s="27">
        <f t="shared" si="59"/>
        <v>0</v>
      </c>
      <c r="AP626" s="7" t="b">
        <v>1</v>
      </c>
      <c r="AQ626" s="6" t="b">
        <v>0</v>
      </c>
      <c r="AR626" s="6" t="b">
        <v>0</v>
      </c>
      <c r="AS626" s="6" t="b">
        <v>0</v>
      </c>
      <c r="AT626" s="7" t="b">
        <v>1</v>
      </c>
      <c r="AU626" s="6" t="b">
        <v>0</v>
      </c>
      <c r="AV626" s="6" t="b">
        <v>0</v>
      </c>
      <c r="AW626" s="6" t="b">
        <v>0</v>
      </c>
      <c r="AX626" s="6" t="b">
        <v>0</v>
      </c>
      <c r="AY626" s="6" t="b">
        <v>0</v>
      </c>
      <c r="AZ626" s="6" t="b">
        <v>0</v>
      </c>
      <c r="BA626" s="6" t="b">
        <v>0</v>
      </c>
      <c r="BB626" s="6" t="b">
        <v>0</v>
      </c>
    </row>
    <row r="627" spans="1:54" ht="15" x14ac:dyDescent="0.25">
      <c r="A627" s="3" t="s">
        <v>1311</v>
      </c>
      <c r="B627" s="3" t="str">
        <f ca="1">IFERROR(__xludf.DUMMYFUNCTION("SPLIT(A627,""/"")"),"mengskysama")</f>
        <v>mengskysama</v>
      </c>
      <c r="C627" s="3" t="str">
        <f ca="1">IFERROR(__xludf.DUMMYFUNCTION("""COMPUTED_VALUE"""),"shadowsocks-rm")</f>
        <v>shadowsocks-rm</v>
      </c>
      <c r="D627" s="4" t="s">
        <v>1312</v>
      </c>
      <c r="E627" s="5">
        <v>42303.086331018516</v>
      </c>
      <c r="F627" s="5">
        <v>44288.301759259259</v>
      </c>
      <c r="G627" s="13">
        <f t="shared" si="54"/>
        <v>1985.2154282407428</v>
      </c>
      <c r="H627" s="6" t="b">
        <v>0</v>
      </c>
      <c r="I627" s="6" t="b">
        <v>0</v>
      </c>
      <c r="J627" s="8">
        <v>425</v>
      </c>
      <c r="K627" s="8">
        <v>42</v>
      </c>
      <c r="L627" s="8">
        <v>274</v>
      </c>
      <c r="M627" s="8">
        <v>0</v>
      </c>
      <c r="N627" s="8">
        <v>0</v>
      </c>
      <c r="O627" s="8">
        <v>42</v>
      </c>
      <c r="P627" s="8">
        <v>18</v>
      </c>
      <c r="Q627" s="8">
        <v>3</v>
      </c>
      <c r="R627" s="8">
        <v>73</v>
      </c>
      <c r="S627" s="8">
        <v>43</v>
      </c>
      <c r="T627" s="3" t="s">
        <v>69</v>
      </c>
      <c r="U627" s="10">
        <v>3196</v>
      </c>
      <c r="V627" s="32">
        <v>115</v>
      </c>
      <c r="W627" s="27">
        <v>3.5982478097622027E-2</v>
      </c>
      <c r="X627" s="34">
        <v>24</v>
      </c>
      <c r="Y627" s="27">
        <v>0.20869565217391303</v>
      </c>
      <c r="Z627" s="27">
        <v>7.5093867334167707E-3</v>
      </c>
      <c r="AA627" s="35">
        <v>15</v>
      </c>
      <c r="AB627" s="27">
        <v>0.13043478260869565</v>
      </c>
      <c r="AC627" s="27">
        <f t="shared" si="55"/>
        <v>4.6933667083854822E-3</v>
      </c>
      <c r="AD627" s="36">
        <v>35</v>
      </c>
      <c r="AE627" s="27">
        <v>0.30434782608695654</v>
      </c>
      <c r="AF627" s="27">
        <f t="shared" si="56"/>
        <v>1.095118898623279E-2</v>
      </c>
      <c r="AG627" s="37">
        <v>35</v>
      </c>
      <c r="AH627" s="27">
        <v>0.30434782608695654</v>
      </c>
      <c r="AI627" s="27">
        <f t="shared" si="57"/>
        <v>1.095118898623279E-2</v>
      </c>
      <c r="AJ627" s="38">
        <v>0</v>
      </c>
      <c r="AK627" s="27">
        <v>0</v>
      </c>
      <c r="AL627" s="27">
        <f t="shared" si="58"/>
        <v>0</v>
      </c>
      <c r="AM627" s="40">
        <v>2</v>
      </c>
      <c r="AN627" s="27">
        <v>1.7391304347826087E-2</v>
      </c>
      <c r="AO627" s="27">
        <f t="shared" si="59"/>
        <v>6.2578222778473093E-4</v>
      </c>
      <c r="AP627" s="7" t="b">
        <v>1</v>
      </c>
      <c r="AQ627" s="6" t="b">
        <v>0</v>
      </c>
      <c r="AR627" s="6" t="b">
        <v>0</v>
      </c>
      <c r="AS627" s="6" t="b">
        <v>0</v>
      </c>
      <c r="AT627" s="7" t="b">
        <v>1</v>
      </c>
      <c r="AU627" s="6" t="b">
        <v>0</v>
      </c>
      <c r="AV627" s="6" t="b">
        <v>0</v>
      </c>
      <c r="AW627" s="6" t="b">
        <v>0</v>
      </c>
      <c r="AX627" s="6" t="b">
        <v>0</v>
      </c>
      <c r="AY627" s="6" t="b">
        <v>0</v>
      </c>
      <c r="AZ627" s="6" t="b">
        <v>0</v>
      </c>
      <c r="BA627" s="6" t="b">
        <v>0</v>
      </c>
      <c r="BB627" s="6" t="b">
        <v>0</v>
      </c>
    </row>
    <row r="628" spans="1:54" ht="15" x14ac:dyDescent="0.25">
      <c r="A628" s="3" t="s">
        <v>1313</v>
      </c>
      <c r="B628" s="3" t="str">
        <f ca="1">IFERROR(__xludf.DUMMYFUNCTION("SPLIT(A628,""/"")"),"meolu")</f>
        <v>meolu</v>
      </c>
      <c r="C628" s="3" t="str">
        <f ca="1">IFERROR(__xludf.DUMMYFUNCTION("""COMPUTED_VALUE"""),"walle-web")</f>
        <v>walle-web</v>
      </c>
      <c r="D628" s="4" t="s">
        <v>1314</v>
      </c>
      <c r="E628" s="5">
        <v>42258.221342592595</v>
      </c>
      <c r="F628" s="5">
        <v>44294.590104166666</v>
      </c>
      <c r="G628" s="13">
        <f t="shared" si="54"/>
        <v>2036.368761574071</v>
      </c>
      <c r="H628" s="6" t="b">
        <v>0</v>
      </c>
      <c r="I628" s="6" t="b">
        <v>0</v>
      </c>
      <c r="J628" s="8">
        <v>10823</v>
      </c>
      <c r="K628" s="8">
        <v>533</v>
      </c>
      <c r="L628" s="8">
        <v>2576</v>
      </c>
      <c r="M628" s="8">
        <v>20</v>
      </c>
      <c r="N628" s="8">
        <v>3</v>
      </c>
      <c r="O628" s="8">
        <v>50</v>
      </c>
      <c r="P628" s="8">
        <v>227</v>
      </c>
      <c r="Q628" s="8">
        <v>8</v>
      </c>
      <c r="R628" s="8">
        <v>939</v>
      </c>
      <c r="S628" s="8">
        <v>365</v>
      </c>
      <c r="T628" s="3" t="s">
        <v>69</v>
      </c>
      <c r="U628" s="10">
        <v>4597</v>
      </c>
      <c r="V628" s="32">
        <v>71</v>
      </c>
      <c r="W628" s="27">
        <v>1.5444855340439417E-2</v>
      </c>
      <c r="X628" s="34">
        <v>0</v>
      </c>
      <c r="Y628" s="27">
        <v>0</v>
      </c>
      <c r="Z628" s="27">
        <v>0</v>
      </c>
      <c r="AA628" s="35">
        <v>55</v>
      </c>
      <c r="AB628" s="27">
        <v>0.77464788732394363</v>
      </c>
      <c r="AC628" s="27">
        <f t="shared" si="55"/>
        <v>1.1964324559495323E-2</v>
      </c>
      <c r="AD628" s="36">
        <v>0</v>
      </c>
      <c r="AE628" s="27">
        <v>0</v>
      </c>
      <c r="AF628" s="27">
        <f t="shared" si="56"/>
        <v>0</v>
      </c>
      <c r="AG628" s="37">
        <v>11</v>
      </c>
      <c r="AH628" s="27">
        <v>0.15492957746478872</v>
      </c>
      <c r="AI628" s="27">
        <f t="shared" si="57"/>
        <v>2.3928649118990647E-3</v>
      </c>
      <c r="AJ628" s="38">
        <v>0</v>
      </c>
      <c r="AK628" s="27">
        <v>0</v>
      </c>
      <c r="AL628" s="27">
        <f t="shared" si="58"/>
        <v>0</v>
      </c>
      <c r="AM628" s="40">
        <v>0</v>
      </c>
      <c r="AN628" s="27">
        <v>0</v>
      </c>
      <c r="AO628" s="27">
        <f t="shared" si="59"/>
        <v>0</v>
      </c>
      <c r="AP628" s="7" t="b">
        <v>1</v>
      </c>
      <c r="AQ628" s="7" t="b">
        <v>1</v>
      </c>
      <c r="AR628" s="6" t="b">
        <v>0</v>
      </c>
      <c r="AS628" s="6" t="b">
        <v>0</v>
      </c>
      <c r="AT628" s="7" t="b">
        <v>1</v>
      </c>
      <c r="AU628" s="6" t="b">
        <v>0</v>
      </c>
      <c r="AV628" s="6" t="b">
        <v>0</v>
      </c>
      <c r="AW628" s="6" t="b">
        <v>0</v>
      </c>
      <c r="AX628" s="6" t="b">
        <v>0</v>
      </c>
      <c r="AY628" s="6" t="b">
        <v>0</v>
      </c>
      <c r="AZ628" s="6" t="b">
        <v>0</v>
      </c>
      <c r="BA628" s="6" t="b">
        <v>0</v>
      </c>
      <c r="BB628" s="6" t="b">
        <v>0</v>
      </c>
    </row>
    <row r="629" spans="1:54" ht="15" x14ac:dyDescent="0.25">
      <c r="A629" s="3" t="s">
        <v>1315</v>
      </c>
      <c r="B629" s="3" t="str">
        <f ca="1">IFERROR(__xludf.DUMMYFUNCTION("SPLIT(A629,""/"")"),"mesalock-linux")</f>
        <v>mesalock-linux</v>
      </c>
      <c r="C629" s="3" t="str">
        <f ca="1">IFERROR(__xludf.DUMMYFUNCTION("""COMPUTED_VALUE"""),"mesapy")</f>
        <v>mesapy</v>
      </c>
      <c r="D629" s="4" t="s">
        <v>1316</v>
      </c>
      <c r="E629" s="5">
        <v>43255.86478009259</v>
      </c>
      <c r="F629" s="5">
        <v>44292.285057870373</v>
      </c>
      <c r="G629" s="13">
        <f t="shared" si="54"/>
        <v>1036.4202777777828</v>
      </c>
      <c r="H629" s="6" t="b">
        <v>0</v>
      </c>
      <c r="I629" s="7" t="b">
        <v>1</v>
      </c>
      <c r="J629" s="8">
        <v>347</v>
      </c>
      <c r="K629" s="8">
        <v>8</v>
      </c>
      <c r="L629" s="8">
        <v>21</v>
      </c>
      <c r="M629" s="8">
        <v>1</v>
      </c>
      <c r="N629" s="8">
        <v>0</v>
      </c>
      <c r="O629" s="8">
        <v>2</v>
      </c>
      <c r="P629" s="8">
        <v>13</v>
      </c>
      <c r="Q629" s="8">
        <v>0</v>
      </c>
      <c r="R629" s="8">
        <v>11</v>
      </c>
      <c r="S629" s="8">
        <v>7</v>
      </c>
      <c r="T629" s="3" t="s">
        <v>92</v>
      </c>
      <c r="U629" s="10">
        <v>834003</v>
      </c>
      <c r="V629" s="32">
        <v>0</v>
      </c>
      <c r="W629" s="27">
        <v>0</v>
      </c>
      <c r="X629" s="34">
        <v>0</v>
      </c>
      <c r="Y629" s="27">
        <v>0</v>
      </c>
      <c r="Z629" s="27">
        <v>0</v>
      </c>
      <c r="AA629" s="35">
        <v>0</v>
      </c>
      <c r="AB629" s="27">
        <v>0</v>
      </c>
      <c r="AC629" s="27">
        <f t="shared" si="55"/>
        <v>0</v>
      </c>
      <c r="AD629" s="36">
        <v>0</v>
      </c>
      <c r="AE629" s="27">
        <v>0</v>
      </c>
      <c r="AF629" s="27">
        <f t="shared" si="56"/>
        <v>0</v>
      </c>
      <c r="AG629" s="37">
        <v>0</v>
      </c>
      <c r="AH629" s="27">
        <v>0</v>
      </c>
      <c r="AI629" s="27">
        <f t="shared" si="57"/>
        <v>0</v>
      </c>
      <c r="AJ629" s="38">
        <v>0</v>
      </c>
      <c r="AK629" s="27">
        <v>0</v>
      </c>
      <c r="AL629" s="27">
        <f t="shared" si="58"/>
        <v>0</v>
      </c>
      <c r="AM629" s="40">
        <v>0</v>
      </c>
      <c r="AN629" s="27">
        <v>0</v>
      </c>
      <c r="AO629" s="27">
        <f t="shared" si="59"/>
        <v>0</v>
      </c>
      <c r="AP629" s="7" t="b">
        <v>1</v>
      </c>
      <c r="AQ629" s="6" t="b">
        <v>0</v>
      </c>
      <c r="AR629" s="6" t="b">
        <v>0</v>
      </c>
      <c r="AS629" s="6" t="b">
        <v>0</v>
      </c>
      <c r="AT629" s="7" t="b">
        <v>1</v>
      </c>
      <c r="AU629" s="6" t="b">
        <v>0</v>
      </c>
      <c r="AV629" s="6" t="b">
        <v>0</v>
      </c>
      <c r="AW629" s="6" t="b">
        <v>0</v>
      </c>
      <c r="AX629" s="6" t="b">
        <v>0</v>
      </c>
      <c r="AY629" s="6" t="b">
        <v>0</v>
      </c>
      <c r="AZ629" s="6" t="b">
        <v>0</v>
      </c>
      <c r="BA629" s="6" t="b">
        <v>0</v>
      </c>
      <c r="BB629" s="6" t="b">
        <v>0</v>
      </c>
    </row>
    <row r="630" spans="1:54" ht="15" x14ac:dyDescent="0.25">
      <c r="A630" s="3" t="s">
        <v>1317</v>
      </c>
      <c r="B630" s="3" t="str">
        <f ca="1">IFERROR(__xludf.DUMMYFUNCTION("SPLIT(A630,""/"")"),"mesosphere")</f>
        <v>mesosphere</v>
      </c>
      <c r="C630" s="3" t="str">
        <f ca="1">IFERROR(__xludf.DUMMYFUNCTION("""COMPUTED_VALUE"""),"marathon-lb")</f>
        <v>marathon-lb</v>
      </c>
      <c r="D630" s="4" t="s">
        <v>1318</v>
      </c>
      <c r="E630" s="5">
        <v>42284.692037037035</v>
      </c>
      <c r="F630" s="5">
        <v>44272.302037037036</v>
      </c>
      <c r="G630" s="13">
        <f t="shared" si="54"/>
        <v>1987.6100000000006</v>
      </c>
      <c r="H630" s="6" t="b">
        <v>0</v>
      </c>
      <c r="I630" s="7" t="b">
        <v>1</v>
      </c>
      <c r="J630" s="8">
        <v>449</v>
      </c>
      <c r="K630" s="8">
        <v>147</v>
      </c>
      <c r="L630" s="8">
        <v>280</v>
      </c>
      <c r="M630" s="8">
        <v>52</v>
      </c>
      <c r="N630" s="8">
        <v>9</v>
      </c>
      <c r="O630" s="8">
        <v>78</v>
      </c>
      <c r="P630" s="8">
        <v>359</v>
      </c>
      <c r="Q630" s="8">
        <v>4</v>
      </c>
      <c r="R630" s="8">
        <v>317</v>
      </c>
      <c r="S630" s="8">
        <v>81</v>
      </c>
      <c r="T630" s="3" t="s">
        <v>69</v>
      </c>
      <c r="U630" s="10">
        <v>4445</v>
      </c>
      <c r="V630" s="32">
        <v>136</v>
      </c>
      <c r="W630" s="27">
        <v>3.0596175478065243E-2</v>
      </c>
      <c r="X630" s="34">
        <v>50</v>
      </c>
      <c r="Y630" s="27">
        <v>0.36764705882352944</v>
      </c>
      <c r="Z630" s="27">
        <v>1.1248593925759279E-2</v>
      </c>
      <c r="AA630" s="35">
        <v>44</v>
      </c>
      <c r="AB630" s="27">
        <v>0.3235294117647059</v>
      </c>
      <c r="AC630" s="27">
        <f t="shared" si="55"/>
        <v>9.8987626546681671E-3</v>
      </c>
      <c r="AD630" s="36">
        <v>15</v>
      </c>
      <c r="AE630" s="27">
        <v>0.11029411764705882</v>
      </c>
      <c r="AF630" s="27">
        <f t="shared" si="56"/>
        <v>3.3745781777277839E-3</v>
      </c>
      <c r="AG630" s="37">
        <v>27</v>
      </c>
      <c r="AH630" s="27">
        <v>0.19852941176470587</v>
      </c>
      <c r="AI630" s="27">
        <f t="shared" si="57"/>
        <v>6.0742407199100117E-3</v>
      </c>
      <c r="AJ630" s="38">
        <v>0</v>
      </c>
      <c r="AK630" s="27">
        <v>0</v>
      </c>
      <c r="AL630" s="27">
        <f t="shared" si="58"/>
        <v>0</v>
      </c>
      <c r="AM630" s="40">
        <v>0</v>
      </c>
      <c r="AN630" s="27">
        <v>0</v>
      </c>
      <c r="AO630" s="27">
        <f t="shared" si="59"/>
        <v>0</v>
      </c>
      <c r="AP630" s="7" t="b">
        <v>1</v>
      </c>
      <c r="AQ630" s="6" t="b">
        <v>0</v>
      </c>
      <c r="AR630" s="6" t="b">
        <v>0</v>
      </c>
      <c r="AS630" s="6" t="b">
        <v>0</v>
      </c>
      <c r="AT630" s="7" t="b">
        <v>1</v>
      </c>
      <c r="AU630" s="6" t="b">
        <v>0</v>
      </c>
      <c r="AV630" s="6" t="b">
        <v>0</v>
      </c>
      <c r="AW630" s="6" t="b">
        <v>0</v>
      </c>
      <c r="AX630" s="6" t="b">
        <v>0</v>
      </c>
      <c r="AY630" s="6" t="b">
        <v>0</v>
      </c>
      <c r="AZ630" s="6" t="b">
        <v>0</v>
      </c>
      <c r="BA630" s="6" t="b">
        <v>0</v>
      </c>
      <c r="BB630" s="6" t="b">
        <v>0</v>
      </c>
    </row>
    <row r="631" spans="1:54" ht="15" x14ac:dyDescent="0.25">
      <c r="A631" s="3" t="s">
        <v>1319</v>
      </c>
      <c r="B631" s="3" t="str">
        <f ca="1">IFERROR(__xludf.DUMMYFUNCTION("SPLIT(A631,""/"")"),"metabrainz")</f>
        <v>metabrainz</v>
      </c>
      <c r="C631" s="3" t="str">
        <f ca="1">IFERROR(__xludf.DUMMYFUNCTION("""COMPUTED_VALUE"""),"listenbrainz-server")</f>
        <v>listenbrainz-server</v>
      </c>
      <c r="D631" s="4" t="s">
        <v>1320</v>
      </c>
      <c r="E631" s="5">
        <v>42252.52140046296</v>
      </c>
      <c r="F631" s="5">
        <v>44294.777175925927</v>
      </c>
      <c r="G631" s="13">
        <f t="shared" si="54"/>
        <v>2042.255775462967</v>
      </c>
      <c r="H631" s="6" t="b">
        <v>0</v>
      </c>
      <c r="I631" s="7" t="b">
        <v>1</v>
      </c>
      <c r="J631" s="8">
        <v>425</v>
      </c>
      <c r="K631" s="8">
        <v>31</v>
      </c>
      <c r="L631" s="8">
        <v>90</v>
      </c>
      <c r="M631" s="8">
        <v>93</v>
      </c>
      <c r="N631" s="8">
        <v>90</v>
      </c>
      <c r="O631" s="8">
        <v>57</v>
      </c>
      <c r="P631" s="8">
        <v>1381</v>
      </c>
      <c r="Q631" s="8">
        <v>25</v>
      </c>
      <c r="R631" s="8">
        <v>0</v>
      </c>
      <c r="S631" s="8">
        <v>0</v>
      </c>
      <c r="T631" s="3" t="s">
        <v>64</v>
      </c>
      <c r="U631" s="10">
        <v>24195</v>
      </c>
      <c r="V631" s="32">
        <v>450</v>
      </c>
      <c r="W631" s="27">
        <v>1.8598884066955982E-2</v>
      </c>
      <c r="X631" s="34">
        <v>63</v>
      </c>
      <c r="Y631" s="27">
        <v>0.14000000000000001</v>
      </c>
      <c r="Z631" s="27">
        <v>2.6038437693738374E-3</v>
      </c>
      <c r="AA631" s="35">
        <v>151</v>
      </c>
      <c r="AB631" s="27">
        <v>0.33555555555555555</v>
      </c>
      <c r="AC631" s="27">
        <f t="shared" si="55"/>
        <v>6.2409588758007856E-3</v>
      </c>
      <c r="AD631" s="36">
        <v>11</v>
      </c>
      <c r="AE631" s="27">
        <v>2.4444444444444446E-2</v>
      </c>
      <c r="AF631" s="27">
        <f t="shared" si="56"/>
        <v>4.5463938830336847E-4</v>
      </c>
      <c r="AG631" s="37">
        <v>177</v>
      </c>
      <c r="AH631" s="27">
        <v>0.39333333333333331</v>
      </c>
      <c r="AI631" s="27">
        <f t="shared" si="57"/>
        <v>7.3155610663360199E-3</v>
      </c>
      <c r="AJ631" s="38">
        <v>45</v>
      </c>
      <c r="AK631" s="27">
        <v>0.1</v>
      </c>
      <c r="AL631" s="27">
        <f t="shared" si="58"/>
        <v>1.8598884066955983E-3</v>
      </c>
      <c r="AM631" s="40">
        <v>0</v>
      </c>
      <c r="AN631" s="27">
        <v>0</v>
      </c>
      <c r="AO631" s="27">
        <f t="shared" si="59"/>
        <v>0</v>
      </c>
      <c r="AP631" s="7" t="b">
        <v>1</v>
      </c>
      <c r="AQ631" s="7" t="b">
        <v>1</v>
      </c>
      <c r="AR631" s="6" t="b">
        <v>0</v>
      </c>
      <c r="AS631" s="6" t="b">
        <v>0</v>
      </c>
      <c r="AT631" s="7" t="b">
        <v>1</v>
      </c>
      <c r="AU631" s="6" t="b">
        <v>0</v>
      </c>
      <c r="AV631" s="6" t="b">
        <v>0</v>
      </c>
      <c r="AW631" s="6" t="b">
        <v>0</v>
      </c>
      <c r="AX631" s="6" t="b">
        <v>0</v>
      </c>
      <c r="AY631" s="6" t="b">
        <v>0</v>
      </c>
      <c r="AZ631" s="6" t="b">
        <v>0</v>
      </c>
      <c r="BA631" s="6" t="b">
        <v>0</v>
      </c>
      <c r="BB631" s="6" t="b">
        <v>0</v>
      </c>
    </row>
    <row r="632" spans="1:54" ht="15" x14ac:dyDescent="0.25">
      <c r="A632" s="3" t="s">
        <v>1321</v>
      </c>
      <c r="B632" s="3" t="str">
        <f ca="1">IFERROR(__xludf.DUMMYFUNCTION("SPLIT(A632,""/"")"),"mhallsmoore")</f>
        <v>mhallsmoore</v>
      </c>
      <c r="C632" s="3" t="str">
        <f ca="1">IFERROR(__xludf.DUMMYFUNCTION("""COMPUTED_VALUE"""),"qstrader")</f>
        <v>qstrader</v>
      </c>
      <c r="D632" s="4" t="s">
        <v>1322</v>
      </c>
      <c r="E632" s="5">
        <v>42342.439421296294</v>
      </c>
      <c r="F632" s="5">
        <v>44295.016701388886</v>
      </c>
      <c r="G632" s="13">
        <f t="shared" si="54"/>
        <v>1952.5772800925915</v>
      </c>
      <c r="H632" s="6" t="b">
        <v>0</v>
      </c>
      <c r="I632" s="6" t="b">
        <v>0</v>
      </c>
      <c r="J632" s="8">
        <v>1731</v>
      </c>
      <c r="K632" s="8">
        <v>252</v>
      </c>
      <c r="L632" s="8">
        <v>647</v>
      </c>
      <c r="M632" s="8">
        <v>1</v>
      </c>
      <c r="N632" s="8">
        <v>6</v>
      </c>
      <c r="O632" s="8">
        <v>14</v>
      </c>
      <c r="P632" s="8">
        <v>152</v>
      </c>
      <c r="Q632" s="8">
        <v>10</v>
      </c>
      <c r="R632" s="8">
        <v>215</v>
      </c>
      <c r="S632" s="8">
        <v>88</v>
      </c>
      <c r="T632" s="3" t="s">
        <v>72</v>
      </c>
      <c r="U632" s="10">
        <v>3813</v>
      </c>
      <c r="V632" s="32">
        <v>6</v>
      </c>
      <c r="W632" s="27">
        <v>1.5735641227380016E-3</v>
      </c>
      <c r="X632" s="34">
        <v>0</v>
      </c>
      <c r="Y632" s="27">
        <v>0</v>
      </c>
      <c r="Z632" s="27">
        <v>0</v>
      </c>
      <c r="AA632" s="35">
        <v>6</v>
      </c>
      <c r="AB632" s="27">
        <v>1</v>
      </c>
      <c r="AC632" s="27">
        <f t="shared" si="55"/>
        <v>1.5735641227380016E-3</v>
      </c>
      <c r="AD632" s="36">
        <v>0</v>
      </c>
      <c r="AE632" s="27">
        <v>0</v>
      </c>
      <c r="AF632" s="27">
        <f t="shared" si="56"/>
        <v>0</v>
      </c>
      <c r="AG632" s="37">
        <v>0</v>
      </c>
      <c r="AH632" s="27">
        <v>0</v>
      </c>
      <c r="AI632" s="27">
        <f t="shared" si="57"/>
        <v>0</v>
      </c>
      <c r="AJ632" s="38">
        <v>0</v>
      </c>
      <c r="AK632" s="27">
        <v>0</v>
      </c>
      <c r="AL632" s="27">
        <f t="shared" si="58"/>
        <v>0</v>
      </c>
      <c r="AM632" s="40">
        <v>0</v>
      </c>
      <c r="AN632" s="27">
        <v>0</v>
      </c>
      <c r="AO632" s="27">
        <f t="shared" si="59"/>
        <v>0</v>
      </c>
      <c r="AP632" s="7" t="b">
        <v>1</v>
      </c>
      <c r="AQ632" s="6" t="b">
        <v>0</v>
      </c>
      <c r="AR632" s="6" t="b">
        <v>0</v>
      </c>
      <c r="AS632" s="6" t="b">
        <v>0</v>
      </c>
      <c r="AT632" s="7" t="b">
        <v>1</v>
      </c>
      <c r="AU632" s="6" t="b">
        <v>0</v>
      </c>
      <c r="AV632" s="6" t="b">
        <v>0</v>
      </c>
      <c r="AW632" s="6" t="b">
        <v>0</v>
      </c>
      <c r="AX632" s="6" t="b">
        <v>0</v>
      </c>
      <c r="AY632" s="6" t="b">
        <v>0</v>
      </c>
      <c r="AZ632" s="6" t="b">
        <v>0</v>
      </c>
      <c r="BA632" s="6" t="b">
        <v>0</v>
      </c>
      <c r="BB632" s="6" t="b">
        <v>0</v>
      </c>
    </row>
    <row r="633" spans="1:54" ht="15" x14ac:dyDescent="0.25">
      <c r="A633" s="3" t="s">
        <v>1323</v>
      </c>
      <c r="B633" s="3" t="str">
        <f ca="1">IFERROR(__xludf.DUMMYFUNCTION("SPLIT(A633,""/"")"),"mher")</f>
        <v>mher</v>
      </c>
      <c r="C633" s="3" t="str">
        <f ca="1">IFERROR(__xludf.DUMMYFUNCTION("""COMPUTED_VALUE"""),"flower")</f>
        <v>flower</v>
      </c>
      <c r="D633" s="4" t="s">
        <v>1324</v>
      </c>
      <c r="E633" s="5">
        <v>41098.566076388888</v>
      </c>
      <c r="F633" s="5">
        <v>44294.4372337963</v>
      </c>
      <c r="G633" s="13">
        <f t="shared" si="54"/>
        <v>3195.8711574074114</v>
      </c>
      <c r="H633" s="6" t="b">
        <v>0</v>
      </c>
      <c r="I633" s="6" t="b">
        <v>0</v>
      </c>
      <c r="J633" s="8">
        <v>4715</v>
      </c>
      <c r="K633" s="8">
        <v>143</v>
      </c>
      <c r="L633" s="8">
        <v>785</v>
      </c>
      <c r="M633" s="8">
        <v>0</v>
      </c>
      <c r="N633" s="8">
        <v>33</v>
      </c>
      <c r="O633" s="8">
        <v>158</v>
      </c>
      <c r="P633" s="8">
        <v>334</v>
      </c>
      <c r="Q633" s="8">
        <v>6</v>
      </c>
      <c r="R633" s="8">
        <v>755</v>
      </c>
      <c r="S633" s="8">
        <v>46</v>
      </c>
      <c r="T633" s="3" t="s">
        <v>92</v>
      </c>
      <c r="U633" s="10">
        <v>3042</v>
      </c>
      <c r="V633" s="32">
        <v>51</v>
      </c>
      <c r="W633" s="27">
        <v>1.6765285996055226E-2</v>
      </c>
      <c r="X633" s="34">
        <v>16</v>
      </c>
      <c r="Y633" s="27">
        <v>0.31372549019607843</v>
      </c>
      <c r="Z633" s="27">
        <v>5.2596975673898753E-3</v>
      </c>
      <c r="AA633" s="35">
        <v>16</v>
      </c>
      <c r="AB633" s="27">
        <v>0.31372549019607843</v>
      </c>
      <c r="AC633" s="27">
        <f t="shared" si="55"/>
        <v>5.2596975673898753E-3</v>
      </c>
      <c r="AD633" s="36">
        <v>1</v>
      </c>
      <c r="AE633" s="27">
        <v>1.9607843137254902E-2</v>
      </c>
      <c r="AF633" s="27">
        <f t="shared" si="56"/>
        <v>3.2873109796186721E-4</v>
      </c>
      <c r="AG633" s="37">
        <v>17</v>
      </c>
      <c r="AH633" s="27">
        <v>0.33333333333333331</v>
      </c>
      <c r="AI633" s="27">
        <f t="shared" si="57"/>
        <v>5.5884286653517419E-3</v>
      </c>
      <c r="AJ633" s="38">
        <v>0</v>
      </c>
      <c r="AK633" s="27">
        <v>0</v>
      </c>
      <c r="AL633" s="27">
        <f t="shared" si="58"/>
        <v>0</v>
      </c>
      <c r="AM633" s="40">
        <v>0</v>
      </c>
      <c r="AN633" s="27">
        <v>0</v>
      </c>
      <c r="AO633" s="27">
        <f t="shared" si="59"/>
        <v>0</v>
      </c>
      <c r="AP633" s="7" t="b">
        <v>1</v>
      </c>
      <c r="AQ633" s="7" t="b">
        <v>1</v>
      </c>
      <c r="AR633" s="6" t="b">
        <v>0</v>
      </c>
      <c r="AS633" s="6" t="b">
        <v>0</v>
      </c>
      <c r="AT633" s="7" t="b">
        <v>1</v>
      </c>
      <c r="AU633" s="6" t="b">
        <v>0</v>
      </c>
      <c r="AV633" s="6" t="b">
        <v>0</v>
      </c>
      <c r="AW633" s="6" t="b">
        <v>0</v>
      </c>
      <c r="AX633" s="6" t="b">
        <v>0</v>
      </c>
      <c r="AY633" s="6" t="b">
        <v>0</v>
      </c>
      <c r="AZ633" s="6" t="b">
        <v>0</v>
      </c>
      <c r="BA633" s="6" t="b">
        <v>0</v>
      </c>
      <c r="BB633" s="6" t="b">
        <v>0</v>
      </c>
    </row>
    <row r="634" spans="1:54" ht="15" x14ac:dyDescent="0.25">
      <c r="A634" s="3" t="s">
        <v>1325</v>
      </c>
      <c r="B634" s="3" t="str">
        <f ca="1">IFERROR(__xludf.DUMMYFUNCTION("SPLIT(A634,""/"")"),"mherrmann")</f>
        <v>mherrmann</v>
      </c>
      <c r="C634" s="3" t="str">
        <f ca="1">IFERROR(__xludf.DUMMYFUNCTION("""COMPUTED_VALUE"""),"fbs")</f>
        <v>fbs</v>
      </c>
      <c r="D634" s="4" t="s">
        <v>1326</v>
      </c>
      <c r="E634" s="5">
        <v>43084.380497685182</v>
      </c>
      <c r="F634" s="5">
        <v>44295.024594907409</v>
      </c>
      <c r="G634" s="13">
        <f t="shared" si="54"/>
        <v>1210.6440972222263</v>
      </c>
      <c r="H634" s="6" t="b">
        <v>0</v>
      </c>
      <c r="I634" s="6" t="b">
        <v>0</v>
      </c>
      <c r="J634" s="8">
        <v>3033</v>
      </c>
      <c r="K634" s="8">
        <v>63</v>
      </c>
      <c r="L634" s="8">
        <v>137</v>
      </c>
      <c r="M634" s="8">
        <v>88</v>
      </c>
      <c r="N634" s="8">
        <v>0</v>
      </c>
      <c r="O634" s="8">
        <v>11</v>
      </c>
      <c r="P634" s="8">
        <v>30</v>
      </c>
      <c r="Q634" s="8">
        <v>4</v>
      </c>
      <c r="R634" s="8">
        <v>202</v>
      </c>
      <c r="S634" s="8">
        <v>43</v>
      </c>
      <c r="T634" s="3" t="s">
        <v>49</v>
      </c>
      <c r="U634" s="10">
        <v>2186</v>
      </c>
      <c r="V634" s="32">
        <v>25</v>
      </c>
      <c r="W634" s="27">
        <v>1.1436413540713633E-2</v>
      </c>
      <c r="X634" s="34">
        <v>0</v>
      </c>
      <c r="Y634" s="27">
        <v>0</v>
      </c>
      <c r="Z634" s="27">
        <v>0</v>
      </c>
      <c r="AA634" s="35">
        <v>21</v>
      </c>
      <c r="AB634" s="27">
        <v>0.84</v>
      </c>
      <c r="AC634" s="27">
        <f t="shared" si="55"/>
        <v>9.6065873741994507E-3</v>
      </c>
      <c r="AD634" s="36">
        <v>1</v>
      </c>
      <c r="AE634" s="27">
        <v>0.04</v>
      </c>
      <c r="AF634" s="27">
        <f t="shared" si="56"/>
        <v>4.5745654162854531E-4</v>
      </c>
      <c r="AG634" s="37">
        <v>3</v>
      </c>
      <c r="AH634" s="27">
        <v>0.12</v>
      </c>
      <c r="AI634" s="27">
        <f t="shared" si="57"/>
        <v>1.3723696248856359E-3</v>
      </c>
      <c r="AJ634" s="38">
        <v>0</v>
      </c>
      <c r="AK634" s="27">
        <v>0</v>
      </c>
      <c r="AL634" s="27">
        <f t="shared" si="58"/>
        <v>0</v>
      </c>
      <c r="AM634" s="40">
        <v>0</v>
      </c>
      <c r="AN634" s="27">
        <v>0</v>
      </c>
      <c r="AO634" s="27">
        <f t="shared" si="59"/>
        <v>0</v>
      </c>
      <c r="AP634" s="7" t="b">
        <v>1</v>
      </c>
      <c r="AQ634" s="6" t="b">
        <v>0</v>
      </c>
      <c r="AR634" s="6" t="b">
        <v>0</v>
      </c>
      <c r="AS634" s="6" t="b">
        <v>0</v>
      </c>
      <c r="AT634" s="7" t="b">
        <v>1</v>
      </c>
      <c r="AU634" s="6" t="b">
        <v>0</v>
      </c>
      <c r="AV634" s="6" t="b">
        <v>0</v>
      </c>
      <c r="AW634" s="6" t="b">
        <v>0</v>
      </c>
      <c r="AX634" s="6" t="b">
        <v>0</v>
      </c>
      <c r="AY634" s="6" t="b">
        <v>0</v>
      </c>
      <c r="AZ634" s="6" t="b">
        <v>0</v>
      </c>
      <c r="BA634" s="6" t="b">
        <v>0</v>
      </c>
      <c r="BB634" s="6" t="b">
        <v>0</v>
      </c>
    </row>
    <row r="635" spans="1:54" ht="15" x14ac:dyDescent="0.25">
      <c r="A635" s="3" t="s">
        <v>1327</v>
      </c>
      <c r="B635" s="3" t="str">
        <f ca="1">IFERROR(__xludf.DUMMYFUNCTION("SPLIT(A635,""/"")"),"micahhausler")</f>
        <v>micahhausler</v>
      </c>
      <c r="C635" s="3" t="str">
        <f ca="1">IFERROR(__xludf.DUMMYFUNCTION("""COMPUTED_VALUE"""),"container-transform")</f>
        <v>container-transform</v>
      </c>
      <c r="D635" s="4" t="s">
        <v>1328</v>
      </c>
      <c r="E635" s="5">
        <v>41991.697453703702</v>
      </c>
      <c r="F635" s="5">
        <v>44292.863935185182</v>
      </c>
      <c r="G635" s="13">
        <f t="shared" si="54"/>
        <v>2301.1664814814794</v>
      </c>
      <c r="H635" s="6" t="b">
        <v>0</v>
      </c>
      <c r="I635" s="6" t="b">
        <v>0</v>
      </c>
      <c r="J635" s="8">
        <v>1262</v>
      </c>
      <c r="K635" s="8">
        <v>55</v>
      </c>
      <c r="L635" s="8">
        <v>122</v>
      </c>
      <c r="M635" s="8">
        <v>0</v>
      </c>
      <c r="N635" s="8">
        <v>1</v>
      </c>
      <c r="O635" s="8">
        <v>6</v>
      </c>
      <c r="P635" s="8">
        <v>53</v>
      </c>
      <c r="Q635" s="8">
        <v>8</v>
      </c>
      <c r="R635" s="8">
        <v>47</v>
      </c>
      <c r="S635" s="8">
        <v>22</v>
      </c>
      <c r="T635" s="3" t="s">
        <v>72</v>
      </c>
      <c r="U635" s="10">
        <v>1895</v>
      </c>
      <c r="V635" s="32">
        <v>0</v>
      </c>
      <c r="W635" s="27">
        <v>0</v>
      </c>
      <c r="X635" s="34">
        <v>0</v>
      </c>
      <c r="Y635" s="27">
        <v>0</v>
      </c>
      <c r="Z635" s="27">
        <v>0</v>
      </c>
      <c r="AA635" s="35">
        <v>0</v>
      </c>
      <c r="AB635" s="27">
        <v>0</v>
      </c>
      <c r="AC635" s="27">
        <f t="shared" si="55"/>
        <v>0</v>
      </c>
      <c r="AD635" s="36">
        <v>0</v>
      </c>
      <c r="AE635" s="27">
        <v>0</v>
      </c>
      <c r="AF635" s="27">
        <f t="shared" si="56"/>
        <v>0</v>
      </c>
      <c r="AG635" s="37">
        <v>0</v>
      </c>
      <c r="AH635" s="27">
        <v>0</v>
      </c>
      <c r="AI635" s="27">
        <f t="shared" si="57"/>
        <v>0</v>
      </c>
      <c r="AJ635" s="38">
        <v>0</v>
      </c>
      <c r="AK635" s="27">
        <v>0</v>
      </c>
      <c r="AL635" s="27">
        <f t="shared" si="58"/>
        <v>0</v>
      </c>
      <c r="AM635" s="40">
        <v>0</v>
      </c>
      <c r="AN635" s="27">
        <v>0</v>
      </c>
      <c r="AO635" s="27">
        <f t="shared" si="59"/>
        <v>0</v>
      </c>
      <c r="AP635" s="7" t="b">
        <v>1</v>
      </c>
      <c r="AQ635" s="7" t="b">
        <v>1</v>
      </c>
      <c r="AR635" s="6" t="b">
        <v>0</v>
      </c>
      <c r="AS635" s="6" t="b">
        <v>0</v>
      </c>
      <c r="AT635" s="7" t="b">
        <v>1</v>
      </c>
      <c r="AU635" s="6" t="b">
        <v>0</v>
      </c>
      <c r="AV635" s="6" t="b">
        <v>0</v>
      </c>
      <c r="AW635" s="6" t="b">
        <v>0</v>
      </c>
      <c r="AX635" s="6" t="b">
        <v>0</v>
      </c>
      <c r="AY635" s="6" t="b">
        <v>0</v>
      </c>
      <c r="AZ635" s="6" t="b">
        <v>0</v>
      </c>
      <c r="BA635" s="6" t="b">
        <v>0</v>
      </c>
      <c r="BB635" s="6" t="b">
        <v>0</v>
      </c>
    </row>
    <row r="636" spans="1:54" ht="15" x14ac:dyDescent="0.25">
      <c r="A636" s="3" t="s">
        <v>1329</v>
      </c>
      <c r="B636" s="3" t="str">
        <f ca="1">IFERROR(__xludf.DUMMYFUNCTION("SPLIT(A636,""/"")"),"microsoft")</f>
        <v>microsoft</v>
      </c>
      <c r="C636" s="3" t="str">
        <f ca="1">IFERROR(__xludf.DUMMYFUNCTION("""COMPUTED_VALUE"""),"botbuilder-python")</f>
        <v>botbuilder-python</v>
      </c>
      <c r="D636" s="4" t="s">
        <v>1330</v>
      </c>
      <c r="E636" s="5">
        <v>43110.96329861111</v>
      </c>
      <c r="F636" s="5">
        <v>44293.748611111114</v>
      </c>
      <c r="G636" s="13">
        <f t="shared" si="54"/>
        <v>1182.7853125000038</v>
      </c>
      <c r="H636" s="6" t="b">
        <v>0</v>
      </c>
      <c r="I636" s="7" t="b">
        <v>1</v>
      </c>
      <c r="J636" s="8">
        <v>461</v>
      </c>
      <c r="K636" s="8">
        <v>74</v>
      </c>
      <c r="L636" s="8">
        <v>175</v>
      </c>
      <c r="M636" s="8">
        <v>13</v>
      </c>
      <c r="N636" s="8">
        <v>3</v>
      </c>
      <c r="O636" s="8">
        <v>56</v>
      </c>
      <c r="P636" s="8">
        <v>619</v>
      </c>
      <c r="Q636" s="8">
        <v>9</v>
      </c>
      <c r="R636" s="8">
        <v>1004</v>
      </c>
      <c r="S636" s="8">
        <v>140</v>
      </c>
      <c r="T636" s="3" t="s">
        <v>72</v>
      </c>
      <c r="U636" s="10">
        <v>28737</v>
      </c>
      <c r="V636" s="32">
        <v>44</v>
      </c>
      <c r="W636" s="27">
        <v>1.5311271183491666E-3</v>
      </c>
      <c r="X636" s="34">
        <v>1</v>
      </c>
      <c r="Y636" s="27">
        <v>2.2727272727272728E-2</v>
      </c>
      <c r="Z636" s="27">
        <v>3.4798343598844697E-5</v>
      </c>
      <c r="AA636" s="35">
        <v>33</v>
      </c>
      <c r="AB636" s="27">
        <v>0.75</v>
      </c>
      <c r="AC636" s="27">
        <f t="shared" si="55"/>
        <v>1.1483453387618749E-3</v>
      </c>
      <c r="AD636" s="36">
        <v>6</v>
      </c>
      <c r="AE636" s="27">
        <v>0.13636363636363635</v>
      </c>
      <c r="AF636" s="27">
        <f t="shared" si="56"/>
        <v>2.0879006159306817E-4</v>
      </c>
      <c r="AG636" s="37">
        <v>4</v>
      </c>
      <c r="AH636" s="27">
        <v>9.0909090909090912E-2</v>
      </c>
      <c r="AI636" s="27">
        <f t="shared" si="57"/>
        <v>1.3919337439537879E-4</v>
      </c>
      <c r="AJ636" s="38">
        <v>0</v>
      </c>
      <c r="AK636" s="27">
        <v>0</v>
      </c>
      <c r="AL636" s="27">
        <f t="shared" si="58"/>
        <v>0</v>
      </c>
      <c r="AM636" s="40">
        <v>0</v>
      </c>
      <c r="AN636" s="27">
        <v>0</v>
      </c>
      <c r="AO636" s="27">
        <f t="shared" si="59"/>
        <v>0</v>
      </c>
      <c r="AP636" s="7" t="b">
        <v>1</v>
      </c>
      <c r="AQ636" s="7" t="b">
        <v>1</v>
      </c>
      <c r="AR636" s="6" t="b">
        <v>0</v>
      </c>
      <c r="AS636" s="6" t="b">
        <v>0</v>
      </c>
      <c r="AT636" s="7" t="b">
        <v>1</v>
      </c>
      <c r="AU636" s="6" t="b">
        <v>0</v>
      </c>
      <c r="AV636" s="6" t="b">
        <v>0</v>
      </c>
      <c r="AW636" s="6" t="b">
        <v>0</v>
      </c>
      <c r="AX636" s="6" t="b">
        <v>0</v>
      </c>
      <c r="AY636" s="6" t="b">
        <v>0</v>
      </c>
      <c r="AZ636" s="6" t="b">
        <v>0</v>
      </c>
      <c r="BA636" s="6" t="b">
        <v>0</v>
      </c>
      <c r="BB636" s="6" t="b">
        <v>0</v>
      </c>
    </row>
    <row r="637" spans="1:54" ht="15" x14ac:dyDescent="0.25">
      <c r="A637" s="3" t="s">
        <v>1331</v>
      </c>
      <c r="B637" s="3" t="str">
        <f ca="1">IFERROR(__xludf.DUMMYFUNCTION("SPLIT(A637,""/"")"),"microsoft")</f>
        <v>microsoft</v>
      </c>
      <c r="C637" s="3" t="str">
        <f ca="1">IFERROR(__xludf.DUMMYFUNCTION("""COMPUTED_VALUE"""),"DeBERTa")</f>
        <v>DeBERTa</v>
      </c>
      <c r="D637" s="4" t="s">
        <v>1332</v>
      </c>
      <c r="E637" s="5">
        <v>43990.66474537037</v>
      </c>
      <c r="F637" s="5">
        <v>44295.160555555558</v>
      </c>
      <c r="G637" s="13">
        <f t="shared" si="54"/>
        <v>304.49581018518802</v>
      </c>
      <c r="H637" s="6" t="b">
        <v>0</v>
      </c>
      <c r="I637" s="7" t="b">
        <v>1</v>
      </c>
      <c r="J637" s="8">
        <v>581</v>
      </c>
      <c r="K637" s="8">
        <v>31</v>
      </c>
      <c r="L637" s="8">
        <v>74</v>
      </c>
      <c r="M637" s="8">
        <v>1</v>
      </c>
      <c r="N637" s="8">
        <v>2</v>
      </c>
      <c r="O637" s="8">
        <v>7</v>
      </c>
      <c r="P637" s="8">
        <v>13</v>
      </c>
      <c r="Q637" s="8">
        <v>2</v>
      </c>
      <c r="R637" s="8">
        <v>36</v>
      </c>
      <c r="S637" s="8">
        <v>15</v>
      </c>
      <c r="T637" s="3" t="s">
        <v>72</v>
      </c>
      <c r="U637" s="10">
        <v>3587</v>
      </c>
      <c r="V637" s="32">
        <v>20</v>
      </c>
      <c r="W637" s="27">
        <v>5.5756899916364648E-3</v>
      </c>
      <c r="X637" s="34">
        <v>0</v>
      </c>
      <c r="Y637" s="27">
        <v>0</v>
      </c>
      <c r="Z637" s="27">
        <v>0</v>
      </c>
      <c r="AA637" s="35">
        <v>17</v>
      </c>
      <c r="AB637" s="27">
        <v>0.85</v>
      </c>
      <c r="AC637" s="27">
        <f t="shared" si="55"/>
        <v>4.7393364928909956E-3</v>
      </c>
      <c r="AD637" s="36">
        <v>2</v>
      </c>
      <c r="AE637" s="27">
        <v>0.1</v>
      </c>
      <c r="AF637" s="27">
        <f t="shared" si="56"/>
        <v>5.575689991636465E-4</v>
      </c>
      <c r="AG637" s="37">
        <v>1</v>
      </c>
      <c r="AH637" s="27">
        <v>0.05</v>
      </c>
      <c r="AI637" s="27">
        <f t="shared" si="57"/>
        <v>2.7878449958182325E-4</v>
      </c>
      <c r="AJ637" s="38">
        <v>0</v>
      </c>
      <c r="AK637" s="27">
        <v>0</v>
      </c>
      <c r="AL637" s="27">
        <f t="shared" si="58"/>
        <v>0</v>
      </c>
      <c r="AM637" s="40">
        <v>0</v>
      </c>
      <c r="AN637" s="27">
        <v>0</v>
      </c>
      <c r="AO637" s="27">
        <f t="shared" si="59"/>
        <v>0</v>
      </c>
      <c r="AP637" s="7" t="b">
        <v>1</v>
      </c>
      <c r="AQ637" s="6" t="b">
        <v>0</v>
      </c>
      <c r="AR637" s="6" t="b">
        <v>0</v>
      </c>
      <c r="AS637" s="6" t="b">
        <v>0</v>
      </c>
      <c r="AT637" s="7" t="b">
        <v>1</v>
      </c>
      <c r="AU637" s="6" t="b">
        <v>0</v>
      </c>
      <c r="AV637" s="6" t="b">
        <v>0</v>
      </c>
      <c r="AW637" s="6" t="b">
        <v>0</v>
      </c>
      <c r="AX637" s="6" t="b">
        <v>0</v>
      </c>
      <c r="AY637" s="6" t="b">
        <v>0</v>
      </c>
      <c r="AZ637" s="6" t="b">
        <v>0</v>
      </c>
      <c r="BA637" s="6" t="b">
        <v>0</v>
      </c>
      <c r="BB637" s="6" t="b">
        <v>0</v>
      </c>
    </row>
    <row r="638" spans="1:54" ht="15" x14ac:dyDescent="0.25">
      <c r="A638" s="3" t="s">
        <v>1333</v>
      </c>
      <c r="B638" s="3" t="str">
        <f ca="1">IFERROR(__xludf.DUMMYFUNCTION("SPLIT(A638,""/"")"),"microsoft")</f>
        <v>microsoft</v>
      </c>
      <c r="C638" s="3" t="str">
        <f ca="1">IFERROR(__xludf.DUMMYFUNCTION("""COMPUTED_VALUE"""),"DeepSpeed")</f>
        <v>DeepSpeed</v>
      </c>
      <c r="D638" s="4" t="s">
        <v>1334</v>
      </c>
      <c r="E638" s="5">
        <v>43853.774513888886</v>
      </c>
      <c r="F638" s="5">
        <v>44295.165543981479</v>
      </c>
      <c r="G638" s="13">
        <f t="shared" si="54"/>
        <v>441.3910300925927</v>
      </c>
      <c r="H638" s="6" t="b">
        <v>0</v>
      </c>
      <c r="I638" s="7" t="b">
        <v>1</v>
      </c>
      <c r="J638" s="8">
        <v>4620</v>
      </c>
      <c r="K638" s="8">
        <v>105</v>
      </c>
      <c r="L638" s="8">
        <v>427</v>
      </c>
      <c r="M638" s="8">
        <v>7</v>
      </c>
      <c r="N638" s="8">
        <v>8</v>
      </c>
      <c r="O638" s="8">
        <v>50</v>
      </c>
      <c r="P638" s="8">
        <v>539</v>
      </c>
      <c r="Q638" s="8">
        <v>27</v>
      </c>
      <c r="R638" s="8">
        <v>391</v>
      </c>
      <c r="S638" s="8">
        <v>172</v>
      </c>
      <c r="T638" s="3" t="s">
        <v>72</v>
      </c>
      <c r="U638" s="10">
        <v>19342</v>
      </c>
      <c r="V638" s="32">
        <v>165</v>
      </c>
      <c r="W638" s="27">
        <v>8.5306586702512659E-3</v>
      </c>
      <c r="X638" s="34">
        <v>0</v>
      </c>
      <c r="Y638" s="27">
        <v>0</v>
      </c>
      <c r="Z638" s="27">
        <v>0</v>
      </c>
      <c r="AA638" s="35">
        <v>121</v>
      </c>
      <c r="AB638" s="27">
        <v>0.73333333333333328</v>
      </c>
      <c r="AC638" s="27">
        <f t="shared" si="55"/>
        <v>6.2558163581842626E-3</v>
      </c>
      <c r="AD638" s="36">
        <v>29</v>
      </c>
      <c r="AE638" s="27">
        <v>0.17575757575757575</v>
      </c>
      <c r="AF638" s="27">
        <f t="shared" si="56"/>
        <v>1.4993278874987075E-3</v>
      </c>
      <c r="AG638" s="37">
        <v>3</v>
      </c>
      <c r="AH638" s="27">
        <v>1.8181818181818181E-2</v>
      </c>
      <c r="AI638" s="27">
        <f t="shared" si="57"/>
        <v>1.5510288491365939E-4</v>
      </c>
      <c r="AJ638" s="38">
        <v>0</v>
      </c>
      <c r="AK638" s="27">
        <v>0</v>
      </c>
      <c r="AL638" s="27">
        <f t="shared" si="58"/>
        <v>0</v>
      </c>
      <c r="AM638" s="40">
        <v>12</v>
      </c>
      <c r="AN638" s="27">
        <v>7.2727272727272724E-2</v>
      </c>
      <c r="AO638" s="27">
        <f t="shared" si="59"/>
        <v>6.2041153965463757E-4</v>
      </c>
      <c r="AP638" s="7" t="b">
        <v>1</v>
      </c>
      <c r="AQ638" s="6" t="b">
        <v>0</v>
      </c>
      <c r="AR638" s="6" t="b">
        <v>0</v>
      </c>
      <c r="AS638" s="6" t="b">
        <v>0</v>
      </c>
      <c r="AT638" s="7" t="b">
        <v>1</v>
      </c>
      <c r="AU638" s="6" t="b">
        <v>0</v>
      </c>
      <c r="AV638" s="6" t="b">
        <v>0</v>
      </c>
      <c r="AW638" s="6" t="b">
        <v>0</v>
      </c>
      <c r="AX638" s="6" t="b">
        <v>0</v>
      </c>
      <c r="AY638" s="6" t="b">
        <v>0</v>
      </c>
      <c r="AZ638" s="6" t="b">
        <v>0</v>
      </c>
      <c r="BA638" s="6" t="b">
        <v>0</v>
      </c>
      <c r="BB638" s="6" t="b">
        <v>0</v>
      </c>
    </row>
    <row r="639" spans="1:54" ht="15" x14ac:dyDescent="0.25">
      <c r="A639" s="3" t="s">
        <v>1335</v>
      </c>
      <c r="B639" s="3" t="str">
        <f ca="1">IFERROR(__xludf.DUMMYFUNCTION("SPLIT(A639,""/"")"),"microsoft")</f>
        <v>microsoft</v>
      </c>
      <c r="C639" s="3" t="str">
        <f ca="1">IFERROR(__xludf.DUMMYFUNCTION("""COMPUTED_VALUE"""),"fastformers")</f>
        <v>fastformers</v>
      </c>
      <c r="D639" s="4" t="s">
        <v>1336</v>
      </c>
      <c r="E639" s="5">
        <v>44071.314143518517</v>
      </c>
      <c r="F639" s="5">
        <v>44291.168564814812</v>
      </c>
      <c r="G639" s="13">
        <f t="shared" si="54"/>
        <v>219.85442129629519</v>
      </c>
      <c r="H639" s="6" t="b">
        <v>0</v>
      </c>
      <c r="I639" s="7" t="b">
        <v>1</v>
      </c>
      <c r="J639" s="8">
        <v>488</v>
      </c>
      <c r="K639" s="8">
        <v>17</v>
      </c>
      <c r="L639" s="8">
        <v>23</v>
      </c>
      <c r="M639" s="8">
        <v>1</v>
      </c>
      <c r="N639" s="8">
        <v>0</v>
      </c>
      <c r="O639" s="8">
        <v>193</v>
      </c>
      <c r="P639" s="8">
        <v>1</v>
      </c>
      <c r="Q639" s="8">
        <v>0</v>
      </c>
      <c r="R639" s="8">
        <v>12</v>
      </c>
      <c r="S639" s="8">
        <v>5</v>
      </c>
      <c r="T639" s="3" t="s">
        <v>92</v>
      </c>
      <c r="U639" s="10">
        <v>56777</v>
      </c>
      <c r="V639" s="32">
        <v>958</v>
      </c>
      <c r="W639" s="27">
        <v>1.6873029571833665E-2</v>
      </c>
      <c r="X639" s="34">
        <v>48</v>
      </c>
      <c r="Y639" s="27">
        <v>5.0104384133611693E-2</v>
      </c>
      <c r="Z639" s="27">
        <v>8.4541275516494352E-4</v>
      </c>
      <c r="AA639" s="35">
        <v>734</v>
      </c>
      <c r="AB639" s="27">
        <v>0.76617954070981209</v>
      </c>
      <c r="AC639" s="27">
        <f t="shared" si="55"/>
        <v>1.2927770047730595E-2</v>
      </c>
      <c r="AD639" s="36">
        <v>109</v>
      </c>
      <c r="AE639" s="27">
        <v>0.11377870563674322</v>
      </c>
      <c r="AF639" s="27">
        <f t="shared" si="56"/>
        <v>1.9197914648537259E-3</v>
      </c>
      <c r="AG639" s="37">
        <v>63</v>
      </c>
      <c r="AH639" s="27">
        <v>6.5762004175365346E-2</v>
      </c>
      <c r="AI639" s="27">
        <f t="shared" si="57"/>
        <v>1.1096042411539884E-3</v>
      </c>
      <c r="AJ639" s="38">
        <v>0</v>
      </c>
      <c r="AK639" s="27">
        <v>0</v>
      </c>
      <c r="AL639" s="27">
        <f t="shared" si="58"/>
        <v>0</v>
      </c>
      <c r="AM639" s="40">
        <v>3</v>
      </c>
      <c r="AN639" s="27">
        <v>3.1315240083507308E-3</v>
      </c>
      <c r="AO639" s="27">
        <f t="shared" si="59"/>
        <v>5.283829719780897E-5</v>
      </c>
      <c r="AP639" s="7" t="b">
        <v>1</v>
      </c>
      <c r="AQ639" s="6" t="b">
        <v>0</v>
      </c>
      <c r="AR639" s="6" t="b">
        <v>0</v>
      </c>
      <c r="AS639" s="6" t="b">
        <v>0</v>
      </c>
      <c r="AT639" s="7" t="b">
        <v>1</v>
      </c>
      <c r="AU639" s="6" t="b">
        <v>0</v>
      </c>
      <c r="AV639" s="6" t="b">
        <v>0</v>
      </c>
      <c r="AW639" s="6" t="b">
        <v>0</v>
      </c>
      <c r="AX639" s="6" t="b">
        <v>0</v>
      </c>
      <c r="AY639" s="6" t="b">
        <v>0</v>
      </c>
      <c r="AZ639" s="6" t="b">
        <v>0</v>
      </c>
      <c r="BA639" s="6" t="b">
        <v>0</v>
      </c>
      <c r="BB639" s="6" t="b">
        <v>0</v>
      </c>
    </row>
    <row r="640" spans="1:54" ht="15" x14ac:dyDescent="0.25">
      <c r="A640" s="3" t="s">
        <v>1337</v>
      </c>
      <c r="B640" s="3" t="str">
        <f ca="1">IFERROR(__xludf.DUMMYFUNCTION("SPLIT(A640,""/"")"),"microsoft")</f>
        <v>microsoft</v>
      </c>
      <c r="C640" s="3" t="str">
        <f ca="1">IFERROR(__xludf.DUMMYFUNCTION("""COMPUTED_VALUE"""),"maro")</f>
        <v>maro</v>
      </c>
      <c r="D640" s="4" t="s">
        <v>1338</v>
      </c>
      <c r="E640" s="5">
        <v>43826.283645833333</v>
      </c>
      <c r="F640" s="5">
        <v>44294.096400462964</v>
      </c>
      <c r="G640" s="13">
        <f t="shared" si="54"/>
        <v>467.81275462963094</v>
      </c>
      <c r="H640" s="6" t="b">
        <v>0</v>
      </c>
      <c r="I640" s="7" t="b">
        <v>1</v>
      </c>
      <c r="J640" s="8">
        <v>385</v>
      </c>
      <c r="K640" s="8">
        <v>20</v>
      </c>
      <c r="L640" s="8">
        <v>61</v>
      </c>
      <c r="M640" s="8">
        <v>7</v>
      </c>
      <c r="N640" s="8">
        <v>1</v>
      </c>
      <c r="O640" s="8">
        <v>20</v>
      </c>
      <c r="P640" s="8">
        <v>287</v>
      </c>
      <c r="Q640" s="8">
        <v>9</v>
      </c>
      <c r="R640" s="8">
        <v>31</v>
      </c>
      <c r="S640" s="8">
        <v>5</v>
      </c>
      <c r="T640" s="3" t="s">
        <v>72</v>
      </c>
      <c r="U640" s="10">
        <v>20475</v>
      </c>
      <c r="V640" s="32">
        <v>195</v>
      </c>
      <c r="W640" s="27">
        <v>9.5238095238095247E-3</v>
      </c>
      <c r="X640" s="34">
        <v>37</v>
      </c>
      <c r="Y640" s="27">
        <v>0.18974358974358974</v>
      </c>
      <c r="Z640" s="27">
        <v>1.8070818070818071E-3</v>
      </c>
      <c r="AA640" s="35">
        <v>93</v>
      </c>
      <c r="AB640" s="27">
        <v>0.47692307692307695</v>
      </c>
      <c r="AC640" s="27">
        <f t="shared" si="55"/>
        <v>4.5421245421245421E-3</v>
      </c>
      <c r="AD640" s="36">
        <v>45</v>
      </c>
      <c r="AE640" s="27">
        <v>0.23076923076923078</v>
      </c>
      <c r="AF640" s="27">
        <f t="shared" si="56"/>
        <v>2.1978021978021978E-3</v>
      </c>
      <c r="AG640" s="37">
        <v>18</v>
      </c>
      <c r="AH640" s="27">
        <v>9.2307692307692313E-2</v>
      </c>
      <c r="AI640" s="27">
        <f t="shared" si="57"/>
        <v>8.7912087912087912E-4</v>
      </c>
      <c r="AJ640" s="38">
        <v>2</v>
      </c>
      <c r="AK640" s="27">
        <v>1.0256410256410256E-2</v>
      </c>
      <c r="AL640" s="27">
        <f t="shared" si="58"/>
        <v>9.768009768009768E-5</v>
      </c>
      <c r="AM640" s="40">
        <v>0</v>
      </c>
      <c r="AN640" s="27">
        <v>0</v>
      </c>
      <c r="AO640" s="27">
        <f t="shared" si="59"/>
        <v>0</v>
      </c>
      <c r="AP640" s="7" t="b">
        <v>1</v>
      </c>
      <c r="AQ640" s="7" t="b">
        <v>1</v>
      </c>
      <c r="AR640" s="6" t="b">
        <v>0</v>
      </c>
      <c r="AS640" s="6" t="b">
        <v>0</v>
      </c>
      <c r="AT640" s="7" t="b">
        <v>1</v>
      </c>
      <c r="AU640" s="6" t="b">
        <v>0</v>
      </c>
      <c r="AV640" s="6" t="b">
        <v>0</v>
      </c>
      <c r="AW640" s="6" t="b">
        <v>0</v>
      </c>
      <c r="AX640" s="6" t="b">
        <v>0</v>
      </c>
      <c r="AY640" s="6" t="b">
        <v>0</v>
      </c>
      <c r="AZ640" s="6" t="b">
        <v>0</v>
      </c>
      <c r="BA640" s="6" t="b">
        <v>0</v>
      </c>
      <c r="BB640" s="6" t="b">
        <v>0</v>
      </c>
    </row>
    <row r="641" spans="1:54" ht="15" x14ac:dyDescent="0.25">
      <c r="A641" s="3" t="s">
        <v>1339</v>
      </c>
      <c r="B641" s="3" t="str">
        <f ca="1">IFERROR(__xludf.DUMMYFUNCTION("SPLIT(A641,""/"")"),"microsoft")</f>
        <v>microsoft</v>
      </c>
      <c r="C641" s="3" t="str">
        <f ca="1">IFERROR(__xludf.DUMMYFUNCTION("""COMPUTED_VALUE"""),"nlp-recipes")</f>
        <v>nlp-recipes</v>
      </c>
      <c r="D641" s="4" t="s">
        <v>1340</v>
      </c>
      <c r="E641" s="5">
        <v>43560.737974537034</v>
      </c>
      <c r="F641" s="5">
        <v>44294.644675925927</v>
      </c>
      <c r="G641" s="13">
        <f t="shared" si="54"/>
        <v>733.90670138889254</v>
      </c>
      <c r="H641" s="6" t="b">
        <v>0</v>
      </c>
      <c r="I641" s="7" t="b">
        <v>1</v>
      </c>
      <c r="J641" s="8">
        <v>5457</v>
      </c>
      <c r="K641" s="8">
        <v>186</v>
      </c>
      <c r="L641" s="8">
        <v>762</v>
      </c>
      <c r="M641" s="8">
        <v>5</v>
      </c>
      <c r="N641" s="8">
        <v>2</v>
      </c>
      <c r="O641" s="8">
        <v>38</v>
      </c>
      <c r="P641" s="8">
        <v>417</v>
      </c>
      <c r="Q641" s="8">
        <v>2</v>
      </c>
      <c r="R641" s="8">
        <v>200</v>
      </c>
      <c r="S641" s="8">
        <v>54</v>
      </c>
      <c r="T641" s="3" t="s">
        <v>72</v>
      </c>
      <c r="U641" s="10">
        <v>12077</v>
      </c>
      <c r="V641" s="32">
        <v>203</v>
      </c>
      <c r="W641" s="27">
        <v>1.6808810134967295E-2</v>
      </c>
      <c r="X641" s="34">
        <v>30</v>
      </c>
      <c r="Y641" s="27">
        <v>0.14778325123152711</v>
      </c>
      <c r="Z641" s="27">
        <v>2.4840606110789103E-3</v>
      </c>
      <c r="AA641" s="35">
        <v>143</v>
      </c>
      <c r="AB641" s="27">
        <v>0.70443349753694584</v>
      </c>
      <c r="AC641" s="27">
        <f t="shared" si="55"/>
        <v>1.1840688912809472E-2</v>
      </c>
      <c r="AD641" s="36">
        <v>18</v>
      </c>
      <c r="AE641" s="27">
        <v>8.8669950738916259E-2</v>
      </c>
      <c r="AF641" s="27">
        <f t="shared" si="56"/>
        <v>1.4904363666473461E-3</v>
      </c>
      <c r="AG641" s="37">
        <v>8</v>
      </c>
      <c r="AH641" s="27">
        <v>3.9408866995073892E-2</v>
      </c>
      <c r="AI641" s="27">
        <f t="shared" si="57"/>
        <v>6.624161629543761E-4</v>
      </c>
      <c r="AJ641" s="38">
        <v>0</v>
      </c>
      <c r="AK641" s="27">
        <v>0</v>
      </c>
      <c r="AL641" s="27">
        <f t="shared" si="58"/>
        <v>0</v>
      </c>
      <c r="AM641" s="40">
        <v>4</v>
      </c>
      <c r="AN641" s="27">
        <v>1.9704433497536946E-2</v>
      </c>
      <c r="AO641" s="27">
        <f t="shared" si="59"/>
        <v>3.3120808147718805E-4</v>
      </c>
      <c r="AP641" s="7" t="b">
        <v>1</v>
      </c>
      <c r="AQ641" s="6" t="b">
        <v>0</v>
      </c>
      <c r="AR641" s="6" t="b">
        <v>0</v>
      </c>
      <c r="AS641" s="6" t="b">
        <v>0</v>
      </c>
      <c r="AT641" s="7" t="b">
        <v>1</v>
      </c>
      <c r="AU641" s="6" t="b">
        <v>0</v>
      </c>
      <c r="AV641" s="6" t="b">
        <v>0</v>
      </c>
      <c r="AW641" s="6" t="b">
        <v>0</v>
      </c>
      <c r="AX641" s="6" t="b">
        <v>0</v>
      </c>
      <c r="AY641" s="6" t="b">
        <v>0</v>
      </c>
      <c r="AZ641" s="6" t="b">
        <v>0</v>
      </c>
      <c r="BA641" s="6" t="b">
        <v>0</v>
      </c>
      <c r="BB641" s="6" t="b">
        <v>0</v>
      </c>
    </row>
    <row r="642" spans="1:54" ht="15" x14ac:dyDescent="0.25">
      <c r="A642" s="3" t="s">
        <v>1341</v>
      </c>
      <c r="B642" s="3" t="str">
        <f ca="1">IFERROR(__xludf.DUMMYFUNCTION("SPLIT(A642,""/"")"),"microsoft")</f>
        <v>microsoft</v>
      </c>
      <c r="C642" s="3" t="str">
        <f ca="1">IFERROR(__xludf.DUMMYFUNCTION("""COMPUTED_VALUE"""),"nni")</f>
        <v>nni</v>
      </c>
      <c r="D642" s="4" t="s">
        <v>1342</v>
      </c>
      <c r="E642" s="5">
        <v>43252.244259259256</v>
      </c>
      <c r="F642" s="5">
        <v>44295.114988425928</v>
      </c>
      <c r="G642" s="13">
        <f t="shared" si="54"/>
        <v>1042.8707291666724</v>
      </c>
      <c r="H642" s="6" t="b">
        <v>0</v>
      </c>
      <c r="I642" s="7" t="b">
        <v>1</v>
      </c>
      <c r="J642" s="8">
        <v>9425</v>
      </c>
      <c r="K642" s="8">
        <v>272</v>
      </c>
      <c r="L642" s="8">
        <v>1249</v>
      </c>
      <c r="M642" s="8">
        <v>28</v>
      </c>
      <c r="N642" s="8">
        <v>4</v>
      </c>
      <c r="O642" s="8">
        <v>120</v>
      </c>
      <c r="P642" s="8">
        <v>2335</v>
      </c>
      <c r="Q642" s="8">
        <v>23</v>
      </c>
      <c r="R642" s="8">
        <v>1166</v>
      </c>
      <c r="S642" s="8">
        <v>241</v>
      </c>
      <c r="T642" s="3" t="s">
        <v>72</v>
      </c>
      <c r="U642" s="10">
        <v>55944</v>
      </c>
      <c r="V642" s="32">
        <v>907</v>
      </c>
      <c r="W642" s="27">
        <v>1.6212641212641214E-2</v>
      </c>
      <c r="X642" s="34">
        <v>343</v>
      </c>
      <c r="Y642" s="27">
        <v>0.37816979051819183</v>
      </c>
      <c r="Z642" s="27">
        <v>6.1311311311311309E-3</v>
      </c>
      <c r="AA642" s="35">
        <v>415</v>
      </c>
      <c r="AB642" s="27">
        <v>0.45755237045203967</v>
      </c>
      <c r="AC642" s="27">
        <f t="shared" si="55"/>
        <v>7.4181324181324185E-3</v>
      </c>
      <c r="AD642" s="36">
        <v>86</v>
      </c>
      <c r="AE642" s="27">
        <v>9.4818081587651593E-2</v>
      </c>
      <c r="AF642" s="27">
        <f t="shared" si="56"/>
        <v>1.5372515372515372E-3</v>
      </c>
      <c r="AG642" s="37">
        <v>46</v>
      </c>
      <c r="AH642" s="27">
        <v>5.0716648291069456E-2</v>
      </c>
      <c r="AI642" s="27">
        <f t="shared" si="57"/>
        <v>8.2225082225082229E-4</v>
      </c>
      <c r="AJ642" s="38">
        <v>3</v>
      </c>
      <c r="AK642" s="27">
        <v>3.3076074972436605E-3</v>
      </c>
      <c r="AL642" s="27">
        <f t="shared" si="58"/>
        <v>5.3625053625053626E-5</v>
      </c>
      <c r="AM642" s="40">
        <v>8</v>
      </c>
      <c r="AN642" s="27">
        <v>8.8202866593164279E-3</v>
      </c>
      <c r="AO642" s="27">
        <f t="shared" si="59"/>
        <v>1.4300014300014301E-4</v>
      </c>
      <c r="AP642" s="7" t="b">
        <v>1</v>
      </c>
      <c r="AQ642" s="6" t="b">
        <v>0</v>
      </c>
      <c r="AR642" s="6" t="b">
        <v>0</v>
      </c>
      <c r="AS642" s="6" t="b">
        <v>0</v>
      </c>
      <c r="AT642" s="7" t="b">
        <v>1</v>
      </c>
      <c r="AU642" s="6" t="b">
        <v>0</v>
      </c>
      <c r="AV642" s="6" t="b">
        <v>0</v>
      </c>
      <c r="AW642" s="6" t="b">
        <v>0</v>
      </c>
      <c r="AX642" s="6" t="b">
        <v>0</v>
      </c>
      <c r="AY642" s="6" t="b">
        <v>0</v>
      </c>
      <c r="AZ642" s="6" t="b">
        <v>0</v>
      </c>
      <c r="BA642" s="6" t="b">
        <v>0</v>
      </c>
      <c r="BB642" s="6" t="b">
        <v>0</v>
      </c>
    </row>
    <row r="643" spans="1:54" ht="15" x14ac:dyDescent="0.25">
      <c r="A643" s="3" t="s">
        <v>1343</v>
      </c>
      <c r="B643" s="3" t="str">
        <f ca="1">IFERROR(__xludf.DUMMYFUNCTION("SPLIT(A643,""/"")"),"microsoft")</f>
        <v>microsoft</v>
      </c>
      <c r="C643" s="3" t="str">
        <f ca="1">IFERROR(__xludf.DUMMYFUNCTION("""COMPUTED_VALUE"""),"presidio")</f>
        <v>presidio</v>
      </c>
      <c r="D643" s="4" t="s">
        <v>1344</v>
      </c>
      <c r="E643" s="5">
        <v>43224.464560185188</v>
      </c>
      <c r="F643" s="5">
        <v>44294.645405092589</v>
      </c>
      <c r="G643" s="13">
        <f t="shared" ref="G643:G706" si="60">F643-E643</f>
        <v>1070.1808449074015</v>
      </c>
      <c r="H643" s="6" t="b">
        <v>0</v>
      </c>
      <c r="I643" s="7" t="b">
        <v>1</v>
      </c>
      <c r="J643" s="8">
        <v>1335</v>
      </c>
      <c r="K643" s="8">
        <v>53</v>
      </c>
      <c r="L643" s="8">
        <v>192</v>
      </c>
      <c r="M643" s="8">
        <v>16</v>
      </c>
      <c r="N643" s="8">
        <v>1</v>
      </c>
      <c r="O643" s="8">
        <v>34</v>
      </c>
      <c r="P643" s="8">
        <v>500</v>
      </c>
      <c r="Q643" s="8">
        <v>7</v>
      </c>
      <c r="R643" s="8">
        <v>129</v>
      </c>
      <c r="S643" s="8">
        <v>8</v>
      </c>
      <c r="T643" s="3" t="s">
        <v>72</v>
      </c>
      <c r="U643" s="10">
        <v>4355</v>
      </c>
      <c r="V643" s="32">
        <v>55</v>
      </c>
      <c r="W643" s="27">
        <v>1.2629161882893225E-2</v>
      </c>
      <c r="X643" s="34">
        <v>19</v>
      </c>
      <c r="Y643" s="27">
        <v>0.34545454545454546</v>
      </c>
      <c r="Z643" s="27">
        <v>4.3628013777267513E-3</v>
      </c>
      <c r="AA643" s="35">
        <v>19</v>
      </c>
      <c r="AB643" s="27">
        <v>0.34545454545454546</v>
      </c>
      <c r="AC643" s="27">
        <f t="shared" ref="AC643:AC706" si="61">AA643/U643</f>
        <v>4.3628013777267513E-3</v>
      </c>
      <c r="AD643" s="36">
        <v>7</v>
      </c>
      <c r="AE643" s="27">
        <v>0.12727272727272726</v>
      </c>
      <c r="AF643" s="27">
        <f t="shared" ref="AF643:AF706" si="62">AD643/U643</f>
        <v>1.6073478760045925E-3</v>
      </c>
      <c r="AG643" s="37">
        <v>10</v>
      </c>
      <c r="AH643" s="27">
        <v>0.18181818181818182</v>
      </c>
      <c r="AI643" s="27">
        <f t="shared" ref="AI643:AI706" si="63">AG643/U643</f>
        <v>2.2962112514351321E-3</v>
      </c>
      <c r="AJ643" s="38">
        <v>0</v>
      </c>
      <c r="AK643" s="27">
        <v>0</v>
      </c>
      <c r="AL643" s="27">
        <f t="shared" ref="AL643:AL706" si="64">AJ643/U643</f>
        <v>0</v>
      </c>
      <c r="AM643" s="40">
        <v>0</v>
      </c>
      <c r="AN643" s="27">
        <v>0</v>
      </c>
      <c r="AO643" s="27">
        <f t="shared" ref="AO643:AO706" si="65">AM643/U643</f>
        <v>0</v>
      </c>
      <c r="AP643" s="7" t="b">
        <v>1</v>
      </c>
      <c r="AQ643" s="7" t="b">
        <v>1</v>
      </c>
      <c r="AR643" s="6" t="b">
        <v>0</v>
      </c>
      <c r="AS643" s="6" t="b">
        <v>0</v>
      </c>
      <c r="AT643" s="7" t="b">
        <v>1</v>
      </c>
      <c r="AU643" s="6" t="b">
        <v>0</v>
      </c>
      <c r="AV643" s="6" t="b">
        <v>0</v>
      </c>
      <c r="AW643" s="6" t="b">
        <v>0</v>
      </c>
      <c r="AX643" s="6" t="b">
        <v>0</v>
      </c>
      <c r="AY643" s="6" t="b">
        <v>0</v>
      </c>
      <c r="AZ643" s="6" t="b">
        <v>0</v>
      </c>
      <c r="BA643" s="6" t="b">
        <v>0</v>
      </c>
      <c r="BB643" s="6" t="b">
        <v>0</v>
      </c>
    </row>
    <row r="644" spans="1:54" ht="15" x14ac:dyDescent="0.25">
      <c r="A644" s="3" t="s">
        <v>1345</v>
      </c>
      <c r="B644" s="3" t="str">
        <f ca="1">IFERROR(__xludf.DUMMYFUNCTION("SPLIT(A644,""/"")"),"microsoft")</f>
        <v>microsoft</v>
      </c>
      <c r="C644" s="3" t="str">
        <f ca="1">IFERROR(__xludf.DUMMYFUNCTION("""COMPUTED_VALUE"""),"recommenders")</f>
        <v>recommenders</v>
      </c>
      <c r="D644" s="4" t="s">
        <v>1346</v>
      </c>
      <c r="E644" s="5">
        <v>43362.420914351853</v>
      </c>
      <c r="F644" s="5">
        <v>44294.677453703705</v>
      </c>
      <c r="G644" s="13">
        <f t="shared" si="60"/>
        <v>932.25653935185255</v>
      </c>
      <c r="H644" s="6" t="b">
        <v>0</v>
      </c>
      <c r="I644" s="7" t="b">
        <v>1</v>
      </c>
      <c r="J644" s="8">
        <v>9469</v>
      </c>
      <c r="K644" s="8">
        <v>243</v>
      </c>
      <c r="L644" s="8">
        <v>1621</v>
      </c>
      <c r="M644" s="8">
        <v>7</v>
      </c>
      <c r="N644" s="8">
        <v>11</v>
      </c>
      <c r="O644" s="8">
        <v>71</v>
      </c>
      <c r="P644" s="8">
        <v>810</v>
      </c>
      <c r="Q644" s="8">
        <v>6</v>
      </c>
      <c r="R644" s="8">
        <v>559</v>
      </c>
      <c r="S644" s="8">
        <v>119</v>
      </c>
      <c r="T644" s="3" t="s">
        <v>72</v>
      </c>
      <c r="U644" s="10">
        <v>14717</v>
      </c>
      <c r="V644" s="32">
        <v>205</v>
      </c>
      <c r="W644" s="27">
        <v>1.3929469321193178E-2</v>
      </c>
      <c r="X644" s="34">
        <v>94</v>
      </c>
      <c r="Y644" s="27">
        <v>0.45853658536585368</v>
      </c>
      <c r="Z644" s="27">
        <v>6.3871712984983351E-3</v>
      </c>
      <c r="AA644" s="35">
        <v>78</v>
      </c>
      <c r="AB644" s="27">
        <v>0.38048780487804879</v>
      </c>
      <c r="AC644" s="27">
        <f t="shared" si="61"/>
        <v>5.2999932051369164E-3</v>
      </c>
      <c r="AD644" s="36">
        <v>15</v>
      </c>
      <c r="AE644" s="27">
        <v>7.3170731707317069E-2</v>
      </c>
      <c r="AF644" s="27">
        <f t="shared" si="62"/>
        <v>1.0192294625263301E-3</v>
      </c>
      <c r="AG644" s="37">
        <v>9</v>
      </c>
      <c r="AH644" s="27">
        <v>4.3902439024390241E-2</v>
      </c>
      <c r="AI644" s="27">
        <f t="shared" si="63"/>
        <v>6.1153767751579802E-4</v>
      </c>
      <c r="AJ644" s="38">
        <v>0</v>
      </c>
      <c r="AK644" s="27">
        <v>0</v>
      </c>
      <c r="AL644" s="27">
        <f t="shared" si="64"/>
        <v>0</v>
      </c>
      <c r="AM644" s="40">
        <v>9</v>
      </c>
      <c r="AN644" s="27">
        <v>4.3902439024390241E-2</v>
      </c>
      <c r="AO644" s="27">
        <f t="shared" si="65"/>
        <v>6.1153767751579802E-4</v>
      </c>
      <c r="AP644" s="7" t="b">
        <v>1</v>
      </c>
      <c r="AQ644" s="6" t="b">
        <v>0</v>
      </c>
      <c r="AR644" s="6" t="b">
        <v>0</v>
      </c>
      <c r="AS644" s="6" t="b">
        <v>0</v>
      </c>
      <c r="AT644" s="7" t="b">
        <v>1</v>
      </c>
      <c r="AU644" s="6" t="b">
        <v>0</v>
      </c>
      <c r="AV644" s="6" t="b">
        <v>0</v>
      </c>
      <c r="AW644" s="6" t="b">
        <v>0</v>
      </c>
      <c r="AX644" s="6" t="b">
        <v>0</v>
      </c>
      <c r="AY644" s="6" t="b">
        <v>0</v>
      </c>
      <c r="AZ644" s="6" t="b">
        <v>0</v>
      </c>
      <c r="BA644" s="6" t="b">
        <v>0</v>
      </c>
      <c r="BB644" s="6" t="b">
        <v>0</v>
      </c>
    </row>
    <row r="645" spans="1:54" ht="15" x14ac:dyDescent="0.25">
      <c r="A645" s="3" t="s">
        <v>1347</v>
      </c>
      <c r="B645" s="3" t="str">
        <f ca="1">IFERROR(__xludf.DUMMYFUNCTION("SPLIT(A645,""/"")"),"microsoft")</f>
        <v>microsoft</v>
      </c>
      <c r="C645" s="3" t="str">
        <f ca="1">IFERROR(__xludf.DUMMYFUNCTION("""COMPUTED_VALUE"""),"restler-fuzzer")</f>
        <v>restler-fuzzer</v>
      </c>
      <c r="D645" s="4" t="s">
        <v>1348</v>
      </c>
      <c r="E645" s="5">
        <v>44036.902905092589</v>
      </c>
      <c r="F645" s="5">
        <v>44294.091689814813</v>
      </c>
      <c r="G645" s="13">
        <f t="shared" si="60"/>
        <v>257.18878472222423</v>
      </c>
      <c r="H645" s="6" t="b">
        <v>0</v>
      </c>
      <c r="I645" s="7" t="b">
        <v>1</v>
      </c>
      <c r="J645" s="8">
        <v>741</v>
      </c>
      <c r="K645" s="8">
        <v>26</v>
      </c>
      <c r="L645" s="8">
        <v>74</v>
      </c>
      <c r="M645" s="8">
        <v>0</v>
      </c>
      <c r="N645" s="8">
        <v>0</v>
      </c>
      <c r="O645" s="8">
        <v>9</v>
      </c>
      <c r="P645" s="8">
        <v>90</v>
      </c>
      <c r="Q645" s="8">
        <v>2</v>
      </c>
      <c r="R645" s="8">
        <v>94</v>
      </c>
      <c r="S645" s="8">
        <v>25</v>
      </c>
      <c r="T645" s="3" t="s">
        <v>72</v>
      </c>
      <c r="U645" s="10">
        <v>9569</v>
      </c>
      <c r="V645" s="32">
        <v>3</v>
      </c>
      <c r="W645" s="27">
        <v>3.1351238373915769E-4</v>
      </c>
      <c r="X645" s="34">
        <v>0</v>
      </c>
      <c r="Y645" s="27">
        <v>0</v>
      </c>
      <c r="Z645" s="27">
        <v>0</v>
      </c>
      <c r="AA645" s="35">
        <v>1</v>
      </c>
      <c r="AB645" s="27">
        <v>0.33333333333333331</v>
      </c>
      <c r="AC645" s="27">
        <f t="shared" si="61"/>
        <v>1.0450412791305256E-4</v>
      </c>
      <c r="AD645" s="36">
        <v>1</v>
      </c>
      <c r="AE645" s="27">
        <v>0.33333333333333331</v>
      </c>
      <c r="AF645" s="27">
        <f t="shared" si="62"/>
        <v>1.0450412791305256E-4</v>
      </c>
      <c r="AG645" s="37">
        <v>1</v>
      </c>
      <c r="AH645" s="27">
        <v>0.33333333333333331</v>
      </c>
      <c r="AI645" s="27">
        <f t="shared" si="63"/>
        <v>1.0450412791305256E-4</v>
      </c>
      <c r="AJ645" s="38">
        <v>0</v>
      </c>
      <c r="AK645" s="27">
        <v>0</v>
      </c>
      <c r="AL645" s="27">
        <f t="shared" si="64"/>
        <v>0</v>
      </c>
      <c r="AM645" s="40">
        <v>0</v>
      </c>
      <c r="AN645" s="27">
        <v>0</v>
      </c>
      <c r="AO645" s="27">
        <f t="shared" si="65"/>
        <v>0</v>
      </c>
      <c r="AP645" s="7" t="b">
        <v>1</v>
      </c>
      <c r="AQ645" s="6" t="b">
        <v>0</v>
      </c>
      <c r="AR645" s="6" t="b">
        <v>0</v>
      </c>
      <c r="AS645" s="6" t="b">
        <v>0</v>
      </c>
      <c r="AT645" s="7" t="b">
        <v>1</v>
      </c>
      <c r="AU645" s="6" t="b">
        <v>0</v>
      </c>
      <c r="AV645" s="6" t="b">
        <v>0</v>
      </c>
      <c r="AW645" s="6" t="b">
        <v>0</v>
      </c>
      <c r="AX645" s="6" t="b">
        <v>0</v>
      </c>
      <c r="AY645" s="6" t="b">
        <v>0</v>
      </c>
      <c r="AZ645" s="6" t="b">
        <v>0</v>
      </c>
      <c r="BA645" s="6" t="b">
        <v>0</v>
      </c>
      <c r="BB645" s="6" t="b">
        <v>0</v>
      </c>
    </row>
    <row r="646" spans="1:54" ht="15" x14ac:dyDescent="0.25">
      <c r="A646" s="3" t="s">
        <v>1349</v>
      </c>
      <c r="B646" s="3" t="str">
        <f ca="1">IFERROR(__xludf.DUMMYFUNCTION("SPLIT(A646,""/"")"),"microsoft")</f>
        <v>microsoft</v>
      </c>
      <c r="C646" s="3" t="str">
        <f ca="1">IFERROR(__xludf.DUMMYFUNCTION("""COMPUTED_VALUE"""),"TextWorld")</f>
        <v>TextWorld</v>
      </c>
      <c r="D646" s="4" t="s">
        <v>1350</v>
      </c>
      <c r="E646" s="5">
        <v>43277.750636574077</v>
      </c>
      <c r="F646" s="5">
        <v>44293.341412037036</v>
      </c>
      <c r="G646" s="13">
        <f t="shared" si="60"/>
        <v>1015.5907754629588</v>
      </c>
      <c r="H646" s="6" t="b">
        <v>0</v>
      </c>
      <c r="I646" s="7" t="b">
        <v>1</v>
      </c>
      <c r="J646" s="8">
        <v>901</v>
      </c>
      <c r="K646" s="8">
        <v>40</v>
      </c>
      <c r="L646" s="8">
        <v>133</v>
      </c>
      <c r="M646" s="8">
        <v>9</v>
      </c>
      <c r="N646" s="8">
        <v>1</v>
      </c>
      <c r="O646" s="8">
        <v>24</v>
      </c>
      <c r="P646" s="8">
        <v>197</v>
      </c>
      <c r="Q646" s="8">
        <v>7</v>
      </c>
      <c r="R646" s="8">
        <v>58</v>
      </c>
      <c r="S646" s="8">
        <v>10</v>
      </c>
      <c r="T646" s="3" t="s">
        <v>92</v>
      </c>
      <c r="U646" s="10">
        <v>13944</v>
      </c>
      <c r="V646" s="32">
        <v>18</v>
      </c>
      <c r="W646" s="27">
        <v>1.2908777969018934E-3</v>
      </c>
      <c r="X646" s="34">
        <v>4</v>
      </c>
      <c r="Y646" s="27">
        <v>0.22222222222222221</v>
      </c>
      <c r="Z646" s="27">
        <v>2.8686173264486515E-4</v>
      </c>
      <c r="AA646" s="35">
        <v>7</v>
      </c>
      <c r="AB646" s="27">
        <v>0.3888888888888889</v>
      </c>
      <c r="AC646" s="27">
        <f t="shared" si="61"/>
        <v>5.0200803212851401E-4</v>
      </c>
      <c r="AD646" s="36">
        <v>3</v>
      </c>
      <c r="AE646" s="27">
        <v>0.16666666666666666</v>
      </c>
      <c r="AF646" s="27">
        <f t="shared" si="62"/>
        <v>2.1514629948364889E-4</v>
      </c>
      <c r="AG646" s="37">
        <v>1</v>
      </c>
      <c r="AH646" s="27">
        <v>5.5555555555555552E-2</v>
      </c>
      <c r="AI646" s="27">
        <f t="shared" si="63"/>
        <v>7.1715433161216287E-5</v>
      </c>
      <c r="AJ646" s="38">
        <v>3</v>
      </c>
      <c r="AK646" s="27">
        <v>0.16666666666666666</v>
      </c>
      <c r="AL646" s="27">
        <f t="shared" si="64"/>
        <v>2.1514629948364889E-4</v>
      </c>
      <c r="AM646" s="40">
        <v>0</v>
      </c>
      <c r="AN646" s="27">
        <v>0</v>
      </c>
      <c r="AO646" s="27">
        <f t="shared" si="65"/>
        <v>0</v>
      </c>
      <c r="AP646" s="7" t="b">
        <v>1</v>
      </c>
      <c r="AQ646" s="6" t="b">
        <v>0</v>
      </c>
      <c r="AR646" s="6" t="b">
        <v>0</v>
      </c>
      <c r="AS646" s="6" t="b">
        <v>0</v>
      </c>
      <c r="AT646" s="7" t="b">
        <v>1</v>
      </c>
      <c r="AU646" s="6" t="b">
        <v>0</v>
      </c>
      <c r="AV646" s="6" t="b">
        <v>0</v>
      </c>
      <c r="AW646" s="6" t="b">
        <v>0</v>
      </c>
      <c r="AX646" s="6" t="b">
        <v>0</v>
      </c>
      <c r="AY646" s="6" t="b">
        <v>0</v>
      </c>
      <c r="AZ646" s="6" t="b">
        <v>0</v>
      </c>
      <c r="BA646" s="6" t="b">
        <v>0</v>
      </c>
      <c r="BB646" s="6" t="b">
        <v>0</v>
      </c>
    </row>
    <row r="647" spans="1:54" ht="15" x14ac:dyDescent="0.25">
      <c r="A647" s="3" t="s">
        <v>1351</v>
      </c>
      <c r="B647" s="3" t="str">
        <f ca="1">IFERROR(__xludf.DUMMYFUNCTION("SPLIT(A647,""/"")"),"miguelgrinberg")</f>
        <v>miguelgrinberg</v>
      </c>
      <c r="C647" s="3" t="str">
        <f ca="1">IFERROR(__xludf.DUMMYFUNCTION("""COMPUTED_VALUE"""),"flasky")</f>
        <v>flasky</v>
      </c>
      <c r="D647" s="4" t="s">
        <v>1352</v>
      </c>
      <c r="E647" s="5">
        <v>41632.234861111108</v>
      </c>
      <c r="F647" s="5">
        <v>44294.494953703703</v>
      </c>
      <c r="G647" s="13">
        <f t="shared" si="60"/>
        <v>2662.2600925925944</v>
      </c>
      <c r="H647" s="6" t="b">
        <v>0</v>
      </c>
      <c r="I647" s="6" t="b">
        <v>0</v>
      </c>
      <c r="J647" s="8">
        <v>7171</v>
      </c>
      <c r="K647" s="8">
        <v>408</v>
      </c>
      <c r="L647" s="8">
        <v>3718</v>
      </c>
      <c r="M647" s="8">
        <v>0</v>
      </c>
      <c r="N647" s="8">
        <v>133</v>
      </c>
      <c r="O647" s="9">
        <v>0</v>
      </c>
      <c r="P647" s="8">
        <v>62</v>
      </c>
      <c r="Q647" s="8">
        <v>11</v>
      </c>
      <c r="R647" s="8">
        <v>444</v>
      </c>
      <c r="S647" s="8">
        <v>1</v>
      </c>
      <c r="T647" s="3" t="s">
        <v>72</v>
      </c>
      <c r="U647" s="10">
        <v>1744</v>
      </c>
      <c r="V647" s="32">
        <v>1</v>
      </c>
      <c r="W647" s="27">
        <v>5.7339449541284407E-4</v>
      </c>
      <c r="X647" s="34">
        <v>0</v>
      </c>
      <c r="Y647" s="27">
        <v>0</v>
      </c>
      <c r="Z647" s="27">
        <v>0</v>
      </c>
      <c r="AA647" s="35">
        <v>0</v>
      </c>
      <c r="AB647" s="27">
        <v>0</v>
      </c>
      <c r="AC647" s="27">
        <f t="shared" si="61"/>
        <v>0</v>
      </c>
      <c r="AD647" s="36">
        <v>1</v>
      </c>
      <c r="AE647" s="27">
        <v>1</v>
      </c>
      <c r="AF647" s="27">
        <f t="shared" si="62"/>
        <v>5.7339449541284407E-4</v>
      </c>
      <c r="AG647" s="37">
        <v>0</v>
      </c>
      <c r="AH647" s="27">
        <v>0</v>
      </c>
      <c r="AI647" s="27">
        <f t="shared" si="63"/>
        <v>0</v>
      </c>
      <c r="AJ647" s="38">
        <v>0</v>
      </c>
      <c r="AK647" s="27">
        <v>0</v>
      </c>
      <c r="AL647" s="27">
        <f t="shared" si="64"/>
        <v>0</v>
      </c>
      <c r="AM647" s="40">
        <v>0</v>
      </c>
      <c r="AN647" s="27">
        <v>0</v>
      </c>
      <c r="AO647" s="27">
        <f t="shared" si="65"/>
        <v>0</v>
      </c>
      <c r="AP647" s="7" t="b">
        <v>1</v>
      </c>
      <c r="AQ647" s="7" t="b">
        <v>1</v>
      </c>
      <c r="AR647" s="6" t="b">
        <v>0</v>
      </c>
      <c r="AS647" s="6" t="b">
        <v>0</v>
      </c>
      <c r="AT647" s="7" t="b">
        <v>1</v>
      </c>
      <c r="AU647" s="6" t="b">
        <v>0</v>
      </c>
      <c r="AV647" s="6" t="b">
        <v>0</v>
      </c>
      <c r="AW647" s="6" t="b">
        <v>0</v>
      </c>
      <c r="AX647" s="6" t="b">
        <v>0</v>
      </c>
      <c r="AY647" s="6" t="b">
        <v>0</v>
      </c>
      <c r="AZ647" s="6" t="b">
        <v>0</v>
      </c>
      <c r="BA647" s="6" t="b">
        <v>0</v>
      </c>
      <c r="BB647" s="6" t="b">
        <v>0</v>
      </c>
    </row>
    <row r="648" spans="1:54" ht="15" x14ac:dyDescent="0.25">
      <c r="A648" s="3" t="s">
        <v>1353</v>
      </c>
      <c r="B648" s="3" t="str">
        <f ca="1">IFERROR(__xludf.DUMMYFUNCTION("SPLIT(A648,""/"")"),"miguelgrinberg")</f>
        <v>miguelgrinberg</v>
      </c>
      <c r="C648" s="3" t="str">
        <f ca="1">IFERROR(__xludf.DUMMYFUNCTION("""COMPUTED_VALUE"""),"microblog")</f>
        <v>microblog</v>
      </c>
      <c r="D648" s="4" t="s">
        <v>1354</v>
      </c>
      <c r="E648" s="5">
        <v>41260.250914351855</v>
      </c>
      <c r="F648" s="5">
        <v>44293.74145833333</v>
      </c>
      <c r="G648" s="13">
        <f t="shared" si="60"/>
        <v>3033.4905439814756</v>
      </c>
      <c r="H648" s="6" t="b">
        <v>0</v>
      </c>
      <c r="I648" s="6" t="b">
        <v>0</v>
      </c>
      <c r="J648" s="8">
        <v>3531</v>
      </c>
      <c r="K648" s="8">
        <v>180</v>
      </c>
      <c r="L648" s="8">
        <v>1238</v>
      </c>
      <c r="M648" s="8">
        <v>0</v>
      </c>
      <c r="N648" s="8">
        <v>19</v>
      </c>
      <c r="O648" s="9">
        <v>0</v>
      </c>
      <c r="P648" s="8">
        <v>35</v>
      </c>
      <c r="Q648" s="8">
        <v>3</v>
      </c>
      <c r="R648" s="8">
        <v>257</v>
      </c>
      <c r="S648" s="8">
        <v>9</v>
      </c>
      <c r="T648" s="3" t="s">
        <v>72</v>
      </c>
      <c r="U648" s="10">
        <v>1089</v>
      </c>
      <c r="V648" s="32">
        <v>3</v>
      </c>
      <c r="W648" s="27">
        <v>2.7548209366391185E-3</v>
      </c>
      <c r="X648" s="34">
        <v>0</v>
      </c>
      <c r="Y648" s="27">
        <v>0</v>
      </c>
      <c r="Z648" s="27">
        <v>0</v>
      </c>
      <c r="AA648" s="35">
        <v>2</v>
      </c>
      <c r="AB648" s="27">
        <v>0.66666666666666663</v>
      </c>
      <c r="AC648" s="27">
        <f t="shared" si="61"/>
        <v>1.8365472910927456E-3</v>
      </c>
      <c r="AD648" s="36">
        <v>0</v>
      </c>
      <c r="AE648" s="27">
        <v>0</v>
      </c>
      <c r="AF648" s="27">
        <f t="shared" si="62"/>
        <v>0</v>
      </c>
      <c r="AG648" s="37">
        <v>1</v>
      </c>
      <c r="AH648" s="27">
        <v>0.33333333333333331</v>
      </c>
      <c r="AI648" s="27">
        <f t="shared" si="63"/>
        <v>9.1827364554637281E-4</v>
      </c>
      <c r="AJ648" s="38">
        <v>0</v>
      </c>
      <c r="AK648" s="27">
        <v>0</v>
      </c>
      <c r="AL648" s="27">
        <f t="shared" si="64"/>
        <v>0</v>
      </c>
      <c r="AM648" s="40">
        <v>0</v>
      </c>
      <c r="AN648" s="27">
        <v>0</v>
      </c>
      <c r="AO648" s="27">
        <f t="shared" si="65"/>
        <v>0</v>
      </c>
      <c r="AP648" s="7" t="b">
        <v>1</v>
      </c>
      <c r="AQ648" s="6" t="b">
        <v>0</v>
      </c>
      <c r="AR648" s="6" t="b">
        <v>0</v>
      </c>
      <c r="AS648" s="6" t="b">
        <v>0</v>
      </c>
      <c r="AT648" s="7" t="b">
        <v>1</v>
      </c>
      <c r="AU648" s="6" t="b">
        <v>0</v>
      </c>
      <c r="AV648" s="6" t="b">
        <v>0</v>
      </c>
      <c r="AW648" s="6" t="b">
        <v>0</v>
      </c>
      <c r="AX648" s="6" t="b">
        <v>0</v>
      </c>
      <c r="AY648" s="6" t="b">
        <v>0</v>
      </c>
      <c r="AZ648" s="6" t="b">
        <v>0</v>
      </c>
      <c r="BA648" s="6" t="b">
        <v>0</v>
      </c>
      <c r="BB648" s="6" t="b">
        <v>0</v>
      </c>
    </row>
    <row r="649" spans="1:54" ht="15" x14ac:dyDescent="0.25">
      <c r="A649" s="3" t="s">
        <v>1355</v>
      </c>
      <c r="B649" s="3" t="str">
        <f ca="1">IFERROR(__xludf.DUMMYFUNCTION("SPLIT(A649,""/"")"),"mike-grant")</f>
        <v>mike-grant</v>
      </c>
      <c r="C649" s="3" t="str">
        <f ca="1">IFERROR(__xludf.DUMMYFUNCTION("""COMPUTED_VALUE"""),"haaska")</f>
        <v>haaska</v>
      </c>
      <c r="D649" s="4" t="s">
        <v>1356</v>
      </c>
      <c r="E649" s="5">
        <v>43090.387592592589</v>
      </c>
      <c r="F649" s="5">
        <v>44294.739155092589</v>
      </c>
      <c r="G649" s="13">
        <f t="shared" si="60"/>
        <v>1204.3515625</v>
      </c>
      <c r="H649" s="6" t="b">
        <v>0</v>
      </c>
      <c r="I649" s="6" t="b">
        <v>0</v>
      </c>
      <c r="J649" s="8">
        <v>374</v>
      </c>
      <c r="K649" s="8">
        <v>38</v>
      </c>
      <c r="L649" s="8">
        <v>94</v>
      </c>
      <c r="M649" s="8">
        <v>2</v>
      </c>
      <c r="N649" s="8">
        <v>4</v>
      </c>
      <c r="O649" s="8">
        <v>21</v>
      </c>
      <c r="P649" s="8">
        <v>59</v>
      </c>
      <c r="Q649" s="8">
        <v>2</v>
      </c>
      <c r="R649" s="8">
        <v>152</v>
      </c>
      <c r="S649" s="8">
        <v>41</v>
      </c>
      <c r="T649" s="3" t="s">
        <v>72</v>
      </c>
      <c r="U649" s="10">
        <v>90</v>
      </c>
      <c r="V649" s="32">
        <v>2</v>
      </c>
      <c r="W649" s="27">
        <v>2.2222222222222223E-2</v>
      </c>
      <c r="X649" s="34">
        <v>2</v>
      </c>
      <c r="Y649" s="27">
        <v>1</v>
      </c>
      <c r="Z649" s="27">
        <v>2.2222222222222223E-2</v>
      </c>
      <c r="AA649" s="35">
        <v>0</v>
      </c>
      <c r="AB649" s="27">
        <v>0</v>
      </c>
      <c r="AC649" s="27">
        <f t="shared" si="61"/>
        <v>0</v>
      </c>
      <c r="AD649" s="36">
        <v>0</v>
      </c>
      <c r="AE649" s="27">
        <v>0</v>
      </c>
      <c r="AF649" s="27">
        <f t="shared" si="62"/>
        <v>0</v>
      </c>
      <c r="AG649" s="37">
        <v>0</v>
      </c>
      <c r="AH649" s="27">
        <v>0</v>
      </c>
      <c r="AI649" s="27">
        <f t="shared" si="63"/>
        <v>0</v>
      </c>
      <c r="AJ649" s="38">
        <v>0</v>
      </c>
      <c r="AK649" s="27">
        <v>0</v>
      </c>
      <c r="AL649" s="27">
        <f t="shared" si="64"/>
        <v>0</v>
      </c>
      <c r="AM649" s="40">
        <v>0</v>
      </c>
      <c r="AN649" s="27">
        <v>0</v>
      </c>
      <c r="AO649" s="27">
        <f t="shared" si="65"/>
        <v>0</v>
      </c>
      <c r="AP649" s="7" t="b">
        <v>1</v>
      </c>
      <c r="AQ649" s="6" t="b">
        <v>0</v>
      </c>
      <c r="AR649" s="6" t="b">
        <v>0</v>
      </c>
      <c r="AS649" s="6" t="b">
        <v>0</v>
      </c>
      <c r="AT649" s="7" t="b">
        <v>1</v>
      </c>
      <c r="AU649" s="6" t="b">
        <v>0</v>
      </c>
      <c r="AV649" s="6" t="b">
        <v>0</v>
      </c>
      <c r="AW649" s="6" t="b">
        <v>0</v>
      </c>
      <c r="AX649" s="6" t="b">
        <v>0</v>
      </c>
      <c r="AY649" s="6" t="b">
        <v>0</v>
      </c>
      <c r="AZ649" s="6" t="b">
        <v>0</v>
      </c>
      <c r="BA649" s="6" t="b">
        <v>0</v>
      </c>
      <c r="BB649" s="6" t="b">
        <v>0</v>
      </c>
    </row>
    <row r="650" spans="1:54" ht="15" x14ac:dyDescent="0.25">
      <c r="A650" s="3" t="s">
        <v>1357</v>
      </c>
      <c r="B650" s="3" t="str">
        <f ca="1">IFERROR(__xludf.DUMMYFUNCTION("SPLIT(A650,""/"")"),"mikedh")</f>
        <v>mikedh</v>
      </c>
      <c r="C650" s="3" t="str">
        <f ca="1">IFERROR(__xludf.DUMMYFUNCTION("""COMPUTED_VALUE"""),"trimesh")</f>
        <v>trimesh</v>
      </c>
      <c r="D650" s="4" t="s">
        <v>1358</v>
      </c>
      <c r="E650" s="5">
        <v>41484.726180555554</v>
      </c>
      <c r="F650" s="5">
        <v>44294.336701388886</v>
      </c>
      <c r="G650" s="13">
        <f t="shared" si="60"/>
        <v>2809.610520833332</v>
      </c>
      <c r="H650" s="6" t="b">
        <v>0</v>
      </c>
      <c r="I650" s="6" t="b">
        <v>0</v>
      </c>
      <c r="J650" s="8">
        <v>1337</v>
      </c>
      <c r="K650" s="8">
        <v>41</v>
      </c>
      <c r="L650" s="8">
        <v>309</v>
      </c>
      <c r="M650" s="8">
        <v>316</v>
      </c>
      <c r="N650" s="8">
        <v>13</v>
      </c>
      <c r="O650" s="8">
        <v>80</v>
      </c>
      <c r="P650" s="8">
        <v>389</v>
      </c>
      <c r="Q650" s="8">
        <v>1</v>
      </c>
      <c r="R650" s="8">
        <v>823</v>
      </c>
      <c r="S650" s="8">
        <v>118</v>
      </c>
      <c r="T650" s="3" t="s">
        <v>72</v>
      </c>
      <c r="U650" s="10">
        <v>25957</v>
      </c>
      <c r="V650" s="32">
        <v>204</v>
      </c>
      <c r="W650" s="27">
        <v>7.8591516739222565E-3</v>
      </c>
      <c r="X650" s="34">
        <v>55</v>
      </c>
      <c r="Y650" s="27">
        <v>0.26960784313725489</v>
      </c>
      <c r="Z650" s="27">
        <v>2.1188889316947259E-3</v>
      </c>
      <c r="AA650" s="35">
        <v>38</v>
      </c>
      <c r="AB650" s="27">
        <v>0.18627450980392157</v>
      </c>
      <c r="AC650" s="27">
        <f t="shared" si="61"/>
        <v>1.4639596255345379E-3</v>
      </c>
      <c r="AD650" s="36">
        <v>88</v>
      </c>
      <c r="AE650" s="27">
        <v>0.43137254901960786</v>
      </c>
      <c r="AF650" s="27">
        <f t="shared" si="62"/>
        <v>3.3902222907115616E-3</v>
      </c>
      <c r="AG650" s="37">
        <v>23</v>
      </c>
      <c r="AH650" s="27">
        <v>0.11274509803921569</v>
      </c>
      <c r="AI650" s="27">
        <f t="shared" si="63"/>
        <v>8.8608082598143085E-4</v>
      </c>
      <c r="AJ650" s="38">
        <v>0</v>
      </c>
      <c r="AK650" s="27">
        <v>0</v>
      </c>
      <c r="AL650" s="27">
        <f t="shared" si="64"/>
        <v>0</v>
      </c>
      <c r="AM650" s="40">
        <v>0</v>
      </c>
      <c r="AN650" s="27">
        <v>0</v>
      </c>
      <c r="AO650" s="27">
        <f t="shared" si="65"/>
        <v>0</v>
      </c>
      <c r="AP650" s="7" t="b">
        <v>1</v>
      </c>
      <c r="AQ650" s="6" t="b">
        <v>0</v>
      </c>
      <c r="AR650" s="6" t="b">
        <v>0</v>
      </c>
      <c r="AS650" s="6" t="b">
        <v>0</v>
      </c>
      <c r="AT650" s="7" t="b">
        <v>1</v>
      </c>
      <c r="AU650" s="6" t="b">
        <v>0</v>
      </c>
      <c r="AV650" s="6" t="b">
        <v>0</v>
      </c>
      <c r="AW650" s="6" t="b">
        <v>0</v>
      </c>
      <c r="AX650" s="6" t="b">
        <v>0</v>
      </c>
      <c r="AY650" s="6" t="b">
        <v>0</v>
      </c>
      <c r="AZ650" s="6" t="b">
        <v>0</v>
      </c>
      <c r="BA650" s="6" t="b">
        <v>0</v>
      </c>
      <c r="BB650" s="6" t="b">
        <v>0</v>
      </c>
    </row>
    <row r="651" spans="1:54" ht="15" x14ac:dyDescent="0.25">
      <c r="A651" s="3" t="s">
        <v>1359</v>
      </c>
      <c r="B651" s="3" t="str">
        <f ca="1">IFERROR(__xludf.DUMMYFUNCTION("SPLIT(A651,""/"")"),"mikeyy")</f>
        <v>mikeyy</v>
      </c>
      <c r="C651" s="3" t="str">
        <f ca="1">IFERROR(__xludf.DUMMYFUNCTION("""COMPUTED_VALUE"""),"nonoCAPTCHA")</f>
        <v>nonoCAPTCHA</v>
      </c>
      <c r="D651" s="4" t="s">
        <v>1360</v>
      </c>
      <c r="E651" s="5">
        <v>43265.335682870369</v>
      </c>
      <c r="F651" s="5">
        <v>44292.100243055553</v>
      </c>
      <c r="G651" s="13">
        <f t="shared" si="60"/>
        <v>1026.7645601851837</v>
      </c>
      <c r="H651" s="6" t="b">
        <v>0</v>
      </c>
      <c r="I651" s="6" t="b">
        <v>0</v>
      </c>
      <c r="J651" s="8">
        <v>748</v>
      </c>
      <c r="K651" s="8">
        <v>39</v>
      </c>
      <c r="L651" s="8">
        <v>114</v>
      </c>
      <c r="M651" s="8">
        <v>0</v>
      </c>
      <c r="N651" s="8">
        <v>5</v>
      </c>
      <c r="O651" s="8">
        <v>6</v>
      </c>
      <c r="P651" s="8">
        <v>24</v>
      </c>
      <c r="Q651" s="8">
        <v>3</v>
      </c>
      <c r="R651" s="8">
        <v>45</v>
      </c>
      <c r="S651" s="8">
        <v>21</v>
      </c>
      <c r="T651" s="3" t="s">
        <v>49</v>
      </c>
      <c r="U651" s="10">
        <v>1262</v>
      </c>
      <c r="V651" s="32">
        <v>14</v>
      </c>
      <c r="W651" s="27">
        <v>1.1093502377179081E-2</v>
      </c>
      <c r="X651" s="34">
        <v>1</v>
      </c>
      <c r="Y651" s="27">
        <v>7.1428571428571425E-2</v>
      </c>
      <c r="Z651" s="27">
        <v>7.9239302694136295E-4</v>
      </c>
      <c r="AA651" s="35">
        <v>0</v>
      </c>
      <c r="AB651" s="27">
        <v>0</v>
      </c>
      <c r="AC651" s="27">
        <f t="shared" si="61"/>
        <v>0</v>
      </c>
      <c r="AD651" s="36">
        <v>0</v>
      </c>
      <c r="AE651" s="27">
        <v>0</v>
      </c>
      <c r="AF651" s="27">
        <f t="shared" si="62"/>
        <v>0</v>
      </c>
      <c r="AG651" s="37">
        <v>1</v>
      </c>
      <c r="AH651" s="27">
        <v>7.1428571428571425E-2</v>
      </c>
      <c r="AI651" s="27">
        <f t="shared" si="63"/>
        <v>7.9239302694136295E-4</v>
      </c>
      <c r="AJ651" s="38">
        <v>0</v>
      </c>
      <c r="AK651" s="27">
        <v>0</v>
      </c>
      <c r="AL651" s="27">
        <f t="shared" si="64"/>
        <v>0</v>
      </c>
      <c r="AM651" s="40">
        <v>12</v>
      </c>
      <c r="AN651" s="27">
        <v>0.8571428571428571</v>
      </c>
      <c r="AO651" s="27">
        <f t="shared" si="65"/>
        <v>9.5087163232963554E-3</v>
      </c>
      <c r="AP651" s="7" t="b">
        <v>1</v>
      </c>
      <c r="AQ651" s="6" t="b">
        <v>0</v>
      </c>
      <c r="AR651" s="6" t="b">
        <v>0</v>
      </c>
      <c r="AS651" s="6" t="b">
        <v>0</v>
      </c>
      <c r="AT651" s="7" t="b">
        <v>1</v>
      </c>
      <c r="AU651" s="6" t="b">
        <v>0</v>
      </c>
      <c r="AV651" s="6" t="b">
        <v>0</v>
      </c>
      <c r="AW651" s="6" t="b">
        <v>0</v>
      </c>
      <c r="AX651" s="6" t="b">
        <v>0</v>
      </c>
      <c r="AY651" s="6" t="b">
        <v>0</v>
      </c>
      <c r="AZ651" s="6" t="b">
        <v>0</v>
      </c>
      <c r="BA651" s="6" t="b">
        <v>0</v>
      </c>
      <c r="BB651" s="6" t="b">
        <v>0</v>
      </c>
    </row>
    <row r="652" spans="1:54" ht="15" x14ac:dyDescent="0.25">
      <c r="A652" s="3" t="s">
        <v>1361</v>
      </c>
      <c r="B652" s="3" t="str">
        <f ca="1">IFERROR(__xludf.DUMMYFUNCTION("SPLIT(A652,""/"")"),"mil-tokyo")</f>
        <v>mil-tokyo</v>
      </c>
      <c r="C652" s="3" t="str">
        <f ca="1">IFERROR(__xludf.DUMMYFUNCTION("""COMPUTED_VALUE"""),"webdnn")</f>
        <v>webdnn</v>
      </c>
      <c r="D652" s="4" t="s">
        <v>1362</v>
      </c>
      <c r="E652" s="5">
        <v>42831.341504629629</v>
      </c>
      <c r="F652" s="5">
        <v>44293.415196759262</v>
      </c>
      <c r="G652" s="13">
        <f t="shared" si="60"/>
        <v>1462.0736921296339</v>
      </c>
      <c r="H652" s="6" t="b">
        <v>0</v>
      </c>
      <c r="I652" s="7" t="b">
        <v>1</v>
      </c>
      <c r="J652" s="8">
        <v>1808</v>
      </c>
      <c r="K652" s="8">
        <v>61</v>
      </c>
      <c r="L652" s="8">
        <v>142</v>
      </c>
      <c r="M652" s="8">
        <v>9</v>
      </c>
      <c r="N652" s="8">
        <v>6</v>
      </c>
      <c r="O652" s="8">
        <v>13</v>
      </c>
      <c r="P652" s="8">
        <v>558</v>
      </c>
      <c r="Q652" s="8">
        <v>11</v>
      </c>
      <c r="R652" s="8">
        <v>387</v>
      </c>
      <c r="S652" s="8">
        <v>66</v>
      </c>
      <c r="T652" s="3" t="s">
        <v>92</v>
      </c>
      <c r="U652" s="10">
        <v>29157</v>
      </c>
      <c r="V652" s="32">
        <v>6</v>
      </c>
      <c r="W652" s="27">
        <v>2.0578248791027883E-4</v>
      </c>
      <c r="X652" s="34">
        <v>0</v>
      </c>
      <c r="Y652" s="27">
        <v>0</v>
      </c>
      <c r="Z652" s="27">
        <v>0</v>
      </c>
      <c r="AA652" s="35">
        <v>0</v>
      </c>
      <c r="AB652" s="27">
        <v>0</v>
      </c>
      <c r="AC652" s="27">
        <f t="shared" si="61"/>
        <v>0</v>
      </c>
      <c r="AD652" s="36">
        <v>6</v>
      </c>
      <c r="AE652" s="27">
        <v>1</v>
      </c>
      <c r="AF652" s="27">
        <f t="shared" si="62"/>
        <v>2.0578248791027883E-4</v>
      </c>
      <c r="AG652" s="37">
        <v>0</v>
      </c>
      <c r="AH652" s="27">
        <v>0</v>
      </c>
      <c r="AI652" s="27">
        <f t="shared" si="63"/>
        <v>0</v>
      </c>
      <c r="AJ652" s="38">
        <v>0</v>
      </c>
      <c r="AK652" s="27">
        <v>0</v>
      </c>
      <c r="AL652" s="27">
        <f t="shared" si="64"/>
        <v>0</v>
      </c>
      <c r="AM652" s="40">
        <v>0</v>
      </c>
      <c r="AN652" s="27">
        <v>0</v>
      </c>
      <c r="AO652" s="27">
        <f t="shared" si="65"/>
        <v>0</v>
      </c>
      <c r="AP652" s="7" t="b">
        <v>1</v>
      </c>
      <c r="AQ652" s="6" t="b">
        <v>0</v>
      </c>
      <c r="AR652" s="6" t="b">
        <v>0</v>
      </c>
      <c r="AS652" s="6" t="b">
        <v>0</v>
      </c>
      <c r="AT652" s="7" t="b">
        <v>1</v>
      </c>
      <c r="AU652" s="6" t="b">
        <v>0</v>
      </c>
      <c r="AV652" s="6" t="b">
        <v>0</v>
      </c>
      <c r="AW652" s="6" t="b">
        <v>0</v>
      </c>
      <c r="AX652" s="6" t="b">
        <v>0</v>
      </c>
      <c r="AY652" s="6" t="b">
        <v>0</v>
      </c>
      <c r="AZ652" s="6" t="b">
        <v>0</v>
      </c>
      <c r="BA652" s="6" t="b">
        <v>0</v>
      </c>
      <c r="BB652" s="6" t="b">
        <v>0</v>
      </c>
    </row>
    <row r="653" spans="1:54" ht="15" x14ac:dyDescent="0.25">
      <c r="A653" s="3" t="s">
        <v>1363</v>
      </c>
      <c r="B653" s="3" t="str">
        <f ca="1">IFERROR(__xludf.DUMMYFUNCTION("SPLIT(A653,""/"")"),"mila-iqia")</f>
        <v>mila-iqia</v>
      </c>
      <c r="C653" s="3" t="str">
        <f ca="1">IFERROR(__xludf.DUMMYFUNCTION("""COMPUTED_VALUE"""),"babyai")</f>
        <v>babyai</v>
      </c>
      <c r="D653" s="4" t="s">
        <v>1364</v>
      </c>
      <c r="E653" s="5">
        <v>43375.748888888891</v>
      </c>
      <c r="F653" s="5">
        <v>44295.088472222225</v>
      </c>
      <c r="G653" s="13">
        <f t="shared" si="60"/>
        <v>919.3395833333343</v>
      </c>
      <c r="H653" s="6" t="b">
        <v>0</v>
      </c>
      <c r="I653" s="7" t="b">
        <v>1</v>
      </c>
      <c r="J653" s="8">
        <v>502</v>
      </c>
      <c r="K653" s="8">
        <v>36</v>
      </c>
      <c r="L653" s="8">
        <v>92</v>
      </c>
      <c r="M653" s="8">
        <v>0</v>
      </c>
      <c r="N653" s="8">
        <v>0</v>
      </c>
      <c r="O653" s="8">
        <v>11</v>
      </c>
      <c r="P653" s="8">
        <v>70</v>
      </c>
      <c r="Q653" s="8">
        <v>0</v>
      </c>
      <c r="R653" s="8">
        <v>38</v>
      </c>
      <c r="S653" s="8">
        <v>2</v>
      </c>
      <c r="T653" s="3" t="s">
        <v>57</v>
      </c>
      <c r="U653" s="10">
        <v>4748</v>
      </c>
      <c r="V653" s="32">
        <v>68</v>
      </c>
      <c r="W653" s="27">
        <v>1.4321819713563605E-2</v>
      </c>
      <c r="X653" s="34">
        <v>0</v>
      </c>
      <c r="Y653" s="27">
        <v>0</v>
      </c>
      <c r="Z653" s="27">
        <v>0</v>
      </c>
      <c r="AA653" s="35">
        <v>65</v>
      </c>
      <c r="AB653" s="27">
        <v>0.95588235294117652</v>
      </c>
      <c r="AC653" s="27">
        <f t="shared" si="61"/>
        <v>1.3689974726200505E-2</v>
      </c>
      <c r="AD653" s="36">
        <v>0</v>
      </c>
      <c r="AE653" s="27">
        <v>0</v>
      </c>
      <c r="AF653" s="27">
        <f t="shared" si="62"/>
        <v>0</v>
      </c>
      <c r="AG653" s="37">
        <v>3</v>
      </c>
      <c r="AH653" s="27">
        <v>4.4117647058823532E-2</v>
      </c>
      <c r="AI653" s="27">
        <f t="shared" si="63"/>
        <v>6.3184498736310025E-4</v>
      </c>
      <c r="AJ653" s="38">
        <v>0</v>
      </c>
      <c r="AK653" s="27">
        <v>0</v>
      </c>
      <c r="AL653" s="27">
        <f t="shared" si="64"/>
        <v>0</v>
      </c>
      <c r="AM653" s="40">
        <v>0</v>
      </c>
      <c r="AN653" s="27">
        <v>0</v>
      </c>
      <c r="AO653" s="27">
        <f t="shared" si="65"/>
        <v>0</v>
      </c>
      <c r="AP653" s="7" t="b">
        <v>1</v>
      </c>
      <c r="AQ653" s="6" t="b">
        <v>0</v>
      </c>
      <c r="AR653" s="6" t="b">
        <v>0</v>
      </c>
      <c r="AS653" s="6" t="b">
        <v>0</v>
      </c>
      <c r="AT653" s="7" t="b">
        <v>1</v>
      </c>
      <c r="AU653" s="6" t="b">
        <v>0</v>
      </c>
      <c r="AV653" s="6" t="b">
        <v>0</v>
      </c>
      <c r="AW653" s="6" t="b">
        <v>0</v>
      </c>
      <c r="AX653" s="6" t="b">
        <v>0</v>
      </c>
      <c r="AY653" s="6" t="b">
        <v>0</v>
      </c>
      <c r="AZ653" s="6" t="b">
        <v>0</v>
      </c>
      <c r="BA653" s="6" t="b">
        <v>0</v>
      </c>
      <c r="BB653" s="6" t="b">
        <v>0</v>
      </c>
    </row>
    <row r="654" spans="1:54" ht="15" x14ac:dyDescent="0.25">
      <c r="A654" s="3" t="s">
        <v>1365</v>
      </c>
      <c r="B654" s="3" t="str">
        <f ca="1">IFERROR(__xludf.DUMMYFUNCTION("SPLIT(A654,""/"")"),"milesmcc")</f>
        <v>milesmcc</v>
      </c>
      <c r="C654" s="3" t="str">
        <f ca="1">IFERROR(__xludf.DUMMYFUNCTION("""COMPUTED_VALUE"""),"shynet")</f>
        <v>shynet</v>
      </c>
      <c r="D654" s="4" t="s">
        <v>1366</v>
      </c>
      <c r="E654" s="5">
        <v>43930.744421296295</v>
      </c>
      <c r="F654" s="5">
        <v>44294.539733796293</v>
      </c>
      <c r="G654" s="13">
        <f t="shared" si="60"/>
        <v>363.79531249999854</v>
      </c>
      <c r="H654" s="6" t="b">
        <v>0</v>
      </c>
      <c r="I654" s="6" t="b">
        <v>0</v>
      </c>
      <c r="J654" s="8">
        <v>1318</v>
      </c>
      <c r="K654" s="8">
        <v>19</v>
      </c>
      <c r="L654" s="8">
        <v>57</v>
      </c>
      <c r="M654" s="8">
        <v>30</v>
      </c>
      <c r="N654" s="8">
        <v>2</v>
      </c>
      <c r="O654" s="8">
        <v>18</v>
      </c>
      <c r="P654" s="8">
        <v>27</v>
      </c>
      <c r="Q654" s="8">
        <v>2</v>
      </c>
      <c r="R654" s="8">
        <v>88</v>
      </c>
      <c r="S654" s="8">
        <v>28</v>
      </c>
      <c r="T654" s="3" t="s">
        <v>69</v>
      </c>
      <c r="U654" s="10">
        <v>1094</v>
      </c>
      <c r="V654" s="32">
        <v>9</v>
      </c>
      <c r="W654" s="27">
        <v>8.2266910420475316E-3</v>
      </c>
      <c r="X654" s="34">
        <v>6</v>
      </c>
      <c r="Y654" s="27">
        <v>0.66666666666666663</v>
      </c>
      <c r="Z654" s="27">
        <v>5.4844606946983544E-3</v>
      </c>
      <c r="AA654" s="35">
        <v>0</v>
      </c>
      <c r="AB654" s="27">
        <v>0</v>
      </c>
      <c r="AC654" s="27">
        <f t="shared" si="61"/>
        <v>0</v>
      </c>
      <c r="AD654" s="36">
        <v>1</v>
      </c>
      <c r="AE654" s="27">
        <v>0.1111111111111111</v>
      </c>
      <c r="AF654" s="27">
        <f t="shared" si="62"/>
        <v>9.1407678244972577E-4</v>
      </c>
      <c r="AG654" s="37">
        <v>0</v>
      </c>
      <c r="AH654" s="27">
        <v>0</v>
      </c>
      <c r="AI654" s="27">
        <f t="shared" si="63"/>
        <v>0</v>
      </c>
      <c r="AJ654" s="38">
        <v>0</v>
      </c>
      <c r="AK654" s="27">
        <v>0</v>
      </c>
      <c r="AL654" s="27">
        <f t="shared" si="64"/>
        <v>0</v>
      </c>
      <c r="AM654" s="40">
        <v>0</v>
      </c>
      <c r="AN654" s="27">
        <v>0</v>
      </c>
      <c r="AO654" s="27">
        <f t="shared" si="65"/>
        <v>0</v>
      </c>
      <c r="AP654" s="7" t="b">
        <v>1</v>
      </c>
      <c r="AQ654" s="7" t="b">
        <v>1</v>
      </c>
      <c r="AR654" s="6" t="b">
        <v>0</v>
      </c>
      <c r="AS654" s="6" t="b">
        <v>0</v>
      </c>
      <c r="AT654" s="7" t="b">
        <v>1</v>
      </c>
      <c r="AU654" s="6" t="b">
        <v>0</v>
      </c>
      <c r="AV654" s="6" t="b">
        <v>0</v>
      </c>
      <c r="AW654" s="6" t="b">
        <v>0</v>
      </c>
      <c r="AX654" s="6" t="b">
        <v>0</v>
      </c>
      <c r="AY654" s="6" t="b">
        <v>0</v>
      </c>
      <c r="AZ654" s="6" t="b">
        <v>0</v>
      </c>
      <c r="BA654" s="6" t="b">
        <v>0</v>
      </c>
      <c r="BB654" s="6" t="b">
        <v>0</v>
      </c>
    </row>
    <row r="655" spans="1:54" ht="15" x14ac:dyDescent="0.25">
      <c r="A655" s="3" t="s">
        <v>1367</v>
      </c>
      <c r="B655" s="3" t="str">
        <f ca="1">IFERROR(__xludf.DUMMYFUNCTION("SPLIT(A655,""/"")"),"milvus-io")</f>
        <v>milvus-io</v>
      </c>
      <c r="C655" s="3" t="str">
        <f ca="1">IFERROR(__xludf.DUMMYFUNCTION("""COMPUTED_VALUE"""),"bootcamp")</f>
        <v>bootcamp</v>
      </c>
      <c r="D655" s="4" t="s">
        <v>1368</v>
      </c>
      <c r="E655" s="5">
        <v>43686.41673611111</v>
      </c>
      <c r="F655" s="5">
        <v>44294.300729166665</v>
      </c>
      <c r="G655" s="13">
        <f t="shared" si="60"/>
        <v>607.88399305555504</v>
      </c>
      <c r="H655" s="6" t="b">
        <v>0</v>
      </c>
      <c r="I655" s="7" t="b">
        <v>1</v>
      </c>
      <c r="J655" s="8">
        <v>402</v>
      </c>
      <c r="K655" s="8">
        <v>17</v>
      </c>
      <c r="L655" s="8">
        <v>156</v>
      </c>
      <c r="M655" s="8">
        <v>0</v>
      </c>
      <c r="N655" s="8">
        <v>1</v>
      </c>
      <c r="O655" s="8">
        <v>17</v>
      </c>
      <c r="P655" s="8">
        <v>355</v>
      </c>
      <c r="Q655" s="8">
        <v>0</v>
      </c>
      <c r="R655" s="8">
        <v>68</v>
      </c>
      <c r="S655" s="8">
        <v>6</v>
      </c>
      <c r="T655" s="3" t="s">
        <v>69</v>
      </c>
      <c r="U655" s="10">
        <v>42989</v>
      </c>
      <c r="V655" s="32">
        <v>0</v>
      </c>
      <c r="W655" s="27">
        <v>0</v>
      </c>
      <c r="X655" s="34">
        <v>0</v>
      </c>
      <c r="Y655" s="27">
        <v>0</v>
      </c>
      <c r="Z655" s="27">
        <v>0</v>
      </c>
      <c r="AA655" s="35">
        <v>0</v>
      </c>
      <c r="AB655" s="27">
        <v>0</v>
      </c>
      <c r="AC655" s="27">
        <f t="shared" si="61"/>
        <v>0</v>
      </c>
      <c r="AD655" s="36">
        <v>0</v>
      </c>
      <c r="AE655" s="27">
        <v>0</v>
      </c>
      <c r="AF655" s="27">
        <f t="shared" si="62"/>
        <v>0</v>
      </c>
      <c r="AG655" s="37">
        <v>0</v>
      </c>
      <c r="AH655" s="27">
        <v>0</v>
      </c>
      <c r="AI655" s="27">
        <f t="shared" si="63"/>
        <v>0</v>
      </c>
      <c r="AJ655" s="38">
        <v>0</v>
      </c>
      <c r="AK655" s="27">
        <v>0</v>
      </c>
      <c r="AL655" s="27">
        <f t="shared" si="64"/>
        <v>0</v>
      </c>
      <c r="AM655" s="40">
        <v>0</v>
      </c>
      <c r="AN655" s="27">
        <v>0</v>
      </c>
      <c r="AO655" s="27">
        <f t="shared" si="65"/>
        <v>0</v>
      </c>
      <c r="AP655" s="7" t="b">
        <v>1</v>
      </c>
      <c r="AQ655" s="6" t="b">
        <v>0</v>
      </c>
      <c r="AR655" s="6" t="b">
        <v>0</v>
      </c>
      <c r="AS655" s="6" t="b">
        <v>0</v>
      </c>
      <c r="AT655" s="7" t="b">
        <v>1</v>
      </c>
      <c r="AU655" s="6" t="b">
        <v>0</v>
      </c>
      <c r="AV655" s="6" t="b">
        <v>0</v>
      </c>
      <c r="AW655" s="6" t="b">
        <v>0</v>
      </c>
      <c r="AX655" s="6" t="b">
        <v>0</v>
      </c>
      <c r="AY655" s="6" t="b">
        <v>0</v>
      </c>
      <c r="AZ655" s="6" t="b">
        <v>0</v>
      </c>
      <c r="BA655" s="6" t="b">
        <v>0</v>
      </c>
      <c r="BB655" s="6" t="b">
        <v>0</v>
      </c>
    </row>
    <row r="656" spans="1:54" ht="15" x14ac:dyDescent="0.25">
      <c r="A656" s="3" t="s">
        <v>1369</v>
      </c>
      <c r="B656" s="3" t="str">
        <f ca="1">IFERROR(__xludf.DUMMYFUNCTION("SPLIT(A656,""/"")"),"minimaxir")</f>
        <v>minimaxir</v>
      </c>
      <c r="C656" s="3" t="str">
        <f ca="1">IFERROR(__xludf.DUMMYFUNCTION("""COMPUTED_VALUE"""),"aitextgen")</f>
        <v>aitextgen</v>
      </c>
      <c r="D656" s="4" t="s">
        <v>1370</v>
      </c>
      <c r="E656" s="5">
        <v>43828.214050925926</v>
      </c>
      <c r="F656" s="5">
        <v>44293.835520833331</v>
      </c>
      <c r="G656" s="13">
        <f t="shared" si="60"/>
        <v>465.62146990740439</v>
      </c>
      <c r="H656" s="6" t="b">
        <v>0</v>
      </c>
      <c r="I656" s="6" t="b">
        <v>0</v>
      </c>
      <c r="J656" s="8">
        <v>1042</v>
      </c>
      <c r="K656" s="8">
        <v>29</v>
      </c>
      <c r="L656" s="8">
        <v>83</v>
      </c>
      <c r="M656" s="8">
        <v>9</v>
      </c>
      <c r="N656" s="8">
        <v>0</v>
      </c>
      <c r="O656" s="8">
        <v>5</v>
      </c>
      <c r="P656" s="8">
        <v>10</v>
      </c>
      <c r="Q656" s="8">
        <v>1</v>
      </c>
      <c r="R656" s="8">
        <v>102</v>
      </c>
      <c r="S656" s="8">
        <v>65</v>
      </c>
      <c r="T656" s="3" t="s">
        <v>72</v>
      </c>
      <c r="U656" s="10">
        <v>759</v>
      </c>
      <c r="V656" s="32">
        <v>23</v>
      </c>
      <c r="W656" s="27">
        <v>3.0303030303030304E-2</v>
      </c>
      <c r="X656" s="34">
        <v>0</v>
      </c>
      <c r="Y656" s="27">
        <v>0</v>
      </c>
      <c r="Z656" s="27">
        <v>0</v>
      </c>
      <c r="AA656" s="35">
        <v>20</v>
      </c>
      <c r="AB656" s="27">
        <v>0.86956521739130432</v>
      </c>
      <c r="AC656" s="27">
        <f t="shared" si="61"/>
        <v>2.6350461133069828E-2</v>
      </c>
      <c r="AD656" s="36">
        <v>3</v>
      </c>
      <c r="AE656" s="27">
        <v>0.13043478260869565</v>
      </c>
      <c r="AF656" s="27">
        <f t="shared" si="62"/>
        <v>3.952569169960474E-3</v>
      </c>
      <c r="AG656" s="37">
        <v>0</v>
      </c>
      <c r="AH656" s="27">
        <v>0</v>
      </c>
      <c r="AI656" s="27">
        <f t="shared" si="63"/>
        <v>0</v>
      </c>
      <c r="AJ656" s="38">
        <v>0</v>
      </c>
      <c r="AK656" s="27">
        <v>0</v>
      </c>
      <c r="AL656" s="27">
        <f t="shared" si="64"/>
        <v>0</v>
      </c>
      <c r="AM656" s="40">
        <v>0</v>
      </c>
      <c r="AN656" s="27">
        <v>0</v>
      </c>
      <c r="AO656" s="27">
        <f t="shared" si="65"/>
        <v>0</v>
      </c>
      <c r="AP656" s="7" t="b">
        <v>1</v>
      </c>
      <c r="AQ656" s="6" t="b">
        <v>0</v>
      </c>
      <c r="AR656" s="6" t="b">
        <v>0</v>
      </c>
      <c r="AS656" s="6" t="b">
        <v>0</v>
      </c>
      <c r="AT656" s="7" t="b">
        <v>1</v>
      </c>
      <c r="AU656" s="6" t="b">
        <v>0</v>
      </c>
      <c r="AV656" s="6" t="b">
        <v>0</v>
      </c>
      <c r="AW656" s="6" t="b">
        <v>0</v>
      </c>
      <c r="AX656" s="6" t="b">
        <v>0</v>
      </c>
      <c r="AY656" s="6" t="b">
        <v>0</v>
      </c>
      <c r="AZ656" s="6" t="b">
        <v>0</v>
      </c>
      <c r="BA656" s="6" t="b">
        <v>0</v>
      </c>
      <c r="BB656" s="6" t="b">
        <v>0</v>
      </c>
    </row>
    <row r="657" spans="1:54" ht="15" x14ac:dyDescent="0.25">
      <c r="A657" s="3" t="s">
        <v>1371</v>
      </c>
      <c r="B657" s="3" t="str">
        <f ca="1">IFERROR(__xludf.DUMMYFUNCTION("SPLIT(A657,""/"")"),"minimaxir")</f>
        <v>minimaxir</v>
      </c>
      <c r="C657" s="3" t="str">
        <f ca="1">IFERROR(__xludf.DUMMYFUNCTION("""COMPUTED_VALUE"""),"person-blocker")</f>
        <v>person-blocker</v>
      </c>
      <c r="D657" s="4" t="s">
        <v>1372</v>
      </c>
      <c r="E657" s="5">
        <v>43185.590821759259</v>
      </c>
      <c r="F657" s="5">
        <v>44292.020902777775</v>
      </c>
      <c r="G657" s="13">
        <f t="shared" si="60"/>
        <v>1106.4300810185159</v>
      </c>
      <c r="H657" s="6" t="b">
        <v>0</v>
      </c>
      <c r="I657" s="6" t="b">
        <v>0</v>
      </c>
      <c r="J657" s="8">
        <v>2014</v>
      </c>
      <c r="K657" s="8">
        <v>68</v>
      </c>
      <c r="L657" s="8">
        <v>204</v>
      </c>
      <c r="M657" s="8">
        <v>0</v>
      </c>
      <c r="N657" s="8">
        <v>0</v>
      </c>
      <c r="O657" s="8">
        <v>4</v>
      </c>
      <c r="P657" s="8">
        <v>8</v>
      </c>
      <c r="Q657" s="8">
        <v>4</v>
      </c>
      <c r="R657" s="8">
        <v>8</v>
      </c>
      <c r="S657" s="8">
        <v>8</v>
      </c>
      <c r="T657" s="3" t="s">
        <v>92</v>
      </c>
      <c r="U657" s="10">
        <v>2241</v>
      </c>
      <c r="V657" s="32">
        <v>1</v>
      </c>
      <c r="W657" s="27">
        <v>4.4622936189201248E-4</v>
      </c>
      <c r="X657" s="34">
        <v>0</v>
      </c>
      <c r="Y657" s="27">
        <v>0</v>
      </c>
      <c r="Z657" s="27">
        <v>0</v>
      </c>
      <c r="AA657" s="35">
        <v>0</v>
      </c>
      <c r="AB657" s="27">
        <v>0</v>
      </c>
      <c r="AC657" s="27">
        <f t="shared" si="61"/>
        <v>0</v>
      </c>
      <c r="AD657" s="36">
        <v>0</v>
      </c>
      <c r="AE657" s="27">
        <v>0</v>
      </c>
      <c r="AF657" s="27">
        <f t="shared" si="62"/>
        <v>0</v>
      </c>
      <c r="AG657" s="37">
        <v>1</v>
      </c>
      <c r="AH657" s="27">
        <v>1</v>
      </c>
      <c r="AI657" s="27">
        <f t="shared" si="63"/>
        <v>4.4622936189201248E-4</v>
      </c>
      <c r="AJ657" s="38">
        <v>0</v>
      </c>
      <c r="AK657" s="27">
        <v>0</v>
      </c>
      <c r="AL657" s="27">
        <f t="shared" si="64"/>
        <v>0</v>
      </c>
      <c r="AM657" s="40">
        <v>0</v>
      </c>
      <c r="AN657" s="27">
        <v>0</v>
      </c>
      <c r="AO657" s="27">
        <f t="shared" si="65"/>
        <v>0</v>
      </c>
      <c r="AP657" s="7" t="b">
        <v>1</v>
      </c>
      <c r="AQ657" s="6" t="b">
        <v>0</v>
      </c>
      <c r="AR657" s="6" t="b">
        <v>0</v>
      </c>
      <c r="AS657" s="6" t="b">
        <v>0</v>
      </c>
      <c r="AT657" s="7" t="b">
        <v>1</v>
      </c>
      <c r="AU657" s="6" t="b">
        <v>0</v>
      </c>
      <c r="AV657" s="6" t="b">
        <v>0</v>
      </c>
      <c r="AW657" s="6" t="b">
        <v>0</v>
      </c>
      <c r="AX657" s="6" t="b">
        <v>0</v>
      </c>
      <c r="AY657" s="6" t="b">
        <v>0</v>
      </c>
      <c r="AZ657" s="6" t="b">
        <v>0</v>
      </c>
      <c r="BA657" s="6" t="b">
        <v>0</v>
      </c>
      <c r="BB657" s="6" t="b">
        <v>0</v>
      </c>
    </row>
    <row r="658" spans="1:54" ht="15" x14ac:dyDescent="0.25">
      <c r="A658" s="3" t="s">
        <v>1373</v>
      </c>
      <c r="B658" s="3" t="str">
        <f ca="1">IFERROR(__xludf.DUMMYFUNCTION("SPLIT(A658,""/"")"),"mirumee")</f>
        <v>mirumee</v>
      </c>
      <c r="C658" s="3" t="str">
        <f ca="1">IFERROR(__xludf.DUMMYFUNCTION("""COMPUTED_VALUE"""),"saleor")</f>
        <v>saleor</v>
      </c>
      <c r="D658" s="4" t="s">
        <v>1374</v>
      </c>
      <c r="E658" s="5">
        <v>41317.699062500003</v>
      </c>
      <c r="F658" s="5">
        <v>44295.136446759258</v>
      </c>
      <c r="G658" s="13">
        <f t="shared" si="60"/>
        <v>2977.437384259254</v>
      </c>
      <c r="H658" s="6" t="b">
        <v>0</v>
      </c>
      <c r="I658" s="7" t="b">
        <v>1</v>
      </c>
      <c r="J658" s="8">
        <v>10812</v>
      </c>
      <c r="K658" s="8">
        <v>365</v>
      </c>
      <c r="L658" s="8">
        <v>3522</v>
      </c>
      <c r="M658" s="8">
        <v>70</v>
      </c>
      <c r="N658" s="8">
        <v>73</v>
      </c>
      <c r="O658" s="8">
        <v>169</v>
      </c>
      <c r="P658" s="8">
        <v>3985</v>
      </c>
      <c r="Q658" s="8">
        <v>24</v>
      </c>
      <c r="R658" s="8">
        <v>2924</v>
      </c>
      <c r="S658" s="8">
        <v>180</v>
      </c>
      <c r="T658" s="3" t="s">
        <v>92</v>
      </c>
      <c r="U658" s="10">
        <v>85315</v>
      </c>
      <c r="V658" s="32">
        <v>44</v>
      </c>
      <c r="W658" s="27">
        <v>5.1573580261384281E-4</v>
      </c>
      <c r="X658" s="34">
        <v>3</v>
      </c>
      <c r="Y658" s="27">
        <v>6.8181818181818177E-2</v>
      </c>
      <c r="Z658" s="27">
        <v>3.5163804723671104E-5</v>
      </c>
      <c r="AA658" s="35">
        <v>4</v>
      </c>
      <c r="AB658" s="27">
        <v>9.0909090909090912E-2</v>
      </c>
      <c r="AC658" s="27">
        <f t="shared" si="61"/>
        <v>4.6885072964894803E-5</v>
      </c>
      <c r="AD658" s="36">
        <v>21</v>
      </c>
      <c r="AE658" s="27">
        <v>0.47727272727272729</v>
      </c>
      <c r="AF658" s="27">
        <f t="shared" si="62"/>
        <v>2.4614663306569772E-4</v>
      </c>
      <c r="AG658" s="37">
        <v>16</v>
      </c>
      <c r="AH658" s="27">
        <v>0.36363636363636365</v>
      </c>
      <c r="AI658" s="27">
        <f t="shared" si="63"/>
        <v>1.8754029185957921E-4</v>
      </c>
      <c r="AJ658" s="38">
        <v>0</v>
      </c>
      <c r="AK658" s="27">
        <v>0</v>
      </c>
      <c r="AL658" s="27">
        <f t="shared" si="64"/>
        <v>0</v>
      </c>
      <c r="AM658" s="40">
        <v>0</v>
      </c>
      <c r="AN658" s="27">
        <v>0</v>
      </c>
      <c r="AO658" s="27">
        <f t="shared" si="65"/>
        <v>0</v>
      </c>
      <c r="AP658" s="7" t="b">
        <v>1</v>
      </c>
      <c r="AQ658" s="6" t="b">
        <v>0</v>
      </c>
      <c r="AR658" s="6" t="b">
        <v>0</v>
      </c>
      <c r="AS658" s="6" t="b">
        <v>0</v>
      </c>
      <c r="AT658" s="7" t="b">
        <v>1</v>
      </c>
      <c r="AU658" s="6" t="b">
        <v>0</v>
      </c>
      <c r="AV658" s="6" t="b">
        <v>0</v>
      </c>
      <c r="AW658" s="6" t="b">
        <v>0</v>
      </c>
      <c r="AX658" s="6" t="b">
        <v>0</v>
      </c>
      <c r="AY658" s="6" t="b">
        <v>0</v>
      </c>
      <c r="AZ658" s="6" t="b">
        <v>0</v>
      </c>
      <c r="BA658" s="6" t="b">
        <v>0</v>
      </c>
      <c r="BB658" s="6" t="b">
        <v>0</v>
      </c>
    </row>
    <row r="659" spans="1:54" ht="15" x14ac:dyDescent="0.25">
      <c r="A659" s="3" t="s">
        <v>1375</v>
      </c>
      <c r="B659" s="3" t="str">
        <f ca="1">IFERROR(__xludf.DUMMYFUNCTION("SPLIT(A659,""/"")"),"mit-han-lab")</f>
        <v>mit-han-lab</v>
      </c>
      <c r="C659" s="3" t="str">
        <f ca="1">IFERROR(__xludf.DUMMYFUNCTION("""COMPUTED_VALUE"""),"data-efficient-gans")</f>
        <v>data-efficient-gans</v>
      </c>
      <c r="D659" s="4" t="s">
        <v>1376</v>
      </c>
      <c r="E659" s="5">
        <v>43997.671805555554</v>
      </c>
      <c r="F659" s="5">
        <v>44295.143055555556</v>
      </c>
      <c r="G659" s="13">
        <f t="shared" si="60"/>
        <v>297.47125000000233</v>
      </c>
      <c r="H659" s="6" t="b">
        <v>0</v>
      </c>
      <c r="I659" s="7" t="b">
        <v>1</v>
      </c>
      <c r="J659" s="8">
        <v>722</v>
      </c>
      <c r="K659" s="8">
        <v>15</v>
      </c>
      <c r="L659" s="8">
        <v>95</v>
      </c>
      <c r="M659" s="8">
        <v>0</v>
      </c>
      <c r="N659" s="8">
        <v>0</v>
      </c>
      <c r="O659" s="8">
        <v>3</v>
      </c>
      <c r="P659" s="8">
        <v>1</v>
      </c>
      <c r="Q659" s="8">
        <v>0</v>
      </c>
      <c r="R659" s="8">
        <v>60</v>
      </c>
      <c r="S659" s="8">
        <v>7</v>
      </c>
      <c r="T659" s="3" t="s">
        <v>153</v>
      </c>
      <c r="U659" s="10">
        <v>18681</v>
      </c>
      <c r="V659" s="32">
        <v>157</v>
      </c>
      <c r="W659" s="27">
        <v>8.4042610138643538E-3</v>
      </c>
      <c r="X659" s="34">
        <v>5</v>
      </c>
      <c r="Y659" s="27">
        <v>3.1847133757961783E-2</v>
      </c>
      <c r="Z659" s="27">
        <v>2.6765162464536157E-4</v>
      </c>
      <c r="AA659" s="35">
        <v>124</v>
      </c>
      <c r="AB659" s="27">
        <v>0.78980891719745228</v>
      </c>
      <c r="AC659" s="27">
        <f t="shared" si="61"/>
        <v>6.6377602912049676E-3</v>
      </c>
      <c r="AD659" s="36">
        <v>13</v>
      </c>
      <c r="AE659" s="27">
        <v>8.2802547770700632E-2</v>
      </c>
      <c r="AF659" s="27">
        <f t="shared" si="62"/>
        <v>6.9589422407794019E-4</v>
      </c>
      <c r="AG659" s="37">
        <v>8</v>
      </c>
      <c r="AH659" s="27">
        <v>5.0955414012738856E-2</v>
      </c>
      <c r="AI659" s="27">
        <f t="shared" si="63"/>
        <v>4.2824259943257856E-4</v>
      </c>
      <c r="AJ659" s="38">
        <v>0</v>
      </c>
      <c r="AK659" s="27">
        <v>0</v>
      </c>
      <c r="AL659" s="27">
        <f t="shared" si="64"/>
        <v>0</v>
      </c>
      <c r="AM659" s="40">
        <v>3</v>
      </c>
      <c r="AN659" s="27">
        <v>1.9108280254777069E-2</v>
      </c>
      <c r="AO659" s="27">
        <f t="shared" si="65"/>
        <v>1.6059097478721696E-4</v>
      </c>
      <c r="AP659" s="7" t="b">
        <v>1</v>
      </c>
      <c r="AQ659" s="6" t="b">
        <v>0</v>
      </c>
      <c r="AR659" s="6" t="b">
        <v>0</v>
      </c>
      <c r="AS659" s="6" t="b">
        <v>0</v>
      </c>
      <c r="AT659" s="7" t="b">
        <v>1</v>
      </c>
      <c r="AU659" s="6" t="b">
        <v>0</v>
      </c>
      <c r="AV659" s="6" t="b">
        <v>0</v>
      </c>
      <c r="AW659" s="6" t="b">
        <v>0</v>
      </c>
      <c r="AX659" s="6" t="b">
        <v>0</v>
      </c>
      <c r="AY659" s="6" t="b">
        <v>0</v>
      </c>
      <c r="AZ659" s="6" t="b">
        <v>0</v>
      </c>
      <c r="BA659" s="6" t="b">
        <v>0</v>
      </c>
      <c r="BB659" s="6" t="b">
        <v>0</v>
      </c>
    </row>
    <row r="660" spans="1:54" ht="15" x14ac:dyDescent="0.25">
      <c r="A660" s="3" t="s">
        <v>1377</v>
      </c>
      <c r="B660" s="3" t="str">
        <f ca="1">IFERROR(__xludf.DUMMYFUNCTION("SPLIT(A660,""/"")"),"mitmproxy")</f>
        <v>mitmproxy</v>
      </c>
      <c r="C660" s="3" t="str">
        <f ca="1">IFERROR(__xludf.DUMMYFUNCTION("""COMPUTED_VALUE"""),"mitmproxy")</f>
        <v>mitmproxy</v>
      </c>
      <c r="D660" s="4" t="s">
        <v>1378</v>
      </c>
      <c r="E660" s="5">
        <v>40225.173761574071</v>
      </c>
      <c r="F660" s="5">
        <v>44295.042048611111</v>
      </c>
      <c r="G660" s="13">
        <f t="shared" si="60"/>
        <v>4069.8682870370394</v>
      </c>
      <c r="H660" s="6" t="b">
        <v>0</v>
      </c>
      <c r="I660" s="7" t="b">
        <v>1</v>
      </c>
      <c r="J660" s="8">
        <v>22018</v>
      </c>
      <c r="K660" s="8">
        <v>594</v>
      </c>
      <c r="L660" s="8">
        <v>2701</v>
      </c>
      <c r="M660" s="8">
        <v>38</v>
      </c>
      <c r="N660" s="8">
        <v>81</v>
      </c>
      <c r="O660" s="8">
        <v>341</v>
      </c>
      <c r="P660" s="8">
        <v>2041</v>
      </c>
      <c r="Q660" s="8">
        <v>10</v>
      </c>
      <c r="R660" s="8">
        <v>2501</v>
      </c>
      <c r="S660" s="8">
        <v>227</v>
      </c>
      <c r="T660" s="3" t="s">
        <v>72</v>
      </c>
      <c r="U660" s="10">
        <v>36342</v>
      </c>
      <c r="V660" s="32">
        <v>152</v>
      </c>
      <c r="W660" s="27">
        <v>4.18248858070552E-3</v>
      </c>
      <c r="X660" s="34">
        <v>14</v>
      </c>
      <c r="Y660" s="27">
        <v>9.2105263157894732E-2</v>
      </c>
      <c r="Z660" s="27">
        <v>3.8522921138077156E-4</v>
      </c>
      <c r="AA660" s="35">
        <v>33</v>
      </c>
      <c r="AB660" s="27">
        <v>0.21710526315789475</v>
      </c>
      <c r="AC660" s="27">
        <f t="shared" si="61"/>
        <v>9.0804028396896156E-4</v>
      </c>
      <c r="AD660" s="36">
        <v>45</v>
      </c>
      <c r="AE660" s="27">
        <v>0.29605263157894735</v>
      </c>
      <c r="AF660" s="27">
        <f t="shared" si="62"/>
        <v>1.2382367508667657E-3</v>
      </c>
      <c r="AG660" s="37">
        <v>40</v>
      </c>
      <c r="AH660" s="27">
        <v>0.26315789473684209</v>
      </c>
      <c r="AI660" s="27">
        <f t="shared" si="63"/>
        <v>1.1006548896593472E-3</v>
      </c>
      <c r="AJ660" s="38">
        <v>0</v>
      </c>
      <c r="AK660" s="27">
        <v>0</v>
      </c>
      <c r="AL660" s="27">
        <f t="shared" si="64"/>
        <v>0</v>
      </c>
      <c r="AM660" s="40">
        <v>15</v>
      </c>
      <c r="AN660" s="27">
        <v>9.8684210526315791E-2</v>
      </c>
      <c r="AO660" s="27">
        <f t="shared" si="65"/>
        <v>4.1274558362225524E-4</v>
      </c>
      <c r="AP660" s="7" t="b">
        <v>1</v>
      </c>
      <c r="AQ660" s="6" t="b">
        <v>0</v>
      </c>
      <c r="AR660" s="6" t="b">
        <v>0</v>
      </c>
      <c r="AS660" s="6" t="b">
        <v>0</v>
      </c>
      <c r="AT660" s="7" t="b">
        <v>1</v>
      </c>
      <c r="AU660" s="6" t="b">
        <v>0</v>
      </c>
      <c r="AV660" s="6" t="b">
        <v>0</v>
      </c>
      <c r="AW660" s="6" t="b">
        <v>0</v>
      </c>
      <c r="AX660" s="6" t="b">
        <v>0</v>
      </c>
      <c r="AY660" s="6" t="b">
        <v>0</v>
      </c>
      <c r="AZ660" s="6" t="b">
        <v>0</v>
      </c>
      <c r="BA660" s="6" t="b">
        <v>0</v>
      </c>
      <c r="BB660" s="6" t="b">
        <v>0</v>
      </c>
    </row>
    <row r="661" spans="1:54" ht="15" x14ac:dyDescent="0.25">
      <c r="A661" s="3" t="s">
        <v>1379</v>
      </c>
      <c r="B661" s="3" t="str">
        <f ca="1">IFERROR(__xludf.DUMMYFUNCTION("SPLIT(A661,""/"")"),"mitre")</f>
        <v>mitre</v>
      </c>
      <c r="C661" s="3" t="str">
        <f ca="1">IFERROR(__xludf.DUMMYFUNCTION("""COMPUTED_VALUE"""),"caldera")</f>
        <v>caldera</v>
      </c>
      <c r="D661" s="4" t="s">
        <v>1380</v>
      </c>
      <c r="E661" s="5">
        <v>43068.05914351852</v>
      </c>
      <c r="F661" s="5">
        <v>44295.076550925929</v>
      </c>
      <c r="G661" s="13">
        <f t="shared" si="60"/>
        <v>1227.0174074074093</v>
      </c>
      <c r="H661" s="6" t="b">
        <v>0</v>
      </c>
      <c r="I661" s="7" t="b">
        <v>1</v>
      </c>
      <c r="J661" s="8">
        <v>2551</v>
      </c>
      <c r="K661" s="8">
        <v>138</v>
      </c>
      <c r="L661" s="8">
        <v>494</v>
      </c>
      <c r="M661" s="8">
        <v>23</v>
      </c>
      <c r="N661" s="8">
        <v>8</v>
      </c>
      <c r="O661" s="8">
        <v>57</v>
      </c>
      <c r="P661" s="8">
        <v>1714</v>
      </c>
      <c r="Q661" s="8">
        <v>6</v>
      </c>
      <c r="R661" s="8">
        <v>361</v>
      </c>
      <c r="S661" s="8">
        <v>6</v>
      </c>
      <c r="T661" s="3" t="s">
        <v>69</v>
      </c>
      <c r="U661" s="10">
        <v>6753</v>
      </c>
      <c r="V661" s="32">
        <v>121</v>
      </c>
      <c r="W661" s="27">
        <v>1.7917962387087219E-2</v>
      </c>
      <c r="X661" s="34">
        <v>45</v>
      </c>
      <c r="Y661" s="27">
        <v>0.37190082644628097</v>
      </c>
      <c r="Z661" s="27">
        <v>6.6637050199911153E-3</v>
      </c>
      <c r="AA661" s="35">
        <v>5</v>
      </c>
      <c r="AB661" s="27">
        <v>4.1322314049586778E-2</v>
      </c>
      <c r="AC661" s="27">
        <f t="shared" si="61"/>
        <v>7.4041166888790162E-4</v>
      </c>
      <c r="AD661" s="36">
        <v>32</v>
      </c>
      <c r="AE661" s="27">
        <v>0.26446280991735538</v>
      </c>
      <c r="AF661" s="27">
        <f t="shared" si="62"/>
        <v>4.7386346808825711E-3</v>
      </c>
      <c r="AG661" s="37">
        <v>35</v>
      </c>
      <c r="AH661" s="27">
        <v>0.28925619834710742</v>
      </c>
      <c r="AI661" s="27">
        <f t="shared" si="63"/>
        <v>5.1828816822153114E-3</v>
      </c>
      <c r="AJ661" s="38">
        <v>0</v>
      </c>
      <c r="AK661" s="27">
        <v>0</v>
      </c>
      <c r="AL661" s="27">
        <f t="shared" si="64"/>
        <v>0</v>
      </c>
      <c r="AM661" s="40">
        <v>0</v>
      </c>
      <c r="AN661" s="27">
        <v>0</v>
      </c>
      <c r="AO661" s="27">
        <f t="shared" si="65"/>
        <v>0</v>
      </c>
      <c r="AP661" s="7" t="b">
        <v>1</v>
      </c>
      <c r="AQ661" s="7" t="b">
        <v>1</v>
      </c>
      <c r="AR661" s="6" t="b">
        <v>0</v>
      </c>
      <c r="AS661" s="6" t="b">
        <v>0</v>
      </c>
      <c r="AT661" s="7" t="b">
        <v>1</v>
      </c>
      <c r="AU661" s="6" t="b">
        <v>0</v>
      </c>
      <c r="AV661" s="6" t="b">
        <v>0</v>
      </c>
      <c r="AW661" s="6" t="b">
        <v>0</v>
      </c>
      <c r="AX661" s="6" t="b">
        <v>0</v>
      </c>
      <c r="AY661" s="6" t="b">
        <v>0</v>
      </c>
      <c r="AZ661" s="6" t="b">
        <v>0</v>
      </c>
      <c r="BA661" s="6" t="b">
        <v>0</v>
      </c>
      <c r="BB661" s="6" t="b">
        <v>0</v>
      </c>
    </row>
    <row r="662" spans="1:54" ht="15" x14ac:dyDescent="0.25">
      <c r="A662" s="3" t="s">
        <v>1381</v>
      </c>
      <c r="B662" s="3" t="str">
        <f ca="1">IFERROR(__xludf.DUMMYFUNCTION("SPLIT(A662,""/"")"),"mitre")</f>
        <v>mitre</v>
      </c>
      <c r="C662" s="3" t="str">
        <f ca="1">IFERROR(__xludf.DUMMYFUNCTION("""COMPUTED_VALUE"""),"multiscanner")</f>
        <v>multiscanner</v>
      </c>
      <c r="D662" s="4" t="s">
        <v>1382</v>
      </c>
      <c r="E662" s="5">
        <v>42107.624166666668</v>
      </c>
      <c r="F662" s="5">
        <v>44285.794768518521</v>
      </c>
      <c r="G662" s="13">
        <f t="shared" si="60"/>
        <v>2178.1706018518526</v>
      </c>
      <c r="H662" s="6" t="b">
        <v>0</v>
      </c>
      <c r="I662" s="7" t="b">
        <v>1</v>
      </c>
      <c r="J662" s="8">
        <v>496</v>
      </c>
      <c r="K662" s="8">
        <v>57</v>
      </c>
      <c r="L662" s="8">
        <v>110</v>
      </c>
      <c r="M662" s="8">
        <v>7</v>
      </c>
      <c r="N662" s="8">
        <v>1</v>
      </c>
      <c r="O662" s="8">
        <v>15</v>
      </c>
      <c r="P662" s="8">
        <v>136</v>
      </c>
      <c r="Q662" s="8">
        <v>4</v>
      </c>
      <c r="R662" s="8">
        <v>72</v>
      </c>
      <c r="S662" s="8">
        <v>31</v>
      </c>
      <c r="T662" s="3" t="s">
        <v>75</v>
      </c>
      <c r="U662" s="10">
        <v>8869</v>
      </c>
      <c r="V662" s="32">
        <v>15</v>
      </c>
      <c r="W662" s="27">
        <v>1.6912842485060323E-3</v>
      </c>
      <c r="X662" s="34">
        <v>5</v>
      </c>
      <c r="Y662" s="27">
        <v>0.33333333333333331</v>
      </c>
      <c r="Z662" s="27">
        <v>5.637614161686774E-4</v>
      </c>
      <c r="AA662" s="35">
        <v>3</v>
      </c>
      <c r="AB662" s="27">
        <v>0.2</v>
      </c>
      <c r="AC662" s="27">
        <f t="shared" si="61"/>
        <v>3.3825684970120647E-4</v>
      </c>
      <c r="AD662" s="36">
        <v>1</v>
      </c>
      <c r="AE662" s="27">
        <v>6.6666666666666666E-2</v>
      </c>
      <c r="AF662" s="27">
        <f t="shared" si="62"/>
        <v>1.1275228323373548E-4</v>
      </c>
      <c r="AG662" s="37">
        <v>3</v>
      </c>
      <c r="AH662" s="27">
        <v>0.2</v>
      </c>
      <c r="AI662" s="27">
        <f t="shared" si="63"/>
        <v>3.3825684970120647E-4</v>
      </c>
      <c r="AJ662" s="38">
        <v>0</v>
      </c>
      <c r="AK662" s="27">
        <v>0</v>
      </c>
      <c r="AL662" s="27">
        <f t="shared" si="64"/>
        <v>0</v>
      </c>
      <c r="AM662" s="40">
        <v>0</v>
      </c>
      <c r="AN662" s="27">
        <v>0</v>
      </c>
      <c r="AO662" s="27">
        <f t="shared" si="65"/>
        <v>0</v>
      </c>
      <c r="AP662" s="7" t="b">
        <v>1</v>
      </c>
      <c r="AQ662" s="7" t="b">
        <v>1</v>
      </c>
      <c r="AR662" s="6" t="b">
        <v>0</v>
      </c>
      <c r="AS662" s="6" t="b">
        <v>0</v>
      </c>
      <c r="AT662" s="7" t="b">
        <v>1</v>
      </c>
      <c r="AU662" s="6" t="b">
        <v>0</v>
      </c>
      <c r="AV662" s="6" t="b">
        <v>0</v>
      </c>
      <c r="AW662" s="6" t="b">
        <v>0</v>
      </c>
      <c r="AX662" s="6" t="b">
        <v>0</v>
      </c>
      <c r="AY662" s="6" t="b">
        <v>0</v>
      </c>
      <c r="AZ662" s="6" t="b">
        <v>0</v>
      </c>
      <c r="BA662" s="6" t="b">
        <v>0</v>
      </c>
      <c r="BB662" s="6" t="b">
        <v>0</v>
      </c>
    </row>
    <row r="663" spans="1:54" ht="15" x14ac:dyDescent="0.25">
      <c r="A663" s="3" t="s">
        <v>1383</v>
      </c>
      <c r="B663" s="3" t="str">
        <f ca="1">IFERROR(__xludf.DUMMYFUNCTION("SPLIT(A663,""/"")"),"MITRECND")</f>
        <v>MITRECND</v>
      </c>
      <c r="C663" s="3" t="str">
        <f ca="1">IFERROR(__xludf.DUMMYFUNCTION("""COMPUTED_VALUE"""),"chopshop")</f>
        <v>chopshop</v>
      </c>
      <c r="D663" s="4" t="s">
        <v>1384</v>
      </c>
      <c r="E663" s="5">
        <v>41170.744189814817</v>
      </c>
      <c r="F663" s="5">
        <v>44274.854548611111</v>
      </c>
      <c r="G663" s="13">
        <f t="shared" si="60"/>
        <v>3104.1103587962934</v>
      </c>
      <c r="H663" s="6" t="b">
        <v>0</v>
      </c>
      <c r="I663" s="7" t="b">
        <v>1</v>
      </c>
      <c r="J663" s="8">
        <v>444</v>
      </c>
      <c r="K663" s="8">
        <v>72</v>
      </c>
      <c r="L663" s="8">
        <v>87</v>
      </c>
      <c r="M663" s="8">
        <v>2</v>
      </c>
      <c r="N663" s="8">
        <v>4</v>
      </c>
      <c r="O663" s="8">
        <v>17</v>
      </c>
      <c r="P663" s="8">
        <v>40</v>
      </c>
      <c r="Q663" s="8">
        <v>3</v>
      </c>
      <c r="R663" s="8">
        <v>26</v>
      </c>
      <c r="S663" s="8">
        <v>10</v>
      </c>
      <c r="T663" s="11" t="s">
        <v>52</v>
      </c>
      <c r="U663" s="10">
        <v>9076</v>
      </c>
      <c r="V663" s="32">
        <v>20</v>
      </c>
      <c r="W663" s="27">
        <v>2.2036139268400176E-3</v>
      </c>
      <c r="X663" s="34">
        <v>7</v>
      </c>
      <c r="Y663" s="27">
        <v>0.35</v>
      </c>
      <c r="Z663" s="27">
        <v>7.7126487439400622E-4</v>
      </c>
      <c r="AA663" s="35">
        <v>11</v>
      </c>
      <c r="AB663" s="27">
        <v>0.55000000000000004</v>
      </c>
      <c r="AC663" s="27">
        <f t="shared" si="61"/>
        <v>1.2119876597620097E-3</v>
      </c>
      <c r="AD663" s="36">
        <v>0</v>
      </c>
      <c r="AE663" s="27">
        <v>0</v>
      </c>
      <c r="AF663" s="27">
        <f t="shared" si="62"/>
        <v>0</v>
      </c>
      <c r="AG663" s="37">
        <v>0</v>
      </c>
      <c r="AH663" s="27">
        <v>0</v>
      </c>
      <c r="AI663" s="27">
        <f t="shared" si="63"/>
        <v>0</v>
      </c>
      <c r="AJ663" s="38">
        <v>2</v>
      </c>
      <c r="AK663" s="27">
        <v>0.1</v>
      </c>
      <c r="AL663" s="27">
        <f t="shared" si="64"/>
        <v>2.2036139268400177E-4</v>
      </c>
      <c r="AM663" s="40">
        <v>0</v>
      </c>
      <c r="AN663" s="27">
        <v>0</v>
      </c>
      <c r="AO663" s="27">
        <f t="shared" si="65"/>
        <v>0</v>
      </c>
      <c r="AP663" s="7" t="b">
        <v>1</v>
      </c>
      <c r="AQ663" s="6" t="b">
        <v>0</v>
      </c>
      <c r="AR663" s="6" t="b">
        <v>0</v>
      </c>
      <c r="AS663" s="6" t="b">
        <v>0</v>
      </c>
      <c r="AT663" s="7" t="b">
        <v>1</v>
      </c>
      <c r="AU663" s="6" t="b">
        <v>0</v>
      </c>
      <c r="AV663" s="6" t="b">
        <v>0</v>
      </c>
      <c r="AW663" s="6" t="b">
        <v>0</v>
      </c>
      <c r="AX663" s="6" t="b">
        <v>0</v>
      </c>
      <c r="AY663" s="6" t="b">
        <v>0</v>
      </c>
      <c r="AZ663" s="6" t="b">
        <v>0</v>
      </c>
      <c r="BA663" s="6" t="b">
        <v>0</v>
      </c>
      <c r="BB663" s="6" t="b">
        <v>0</v>
      </c>
    </row>
    <row r="664" spans="1:54" ht="15" x14ac:dyDescent="0.25">
      <c r="A664" s="3" t="s">
        <v>1385</v>
      </c>
      <c r="B664" s="3" t="str">
        <f ca="1">IFERROR(__xludf.DUMMYFUNCTION("SPLIT(A664,""/"")"),"mlbvn")</f>
        <v>mlbvn</v>
      </c>
      <c r="C664" s="3" t="str">
        <f ca="1">IFERROR(__xludf.DUMMYFUNCTION("""COMPUTED_VALUE"""),"d2l-vn")</f>
        <v>d2l-vn</v>
      </c>
      <c r="D664" s="4" t="s">
        <v>1386</v>
      </c>
      <c r="E664" s="5">
        <v>43788.364918981482</v>
      </c>
      <c r="F664" s="5">
        <v>44293.18787037037</v>
      </c>
      <c r="G664" s="13">
        <f t="shared" si="60"/>
        <v>504.8229513888873</v>
      </c>
      <c r="H664" s="6" t="b">
        <v>0</v>
      </c>
      <c r="I664" s="7" t="b">
        <v>1</v>
      </c>
      <c r="J664" s="8">
        <v>406</v>
      </c>
      <c r="K664" s="8">
        <v>44</v>
      </c>
      <c r="L664" s="8">
        <v>183</v>
      </c>
      <c r="M664" s="8">
        <v>1</v>
      </c>
      <c r="N664" s="8">
        <v>1</v>
      </c>
      <c r="O664" s="8">
        <v>61</v>
      </c>
      <c r="P664" s="8">
        <v>1763</v>
      </c>
      <c r="Q664" s="8">
        <v>0</v>
      </c>
      <c r="R664" s="8">
        <v>1334</v>
      </c>
      <c r="S664" s="8">
        <v>3</v>
      </c>
      <c r="T664" s="3" t="s">
        <v>92</v>
      </c>
      <c r="U664" s="10">
        <v>6171</v>
      </c>
      <c r="V664" s="32">
        <v>33</v>
      </c>
      <c r="W664" s="27">
        <v>5.3475935828877002E-3</v>
      </c>
      <c r="X664" s="34">
        <v>0</v>
      </c>
      <c r="Y664" s="27">
        <v>0</v>
      </c>
      <c r="Z664" s="27">
        <v>0</v>
      </c>
      <c r="AA664" s="35">
        <v>24</v>
      </c>
      <c r="AB664" s="27">
        <v>0.72727272727272729</v>
      </c>
      <c r="AC664" s="27">
        <f t="shared" si="61"/>
        <v>3.889158969372873E-3</v>
      </c>
      <c r="AD664" s="36">
        <v>2</v>
      </c>
      <c r="AE664" s="27">
        <v>6.0606060606060608E-2</v>
      </c>
      <c r="AF664" s="27">
        <f t="shared" si="62"/>
        <v>3.2409658078107277E-4</v>
      </c>
      <c r="AG664" s="37">
        <v>2</v>
      </c>
      <c r="AH664" s="27">
        <v>6.0606060606060608E-2</v>
      </c>
      <c r="AI664" s="27">
        <f t="shared" si="63"/>
        <v>3.2409658078107277E-4</v>
      </c>
      <c r="AJ664" s="38">
        <v>5</v>
      </c>
      <c r="AK664" s="27">
        <v>0.15151515151515152</v>
      </c>
      <c r="AL664" s="27">
        <f t="shared" si="64"/>
        <v>8.1024145195268194E-4</v>
      </c>
      <c r="AM664" s="40">
        <v>0</v>
      </c>
      <c r="AN664" s="27">
        <v>0</v>
      </c>
      <c r="AO664" s="27">
        <f t="shared" si="65"/>
        <v>0</v>
      </c>
      <c r="AP664" s="7" t="b">
        <v>1</v>
      </c>
      <c r="AQ664" s="6" t="b">
        <v>0</v>
      </c>
      <c r="AR664" s="6" t="b">
        <v>0</v>
      </c>
      <c r="AS664" s="6" t="b">
        <v>0</v>
      </c>
      <c r="AT664" s="7" t="b">
        <v>1</v>
      </c>
      <c r="AU664" s="6" t="b">
        <v>0</v>
      </c>
      <c r="AV664" s="6" t="b">
        <v>0</v>
      </c>
      <c r="AW664" s="6" t="b">
        <v>0</v>
      </c>
      <c r="AX664" s="6" t="b">
        <v>0</v>
      </c>
      <c r="AY664" s="6" t="b">
        <v>0</v>
      </c>
      <c r="AZ664" s="6" t="b">
        <v>0</v>
      </c>
      <c r="BA664" s="6" t="b">
        <v>0</v>
      </c>
      <c r="BB664" s="6" t="b">
        <v>0</v>
      </c>
    </row>
    <row r="665" spans="1:54" ht="15" x14ac:dyDescent="0.25">
      <c r="A665" s="3" t="s">
        <v>1387</v>
      </c>
      <c r="B665" s="3" t="str">
        <f ca="1">IFERROR(__xludf.DUMMYFUNCTION("SPLIT(A665,""/"")"),"mlcommons")</f>
        <v>mlcommons</v>
      </c>
      <c r="C665" s="3" t="str">
        <f ca="1">IFERROR(__xludf.DUMMYFUNCTION("""COMPUTED_VALUE"""),"inference")</f>
        <v>inference</v>
      </c>
      <c r="D665" s="4" t="s">
        <v>1388</v>
      </c>
      <c r="E665" s="5">
        <v>43356.079131944447</v>
      </c>
      <c r="F665" s="5">
        <v>44294.910092592596</v>
      </c>
      <c r="G665" s="13">
        <f t="shared" si="60"/>
        <v>938.8309606481489</v>
      </c>
      <c r="H665" s="6" t="b">
        <v>0</v>
      </c>
      <c r="I665" s="7" t="b">
        <v>1</v>
      </c>
      <c r="J665" s="8">
        <v>423</v>
      </c>
      <c r="K665" s="8">
        <v>60</v>
      </c>
      <c r="L665" s="8">
        <v>229</v>
      </c>
      <c r="M665" s="8">
        <v>1</v>
      </c>
      <c r="N665" s="8">
        <v>12</v>
      </c>
      <c r="O665" s="8">
        <v>62</v>
      </c>
      <c r="P665" s="8">
        <v>511</v>
      </c>
      <c r="Q665" s="8">
        <v>13</v>
      </c>
      <c r="R665" s="8">
        <v>396</v>
      </c>
      <c r="S665" s="8">
        <v>47</v>
      </c>
      <c r="T665" s="3" t="s">
        <v>69</v>
      </c>
      <c r="U665" s="10">
        <v>14822</v>
      </c>
      <c r="V665" s="32">
        <v>163</v>
      </c>
      <c r="W665" s="27">
        <v>1.099716637430846E-2</v>
      </c>
      <c r="X665" s="34">
        <v>0</v>
      </c>
      <c r="Y665" s="27">
        <v>0</v>
      </c>
      <c r="Z665" s="27">
        <v>0</v>
      </c>
      <c r="AA665" s="35">
        <v>85</v>
      </c>
      <c r="AB665" s="27">
        <v>0.5214723926380368</v>
      </c>
      <c r="AC665" s="27">
        <f t="shared" si="61"/>
        <v>5.7347186614491973E-3</v>
      </c>
      <c r="AD665" s="36">
        <v>11</v>
      </c>
      <c r="AE665" s="27">
        <v>6.7484662576687116E-2</v>
      </c>
      <c r="AF665" s="27">
        <f t="shared" si="62"/>
        <v>7.4214006206989606E-4</v>
      </c>
      <c r="AG665" s="37">
        <v>67</v>
      </c>
      <c r="AH665" s="27">
        <v>0.41104294478527609</v>
      </c>
      <c r="AI665" s="27">
        <f t="shared" si="63"/>
        <v>4.5203076507893672E-3</v>
      </c>
      <c r="AJ665" s="38">
        <v>0</v>
      </c>
      <c r="AK665" s="27">
        <v>0</v>
      </c>
      <c r="AL665" s="27">
        <f t="shared" si="64"/>
        <v>0</v>
      </c>
      <c r="AM665" s="40">
        <v>0</v>
      </c>
      <c r="AN665" s="27">
        <v>0</v>
      </c>
      <c r="AO665" s="27">
        <f t="shared" si="65"/>
        <v>0</v>
      </c>
      <c r="AP665" s="7" t="b">
        <v>1</v>
      </c>
      <c r="AQ665" s="6" t="b">
        <v>0</v>
      </c>
      <c r="AR665" s="6" t="b">
        <v>0</v>
      </c>
      <c r="AS665" s="6" t="b">
        <v>0</v>
      </c>
      <c r="AT665" s="7" t="b">
        <v>1</v>
      </c>
      <c r="AU665" s="6" t="b">
        <v>0</v>
      </c>
      <c r="AV665" s="6" t="b">
        <v>0</v>
      </c>
      <c r="AW665" s="6" t="b">
        <v>0</v>
      </c>
      <c r="AX665" s="6" t="b">
        <v>0</v>
      </c>
      <c r="AY665" s="6" t="b">
        <v>0</v>
      </c>
      <c r="AZ665" s="6" t="b">
        <v>0</v>
      </c>
      <c r="BA665" s="6" t="b">
        <v>0</v>
      </c>
      <c r="BB665" s="6" t="b">
        <v>0</v>
      </c>
    </row>
    <row r="666" spans="1:54" ht="15" x14ac:dyDescent="0.25">
      <c r="A666" s="3" t="s">
        <v>1389</v>
      </c>
      <c r="B666" s="3" t="str">
        <f ca="1">IFERROR(__xludf.DUMMYFUNCTION("SPLIT(A666,""/"")"),"mlcommons")</f>
        <v>mlcommons</v>
      </c>
      <c r="C666" s="3" t="str">
        <f ca="1">IFERROR(__xludf.DUMMYFUNCTION("""COMPUTED_VALUE"""),"training")</f>
        <v>training</v>
      </c>
      <c r="D666" s="4" t="s">
        <v>1390</v>
      </c>
      <c r="E666" s="5">
        <v>43188.913958333331</v>
      </c>
      <c r="F666" s="5">
        <v>44294.570416666669</v>
      </c>
      <c r="G666" s="13">
        <f t="shared" si="60"/>
        <v>1105.6564583333384</v>
      </c>
      <c r="H666" s="6" t="b">
        <v>0</v>
      </c>
      <c r="I666" s="7" t="b">
        <v>1</v>
      </c>
      <c r="J666" s="8">
        <v>1131</v>
      </c>
      <c r="K666" s="8">
        <v>129</v>
      </c>
      <c r="L666" s="8">
        <v>383</v>
      </c>
      <c r="M666" s="8">
        <v>1</v>
      </c>
      <c r="N666" s="8">
        <v>5</v>
      </c>
      <c r="O666" s="8">
        <v>40</v>
      </c>
      <c r="P666" s="8">
        <v>256</v>
      </c>
      <c r="Q666" s="8">
        <v>83</v>
      </c>
      <c r="R666" s="8">
        <v>203</v>
      </c>
      <c r="S666" s="8">
        <v>131</v>
      </c>
      <c r="T666" s="3" t="s">
        <v>69</v>
      </c>
      <c r="U666" s="10">
        <v>36671</v>
      </c>
      <c r="V666" s="32">
        <v>465</v>
      </c>
      <c r="W666" s="27">
        <v>1.2680319598592893E-2</v>
      </c>
      <c r="X666" s="34">
        <v>1</v>
      </c>
      <c r="Y666" s="27">
        <v>2.1505376344086021E-3</v>
      </c>
      <c r="Z666" s="27">
        <v>2.7269504513102996E-5</v>
      </c>
      <c r="AA666" s="35">
        <v>434</v>
      </c>
      <c r="AB666" s="27">
        <v>0.93333333333333335</v>
      </c>
      <c r="AC666" s="27">
        <f t="shared" si="61"/>
        <v>1.1834964958686701E-2</v>
      </c>
      <c r="AD666" s="36">
        <v>17</v>
      </c>
      <c r="AE666" s="27">
        <v>3.6559139784946237E-2</v>
      </c>
      <c r="AF666" s="27">
        <f t="shared" si="62"/>
        <v>4.6358157672275095E-4</v>
      </c>
      <c r="AG666" s="37">
        <v>8</v>
      </c>
      <c r="AH666" s="27">
        <v>1.7204301075268817E-2</v>
      </c>
      <c r="AI666" s="27">
        <f t="shared" si="63"/>
        <v>2.1815603610482397E-4</v>
      </c>
      <c r="AJ666" s="38">
        <v>0</v>
      </c>
      <c r="AK666" s="27">
        <v>0</v>
      </c>
      <c r="AL666" s="27">
        <f t="shared" si="64"/>
        <v>0</v>
      </c>
      <c r="AM666" s="40">
        <v>4</v>
      </c>
      <c r="AN666" s="27">
        <v>8.6021505376344086E-3</v>
      </c>
      <c r="AO666" s="27">
        <f t="shared" si="65"/>
        <v>1.0907801805241198E-4</v>
      </c>
      <c r="AP666" s="7" t="b">
        <v>1</v>
      </c>
      <c r="AQ666" s="6" t="b">
        <v>0</v>
      </c>
      <c r="AR666" s="6" t="b">
        <v>0</v>
      </c>
      <c r="AS666" s="6" t="b">
        <v>0</v>
      </c>
      <c r="AT666" s="7" t="b">
        <v>1</v>
      </c>
      <c r="AU666" s="6" t="b">
        <v>0</v>
      </c>
      <c r="AV666" s="6" t="b">
        <v>0</v>
      </c>
      <c r="AW666" s="6" t="b">
        <v>0</v>
      </c>
      <c r="AX666" s="6" t="b">
        <v>0</v>
      </c>
      <c r="AY666" s="6" t="b">
        <v>0</v>
      </c>
      <c r="AZ666" s="6" t="b">
        <v>0</v>
      </c>
      <c r="BA666" s="6" t="b">
        <v>0</v>
      </c>
      <c r="BB666" s="6" t="b">
        <v>0</v>
      </c>
    </row>
    <row r="667" spans="1:54" ht="15" x14ac:dyDescent="0.25">
      <c r="A667" s="3" t="s">
        <v>1391</v>
      </c>
      <c r="B667" s="3" t="str">
        <f ca="1">IFERROR(__xludf.DUMMYFUNCTION("SPLIT(A667,""/"")"),"mlflow")</f>
        <v>mlflow</v>
      </c>
      <c r="C667" s="3" t="str">
        <f ca="1">IFERROR(__xludf.DUMMYFUNCTION("""COMPUTED_VALUE"""),"mlflow")</f>
        <v>mlflow</v>
      </c>
      <c r="D667" s="4" t="s">
        <v>1392</v>
      </c>
      <c r="E667" s="5">
        <v>43256.670810185184</v>
      </c>
      <c r="F667" s="5">
        <v>44295.120462962965</v>
      </c>
      <c r="G667" s="13">
        <f t="shared" si="60"/>
        <v>1038.449652777781</v>
      </c>
      <c r="H667" s="6" t="b">
        <v>0</v>
      </c>
      <c r="I667" s="7" t="b">
        <v>1</v>
      </c>
      <c r="J667" s="8">
        <v>8726</v>
      </c>
      <c r="K667" s="8">
        <v>264</v>
      </c>
      <c r="L667" s="8">
        <v>1899</v>
      </c>
      <c r="M667" s="8">
        <v>38</v>
      </c>
      <c r="N667" s="8">
        <v>35</v>
      </c>
      <c r="O667" s="8">
        <v>292</v>
      </c>
      <c r="P667" s="8">
        <v>2585</v>
      </c>
      <c r="Q667" s="8">
        <v>169</v>
      </c>
      <c r="R667" s="8">
        <v>1648</v>
      </c>
      <c r="S667" s="8">
        <v>587</v>
      </c>
      <c r="T667" s="3" t="s">
        <v>69</v>
      </c>
      <c r="U667" s="10">
        <v>47853</v>
      </c>
      <c r="V667" s="32">
        <v>237</v>
      </c>
      <c r="W667" s="27">
        <v>4.9526675443545857E-3</v>
      </c>
      <c r="X667" s="34">
        <v>15</v>
      </c>
      <c r="Y667" s="27">
        <v>6.3291139240506333E-2</v>
      </c>
      <c r="Z667" s="27">
        <v>3.1345997116168263E-4</v>
      </c>
      <c r="AA667" s="35">
        <v>108</v>
      </c>
      <c r="AB667" s="27">
        <v>0.45569620253164556</v>
      </c>
      <c r="AC667" s="27">
        <f t="shared" si="61"/>
        <v>2.2569117923641152E-3</v>
      </c>
      <c r="AD667" s="36">
        <v>65</v>
      </c>
      <c r="AE667" s="27">
        <v>0.27426160337552741</v>
      </c>
      <c r="AF667" s="27">
        <f t="shared" si="62"/>
        <v>1.3583265417006249E-3</v>
      </c>
      <c r="AG667" s="37">
        <v>14</v>
      </c>
      <c r="AH667" s="27">
        <v>5.9071729957805907E-2</v>
      </c>
      <c r="AI667" s="27">
        <f t="shared" si="63"/>
        <v>2.9256263975090379E-4</v>
      </c>
      <c r="AJ667" s="38">
        <v>2</v>
      </c>
      <c r="AK667" s="27">
        <v>8.4388185654008432E-3</v>
      </c>
      <c r="AL667" s="27">
        <f t="shared" si="64"/>
        <v>4.179466282155769E-5</v>
      </c>
      <c r="AM667" s="40">
        <v>31</v>
      </c>
      <c r="AN667" s="27">
        <v>0.13080168776371309</v>
      </c>
      <c r="AO667" s="27">
        <f t="shared" si="65"/>
        <v>6.4781727373414415E-4</v>
      </c>
      <c r="AP667" s="7" t="b">
        <v>1</v>
      </c>
      <c r="AQ667" s="6" t="b">
        <v>0</v>
      </c>
      <c r="AR667" s="6" t="b">
        <v>0</v>
      </c>
      <c r="AS667" s="6" t="b">
        <v>0</v>
      </c>
      <c r="AT667" s="7" t="b">
        <v>1</v>
      </c>
      <c r="AU667" s="6" t="b">
        <v>0</v>
      </c>
      <c r="AV667" s="6" t="b">
        <v>0</v>
      </c>
      <c r="AW667" s="6" t="b">
        <v>0</v>
      </c>
      <c r="AX667" s="6" t="b">
        <v>0</v>
      </c>
      <c r="AY667" s="6" t="b">
        <v>0</v>
      </c>
      <c r="AZ667" s="6" t="b">
        <v>0</v>
      </c>
      <c r="BA667" s="6" t="b">
        <v>0</v>
      </c>
      <c r="BB667" s="6" t="b">
        <v>0</v>
      </c>
    </row>
    <row r="668" spans="1:54" ht="15" x14ac:dyDescent="0.25">
      <c r="A668" s="3" t="s">
        <v>1393</v>
      </c>
      <c r="B668" s="3" t="str">
        <f ca="1">IFERROR(__xludf.DUMMYFUNCTION("SPLIT(A668,""/"")"),"mlsecproject")</f>
        <v>mlsecproject</v>
      </c>
      <c r="C668" s="3" t="str">
        <f ca="1">IFERROR(__xludf.DUMMYFUNCTION("""COMPUTED_VALUE"""),"combine")</f>
        <v>combine</v>
      </c>
      <c r="D668" s="4" t="s">
        <v>1394</v>
      </c>
      <c r="E668" s="5">
        <v>41691.731493055559</v>
      </c>
      <c r="F668" s="5">
        <v>44277.595381944448</v>
      </c>
      <c r="G668" s="13">
        <f t="shared" si="60"/>
        <v>2585.8638888888891</v>
      </c>
      <c r="H668" s="6" t="b">
        <v>0</v>
      </c>
      <c r="I668" s="7" t="b">
        <v>1</v>
      </c>
      <c r="J668" s="8">
        <v>605</v>
      </c>
      <c r="K668" s="8">
        <v>86</v>
      </c>
      <c r="L668" s="8">
        <v>161</v>
      </c>
      <c r="M668" s="8">
        <v>5</v>
      </c>
      <c r="N668" s="8">
        <v>8</v>
      </c>
      <c r="O668" s="8">
        <v>10</v>
      </c>
      <c r="P668" s="8">
        <v>77</v>
      </c>
      <c r="Q668" s="8">
        <v>10</v>
      </c>
      <c r="R668" s="8">
        <v>100</v>
      </c>
      <c r="S668" s="8">
        <v>36</v>
      </c>
      <c r="T668" s="3" t="s">
        <v>49</v>
      </c>
      <c r="U668" s="10">
        <v>817</v>
      </c>
      <c r="V668" s="32">
        <v>50</v>
      </c>
      <c r="W668" s="27">
        <v>6.1199510403916767E-2</v>
      </c>
      <c r="X668" s="34">
        <v>0</v>
      </c>
      <c r="Y668" s="27">
        <v>0</v>
      </c>
      <c r="Z668" s="27">
        <v>0</v>
      </c>
      <c r="AA668" s="35">
        <v>30</v>
      </c>
      <c r="AB668" s="27">
        <v>0.6</v>
      </c>
      <c r="AC668" s="27">
        <f t="shared" si="61"/>
        <v>3.6719706242350061E-2</v>
      </c>
      <c r="AD668" s="36">
        <v>0</v>
      </c>
      <c r="AE668" s="27">
        <v>0</v>
      </c>
      <c r="AF668" s="27">
        <f t="shared" si="62"/>
        <v>0</v>
      </c>
      <c r="AG668" s="37">
        <v>20</v>
      </c>
      <c r="AH668" s="27">
        <v>0.4</v>
      </c>
      <c r="AI668" s="27">
        <f t="shared" si="63"/>
        <v>2.4479804161566709E-2</v>
      </c>
      <c r="AJ668" s="38">
        <v>0</v>
      </c>
      <c r="AK668" s="27">
        <v>0</v>
      </c>
      <c r="AL668" s="27">
        <f t="shared" si="64"/>
        <v>0</v>
      </c>
      <c r="AM668" s="40">
        <v>0</v>
      </c>
      <c r="AN668" s="27">
        <v>0</v>
      </c>
      <c r="AO668" s="27">
        <f t="shared" si="65"/>
        <v>0</v>
      </c>
      <c r="AP668" s="7" t="b">
        <v>1</v>
      </c>
      <c r="AQ668" s="6" t="b">
        <v>0</v>
      </c>
      <c r="AR668" s="6" t="b">
        <v>0</v>
      </c>
      <c r="AS668" s="6" t="b">
        <v>0</v>
      </c>
      <c r="AT668" s="7" t="b">
        <v>1</v>
      </c>
      <c r="AU668" s="6" t="b">
        <v>0</v>
      </c>
      <c r="AV668" s="6" t="b">
        <v>0</v>
      </c>
      <c r="AW668" s="6" t="b">
        <v>0</v>
      </c>
      <c r="AX668" s="6" t="b">
        <v>0</v>
      </c>
      <c r="AY668" s="6" t="b">
        <v>0</v>
      </c>
      <c r="AZ668" s="6" t="b">
        <v>0</v>
      </c>
      <c r="BA668" s="6" t="b">
        <v>0</v>
      </c>
      <c r="BB668" s="6" t="b">
        <v>0</v>
      </c>
    </row>
    <row r="669" spans="1:54" ht="15" x14ac:dyDescent="0.25">
      <c r="A669" s="3" t="s">
        <v>1395</v>
      </c>
      <c r="B669" s="3" t="str">
        <f ca="1">IFERROR(__xludf.DUMMYFUNCTION("SPLIT(A669,""/"")"),"mobier")</f>
        <v>mobier</v>
      </c>
      <c r="C669" s="3" t="str">
        <f ca="1">IFERROR(__xludf.DUMMYFUNCTION("""COMPUTED_VALUE"""),"shadowsocksr-speed")</f>
        <v>shadowsocksr-speed</v>
      </c>
      <c r="D669" s="4" t="s">
        <v>1396</v>
      </c>
      <c r="E669" s="5">
        <v>43400.694166666668</v>
      </c>
      <c r="F669" s="5">
        <v>44295.095081018517</v>
      </c>
      <c r="G669" s="13">
        <f t="shared" si="60"/>
        <v>894.40091435184877</v>
      </c>
      <c r="H669" s="6" t="b">
        <v>0</v>
      </c>
      <c r="I669" s="6" t="b">
        <v>0</v>
      </c>
      <c r="J669" s="8">
        <v>940</v>
      </c>
      <c r="K669" s="8">
        <v>29</v>
      </c>
      <c r="L669" s="8">
        <v>218</v>
      </c>
      <c r="M669" s="8">
        <v>0</v>
      </c>
      <c r="N669" s="8">
        <v>3</v>
      </c>
      <c r="O669" s="8">
        <v>3</v>
      </c>
      <c r="P669" s="8">
        <v>4</v>
      </c>
      <c r="Q669" s="8">
        <v>1</v>
      </c>
      <c r="R669" s="8">
        <v>93</v>
      </c>
      <c r="S669" s="8">
        <v>20</v>
      </c>
      <c r="T669" s="11" t="s">
        <v>52</v>
      </c>
      <c r="U669" s="10">
        <v>9948</v>
      </c>
      <c r="V669" s="32">
        <v>259</v>
      </c>
      <c r="W669" s="27">
        <v>2.6035383996783273E-2</v>
      </c>
      <c r="X669" s="34">
        <v>48</v>
      </c>
      <c r="Y669" s="27">
        <v>0.18532818532818532</v>
      </c>
      <c r="Z669" s="27">
        <v>4.8250904704463205E-3</v>
      </c>
      <c r="AA669" s="35">
        <v>69</v>
      </c>
      <c r="AB669" s="27">
        <v>0.26640926640926643</v>
      </c>
      <c r="AC669" s="27">
        <f t="shared" si="61"/>
        <v>6.936067551266586E-3</v>
      </c>
      <c r="AD669" s="36">
        <v>53</v>
      </c>
      <c r="AE669" s="27">
        <v>0.20463320463320464</v>
      </c>
      <c r="AF669" s="27">
        <f t="shared" si="62"/>
        <v>5.327704061117813E-3</v>
      </c>
      <c r="AG669" s="37">
        <v>61</v>
      </c>
      <c r="AH669" s="27">
        <v>0.23552123552123552</v>
      </c>
      <c r="AI669" s="27">
        <f t="shared" si="63"/>
        <v>6.131885806192199E-3</v>
      </c>
      <c r="AJ669" s="38">
        <v>0</v>
      </c>
      <c r="AK669" s="27">
        <v>0</v>
      </c>
      <c r="AL669" s="27">
        <f t="shared" si="64"/>
        <v>0</v>
      </c>
      <c r="AM669" s="40">
        <v>1</v>
      </c>
      <c r="AN669" s="27">
        <v>3.8610038610038611E-3</v>
      </c>
      <c r="AO669" s="27">
        <f t="shared" si="65"/>
        <v>1.0052271813429835E-4</v>
      </c>
      <c r="AP669" s="7" t="b">
        <v>1</v>
      </c>
      <c r="AQ669" s="6" t="b">
        <v>0</v>
      </c>
      <c r="AR669" s="6" t="b">
        <v>0</v>
      </c>
      <c r="AS669" s="6" t="b">
        <v>0</v>
      </c>
      <c r="AT669" s="7" t="b">
        <v>1</v>
      </c>
      <c r="AU669" s="6" t="b">
        <v>0</v>
      </c>
      <c r="AV669" s="6" t="b">
        <v>0</v>
      </c>
      <c r="AW669" s="6" t="b">
        <v>0</v>
      </c>
      <c r="AX669" s="6" t="b">
        <v>0</v>
      </c>
      <c r="AY669" s="6" t="b">
        <v>0</v>
      </c>
      <c r="AZ669" s="6" t="b">
        <v>0</v>
      </c>
      <c r="BA669" s="6" t="b">
        <v>0</v>
      </c>
      <c r="BB669" s="6" t="b">
        <v>0</v>
      </c>
    </row>
    <row r="670" spans="1:54" ht="15" x14ac:dyDescent="0.25">
      <c r="A670" s="3" t="s">
        <v>1397</v>
      </c>
      <c r="B670" s="3" t="str">
        <f ca="1">IFERROR(__xludf.DUMMYFUNCTION("SPLIT(A670,""/"")"),"MobSF")</f>
        <v>MobSF</v>
      </c>
      <c r="C670" s="3" t="str">
        <f ca="1">IFERROR(__xludf.DUMMYFUNCTION("""COMPUTED_VALUE"""),"Mobile-Security-Framework-MobSF")</f>
        <v>Mobile-Security-Framework-MobSF</v>
      </c>
      <c r="D670" s="4" t="s">
        <v>1398</v>
      </c>
      <c r="E670" s="5">
        <v>42035.191678240742</v>
      </c>
      <c r="F670" s="5">
        <v>44295.161134259259</v>
      </c>
      <c r="G670" s="13">
        <f t="shared" si="60"/>
        <v>2259.9694560185162</v>
      </c>
      <c r="H670" s="6" t="b">
        <v>0</v>
      </c>
      <c r="I670" s="7" t="b">
        <v>1</v>
      </c>
      <c r="J670" s="8">
        <v>8522</v>
      </c>
      <c r="K670" s="8">
        <v>478</v>
      </c>
      <c r="L670" s="8">
        <v>2008</v>
      </c>
      <c r="M670" s="8">
        <v>37</v>
      </c>
      <c r="N670" s="8">
        <v>28</v>
      </c>
      <c r="O670" s="8">
        <v>66</v>
      </c>
      <c r="P670" s="8">
        <v>608</v>
      </c>
      <c r="Q670" s="8">
        <v>1</v>
      </c>
      <c r="R670" s="8">
        <v>1098</v>
      </c>
      <c r="S670" s="8">
        <v>5</v>
      </c>
      <c r="T670" s="3" t="s">
        <v>49</v>
      </c>
      <c r="U670" s="10">
        <v>8353</v>
      </c>
      <c r="V670" s="32">
        <v>513</v>
      </c>
      <c r="W670" s="27">
        <v>6.1415060457320723E-2</v>
      </c>
      <c r="X670" s="34">
        <v>1</v>
      </c>
      <c r="Y670" s="27">
        <v>1.9493177387914229E-3</v>
      </c>
      <c r="Z670" s="27">
        <v>1.1971746677840296E-4</v>
      </c>
      <c r="AA670" s="35">
        <v>283</v>
      </c>
      <c r="AB670" s="27">
        <v>0.55165692007797273</v>
      </c>
      <c r="AC670" s="27">
        <f t="shared" si="61"/>
        <v>3.3880043098288043E-2</v>
      </c>
      <c r="AD670" s="36">
        <v>35</v>
      </c>
      <c r="AE670" s="27">
        <v>6.8226120857699801E-2</v>
      </c>
      <c r="AF670" s="27">
        <f t="shared" si="62"/>
        <v>4.190111337244104E-3</v>
      </c>
      <c r="AG670" s="37">
        <v>194</v>
      </c>
      <c r="AH670" s="27">
        <v>0.37816764132553604</v>
      </c>
      <c r="AI670" s="27">
        <f t="shared" si="63"/>
        <v>2.3225188555010177E-2</v>
      </c>
      <c r="AJ670" s="38">
        <v>0</v>
      </c>
      <c r="AK670" s="27">
        <v>0</v>
      </c>
      <c r="AL670" s="27">
        <f t="shared" si="64"/>
        <v>0</v>
      </c>
      <c r="AM670" s="40">
        <v>0</v>
      </c>
      <c r="AN670" s="27">
        <v>0</v>
      </c>
      <c r="AO670" s="27">
        <f t="shared" si="65"/>
        <v>0</v>
      </c>
      <c r="AP670" s="7" t="b">
        <v>1</v>
      </c>
      <c r="AQ670" s="7" t="b">
        <v>1</v>
      </c>
      <c r="AR670" s="6" t="b">
        <v>0</v>
      </c>
      <c r="AS670" s="6" t="b">
        <v>0</v>
      </c>
      <c r="AT670" s="7" t="b">
        <v>1</v>
      </c>
      <c r="AU670" s="6" t="b">
        <v>0</v>
      </c>
      <c r="AV670" s="6" t="b">
        <v>0</v>
      </c>
      <c r="AW670" s="6" t="b">
        <v>0</v>
      </c>
      <c r="AX670" s="6" t="b">
        <v>0</v>
      </c>
      <c r="AY670" s="6" t="b">
        <v>0</v>
      </c>
      <c r="AZ670" s="6" t="b">
        <v>0</v>
      </c>
      <c r="BA670" s="6" t="b">
        <v>0</v>
      </c>
      <c r="BB670" s="6" t="b">
        <v>0</v>
      </c>
    </row>
    <row r="671" spans="1:54" ht="15" x14ac:dyDescent="0.25">
      <c r="A671" s="3" t="s">
        <v>1399</v>
      </c>
      <c r="B671" s="3" t="str">
        <f ca="1">IFERROR(__xludf.DUMMYFUNCTION("SPLIT(A671,""/"")"),"mobvoi")</f>
        <v>mobvoi</v>
      </c>
      <c r="C671" s="3" t="str">
        <f ca="1">IFERROR(__xludf.DUMMYFUNCTION("""COMPUTED_VALUE"""),"wenet")</f>
        <v>wenet</v>
      </c>
      <c r="D671" s="4" t="s">
        <v>1400</v>
      </c>
      <c r="E671" s="5">
        <v>44152.164849537039</v>
      </c>
      <c r="F671" s="5">
        <v>44295.14439814815</v>
      </c>
      <c r="G671" s="13">
        <f t="shared" si="60"/>
        <v>142.97954861111066</v>
      </c>
      <c r="H671" s="6" t="b">
        <v>0</v>
      </c>
      <c r="I671" s="7" t="b">
        <v>1</v>
      </c>
      <c r="J671" s="8">
        <v>671</v>
      </c>
      <c r="K671" s="8">
        <v>38</v>
      </c>
      <c r="L671" s="8">
        <v>122</v>
      </c>
      <c r="M671" s="8">
        <v>1</v>
      </c>
      <c r="N671" s="8">
        <v>5</v>
      </c>
      <c r="O671" s="8">
        <v>21</v>
      </c>
      <c r="P671" s="8">
        <v>238</v>
      </c>
      <c r="Q671" s="8">
        <v>5</v>
      </c>
      <c r="R671" s="8">
        <v>58</v>
      </c>
      <c r="S671" s="8">
        <v>14</v>
      </c>
      <c r="T671" s="3" t="s">
        <v>69</v>
      </c>
      <c r="U671" s="10">
        <v>3493</v>
      </c>
      <c r="V671" s="32">
        <v>14</v>
      </c>
      <c r="W671" s="27">
        <v>4.0080160320641279E-3</v>
      </c>
      <c r="X671" s="34">
        <v>2</v>
      </c>
      <c r="Y671" s="27">
        <v>0.14285714285714285</v>
      </c>
      <c r="Z671" s="27">
        <v>5.7257371886630399E-4</v>
      </c>
      <c r="AA671" s="35">
        <v>8</v>
      </c>
      <c r="AB671" s="27">
        <v>0.5714285714285714</v>
      </c>
      <c r="AC671" s="27">
        <f t="shared" si="61"/>
        <v>2.290294875465216E-3</v>
      </c>
      <c r="AD671" s="36">
        <v>1</v>
      </c>
      <c r="AE671" s="27">
        <v>7.1428571428571425E-2</v>
      </c>
      <c r="AF671" s="27">
        <f t="shared" si="62"/>
        <v>2.8628685943315199E-4</v>
      </c>
      <c r="AG671" s="37">
        <v>2</v>
      </c>
      <c r="AH671" s="27">
        <v>0.14285714285714285</v>
      </c>
      <c r="AI671" s="27">
        <f t="shared" si="63"/>
        <v>5.7257371886630399E-4</v>
      </c>
      <c r="AJ671" s="38">
        <v>1</v>
      </c>
      <c r="AK671" s="27">
        <v>7.1428571428571425E-2</v>
      </c>
      <c r="AL671" s="27">
        <f t="shared" si="64"/>
        <v>2.8628685943315199E-4</v>
      </c>
      <c r="AM671" s="40">
        <v>0</v>
      </c>
      <c r="AN671" s="27">
        <v>0</v>
      </c>
      <c r="AO671" s="27">
        <f t="shared" si="65"/>
        <v>0</v>
      </c>
      <c r="AP671" s="7" t="b">
        <v>1</v>
      </c>
      <c r="AQ671" s="6" t="b">
        <v>0</v>
      </c>
      <c r="AR671" s="6" t="b">
        <v>0</v>
      </c>
      <c r="AS671" s="6" t="b">
        <v>0</v>
      </c>
      <c r="AT671" s="7" t="b">
        <v>1</v>
      </c>
      <c r="AU671" s="6" t="b">
        <v>0</v>
      </c>
      <c r="AV671" s="6" t="b">
        <v>0</v>
      </c>
      <c r="AW671" s="6" t="b">
        <v>0</v>
      </c>
      <c r="AX671" s="6" t="b">
        <v>0</v>
      </c>
      <c r="AY671" s="6" t="b">
        <v>0</v>
      </c>
      <c r="AZ671" s="6" t="b">
        <v>0</v>
      </c>
      <c r="BA671" s="6" t="b">
        <v>0</v>
      </c>
      <c r="BB671" s="6" t="b">
        <v>0</v>
      </c>
    </row>
    <row r="672" spans="1:54" ht="15" x14ac:dyDescent="0.25">
      <c r="A672" s="3" t="s">
        <v>1401</v>
      </c>
      <c r="B672" s="3" t="str">
        <f ca="1">IFERROR(__xludf.DUMMYFUNCTION("SPLIT(A672,""/"")"),"modin-project")</f>
        <v>modin-project</v>
      </c>
      <c r="C672" s="3" t="str">
        <f ca="1">IFERROR(__xludf.DUMMYFUNCTION("""COMPUTED_VALUE"""),"modin")</f>
        <v>modin</v>
      </c>
      <c r="D672" s="4" t="s">
        <v>1402</v>
      </c>
      <c r="E672" s="5">
        <v>43272.899363425924</v>
      </c>
      <c r="F672" s="5">
        <v>44294.764039351852</v>
      </c>
      <c r="G672" s="13">
        <f t="shared" si="60"/>
        <v>1021.8646759259282</v>
      </c>
      <c r="H672" s="6" t="b">
        <v>0</v>
      </c>
      <c r="I672" s="7" t="b">
        <v>1</v>
      </c>
      <c r="J672" s="8">
        <v>5943</v>
      </c>
      <c r="K672" s="8">
        <v>106</v>
      </c>
      <c r="L672" s="8">
        <v>408</v>
      </c>
      <c r="M672" s="8">
        <v>35</v>
      </c>
      <c r="N672" s="8">
        <v>24</v>
      </c>
      <c r="O672" s="8">
        <v>75</v>
      </c>
      <c r="P672" s="8">
        <v>1305</v>
      </c>
      <c r="Q672" s="8">
        <v>40</v>
      </c>
      <c r="R672" s="8">
        <v>1658</v>
      </c>
      <c r="S672" s="8">
        <v>465</v>
      </c>
      <c r="T672" s="3" t="s">
        <v>92</v>
      </c>
      <c r="U672" s="10">
        <v>33105</v>
      </c>
      <c r="V672" s="32">
        <v>88</v>
      </c>
      <c r="W672" s="27">
        <v>2.6582087297991239E-3</v>
      </c>
      <c r="X672" s="34">
        <v>16</v>
      </c>
      <c r="Y672" s="27">
        <v>0.18181818181818182</v>
      </c>
      <c r="Z672" s="27">
        <v>4.8331067814529527E-4</v>
      </c>
      <c r="AA672" s="35">
        <v>47</v>
      </c>
      <c r="AB672" s="27">
        <v>0.53409090909090906</v>
      </c>
      <c r="AC672" s="27">
        <f t="shared" si="61"/>
        <v>1.4197251170518048E-3</v>
      </c>
      <c r="AD672" s="36">
        <v>34</v>
      </c>
      <c r="AE672" s="27">
        <v>0.38636363636363635</v>
      </c>
      <c r="AF672" s="27">
        <f t="shared" si="62"/>
        <v>1.0270351910587525E-3</v>
      </c>
      <c r="AG672" s="37">
        <v>0</v>
      </c>
      <c r="AH672" s="27">
        <v>0</v>
      </c>
      <c r="AI672" s="27">
        <f t="shared" si="63"/>
        <v>0</v>
      </c>
      <c r="AJ672" s="38">
        <v>0</v>
      </c>
      <c r="AK672" s="27">
        <v>0</v>
      </c>
      <c r="AL672" s="27">
        <f t="shared" si="64"/>
        <v>0</v>
      </c>
      <c r="AM672" s="40">
        <v>0</v>
      </c>
      <c r="AN672" s="27">
        <v>0</v>
      </c>
      <c r="AO672" s="27">
        <f t="shared" si="65"/>
        <v>0</v>
      </c>
      <c r="AP672" s="7" t="b">
        <v>1</v>
      </c>
      <c r="AQ672" s="6" t="b">
        <v>0</v>
      </c>
      <c r="AR672" s="6" t="b">
        <v>0</v>
      </c>
      <c r="AS672" s="6" t="b">
        <v>0</v>
      </c>
      <c r="AT672" s="7" t="b">
        <v>1</v>
      </c>
      <c r="AU672" s="6" t="b">
        <v>0</v>
      </c>
      <c r="AV672" s="6" t="b">
        <v>0</v>
      </c>
      <c r="AW672" s="6" t="b">
        <v>0</v>
      </c>
      <c r="AX672" s="6" t="b">
        <v>0</v>
      </c>
      <c r="AY672" s="6" t="b">
        <v>0</v>
      </c>
      <c r="AZ672" s="6" t="b">
        <v>0</v>
      </c>
      <c r="BA672" s="6" t="b">
        <v>0</v>
      </c>
      <c r="BB672" s="6" t="b">
        <v>0</v>
      </c>
    </row>
    <row r="673" spans="1:54" ht="15" x14ac:dyDescent="0.25">
      <c r="A673" s="3" t="s">
        <v>1403</v>
      </c>
      <c r="B673" s="3" t="str">
        <f ca="1">IFERROR(__xludf.DUMMYFUNCTION("SPLIT(A673,""/"")"),"modoboa")</f>
        <v>modoboa</v>
      </c>
      <c r="C673" s="3" t="str">
        <f ca="1">IFERROR(__xludf.DUMMYFUNCTION("""COMPUTED_VALUE"""),"modoboa")</f>
        <v>modoboa</v>
      </c>
      <c r="D673" s="4" t="s">
        <v>1404</v>
      </c>
      <c r="E673" s="5">
        <v>41380.405497685184</v>
      </c>
      <c r="F673" s="5">
        <v>44294.541759259257</v>
      </c>
      <c r="G673" s="13">
        <f t="shared" si="60"/>
        <v>2914.1362615740727</v>
      </c>
      <c r="H673" s="6" t="b">
        <v>0</v>
      </c>
      <c r="I673" s="7" t="b">
        <v>1</v>
      </c>
      <c r="J673" s="8">
        <v>1786</v>
      </c>
      <c r="K673" s="8">
        <v>90</v>
      </c>
      <c r="L673" s="8">
        <v>249</v>
      </c>
      <c r="M673" s="8">
        <v>4</v>
      </c>
      <c r="N673" s="8">
        <v>27</v>
      </c>
      <c r="O673" s="8">
        <v>77</v>
      </c>
      <c r="P673" s="8">
        <v>534</v>
      </c>
      <c r="Q673" s="8">
        <v>10</v>
      </c>
      <c r="R673" s="8">
        <v>1539</v>
      </c>
      <c r="S673" s="8">
        <v>68</v>
      </c>
      <c r="T673" s="3" t="s">
        <v>1405</v>
      </c>
      <c r="U673" s="10">
        <v>16822</v>
      </c>
      <c r="V673" s="32">
        <v>28</v>
      </c>
      <c r="W673" s="27">
        <v>1.6644869813339674E-3</v>
      </c>
      <c r="X673" s="34">
        <v>5</v>
      </c>
      <c r="Y673" s="27">
        <v>0.17857142857142858</v>
      </c>
      <c r="Z673" s="27">
        <v>2.9722981809535132E-4</v>
      </c>
      <c r="AA673" s="35">
        <v>12</v>
      </c>
      <c r="AB673" s="27">
        <v>0.42857142857142855</v>
      </c>
      <c r="AC673" s="27">
        <f t="shared" si="61"/>
        <v>7.1335156342884317E-4</v>
      </c>
      <c r="AD673" s="36">
        <v>4</v>
      </c>
      <c r="AE673" s="27">
        <v>0.14285714285714285</v>
      </c>
      <c r="AF673" s="27">
        <f t="shared" si="62"/>
        <v>2.3778385447628106E-4</v>
      </c>
      <c r="AG673" s="37">
        <v>4</v>
      </c>
      <c r="AH673" s="27">
        <v>0.14285714285714285</v>
      </c>
      <c r="AI673" s="27">
        <f t="shared" si="63"/>
        <v>2.3778385447628106E-4</v>
      </c>
      <c r="AJ673" s="38">
        <v>3</v>
      </c>
      <c r="AK673" s="27">
        <v>0.10714285714285714</v>
      </c>
      <c r="AL673" s="27">
        <f t="shared" si="64"/>
        <v>1.7833789085721079E-4</v>
      </c>
      <c r="AM673" s="40">
        <v>0</v>
      </c>
      <c r="AN673" s="27">
        <v>0</v>
      </c>
      <c r="AO673" s="27">
        <f t="shared" si="65"/>
        <v>0</v>
      </c>
      <c r="AP673" s="6" t="b">
        <v>0</v>
      </c>
      <c r="AQ673" s="7" t="b">
        <v>1</v>
      </c>
      <c r="AR673" s="6" t="b">
        <v>0</v>
      </c>
      <c r="AS673" s="6" t="b">
        <v>0</v>
      </c>
      <c r="AT673" s="7" t="b">
        <v>1</v>
      </c>
      <c r="AU673" s="6" t="b">
        <v>0</v>
      </c>
      <c r="AV673" s="6" t="b">
        <v>0</v>
      </c>
      <c r="AW673" s="6" t="b">
        <v>0</v>
      </c>
      <c r="AX673" s="6" t="b">
        <v>0</v>
      </c>
      <c r="AY673" s="6" t="b">
        <v>0</v>
      </c>
      <c r="AZ673" s="6" t="b">
        <v>0</v>
      </c>
      <c r="BA673" s="6" t="b">
        <v>0</v>
      </c>
      <c r="BB673" s="6" t="b">
        <v>0</v>
      </c>
    </row>
    <row r="674" spans="1:54" ht="15" x14ac:dyDescent="0.25">
      <c r="A674" s="3" t="s">
        <v>1406</v>
      </c>
      <c r="B674" s="3" t="str">
        <f ca="1">IFERROR(__xludf.DUMMYFUNCTION("SPLIT(A674,""/"")"),"molecularsets")</f>
        <v>molecularsets</v>
      </c>
      <c r="C674" s="3" t="str">
        <f ca="1">IFERROR(__xludf.DUMMYFUNCTION("""COMPUTED_VALUE"""),"moses")</f>
        <v>moses</v>
      </c>
      <c r="D674" s="4" t="s">
        <v>1407</v>
      </c>
      <c r="E674" s="5">
        <v>43432.493946759256</v>
      </c>
      <c r="F674" s="5">
        <v>44294.280949074076</v>
      </c>
      <c r="G674" s="13">
        <f t="shared" si="60"/>
        <v>861.78700231482071</v>
      </c>
      <c r="H674" s="6" t="b">
        <v>0</v>
      </c>
      <c r="I674" s="7" t="b">
        <v>1</v>
      </c>
      <c r="J674" s="8">
        <v>445</v>
      </c>
      <c r="K674" s="8">
        <v>31</v>
      </c>
      <c r="L674" s="8">
        <v>140</v>
      </c>
      <c r="M674" s="8">
        <v>0</v>
      </c>
      <c r="N674" s="8">
        <v>0</v>
      </c>
      <c r="O674" s="8">
        <v>16</v>
      </c>
      <c r="P674" s="8">
        <v>52</v>
      </c>
      <c r="Q674" s="8">
        <v>2</v>
      </c>
      <c r="R674" s="8">
        <v>38</v>
      </c>
      <c r="S674" s="8">
        <v>9</v>
      </c>
      <c r="T674" s="3" t="s">
        <v>72</v>
      </c>
      <c r="U674" s="10">
        <v>3442</v>
      </c>
      <c r="V674" s="32">
        <v>6</v>
      </c>
      <c r="W674" s="27">
        <v>1.7431725740848344E-3</v>
      </c>
      <c r="X674" s="34">
        <v>0</v>
      </c>
      <c r="Y674" s="27">
        <v>0</v>
      </c>
      <c r="Z674" s="27">
        <v>0</v>
      </c>
      <c r="AA674" s="35">
        <v>3</v>
      </c>
      <c r="AB674" s="27">
        <v>0.5</v>
      </c>
      <c r="AC674" s="27">
        <f t="shared" si="61"/>
        <v>8.7158628704241722E-4</v>
      </c>
      <c r="AD674" s="36">
        <v>3</v>
      </c>
      <c r="AE674" s="27">
        <v>0.5</v>
      </c>
      <c r="AF674" s="27">
        <f t="shared" si="62"/>
        <v>8.7158628704241722E-4</v>
      </c>
      <c r="AG674" s="37">
        <v>0</v>
      </c>
      <c r="AH674" s="27">
        <v>0</v>
      </c>
      <c r="AI674" s="27">
        <f t="shared" si="63"/>
        <v>0</v>
      </c>
      <c r="AJ674" s="38">
        <v>0</v>
      </c>
      <c r="AK674" s="27">
        <v>0</v>
      </c>
      <c r="AL674" s="27">
        <f t="shared" si="64"/>
        <v>0</v>
      </c>
      <c r="AM674" s="40">
        <v>0</v>
      </c>
      <c r="AN674" s="27">
        <v>0</v>
      </c>
      <c r="AO674" s="27">
        <f t="shared" si="65"/>
        <v>0</v>
      </c>
      <c r="AP674" s="7" t="b">
        <v>1</v>
      </c>
      <c r="AQ674" s="6" t="b">
        <v>0</v>
      </c>
      <c r="AR674" s="6" t="b">
        <v>0</v>
      </c>
      <c r="AS674" s="6" t="b">
        <v>0</v>
      </c>
      <c r="AT674" s="7" t="b">
        <v>1</v>
      </c>
      <c r="AU674" s="6" t="b">
        <v>0</v>
      </c>
      <c r="AV674" s="6" t="b">
        <v>0</v>
      </c>
      <c r="AW674" s="6" t="b">
        <v>0</v>
      </c>
      <c r="AX674" s="6" t="b">
        <v>0</v>
      </c>
      <c r="AY674" s="6" t="b">
        <v>0</v>
      </c>
      <c r="AZ674" s="6" t="b">
        <v>0</v>
      </c>
      <c r="BA674" s="6" t="b">
        <v>0</v>
      </c>
      <c r="BB674" s="6" t="b">
        <v>0</v>
      </c>
    </row>
    <row r="675" spans="1:54" ht="15" x14ac:dyDescent="0.25">
      <c r="A675" s="3" t="s">
        <v>1408</v>
      </c>
      <c r="B675" s="3" t="str">
        <f ca="1">IFERROR(__xludf.DUMMYFUNCTION("SPLIT(A675,""/"")"),"momosecurity")</f>
        <v>momosecurity</v>
      </c>
      <c r="C675" s="3" t="str">
        <f ca="1">IFERROR(__xludf.DUMMYFUNCTION("""COMPUTED_VALUE"""),"aswan")</f>
        <v>aswan</v>
      </c>
      <c r="D675" s="4" t="s">
        <v>1409</v>
      </c>
      <c r="E675" s="5">
        <v>43630.419074074074</v>
      </c>
      <c r="F675" s="5">
        <v>44295.11818287037</v>
      </c>
      <c r="G675" s="13">
        <f t="shared" si="60"/>
        <v>664.69910879629606</v>
      </c>
      <c r="H675" s="6" t="b">
        <v>0</v>
      </c>
      <c r="I675" s="7" t="b">
        <v>1</v>
      </c>
      <c r="J675" s="8">
        <v>2412</v>
      </c>
      <c r="K675" s="8">
        <v>84</v>
      </c>
      <c r="L675" s="8">
        <v>663</v>
      </c>
      <c r="M675" s="8">
        <v>0</v>
      </c>
      <c r="N675" s="8">
        <v>4</v>
      </c>
      <c r="O675" s="8">
        <v>6</v>
      </c>
      <c r="P675" s="8">
        <v>27</v>
      </c>
      <c r="Q675" s="8">
        <v>1</v>
      </c>
      <c r="R675" s="8">
        <v>43</v>
      </c>
      <c r="S675" s="8">
        <v>1</v>
      </c>
      <c r="T675" s="3" t="s">
        <v>1410</v>
      </c>
      <c r="U675" s="10">
        <v>5526</v>
      </c>
      <c r="V675" s="32">
        <v>37</v>
      </c>
      <c r="W675" s="27">
        <v>6.6956207021353605E-3</v>
      </c>
      <c r="X675" s="34">
        <v>2</v>
      </c>
      <c r="Y675" s="27">
        <v>5.4054054054054057E-2</v>
      </c>
      <c r="Z675" s="27">
        <v>3.6192544335866811E-4</v>
      </c>
      <c r="AA675" s="35">
        <v>10</v>
      </c>
      <c r="AB675" s="27">
        <v>0.27027027027027029</v>
      </c>
      <c r="AC675" s="27">
        <f t="shared" si="61"/>
        <v>1.8096272167933405E-3</v>
      </c>
      <c r="AD675" s="36">
        <v>0</v>
      </c>
      <c r="AE675" s="27">
        <v>0</v>
      </c>
      <c r="AF675" s="27">
        <f t="shared" si="62"/>
        <v>0</v>
      </c>
      <c r="AG675" s="37">
        <v>25</v>
      </c>
      <c r="AH675" s="27">
        <v>0.67567567567567566</v>
      </c>
      <c r="AI675" s="27">
        <f t="shared" si="63"/>
        <v>4.5240680419833517E-3</v>
      </c>
      <c r="AJ675" s="38">
        <v>0</v>
      </c>
      <c r="AK675" s="27">
        <v>0</v>
      </c>
      <c r="AL675" s="27">
        <f t="shared" si="64"/>
        <v>0</v>
      </c>
      <c r="AM675" s="40">
        <v>0</v>
      </c>
      <c r="AN675" s="27">
        <v>0</v>
      </c>
      <c r="AO675" s="27">
        <f t="shared" si="65"/>
        <v>0</v>
      </c>
      <c r="AP675" s="6" t="b">
        <v>0</v>
      </c>
      <c r="AQ675" s="7" t="b">
        <v>1</v>
      </c>
      <c r="AR675" s="6" t="b">
        <v>0</v>
      </c>
      <c r="AS675" s="6" t="b">
        <v>0</v>
      </c>
      <c r="AT675" s="7" t="b">
        <v>1</v>
      </c>
      <c r="AU675" s="6" t="b">
        <v>0</v>
      </c>
      <c r="AV675" s="6" t="b">
        <v>0</v>
      </c>
      <c r="AW675" s="6" t="b">
        <v>0</v>
      </c>
      <c r="AX675" s="6" t="b">
        <v>0</v>
      </c>
      <c r="AY675" s="6" t="b">
        <v>0</v>
      </c>
      <c r="AZ675" s="6" t="b">
        <v>0</v>
      </c>
      <c r="BA675" s="6" t="b">
        <v>0</v>
      </c>
      <c r="BB675" s="6" t="b">
        <v>0</v>
      </c>
    </row>
    <row r="676" spans="1:54" ht="15" x14ac:dyDescent="0.25">
      <c r="A676" s="3" t="s">
        <v>1411</v>
      </c>
      <c r="B676" s="3" t="str">
        <f ca="1">IFERROR(__xludf.DUMMYFUNCTION("SPLIT(A676,""/"")"),"mouse-reeve")</f>
        <v>mouse-reeve</v>
      </c>
      <c r="C676" s="3" t="str">
        <f ca="1">IFERROR(__xludf.DUMMYFUNCTION("""COMPUTED_VALUE"""),"bookwyrm")</f>
        <v>bookwyrm</v>
      </c>
      <c r="D676" s="4" t="s">
        <v>1412</v>
      </c>
      <c r="E676" s="5">
        <v>43857.161041666666</v>
      </c>
      <c r="F676" s="5">
        <v>44294.996180555558</v>
      </c>
      <c r="G676" s="13">
        <f t="shared" si="60"/>
        <v>437.83513888889138</v>
      </c>
      <c r="H676" s="6" t="b">
        <v>0</v>
      </c>
      <c r="I676" s="6" t="b">
        <v>0</v>
      </c>
      <c r="J676" s="8">
        <v>508</v>
      </c>
      <c r="K676" s="8">
        <v>25</v>
      </c>
      <c r="L676" s="8">
        <v>40</v>
      </c>
      <c r="M676" s="8">
        <v>0</v>
      </c>
      <c r="N676" s="8">
        <v>10</v>
      </c>
      <c r="O676" s="8">
        <v>24</v>
      </c>
      <c r="P676" s="8">
        <v>573</v>
      </c>
      <c r="Q676" s="8">
        <v>11</v>
      </c>
      <c r="R676" s="8">
        <v>341</v>
      </c>
      <c r="S676" s="8">
        <v>67</v>
      </c>
      <c r="T676" s="3" t="s">
        <v>92</v>
      </c>
      <c r="U676" s="10">
        <v>12762</v>
      </c>
      <c r="V676" s="32">
        <v>4</v>
      </c>
      <c r="W676" s="27">
        <v>3.1343049678733741E-4</v>
      </c>
      <c r="X676" s="34">
        <v>0</v>
      </c>
      <c r="Y676" s="27">
        <v>0</v>
      </c>
      <c r="Z676" s="27">
        <v>0</v>
      </c>
      <c r="AA676" s="35">
        <v>0</v>
      </c>
      <c r="AB676" s="27">
        <v>0</v>
      </c>
      <c r="AC676" s="27">
        <f t="shared" si="61"/>
        <v>0</v>
      </c>
      <c r="AD676" s="36">
        <v>0</v>
      </c>
      <c r="AE676" s="27">
        <v>0</v>
      </c>
      <c r="AF676" s="27">
        <f t="shared" si="62"/>
        <v>0</v>
      </c>
      <c r="AG676" s="37">
        <v>0</v>
      </c>
      <c r="AH676" s="27">
        <v>0</v>
      </c>
      <c r="AI676" s="27">
        <f t="shared" si="63"/>
        <v>0</v>
      </c>
      <c r="AJ676" s="38">
        <v>0</v>
      </c>
      <c r="AK676" s="27">
        <v>0</v>
      </c>
      <c r="AL676" s="27">
        <f t="shared" si="64"/>
        <v>0</v>
      </c>
      <c r="AM676" s="40">
        <v>0</v>
      </c>
      <c r="AN676" s="27">
        <v>0</v>
      </c>
      <c r="AO676" s="27">
        <f t="shared" si="65"/>
        <v>0</v>
      </c>
      <c r="AP676" s="7" t="b">
        <v>1</v>
      </c>
      <c r="AQ676" s="7" t="b">
        <v>1</v>
      </c>
      <c r="AR676" s="6" t="b">
        <v>0</v>
      </c>
      <c r="AS676" s="6" t="b">
        <v>0</v>
      </c>
      <c r="AT676" s="7" t="b">
        <v>1</v>
      </c>
      <c r="AU676" s="6" t="b">
        <v>0</v>
      </c>
      <c r="AV676" s="6" t="b">
        <v>0</v>
      </c>
      <c r="AW676" s="6" t="b">
        <v>0</v>
      </c>
      <c r="AX676" s="6" t="b">
        <v>0</v>
      </c>
      <c r="AY676" s="6" t="b">
        <v>0</v>
      </c>
      <c r="AZ676" s="6" t="b">
        <v>0</v>
      </c>
      <c r="BA676" s="6" t="b">
        <v>0</v>
      </c>
      <c r="BB676" s="6" t="b">
        <v>0</v>
      </c>
    </row>
    <row r="677" spans="1:54" ht="15" x14ac:dyDescent="0.25">
      <c r="A677" s="3" t="s">
        <v>1413</v>
      </c>
      <c r="B677" s="3" t="str">
        <f ca="1">IFERROR(__xludf.DUMMYFUNCTION("SPLIT(A677,""/"")"),"mozilla-services")</f>
        <v>mozilla-services</v>
      </c>
      <c r="C677" s="3" t="str">
        <f ca="1">IFERROR(__xludf.DUMMYFUNCTION("""COMPUTED_VALUE"""),"socorro")</f>
        <v>socorro</v>
      </c>
      <c r="D677" s="4" t="s">
        <v>1414</v>
      </c>
      <c r="E677" s="5">
        <v>40779.806817129633</v>
      </c>
      <c r="F677" s="5">
        <v>44294.729641203703</v>
      </c>
      <c r="G677" s="13">
        <f t="shared" si="60"/>
        <v>3514.9228240740704</v>
      </c>
      <c r="H677" s="6" t="b">
        <v>0</v>
      </c>
      <c r="I677" s="7" t="b">
        <v>1</v>
      </c>
      <c r="J677" s="8">
        <v>510</v>
      </c>
      <c r="K677" s="8">
        <v>38</v>
      </c>
      <c r="L677" s="8">
        <v>216</v>
      </c>
      <c r="M677" s="8">
        <v>192</v>
      </c>
      <c r="N677" s="8">
        <v>56</v>
      </c>
      <c r="O677" s="8">
        <v>107</v>
      </c>
      <c r="P677" s="8">
        <v>5738</v>
      </c>
      <c r="Q677" s="8">
        <v>0</v>
      </c>
      <c r="R677" s="8">
        <v>0</v>
      </c>
      <c r="S677" s="8">
        <v>0</v>
      </c>
      <c r="T677" s="3" t="s">
        <v>75</v>
      </c>
      <c r="U677" s="10">
        <v>22839</v>
      </c>
      <c r="V677" s="32">
        <v>136</v>
      </c>
      <c r="W677" s="27">
        <v>5.9547265642103421E-3</v>
      </c>
      <c r="X677" s="34">
        <v>40</v>
      </c>
      <c r="Y677" s="27">
        <v>0.29411764705882354</v>
      </c>
      <c r="Z677" s="27">
        <v>1.7513901659442182E-3</v>
      </c>
      <c r="AA677" s="35">
        <v>38</v>
      </c>
      <c r="AB677" s="27">
        <v>0.27941176470588236</v>
      </c>
      <c r="AC677" s="27">
        <f t="shared" si="61"/>
        <v>1.6638206576470073E-3</v>
      </c>
      <c r="AD677" s="36">
        <v>26</v>
      </c>
      <c r="AE677" s="27">
        <v>0.19117647058823528</v>
      </c>
      <c r="AF677" s="27">
        <f t="shared" si="62"/>
        <v>1.1384036078637418E-3</v>
      </c>
      <c r="AG677" s="37">
        <v>29</v>
      </c>
      <c r="AH677" s="27">
        <v>0.21323529411764705</v>
      </c>
      <c r="AI677" s="27">
        <f t="shared" si="63"/>
        <v>1.2697578703095582E-3</v>
      </c>
      <c r="AJ677" s="38">
        <v>3</v>
      </c>
      <c r="AK677" s="27">
        <v>2.2058823529411766E-2</v>
      </c>
      <c r="AL677" s="27">
        <f t="shared" si="64"/>
        <v>1.3135426244581636E-4</v>
      </c>
      <c r="AM677" s="40">
        <v>0</v>
      </c>
      <c r="AN677" s="27">
        <v>0</v>
      </c>
      <c r="AO677" s="27">
        <f t="shared" si="65"/>
        <v>0</v>
      </c>
      <c r="AP677" s="7" t="b">
        <v>1</v>
      </c>
      <c r="AQ677" s="7" t="b">
        <v>1</v>
      </c>
      <c r="AR677" s="6" t="b">
        <v>0</v>
      </c>
      <c r="AS677" s="6" t="b">
        <v>0</v>
      </c>
      <c r="AT677" s="7" t="b">
        <v>1</v>
      </c>
      <c r="AU677" s="6" t="b">
        <v>0</v>
      </c>
      <c r="AV677" s="6" t="b">
        <v>0</v>
      </c>
      <c r="AW677" s="6" t="b">
        <v>0</v>
      </c>
      <c r="AX677" s="6" t="b">
        <v>0</v>
      </c>
      <c r="AY677" s="6" t="b">
        <v>0</v>
      </c>
      <c r="AZ677" s="6" t="b">
        <v>0</v>
      </c>
      <c r="BA677" s="6" t="b">
        <v>0</v>
      </c>
      <c r="BB677" s="6" t="b">
        <v>0</v>
      </c>
    </row>
    <row r="678" spans="1:54" ht="15" x14ac:dyDescent="0.25">
      <c r="A678" s="3" t="s">
        <v>1415</v>
      </c>
      <c r="B678" s="3" t="str">
        <f ca="1">IFERROR(__xludf.DUMMYFUNCTION("SPLIT(A678,""/"")"),"mozilla-services")</f>
        <v>mozilla-services</v>
      </c>
      <c r="C678" s="3" t="str">
        <f ca="1">IFERROR(__xludf.DUMMYFUNCTION("""COMPUTED_VALUE"""),"syncserver")</f>
        <v>syncserver</v>
      </c>
      <c r="D678" s="4" t="s">
        <v>1416</v>
      </c>
      <c r="E678" s="5">
        <v>41681.147835648146</v>
      </c>
      <c r="F678" s="5">
        <v>44293.646608796298</v>
      </c>
      <c r="G678" s="13">
        <f t="shared" si="60"/>
        <v>2612.4987731481524</v>
      </c>
      <c r="H678" s="6" t="b">
        <v>0</v>
      </c>
      <c r="I678" s="7" t="b">
        <v>1</v>
      </c>
      <c r="J678" s="8">
        <v>1336</v>
      </c>
      <c r="K678" s="8">
        <v>72</v>
      </c>
      <c r="L678" s="8">
        <v>115</v>
      </c>
      <c r="M678" s="8">
        <v>0</v>
      </c>
      <c r="N678" s="8">
        <v>4</v>
      </c>
      <c r="O678" s="8">
        <v>41</v>
      </c>
      <c r="P678" s="8">
        <v>88</v>
      </c>
      <c r="Q678" s="8">
        <v>0</v>
      </c>
      <c r="R678" s="8">
        <v>184</v>
      </c>
      <c r="S678" s="8">
        <v>55</v>
      </c>
      <c r="T678" s="3" t="s">
        <v>75</v>
      </c>
      <c r="U678" s="10">
        <v>332</v>
      </c>
      <c r="V678" s="32">
        <v>1</v>
      </c>
      <c r="W678" s="27">
        <v>3.0120481927710845E-3</v>
      </c>
      <c r="X678" s="34">
        <v>0</v>
      </c>
      <c r="Y678" s="27">
        <v>0</v>
      </c>
      <c r="Z678" s="27">
        <v>0</v>
      </c>
      <c r="AA678" s="35">
        <v>0</v>
      </c>
      <c r="AB678" s="27">
        <v>0</v>
      </c>
      <c r="AC678" s="27">
        <f t="shared" si="61"/>
        <v>0</v>
      </c>
      <c r="AD678" s="36">
        <v>0</v>
      </c>
      <c r="AE678" s="27">
        <v>0</v>
      </c>
      <c r="AF678" s="27">
        <f t="shared" si="62"/>
        <v>0</v>
      </c>
      <c r="AG678" s="37">
        <v>1</v>
      </c>
      <c r="AH678" s="27">
        <v>1</v>
      </c>
      <c r="AI678" s="27">
        <f t="shared" si="63"/>
        <v>3.0120481927710845E-3</v>
      </c>
      <c r="AJ678" s="38">
        <v>0</v>
      </c>
      <c r="AK678" s="27">
        <v>0</v>
      </c>
      <c r="AL678" s="27">
        <f t="shared" si="64"/>
        <v>0</v>
      </c>
      <c r="AM678" s="40">
        <v>0</v>
      </c>
      <c r="AN678" s="27">
        <v>0</v>
      </c>
      <c r="AO678" s="27">
        <f t="shared" si="65"/>
        <v>0</v>
      </c>
      <c r="AP678" s="7" t="b">
        <v>1</v>
      </c>
      <c r="AQ678" s="6" t="b">
        <v>0</v>
      </c>
      <c r="AR678" s="6" t="b">
        <v>0</v>
      </c>
      <c r="AS678" s="6" t="b">
        <v>0</v>
      </c>
      <c r="AT678" s="7" t="b">
        <v>1</v>
      </c>
      <c r="AU678" s="6" t="b">
        <v>0</v>
      </c>
      <c r="AV678" s="6" t="b">
        <v>0</v>
      </c>
      <c r="AW678" s="6" t="b">
        <v>0</v>
      </c>
      <c r="AX678" s="6" t="b">
        <v>0</v>
      </c>
      <c r="AY678" s="6" t="b">
        <v>0</v>
      </c>
      <c r="AZ678" s="6" t="b">
        <v>0</v>
      </c>
      <c r="BA678" s="6" t="b">
        <v>0</v>
      </c>
      <c r="BB678" s="6" t="b">
        <v>0</v>
      </c>
    </row>
    <row r="679" spans="1:54" ht="15" x14ac:dyDescent="0.25">
      <c r="A679" s="3" t="s">
        <v>1417</v>
      </c>
      <c r="B679" s="3" t="str">
        <f ca="1">IFERROR(__xludf.DUMMYFUNCTION("SPLIT(A679,""/"")"),"mozilla")</f>
        <v>mozilla</v>
      </c>
      <c r="C679" s="3" t="str">
        <f ca="1">IFERROR(__xludf.DUMMYFUNCTION("""COMPUTED_VALUE"""),"addons-server")</f>
        <v>addons-server</v>
      </c>
      <c r="D679" s="4" t="s">
        <v>1418</v>
      </c>
      <c r="E679" s="5">
        <v>41670.780729166669</v>
      </c>
      <c r="F679" s="5">
        <v>44295.023958333331</v>
      </c>
      <c r="G679" s="13">
        <f t="shared" si="60"/>
        <v>2624.2432291666628</v>
      </c>
      <c r="H679" s="6" t="b">
        <v>0</v>
      </c>
      <c r="I679" s="7" t="b">
        <v>1</v>
      </c>
      <c r="J679" s="8">
        <v>707</v>
      </c>
      <c r="K679" s="8">
        <v>84</v>
      </c>
      <c r="L679" s="8">
        <v>445</v>
      </c>
      <c r="M679" s="8">
        <v>0</v>
      </c>
      <c r="N679" s="8">
        <v>122</v>
      </c>
      <c r="O679" s="8">
        <v>612</v>
      </c>
      <c r="P679" s="8">
        <v>10581</v>
      </c>
      <c r="Q679" s="8">
        <v>21</v>
      </c>
      <c r="R679" s="8">
        <v>6212</v>
      </c>
      <c r="S679" s="8">
        <v>193</v>
      </c>
      <c r="T679" s="3" t="s">
        <v>57</v>
      </c>
      <c r="U679" s="10">
        <v>87501</v>
      </c>
      <c r="V679" s="32">
        <v>465</v>
      </c>
      <c r="W679" s="27">
        <v>5.3142249802859394E-3</v>
      </c>
      <c r="X679" s="34">
        <v>7</v>
      </c>
      <c r="Y679" s="27">
        <v>1.5053763440860216E-2</v>
      </c>
      <c r="Z679" s="27">
        <v>7.999908572473458E-5</v>
      </c>
      <c r="AA679" s="35">
        <v>348</v>
      </c>
      <c r="AB679" s="27">
        <v>0.74838709677419357</v>
      </c>
      <c r="AC679" s="27">
        <f t="shared" si="61"/>
        <v>3.9770974046010902E-3</v>
      </c>
      <c r="AD679" s="36">
        <v>19</v>
      </c>
      <c r="AE679" s="27">
        <v>4.0860215053763443E-2</v>
      </c>
      <c r="AF679" s="27">
        <f t="shared" si="62"/>
        <v>2.1714037553856528E-4</v>
      </c>
      <c r="AG679" s="37">
        <v>82</v>
      </c>
      <c r="AH679" s="27">
        <v>0.17634408602150536</v>
      </c>
      <c r="AI679" s="27">
        <f t="shared" si="63"/>
        <v>9.3713214706117641E-4</v>
      </c>
      <c r="AJ679" s="38">
        <v>5</v>
      </c>
      <c r="AK679" s="27">
        <v>1.0752688172043012E-2</v>
      </c>
      <c r="AL679" s="27">
        <f t="shared" si="64"/>
        <v>5.7142204089096124E-5</v>
      </c>
      <c r="AM679" s="40">
        <v>1</v>
      </c>
      <c r="AN679" s="27">
        <v>2.1505376344086021E-3</v>
      </c>
      <c r="AO679" s="27">
        <f t="shared" si="65"/>
        <v>1.1428440817819225E-5</v>
      </c>
      <c r="AP679" s="7" t="b">
        <v>1</v>
      </c>
      <c r="AQ679" s="7" t="b">
        <v>1</v>
      </c>
      <c r="AR679" s="6" t="b">
        <v>0</v>
      </c>
      <c r="AS679" s="6" t="b">
        <v>0</v>
      </c>
      <c r="AT679" s="7" t="b">
        <v>1</v>
      </c>
      <c r="AU679" s="6" t="b">
        <v>0</v>
      </c>
      <c r="AV679" s="6" t="b">
        <v>0</v>
      </c>
      <c r="AW679" s="6" t="b">
        <v>0</v>
      </c>
      <c r="AX679" s="6" t="b">
        <v>0</v>
      </c>
      <c r="AY679" s="6" t="b">
        <v>0</v>
      </c>
      <c r="AZ679" s="6" t="b">
        <v>0</v>
      </c>
      <c r="BA679" s="6" t="b">
        <v>0</v>
      </c>
      <c r="BB679" s="6" t="b">
        <v>0</v>
      </c>
    </row>
    <row r="680" spans="1:54" ht="15" x14ac:dyDescent="0.25">
      <c r="A680" s="3" t="s">
        <v>1419</v>
      </c>
      <c r="B680" s="3" t="str">
        <f ca="1">IFERROR(__xludf.DUMMYFUNCTION("SPLIT(A680,""/"")"),"mozilla")</f>
        <v>mozilla</v>
      </c>
      <c r="C680" s="3" t="str">
        <f ca="1">IFERROR(__xludf.DUMMYFUNCTION("""COMPUTED_VALUE"""),"bugbug")</f>
        <v>bugbug</v>
      </c>
      <c r="D680" s="4" t="s">
        <v>1420</v>
      </c>
      <c r="E680" s="5">
        <v>43171.645243055558</v>
      </c>
      <c r="F680" s="5">
        <v>44294.626608796294</v>
      </c>
      <c r="G680" s="13">
        <f t="shared" si="60"/>
        <v>1122.9813657407358</v>
      </c>
      <c r="H680" s="6" t="b">
        <v>0</v>
      </c>
      <c r="I680" s="7" t="b">
        <v>1</v>
      </c>
      <c r="J680" s="8">
        <v>336</v>
      </c>
      <c r="K680" s="8">
        <v>19</v>
      </c>
      <c r="L680" s="8">
        <v>214</v>
      </c>
      <c r="M680" s="8">
        <v>0</v>
      </c>
      <c r="N680" s="8">
        <v>86</v>
      </c>
      <c r="O680" s="8">
        <v>77</v>
      </c>
      <c r="P680" s="8">
        <v>1530</v>
      </c>
      <c r="Q680" s="8">
        <v>9</v>
      </c>
      <c r="R680" s="8">
        <v>752</v>
      </c>
      <c r="S680" s="8">
        <v>215</v>
      </c>
      <c r="T680" s="3" t="s">
        <v>75</v>
      </c>
      <c r="U680" s="10">
        <v>12300</v>
      </c>
      <c r="V680" s="32">
        <v>250</v>
      </c>
      <c r="W680" s="27">
        <v>2.032520325203252E-2</v>
      </c>
      <c r="X680" s="34">
        <v>14</v>
      </c>
      <c r="Y680" s="27">
        <v>5.6000000000000001E-2</v>
      </c>
      <c r="Z680" s="27">
        <v>1.1382113821138211E-3</v>
      </c>
      <c r="AA680" s="35">
        <v>214</v>
      </c>
      <c r="AB680" s="27">
        <v>0.85599999999999998</v>
      </c>
      <c r="AC680" s="27">
        <f t="shared" si="61"/>
        <v>1.7398373983739838E-2</v>
      </c>
      <c r="AD680" s="36">
        <v>18</v>
      </c>
      <c r="AE680" s="27">
        <v>7.1999999999999995E-2</v>
      </c>
      <c r="AF680" s="27">
        <f t="shared" si="62"/>
        <v>1.4634146341463415E-3</v>
      </c>
      <c r="AG680" s="37">
        <v>4</v>
      </c>
      <c r="AH680" s="27">
        <v>1.6E-2</v>
      </c>
      <c r="AI680" s="27">
        <f t="shared" si="63"/>
        <v>3.2520325203252032E-4</v>
      </c>
      <c r="AJ680" s="38">
        <v>0</v>
      </c>
      <c r="AK680" s="27">
        <v>0</v>
      </c>
      <c r="AL680" s="27">
        <f t="shared" si="64"/>
        <v>0</v>
      </c>
      <c r="AM680" s="40">
        <v>0</v>
      </c>
      <c r="AN680" s="27">
        <v>0</v>
      </c>
      <c r="AO680" s="27">
        <f t="shared" si="65"/>
        <v>0</v>
      </c>
      <c r="AP680" s="7" t="b">
        <v>1</v>
      </c>
      <c r="AQ680" s="7" t="b">
        <v>1</v>
      </c>
      <c r="AR680" s="6" t="b">
        <v>0</v>
      </c>
      <c r="AS680" s="6" t="b">
        <v>0</v>
      </c>
      <c r="AT680" s="7" t="b">
        <v>1</v>
      </c>
      <c r="AU680" s="6" t="b">
        <v>0</v>
      </c>
      <c r="AV680" s="6" t="b">
        <v>0</v>
      </c>
      <c r="AW680" s="6" t="b">
        <v>0</v>
      </c>
      <c r="AX680" s="6" t="b">
        <v>0</v>
      </c>
      <c r="AY680" s="6" t="b">
        <v>0</v>
      </c>
      <c r="AZ680" s="6" t="b">
        <v>0</v>
      </c>
      <c r="BA680" s="6" t="b">
        <v>0</v>
      </c>
      <c r="BB680" s="6" t="b">
        <v>0</v>
      </c>
    </row>
    <row r="681" spans="1:54" ht="15" x14ac:dyDescent="0.25">
      <c r="A681" s="3" t="s">
        <v>1421</v>
      </c>
      <c r="B681" s="3" t="str">
        <f ca="1">IFERROR(__xludf.DUMMYFUNCTION("SPLIT(A681,""/"")"),"mozilla")</f>
        <v>mozilla</v>
      </c>
      <c r="C681" s="3" t="str">
        <f ca="1">IFERROR(__xludf.DUMMYFUNCTION("""COMPUTED_VALUE"""),"dxr")</f>
        <v>dxr</v>
      </c>
      <c r="D681" s="4" t="s">
        <v>1422</v>
      </c>
      <c r="E681" s="5">
        <v>40687.786550925928</v>
      </c>
      <c r="F681" s="5">
        <v>44285.11582175926</v>
      </c>
      <c r="G681" s="13">
        <f t="shared" si="60"/>
        <v>3597.329270833332</v>
      </c>
      <c r="H681" s="6" t="b">
        <v>0</v>
      </c>
      <c r="I681" s="7" t="b">
        <v>1</v>
      </c>
      <c r="J681" s="8">
        <v>768</v>
      </c>
      <c r="K681" s="8">
        <v>48</v>
      </c>
      <c r="L681" s="8">
        <v>193</v>
      </c>
      <c r="M681" s="8">
        <v>0</v>
      </c>
      <c r="N681" s="8">
        <v>22</v>
      </c>
      <c r="O681" s="8">
        <v>57</v>
      </c>
      <c r="P681" s="8">
        <v>613</v>
      </c>
      <c r="Q681" s="8">
        <v>20</v>
      </c>
      <c r="R681" s="8">
        <v>88</v>
      </c>
      <c r="S681" s="8">
        <v>37</v>
      </c>
      <c r="T681" s="3" t="s">
        <v>92</v>
      </c>
      <c r="U681" s="10">
        <v>8786</v>
      </c>
      <c r="V681" s="32">
        <v>0</v>
      </c>
      <c r="W681" s="27">
        <v>0</v>
      </c>
      <c r="X681" s="34">
        <v>0</v>
      </c>
      <c r="Y681" s="27">
        <v>0</v>
      </c>
      <c r="Z681" s="27">
        <v>0</v>
      </c>
      <c r="AA681" s="35">
        <v>0</v>
      </c>
      <c r="AB681" s="27">
        <v>0</v>
      </c>
      <c r="AC681" s="27">
        <f t="shared" si="61"/>
        <v>0</v>
      </c>
      <c r="AD681" s="36">
        <v>0</v>
      </c>
      <c r="AE681" s="27">
        <v>0</v>
      </c>
      <c r="AF681" s="27">
        <f t="shared" si="62"/>
        <v>0</v>
      </c>
      <c r="AG681" s="37">
        <v>0</v>
      </c>
      <c r="AH681" s="27">
        <v>0</v>
      </c>
      <c r="AI681" s="27">
        <f t="shared" si="63"/>
        <v>0</v>
      </c>
      <c r="AJ681" s="38">
        <v>0</v>
      </c>
      <c r="AK681" s="27">
        <v>0</v>
      </c>
      <c r="AL681" s="27">
        <f t="shared" si="64"/>
        <v>0</v>
      </c>
      <c r="AM681" s="40">
        <v>0</v>
      </c>
      <c r="AN681" s="27">
        <v>0</v>
      </c>
      <c r="AO681" s="27">
        <f t="shared" si="65"/>
        <v>0</v>
      </c>
      <c r="AP681" s="7" t="b">
        <v>1</v>
      </c>
      <c r="AQ681" s="7" t="b">
        <v>1</v>
      </c>
      <c r="AR681" s="6" t="b">
        <v>0</v>
      </c>
      <c r="AS681" s="6" t="b">
        <v>0</v>
      </c>
      <c r="AT681" s="7" t="b">
        <v>1</v>
      </c>
      <c r="AU681" s="6" t="b">
        <v>0</v>
      </c>
      <c r="AV681" s="6" t="b">
        <v>0</v>
      </c>
      <c r="AW681" s="6" t="b">
        <v>0</v>
      </c>
      <c r="AX681" s="6" t="b">
        <v>0</v>
      </c>
      <c r="AY681" s="6" t="b">
        <v>0</v>
      </c>
      <c r="AZ681" s="6" t="b">
        <v>0</v>
      </c>
      <c r="BA681" s="6" t="b">
        <v>0</v>
      </c>
      <c r="BB681" s="6" t="b">
        <v>0</v>
      </c>
    </row>
    <row r="682" spans="1:54" ht="15" x14ac:dyDescent="0.25">
      <c r="A682" s="3" t="s">
        <v>1423</v>
      </c>
      <c r="B682" s="3" t="str">
        <f ca="1">IFERROR(__xludf.DUMMYFUNCTION("SPLIT(A682,""/"")"),"mozilla")</f>
        <v>mozilla</v>
      </c>
      <c r="C682" s="3" t="str">
        <f ca="1">IFERROR(__xludf.DUMMYFUNCTION("""COMPUTED_VALUE"""),"http-observatory")</f>
        <v>http-observatory</v>
      </c>
      <c r="D682" s="4" t="s">
        <v>1424</v>
      </c>
      <c r="E682" s="5">
        <v>42403.964780092596</v>
      </c>
      <c r="F682" s="5">
        <v>44289.331296296295</v>
      </c>
      <c r="G682" s="13">
        <f t="shared" si="60"/>
        <v>1885.3665162036996</v>
      </c>
      <c r="H682" s="6" t="b">
        <v>0</v>
      </c>
      <c r="I682" s="7" t="b">
        <v>1</v>
      </c>
      <c r="J682" s="8">
        <v>1552</v>
      </c>
      <c r="K682" s="8">
        <v>64</v>
      </c>
      <c r="L682" s="8">
        <v>125</v>
      </c>
      <c r="M682" s="8">
        <v>0</v>
      </c>
      <c r="N682" s="8">
        <v>10</v>
      </c>
      <c r="O682" s="8">
        <v>19</v>
      </c>
      <c r="P682" s="8">
        <v>243</v>
      </c>
      <c r="Q682" s="8">
        <v>11</v>
      </c>
      <c r="R682" s="8">
        <v>198</v>
      </c>
      <c r="S682" s="8">
        <v>57</v>
      </c>
      <c r="T682" s="3" t="s">
        <v>75</v>
      </c>
      <c r="U682" s="10">
        <v>2514</v>
      </c>
      <c r="V682" s="32">
        <v>0</v>
      </c>
      <c r="W682" s="27">
        <v>0</v>
      </c>
      <c r="X682" s="34">
        <v>0</v>
      </c>
      <c r="Y682" s="27">
        <v>0</v>
      </c>
      <c r="Z682" s="27">
        <v>0</v>
      </c>
      <c r="AA682" s="35">
        <v>0</v>
      </c>
      <c r="AB682" s="27">
        <v>0</v>
      </c>
      <c r="AC682" s="27">
        <f t="shared" si="61"/>
        <v>0</v>
      </c>
      <c r="AD682" s="36">
        <v>0</v>
      </c>
      <c r="AE682" s="27">
        <v>0</v>
      </c>
      <c r="AF682" s="27">
        <f t="shared" si="62"/>
        <v>0</v>
      </c>
      <c r="AG682" s="37">
        <v>0</v>
      </c>
      <c r="AH682" s="27">
        <v>0</v>
      </c>
      <c r="AI682" s="27">
        <f t="shared" si="63"/>
        <v>0</v>
      </c>
      <c r="AJ682" s="38">
        <v>0</v>
      </c>
      <c r="AK682" s="27">
        <v>0</v>
      </c>
      <c r="AL682" s="27">
        <f t="shared" si="64"/>
        <v>0</v>
      </c>
      <c r="AM682" s="40">
        <v>0</v>
      </c>
      <c r="AN682" s="27">
        <v>0</v>
      </c>
      <c r="AO682" s="27">
        <f t="shared" si="65"/>
        <v>0</v>
      </c>
      <c r="AP682" s="7" t="b">
        <v>1</v>
      </c>
      <c r="AQ682" s="7" t="b">
        <v>1</v>
      </c>
      <c r="AR682" s="6" t="b">
        <v>0</v>
      </c>
      <c r="AS682" s="6" t="b">
        <v>0</v>
      </c>
      <c r="AT682" s="7" t="b">
        <v>1</v>
      </c>
      <c r="AU682" s="6" t="b">
        <v>0</v>
      </c>
      <c r="AV682" s="6" t="b">
        <v>0</v>
      </c>
      <c r="AW682" s="6" t="b">
        <v>0</v>
      </c>
      <c r="AX682" s="6" t="b">
        <v>0</v>
      </c>
      <c r="AY682" s="6" t="b">
        <v>0</v>
      </c>
      <c r="AZ682" s="6" t="b">
        <v>0</v>
      </c>
      <c r="BA682" s="6" t="b">
        <v>0</v>
      </c>
      <c r="BB682" s="6" t="b">
        <v>0</v>
      </c>
    </row>
    <row r="683" spans="1:54" ht="15" x14ac:dyDescent="0.25">
      <c r="A683" s="3" t="s">
        <v>1425</v>
      </c>
      <c r="B683" s="3" t="str">
        <f ca="1">IFERROR(__xludf.DUMMYFUNCTION("SPLIT(A683,""/"")"),"mozilla")</f>
        <v>mozilla</v>
      </c>
      <c r="C683" s="3" t="str">
        <f ca="1">IFERROR(__xludf.DUMMYFUNCTION("""COMPUTED_VALUE"""),"ichnaea")</f>
        <v>ichnaea</v>
      </c>
      <c r="D683" s="4" t="s">
        <v>1426</v>
      </c>
      <c r="E683" s="5">
        <v>41382.535520833335</v>
      </c>
      <c r="F683" s="5">
        <v>44287.571828703702</v>
      </c>
      <c r="G683" s="13">
        <f t="shared" si="60"/>
        <v>2905.0363078703667</v>
      </c>
      <c r="H683" s="6" t="b">
        <v>0</v>
      </c>
      <c r="I683" s="7" t="b">
        <v>1</v>
      </c>
      <c r="J683" s="8">
        <v>445</v>
      </c>
      <c r="K683" s="8">
        <v>51</v>
      </c>
      <c r="L683" s="8">
        <v>124</v>
      </c>
      <c r="M683" s="8">
        <v>2</v>
      </c>
      <c r="N683" s="8">
        <v>22</v>
      </c>
      <c r="O683" s="8">
        <v>35</v>
      </c>
      <c r="P683" s="8">
        <v>1014</v>
      </c>
      <c r="Q683" s="8">
        <v>13</v>
      </c>
      <c r="R683" s="8">
        <v>542</v>
      </c>
      <c r="S683" s="8">
        <v>70</v>
      </c>
      <c r="T683" s="3" t="s">
        <v>69</v>
      </c>
      <c r="U683" s="10">
        <v>16147</v>
      </c>
      <c r="V683" s="32">
        <v>60</v>
      </c>
      <c r="W683" s="27">
        <v>3.715860531368056E-3</v>
      </c>
      <c r="X683" s="34">
        <v>17</v>
      </c>
      <c r="Y683" s="27">
        <v>0.28333333333333333</v>
      </c>
      <c r="Z683" s="27">
        <v>1.0528271505542825E-3</v>
      </c>
      <c r="AA683" s="35">
        <v>32</v>
      </c>
      <c r="AB683" s="27">
        <v>0.53333333333333333</v>
      </c>
      <c r="AC683" s="27">
        <f t="shared" si="61"/>
        <v>1.9817922833962965E-3</v>
      </c>
      <c r="AD683" s="36">
        <v>5</v>
      </c>
      <c r="AE683" s="27">
        <v>8.3333333333333329E-2</v>
      </c>
      <c r="AF683" s="27">
        <f t="shared" si="62"/>
        <v>3.0965504428067135E-4</v>
      </c>
      <c r="AG683" s="37">
        <v>6</v>
      </c>
      <c r="AH683" s="27">
        <v>0.1</v>
      </c>
      <c r="AI683" s="27">
        <f t="shared" si="63"/>
        <v>3.7158605313680559E-4</v>
      </c>
      <c r="AJ683" s="38">
        <v>0</v>
      </c>
      <c r="AK683" s="27">
        <v>0</v>
      </c>
      <c r="AL683" s="27">
        <f t="shared" si="64"/>
        <v>0</v>
      </c>
      <c r="AM683" s="40">
        <v>0</v>
      </c>
      <c r="AN683" s="27">
        <v>0</v>
      </c>
      <c r="AO683" s="27">
        <f t="shared" si="65"/>
        <v>0</v>
      </c>
      <c r="AP683" s="7" t="b">
        <v>1</v>
      </c>
      <c r="AQ683" s="7" t="b">
        <v>1</v>
      </c>
      <c r="AR683" s="6" t="b">
        <v>0</v>
      </c>
      <c r="AS683" s="6" t="b">
        <v>0</v>
      </c>
      <c r="AT683" s="7" t="b">
        <v>1</v>
      </c>
      <c r="AU683" s="6" t="b">
        <v>0</v>
      </c>
      <c r="AV683" s="6" t="b">
        <v>0</v>
      </c>
      <c r="AW683" s="6" t="b">
        <v>0</v>
      </c>
      <c r="AX683" s="6" t="b">
        <v>0</v>
      </c>
      <c r="AY683" s="6" t="b">
        <v>0</v>
      </c>
      <c r="AZ683" s="6" t="b">
        <v>0</v>
      </c>
      <c r="BA683" s="7" t="b">
        <v>1</v>
      </c>
      <c r="BB683" s="6" t="b">
        <v>0</v>
      </c>
    </row>
    <row r="684" spans="1:54" ht="15" x14ac:dyDescent="0.25">
      <c r="A684" s="3" t="s">
        <v>1427</v>
      </c>
      <c r="B684" s="3" t="str">
        <f ca="1">IFERROR(__xludf.DUMMYFUNCTION("SPLIT(A684,""/"")"),"mozilla")</f>
        <v>mozilla</v>
      </c>
      <c r="C684" s="3" t="str">
        <f ca="1">IFERROR(__xludf.DUMMYFUNCTION("""COMPUTED_VALUE"""),"kitsune")</f>
        <v>kitsune</v>
      </c>
      <c r="D684" s="4" t="s">
        <v>1428</v>
      </c>
      <c r="E684" s="5">
        <v>40204.787465277775</v>
      </c>
      <c r="F684" s="5">
        <v>44294.547314814816</v>
      </c>
      <c r="G684" s="13">
        <f t="shared" si="60"/>
        <v>4089.7598495370403</v>
      </c>
      <c r="H684" s="6" t="b">
        <v>0</v>
      </c>
      <c r="I684" s="7" t="b">
        <v>1</v>
      </c>
      <c r="J684" s="8">
        <v>761</v>
      </c>
      <c r="K684" s="8">
        <v>266</v>
      </c>
      <c r="L684" s="8">
        <v>533</v>
      </c>
      <c r="M684" s="8">
        <v>4</v>
      </c>
      <c r="N684" s="8">
        <v>1297</v>
      </c>
      <c r="O684" s="8">
        <v>109</v>
      </c>
      <c r="P684" s="8">
        <v>4089</v>
      </c>
      <c r="Q684" s="8">
        <v>16</v>
      </c>
      <c r="R684" s="8">
        <v>504</v>
      </c>
      <c r="S684" s="8">
        <v>50</v>
      </c>
      <c r="T684" s="3" t="s">
        <v>57</v>
      </c>
      <c r="U684" s="10">
        <v>41725</v>
      </c>
      <c r="V684" s="32">
        <v>164</v>
      </c>
      <c r="W684" s="27">
        <v>3.9304973037747153E-3</v>
      </c>
      <c r="X684" s="34">
        <v>35</v>
      </c>
      <c r="Y684" s="27">
        <v>0.21341463414634146</v>
      </c>
      <c r="Z684" s="27">
        <v>8.3882564409826243E-4</v>
      </c>
      <c r="AA684" s="35">
        <v>67</v>
      </c>
      <c r="AB684" s="27">
        <v>0.40853658536585363</v>
      </c>
      <c r="AC684" s="27">
        <f t="shared" si="61"/>
        <v>1.6057519472738166E-3</v>
      </c>
      <c r="AD684" s="36">
        <v>24</v>
      </c>
      <c r="AE684" s="27">
        <v>0.14634146341463414</v>
      </c>
      <c r="AF684" s="27">
        <f t="shared" si="62"/>
        <v>5.7519472738166565E-4</v>
      </c>
      <c r="AG684" s="37">
        <v>31</v>
      </c>
      <c r="AH684" s="27">
        <v>0.18902439024390244</v>
      </c>
      <c r="AI684" s="27">
        <f t="shared" si="63"/>
        <v>7.4295985620131814E-4</v>
      </c>
      <c r="AJ684" s="38">
        <v>1</v>
      </c>
      <c r="AK684" s="27">
        <v>6.0975609756097563E-3</v>
      </c>
      <c r="AL684" s="27">
        <f t="shared" si="64"/>
        <v>2.396644697423607E-5</v>
      </c>
      <c r="AM684" s="40">
        <v>6</v>
      </c>
      <c r="AN684" s="27">
        <v>3.6585365853658534E-2</v>
      </c>
      <c r="AO684" s="27">
        <f t="shared" si="65"/>
        <v>1.4379868184541641E-4</v>
      </c>
      <c r="AP684" s="7" t="b">
        <v>1</v>
      </c>
      <c r="AQ684" s="7" t="b">
        <v>1</v>
      </c>
      <c r="AR684" s="6" t="b">
        <v>0</v>
      </c>
      <c r="AS684" s="6" t="b">
        <v>0</v>
      </c>
      <c r="AT684" s="7" t="b">
        <v>1</v>
      </c>
      <c r="AU684" s="6" t="b">
        <v>0</v>
      </c>
      <c r="AV684" s="6" t="b">
        <v>0</v>
      </c>
      <c r="AW684" s="6" t="b">
        <v>0</v>
      </c>
      <c r="AX684" s="6" t="b">
        <v>0</v>
      </c>
      <c r="AY684" s="6" t="b">
        <v>0</v>
      </c>
      <c r="AZ684" s="6" t="b">
        <v>0</v>
      </c>
      <c r="BA684" s="6" t="b">
        <v>0</v>
      </c>
      <c r="BB684" s="6" t="b">
        <v>0</v>
      </c>
    </row>
    <row r="685" spans="1:54" ht="15" x14ac:dyDescent="0.25">
      <c r="A685" s="3" t="s">
        <v>1429</v>
      </c>
      <c r="B685" s="3" t="str">
        <f ca="1">IFERROR(__xludf.DUMMYFUNCTION("SPLIT(A685,""/"")"),"mozilla")</f>
        <v>mozilla</v>
      </c>
      <c r="C685" s="3" t="str">
        <f ca="1">IFERROR(__xludf.DUMMYFUNCTION("""COMPUTED_VALUE"""),"MozDef")</f>
        <v>MozDef</v>
      </c>
      <c r="D685" s="4" t="s">
        <v>1430</v>
      </c>
      <c r="E685" s="5">
        <v>41688.321886574071</v>
      </c>
      <c r="F685" s="5">
        <v>44287.485381944447</v>
      </c>
      <c r="G685" s="13">
        <f t="shared" si="60"/>
        <v>2599.163495370376</v>
      </c>
      <c r="H685" s="6" t="b">
        <v>0</v>
      </c>
      <c r="I685" s="7" t="b">
        <v>1</v>
      </c>
      <c r="J685" s="8">
        <v>2106</v>
      </c>
      <c r="K685" s="8">
        <v>154</v>
      </c>
      <c r="L685" s="8">
        <v>273</v>
      </c>
      <c r="M685" s="8">
        <v>52</v>
      </c>
      <c r="N685" s="8">
        <v>8</v>
      </c>
      <c r="O685" s="8">
        <v>40</v>
      </c>
      <c r="P685" s="8">
        <v>1320</v>
      </c>
      <c r="Q685" s="8">
        <v>8</v>
      </c>
      <c r="R685" s="8">
        <v>387</v>
      </c>
      <c r="S685" s="8">
        <v>70</v>
      </c>
      <c r="T685" s="3" t="s">
        <v>75</v>
      </c>
      <c r="U685" s="10">
        <v>19260</v>
      </c>
      <c r="V685" s="32">
        <v>343</v>
      </c>
      <c r="W685" s="27">
        <v>1.7808930425752857E-2</v>
      </c>
      <c r="X685" s="34">
        <v>133</v>
      </c>
      <c r="Y685" s="27">
        <v>0.38775510204081631</v>
      </c>
      <c r="Z685" s="27">
        <v>6.9055036344755974E-3</v>
      </c>
      <c r="AA685" s="35">
        <v>46</v>
      </c>
      <c r="AB685" s="27">
        <v>0.13411078717201166</v>
      </c>
      <c r="AC685" s="27">
        <f t="shared" si="61"/>
        <v>2.3883696780893043E-3</v>
      </c>
      <c r="AD685" s="36">
        <v>4</v>
      </c>
      <c r="AE685" s="27">
        <v>1.1661807580174927E-2</v>
      </c>
      <c r="AF685" s="27">
        <f t="shared" si="62"/>
        <v>2.0768431983385254E-4</v>
      </c>
      <c r="AG685" s="37">
        <v>147</v>
      </c>
      <c r="AH685" s="27">
        <v>0.42857142857142855</v>
      </c>
      <c r="AI685" s="27">
        <f t="shared" si="63"/>
        <v>7.6323987538940812E-3</v>
      </c>
      <c r="AJ685" s="38">
        <v>0</v>
      </c>
      <c r="AK685" s="27">
        <v>0</v>
      </c>
      <c r="AL685" s="27">
        <f t="shared" si="64"/>
        <v>0</v>
      </c>
      <c r="AM685" s="40">
        <v>0</v>
      </c>
      <c r="AN685" s="27">
        <v>0</v>
      </c>
      <c r="AO685" s="27">
        <f t="shared" si="65"/>
        <v>0</v>
      </c>
      <c r="AP685" s="7" t="b">
        <v>1</v>
      </c>
      <c r="AQ685" s="7" t="b">
        <v>1</v>
      </c>
      <c r="AR685" s="6" t="b">
        <v>0</v>
      </c>
      <c r="AS685" s="6" t="b">
        <v>0</v>
      </c>
      <c r="AT685" s="7" t="b">
        <v>1</v>
      </c>
      <c r="AU685" s="6" t="b">
        <v>0</v>
      </c>
      <c r="AV685" s="6" t="b">
        <v>0</v>
      </c>
      <c r="AW685" s="6" t="b">
        <v>0</v>
      </c>
      <c r="AX685" s="6" t="b">
        <v>0</v>
      </c>
      <c r="AY685" s="6" t="b">
        <v>0</v>
      </c>
      <c r="AZ685" s="6" t="b">
        <v>0</v>
      </c>
      <c r="BA685" s="6" t="b">
        <v>0</v>
      </c>
      <c r="BB685" s="6" t="b">
        <v>0</v>
      </c>
    </row>
    <row r="686" spans="1:54" ht="15" x14ac:dyDescent="0.25">
      <c r="A686" s="3" t="s">
        <v>1431</v>
      </c>
      <c r="B686" s="3" t="str">
        <f ca="1">IFERROR(__xludf.DUMMYFUNCTION("SPLIT(A686,""/"")"),"mozilla")</f>
        <v>mozilla</v>
      </c>
      <c r="C686" s="3" t="str">
        <f ca="1">IFERROR(__xludf.DUMMYFUNCTION("""COMPUTED_VALUE"""),"OpenWPM")</f>
        <v>OpenWPM</v>
      </c>
      <c r="D686" s="4" t="s">
        <v>1432</v>
      </c>
      <c r="E686" s="5">
        <v>41800.707951388889</v>
      </c>
      <c r="F686" s="5">
        <v>44292.518657407411</v>
      </c>
      <c r="G686" s="13">
        <f t="shared" si="60"/>
        <v>2491.8107060185212</v>
      </c>
      <c r="H686" s="6" t="b">
        <v>0</v>
      </c>
      <c r="I686" s="7" t="b">
        <v>1</v>
      </c>
      <c r="J686" s="8">
        <v>1118</v>
      </c>
      <c r="K686" s="8">
        <v>61</v>
      </c>
      <c r="L686" s="8">
        <v>232</v>
      </c>
      <c r="M686" s="8">
        <v>18</v>
      </c>
      <c r="N686" s="8">
        <v>6</v>
      </c>
      <c r="O686" s="8">
        <v>46</v>
      </c>
      <c r="P686" s="8">
        <v>373</v>
      </c>
      <c r="Q686" s="8">
        <v>7</v>
      </c>
      <c r="R686" s="8">
        <v>503</v>
      </c>
      <c r="S686" s="8">
        <v>117</v>
      </c>
      <c r="T686" s="3" t="s">
        <v>92</v>
      </c>
      <c r="U686" s="10">
        <v>5982</v>
      </c>
      <c r="V686" s="32">
        <v>142</v>
      </c>
      <c r="W686" s="27">
        <v>2.3737880307589436E-2</v>
      </c>
      <c r="X686" s="34">
        <v>55</v>
      </c>
      <c r="Y686" s="27">
        <v>0.38732394366197181</v>
      </c>
      <c r="Z686" s="27">
        <v>9.1942494149114002E-3</v>
      </c>
      <c r="AA686" s="35">
        <v>41</v>
      </c>
      <c r="AB686" s="27">
        <v>0.28873239436619719</v>
      </c>
      <c r="AC686" s="27">
        <f t="shared" si="61"/>
        <v>6.8538950183884987E-3</v>
      </c>
      <c r="AD686" s="36">
        <v>9</v>
      </c>
      <c r="AE686" s="27">
        <v>6.3380281690140844E-2</v>
      </c>
      <c r="AF686" s="27">
        <f t="shared" si="62"/>
        <v>1.5045135406218655E-3</v>
      </c>
      <c r="AG686" s="37">
        <v>29</v>
      </c>
      <c r="AH686" s="27">
        <v>0.20422535211267606</v>
      </c>
      <c r="AI686" s="27">
        <f t="shared" si="63"/>
        <v>4.8478769642260116E-3</v>
      </c>
      <c r="AJ686" s="38">
        <v>8</v>
      </c>
      <c r="AK686" s="27">
        <v>5.6338028169014086E-2</v>
      </c>
      <c r="AL686" s="27">
        <f t="shared" si="64"/>
        <v>1.3373453694416582E-3</v>
      </c>
      <c r="AM686" s="40">
        <v>0</v>
      </c>
      <c r="AN686" s="27">
        <v>0</v>
      </c>
      <c r="AO686" s="27">
        <f t="shared" si="65"/>
        <v>0</v>
      </c>
      <c r="AP686" s="7" t="b">
        <v>1</v>
      </c>
      <c r="AQ686" s="6" t="b">
        <v>0</v>
      </c>
      <c r="AR686" s="6" t="b">
        <v>0</v>
      </c>
      <c r="AS686" s="6" t="b">
        <v>0</v>
      </c>
      <c r="AT686" s="7" t="b">
        <v>1</v>
      </c>
      <c r="AU686" s="6" t="b">
        <v>0</v>
      </c>
      <c r="AV686" s="6" t="b">
        <v>0</v>
      </c>
      <c r="AW686" s="6" t="b">
        <v>0</v>
      </c>
      <c r="AX686" s="6" t="b">
        <v>0</v>
      </c>
      <c r="AY686" s="6" t="b">
        <v>0</v>
      </c>
      <c r="AZ686" s="6" t="b">
        <v>0</v>
      </c>
      <c r="BA686" s="6" t="b">
        <v>0</v>
      </c>
      <c r="BB686" s="6" t="b">
        <v>0</v>
      </c>
    </row>
    <row r="687" spans="1:54" ht="15" x14ac:dyDescent="0.25">
      <c r="A687" s="3" t="s">
        <v>1433</v>
      </c>
      <c r="B687" s="3" t="str">
        <f ca="1">IFERROR(__xludf.DUMMYFUNCTION("SPLIT(A687,""/"")"),"mozilla")</f>
        <v>mozilla</v>
      </c>
      <c r="C687" s="3" t="str">
        <f ca="1">IFERROR(__xludf.DUMMYFUNCTION("""COMPUTED_VALUE"""),"zamboni")</f>
        <v>zamboni</v>
      </c>
      <c r="D687" s="4" t="s">
        <v>1434</v>
      </c>
      <c r="E687" s="5">
        <v>40109.816365740742</v>
      </c>
      <c r="F687" s="5">
        <v>44276.602754629632</v>
      </c>
      <c r="G687" s="13">
        <f t="shared" si="60"/>
        <v>4166.7863888888896</v>
      </c>
      <c r="H687" s="6" t="b">
        <v>0</v>
      </c>
      <c r="I687" s="7" t="b">
        <v>1</v>
      </c>
      <c r="J687" s="8">
        <v>478</v>
      </c>
      <c r="K687" s="8">
        <v>29</v>
      </c>
      <c r="L687" s="8">
        <v>228</v>
      </c>
      <c r="M687" s="8">
        <v>9</v>
      </c>
      <c r="N687" s="8">
        <v>6258</v>
      </c>
      <c r="O687" s="8">
        <v>185</v>
      </c>
      <c r="P687" s="8">
        <v>3521</v>
      </c>
      <c r="Q687" s="8">
        <v>0</v>
      </c>
      <c r="R687" s="8">
        <v>0</v>
      </c>
      <c r="S687" s="8">
        <v>0</v>
      </c>
      <c r="T687" s="3" t="s">
        <v>57</v>
      </c>
      <c r="U687" s="10">
        <v>70096</v>
      </c>
      <c r="V687" s="32">
        <v>547</v>
      </c>
      <c r="W687" s="27">
        <v>7.8035836566993835E-3</v>
      </c>
      <c r="X687" s="34">
        <v>40</v>
      </c>
      <c r="Y687" s="27">
        <v>7.3126142595978064E-2</v>
      </c>
      <c r="Z687" s="27">
        <v>5.7064597123944309E-4</v>
      </c>
      <c r="AA687" s="35">
        <v>286</v>
      </c>
      <c r="AB687" s="27">
        <v>0.52285191956124311</v>
      </c>
      <c r="AC687" s="27">
        <f t="shared" si="61"/>
        <v>4.0801186943620182E-3</v>
      </c>
      <c r="AD687" s="36">
        <v>17</v>
      </c>
      <c r="AE687" s="27">
        <v>3.1078610603290677E-2</v>
      </c>
      <c r="AF687" s="27">
        <f t="shared" si="62"/>
        <v>2.4252453777676329E-4</v>
      </c>
      <c r="AG687" s="37">
        <v>123</v>
      </c>
      <c r="AH687" s="27">
        <v>0.22486288848263253</v>
      </c>
      <c r="AI687" s="27">
        <f t="shared" si="63"/>
        <v>1.7547363615612874E-3</v>
      </c>
      <c r="AJ687" s="38">
        <v>2</v>
      </c>
      <c r="AK687" s="27">
        <v>3.6563071297989031E-3</v>
      </c>
      <c r="AL687" s="27">
        <f t="shared" si="64"/>
        <v>2.8532298561972153E-5</v>
      </c>
      <c r="AM687" s="40">
        <v>78</v>
      </c>
      <c r="AN687" s="27">
        <v>0.14259597806215721</v>
      </c>
      <c r="AO687" s="27">
        <f t="shared" si="65"/>
        <v>1.112759643916914E-3</v>
      </c>
      <c r="AP687" s="7" t="b">
        <v>1</v>
      </c>
      <c r="AQ687" s="6" t="b">
        <v>0</v>
      </c>
      <c r="AR687" s="6" t="b">
        <v>0</v>
      </c>
      <c r="AS687" s="6" t="b">
        <v>0</v>
      </c>
      <c r="AT687" s="7" t="b">
        <v>1</v>
      </c>
      <c r="AU687" s="6" t="b">
        <v>0</v>
      </c>
      <c r="AV687" s="6" t="b">
        <v>0</v>
      </c>
      <c r="AW687" s="6" t="b">
        <v>0</v>
      </c>
      <c r="AX687" s="6" t="b">
        <v>0</v>
      </c>
      <c r="AY687" s="6" t="b">
        <v>0</v>
      </c>
      <c r="AZ687" s="6" t="b">
        <v>0</v>
      </c>
      <c r="BA687" s="6" t="b">
        <v>0</v>
      </c>
      <c r="BB687" s="6" t="b">
        <v>0</v>
      </c>
    </row>
    <row r="688" spans="1:54" ht="15" x14ac:dyDescent="0.25">
      <c r="A688" s="3" t="s">
        <v>1435</v>
      </c>
      <c r="B688" s="3" t="str">
        <f ca="1">IFERROR(__xludf.DUMMYFUNCTION("SPLIT(A688,""/"")"),"MozillaSecurity")</f>
        <v>MozillaSecurity</v>
      </c>
      <c r="C688" s="3" t="str">
        <f ca="1">IFERROR(__xludf.DUMMYFUNCTION("""COMPUTED_VALUE"""),"dharma")</f>
        <v>dharma</v>
      </c>
      <c r="D688" s="4" t="s">
        <v>1436</v>
      </c>
      <c r="E688" s="5">
        <v>42088.747488425928</v>
      </c>
      <c r="F688" s="5">
        <v>44283.642824074072</v>
      </c>
      <c r="G688" s="13">
        <f t="shared" si="60"/>
        <v>2194.8953356481434</v>
      </c>
      <c r="H688" s="6" t="b">
        <v>0</v>
      </c>
      <c r="I688" s="7" t="b">
        <v>1</v>
      </c>
      <c r="J688" s="8">
        <v>417</v>
      </c>
      <c r="K688" s="8">
        <v>27</v>
      </c>
      <c r="L688" s="8">
        <v>76</v>
      </c>
      <c r="M688" s="8">
        <v>3</v>
      </c>
      <c r="N688" s="8">
        <v>0</v>
      </c>
      <c r="O688" s="8">
        <v>11</v>
      </c>
      <c r="P688" s="8">
        <v>17</v>
      </c>
      <c r="Q688" s="8">
        <v>4</v>
      </c>
      <c r="R688" s="8">
        <v>17</v>
      </c>
      <c r="S688" s="8">
        <v>4</v>
      </c>
      <c r="T688" s="3" t="s">
        <v>75</v>
      </c>
      <c r="U688" s="10">
        <v>852</v>
      </c>
      <c r="V688" s="32">
        <v>41</v>
      </c>
      <c r="W688" s="27">
        <v>4.8122065727699531E-2</v>
      </c>
      <c r="X688" s="34">
        <v>2</v>
      </c>
      <c r="Y688" s="27">
        <v>4.878048780487805E-2</v>
      </c>
      <c r="Z688" s="27">
        <v>2.3474178403755869E-3</v>
      </c>
      <c r="AA688" s="35">
        <v>5</v>
      </c>
      <c r="AB688" s="27">
        <v>0.12195121951219512</v>
      </c>
      <c r="AC688" s="27">
        <f t="shared" si="61"/>
        <v>5.8685446009389668E-3</v>
      </c>
      <c r="AD688" s="36">
        <v>5</v>
      </c>
      <c r="AE688" s="27">
        <v>0.12195121951219512</v>
      </c>
      <c r="AF688" s="27">
        <f t="shared" si="62"/>
        <v>5.8685446009389668E-3</v>
      </c>
      <c r="AG688" s="37">
        <v>29</v>
      </c>
      <c r="AH688" s="27">
        <v>0.70731707317073167</v>
      </c>
      <c r="AI688" s="27">
        <f t="shared" si="63"/>
        <v>3.4037558685446008E-2</v>
      </c>
      <c r="AJ688" s="38">
        <v>0</v>
      </c>
      <c r="AK688" s="27">
        <v>0</v>
      </c>
      <c r="AL688" s="27">
        <f t="shared" si="64"/>
        <v>0</v>
      </c>
      <c r="AM688" s="40">
        <v>0</v>
      </c>
      <c r="AN688" s="27">
        <v>0</v>
      </c>
      <c r="AO688" s="27">
        <f t="shared" si="65"/>
        <v>0</v>
      </c>
      <c r="AP688" s="7" t="b">
        <v>1</v>
      </c>
      <c r="AQ688" s="6" t="b">
        <v>0</v>
      </c>
      <c r="AR688" s="6" t="b">
        <v>0</v>
      </c>
      <c r="AS688" s="6" t="b">
        <v>0</v>
      </c>
      <c r="AT688" s="7" t="b">
        <v>1</v>
      </c>
      <c r="AU688" s="6" t="b">
        <v>0</v>
      </c>
      <c r="AV688" s="6" t="b">
        <v>0</v>
      </c>
      <c r="AW688" s="6" t="b">
        <v>0</v>
      </c>
      <c r="AX688" s="6" t="b">
        <v>0</v>
      </c>
      <c r="AY688" s="6" t="b">
        <v>0</v>
      </c>
      <c r="AZ688" s="6" t="b">
        <v>0</v>
      </c>
      <c r="BA688" s="6" t="b">
        <v>0</v>
      </c>
      <c r="BB688" s="6" t="b">
        <v>0</v>
      </c>
    </row>
    <row r="689" spans="1:54" ht="15" x14ac:dyDescent="0.25">
      <c r="A689" s="3" t="s">
        <v>1437</v>
      </c>
      <c r="B689" s="3" t="str">
        <f ca="1">IFERROR(__xludf.DUMMYFUNCTION("SPLIT(A689,""/"")"),"mps-youtube")</f>
        <v>mps-youtube</v>
      </c>
      <c r="C689" s="3" t="str">
        <f ca="1">IFERROR(__xludf.DUMMYFUNCTION("""COMPUTED_VALUE"""),"mps-youtube")</f>
        <v>mps-youtube</v>
      </c>
      <c r="D689" s="4" t="s">
        <v>1438</v>
      </c>
      <c r="E689" s="5">
        <v>41673.17900462963</v>
      </c>
      <c r="F689" s="5">
        <v>44295.09034722222</v>
      </c>
      <c r="G689" s="13">
        <f t="shared" si="60"/>
        <v>2621.9113425925898</v>
      </c>
      <c r="H689" s="6" t="b">
        <v>0</v>
      </c>
      <c r="I689" s="7" t="b">
        <v>1</v>
      </c>
      <c r="J689" s="8">
        <v>6654</v>
      </c>
      <c r="K689" s="8">
        <v>200</v>
      </c>
      <c r="L689" s="8">
        <v>539</v>
      </c>
      <c r="M689" s="8">
        <v>27</v>
      </c>
      <c r="N689" s="8">
        <v>30</v>
      </c>
      <c r="O689" s="8">
        <v>87</v>
      </c>
      <c r="P689" s="8">
        <v>251</v>
      </c>
      <c r="Q689" s="8">
        <v>27</v>
      </c>
      <c r="R689" s="8">
        <v>905</v>
      </c>
      <c r="S689" s="8">
        <v>297</v>
      </c>
      <c r="T689" s="11" t="s">
        <v>52</v>
      </c>
      <c r="U689" s="10">
        <v>5285</v>
      </c>
      <c r="V689" s="32">
        <v>4</v>
      </c>
      <c r="W689" s="27">
        <v>7.5685903500473037E-4</v>
      </c>
      <c r="X689" s="34">
        <v>1</v>
      </c>
      <c r="Y689" s="27">
        <v>0.25</v>
      </c>
      <c r="Z689" s="27">
        <v>1.8921475875118259E-4</v>
      </c>
      <c r="AA689" s="35">
        <v>3</v>
      </c>
      <c r="AB689" s="27">
        <v>0.75</v>
      </c>
      <c r="AC689" s="27">
        <f t="shared" si="61"/>
        <v>5.6764427625354778E-4</v>
      </c>
      <c r="AD689" s="36">
        <v>0</v>
      </c>
      <c r="AE689" s="27">
        <v>0</v>
      </c>
      <c r="AF689" s="27">
        <f t="shared" si="62"/>
        <v>0</v>
      </c>
      <c r="AG689" s="37">
        <v>0</v>
      </c>
      <c r="AH689" s="27">
        <v>0</v>
      </c>
      <c r="AI689" s="27">
        <f t="shared" si="63"/>
        <v>0</v>
      </c>
      <c r="AJ689" s="38">
        <v>0</v>
      </c>
      <c r="AK689" s="27">
        <v>0</v>
      </c>
      <c r="AL689" s="27">
        <f t="shared" si="64"/>
        <v>0</v>
      </c>
      <c r="AM689" s="40">
        <v>0</v>
      </c>
      <c r="AN689" s="27">
        <v>0</v>
      </c>
      <c r="AO689" s="27">
        <f t="shared" si="65"/>
        <v>0</v>
      </c>
      <c r="AP689" s="7" t="b">
        <v>1</v>
      </c>
      <c r="AQ689" s="6" t="b">
        <v>0</v>
      </c>
      <c r="AR689" s="6" t="b">
        <v>0</v>
      </c>
      <c r="AS689" s="6" t="b">
        <v>0</v>
      </c>
      <c r="AT689" s="7" t="b">
        <v>1</v>
      </c>
      <c r="AU689" s="6" t="b">
        <v>0</v>
      </c>
      <c r="AV689" s="6" t="b">
        <v>0</v>
      </c>
      <c r="AW689" s="6" t="b">
        <v>0</v>
      </c>
      <c r="AX689" s="6" t="b">
        <v>0</v>
      </c>
      <c r="AY689" s="6" t="b">
        <v>0</v>
      </c>
      <c r="AZ689" s="6" t="b">
        <v>0</v>
      </c>
      <c r="BA689" s="6" t="b">
        <v>0</v>
      </c>
      <c r="BB689" s="6" t="b">
        <v>0</v>
      </c>
    </row>
    <row r="690" spans="1:54" ht="15" x14ac:dyDescent="0.25">
      <c r="A690" s="3" t="s">
        <v>1439</v>
      </c>
      <c r="B690" s="3" t="str">
        <f ca="1">IFERROR(__xludf.DUMMYFUNCTION("SPLIT(A690,""/"")"),"mtianyan")</f>
        <v>mtianyan</v>
      </c>
      <c r="C690" s="3" t="str">
        <f ca="1">IFERROR(__xludf.DUMMYFUNCTION("""COMPUTED_VALUE"""),"VueDjangoAntdProBookShop")</f>
        <v>VueDjangoAntdProBookShop</v>
      </c>
      <c r="D690" s="4" t="s">
        <v>1440</v>
      </c>
      <c r="E690" s="5">
        <v>43144.836192129631</v>
      </c>
      <c r="F690" s="5">
        <v>44294.310810185183</v>
      </c>
      <c r="G690" s="13">
        <f t="shared" si="60"/>
        <v>1149.4746180555521</v>
      </c>
      <c r="H690" s="6" t="b">
        <v>0</v>
      </c>
      <c r="I690" s="6" t="b">
        <v>0</v>
      </c>
      <c r="J690" s="8">
        <v>850</v>
      </c>
      <c r="K690" s="8">
        <v>57</v>
      </c>
      <c r="L690" s="8">
        <v>340</v>
      </c>
      <c r="M690" s="8">
        <v>0</v>
      </c>
      <c r="N690" s="8">
        <v>0</v>
      </c>
      <c r="O690" s="8">
        <v>2</v>
      </c>
      <c r="P690" s="8">
        <v>34</v>
      </c>
      <c r="Q690" s="8">
        <v>21</v>
      </c>
      <c r="R690" s="8">
        <v>20</v>
      </c>
      <c r="S690" s="8">
        <v>2</v>
      </c>
      <c r="T690" s="11" t="s">
        <v>52</v>
      </c>
      <c r="U690" s="10">
        <v>14574</v>
      </c>
      <c r="V690" s="32">
        <v>5</v>
      </c>
      <c r="W690" s="27">
        <v>3.4307671195279267E-4</v>
      </c>
      <c r="X690" s="34">
        <v>0</v>
      </c>
      <c r="Y690" s="27">
        <v>0</v>
      </c>
      <c r="Z690" s="27">
        <v>0</v>
      </c>
      <c r="AA690" s="35">
        <v>0</v>
      </c>
      <c r="AB690" s="27">
        <v>0</v>
      </c>
      <c r="AC690" s="27">
        <f t="shared" si="61"/>
        <v>0</v>
      </c>
      <c r="AD690" s="36">
        <v>3</v>
      </c>
      <c r="AE690" s="27">
        <v>0.6</v>
      </c>
      <c r="AF690" s="27">
        <f t="shared" si="62"/>
        <v>2.0584602717167559E-4</v>
      </c>
      <c r="AG690" s="37">
        <v>2</v>
      </c>
      <c r="AH690" s="27">
        <v>0.4</v>
      </c>
      <c r="AI690" s="27">
        <f t="shared" si="63"/>
        <v>1.3723068478111705E-4</v>
      </c>
      <c r="AJ690" s="38">
        <v>0</v>
      </c>
      <c r="AK690" s="27">
        <v>0</v>
      </c>
      <c r="AL690" s="27">
        <f t="shared" si="64"/>
        <v>0</v>
      </c>
      <c r="AM690" s="40">
        <v>0</v>
      </c>
      <c r="AN690" s="27">
        <v>0</v>
      </c>
      <c r="AO690" s="27">
        <f t="shared" si="65"/>
        <v>0</v>
      </c>
      <c r="AP690" s="7" t="b">
        <v>1</v>
      </c>
      <c r="AQ690" s="7" t="b">
        <v>1</v>
      </c>
      <c r="AR690" s="6" t="b">
        <v>0</v>
      </c>
      <c r="AS690" s="6" t="b">
        <v>0</v>
      </c>
      <c r="AT690" s="7" t="b">
        <v>1</v>
      </c>
      <c r="AU690" s="6" t="b">
        <v>0</v>
      </c>
      <c r="AV690" s="6" t="b">
        <v>0</v>
      </c>
      <c r="AW690" s="6" t="b">
        <v>0</v>
      </c>
      <c r="AX690" s="6" t="b">
        <v>0</v>
      </c>
      <c r="AY690" s="6" t="b">
        <v>0</v>
      </c>
      <c r="AZ690" s="6" t="b">
        <v>0</v>
      </c>
      <c r="BA690" s="6" t="b">
        <v>0</v>
      </c>
      <c r="BB690" s="6" t="b">
        <v>0</v>
      </c>
    </row>
    <row r="691" spans="1:54" ht="15" x14ac:dyDescent="0.25">
      <c r="A691" s="3" t="s">
        <v>1441</v>
      </c>
      <c r="B691" s="3" t="str">
        <f ca="1">IFERROR(__xludf.DUMMYFUNCTION("SPLIT(A691,""/"")"),"mukulhase")</f>
        <v>mukulhase</v>
      </c>
      <c r="C691" s="3" t="str">
        <f ca="1">IFERROR(__xludf.DUMMYFUNCTION("""COMPUTED_VALUE"""),"WebWhatsapp-Wrapper")</f>
        <v>WebWhatsapp-Wrapper</v>
      </c>
      <c r="D691" s="4" t="s">
        <v>1442</v>
      </c>
      <c r="E691" s="5">
        <v>42496.553946759261</v>
      </c>
      <c r="F691" s="5">
        <v>44293.937210648146</v>
      </c>
      <c r="G691" s="13">
        <f t="shared" si="60"/>
        <v>1797.3832638888853</v>
      </c>
      <c r="H691" s="6" t="b">
        <v>0</v>
      </c>
      <c r="I691" s="6" t="b">
        <v>0</v>
      </c>
      <c r="J691" s="8">
        <v>1705</v>
      </c>
      <c r="K691" s="8">
        <v>190</v>
      </c>
      <c r="L691" s="8">
        <v>696</v>
      </c>
      <c r="M691" s="8">
        <v>4</v>
      </c>
      <c r="N691" s="8">
        <v>19</v>
      </c>
      <c r="O691" s="8">
        <v>60</v>
      </c>
      <c r="P691" s="8">
        <v>184</v>
      </c>
      <c r="Q691" s="8">
        <v>30</v>
      </c>
      <c r="R691" s="8">
        <v>814</v>
      </c>
      <c r="S691" s="8">
        <v>421</v>
      </c>
      <c r="T691" s="3" t="s">
        <v>72</v>
      </c>
      <c r="U691" s="10">
        <v>1781</v>
      </c>
      <c r="V691" s="32">
        <v>12</v>
      </c>
      <c r="W691" s="27">
        <v>6.7377877596855699E-3</v>
      </c>
      <c r="X691" s="34">
        <v>2</v>
      </c>
      <c r="Y691" s="27">
        <v>0.16666666666666666</v>
      </c>
      <c r="Z691" s="27">
        <v>1.1229646266142617E-3</v>
      </c>
      <c r="AA691" s="35">
        <v>8</v>
      </c>
      <c r="AB691" s="27">
        <v>0.66666666666666663</v>
      </c>
      <c r="AC691" s="27">
        <f t="shared" si="61"/>
        <v>4.4918585064570469E-3</v>
      </c>
      <c r="AD691" s="36">
        <v>0</v>
      </c>
      <c r="AE691" s="27">
        <v>0</v>
      </c>
      <c r="AF691" s="27">
        <f t="shared" si="62"/>
        <v>0</v>
      </c>
      <c r="AG691" s="37">
        <v>1</v>
      </c>
      <c r="AH691" s="27">
        <v>8.3333333333333329E-2</v>
      </c>
      <c r="AI691" s="27">
        <f t="shared" si="63"/>
        <v>5.6148231330713087E-4</v>
      </c>
      <c r="AJ691" s="38">
        <v>1</v>
      </c>
      <c r="AK691" s="27">
        <v>8.3333333333333329E-2</v>
      </c>
      <c r="AL691" s="27">
        <f t="shared" si="64"/>
        <v>5.6148231330713087E-4</v>
      </c>
      <c r="AM691" s="40">
        <v>0</v>
      </c>
      <c r="AN691" s="27">
        <v>0</v>
      </c>
      <c r="AO691" s="27">
        <f t="shared" si="65"/>
        <v>0</v>
      </c>
      <c r="AP691" s="7" t="b">
        <v>1</v>
      </c>
      <c r="AQ691" s="7" t="b">
        <v>1</v>
      </c>
      <c r="AR691" s="6" t="b">
        <v>0</v>
      </c>
      <c r="AS691" s="6" t="b">
        <v>0</v>
      </c>
      <c r="AT691" s="7" t="b">
        <v>1</v>
      </c>
      <c r="AU691" s="6" t="b">
        <v>0</v>
      </c>
      <c r="AV691" s="6" t="b">
        <v>0</v>
      </c>
      <c r="AW691" s="6" t="b">
        <v>0</v>
      </c>
      <c r="AX691" s="6" t="b">
        <v>0</v>
      </c>
      <c r="AY691" s="6" t="b">
        <v>0</v>
      </c>
      <c r="AZ691" s="6" t="b">
        <v>0</v>
      </c>
      <c r="BA691" s="6" t="b">
        <v>0</v>
      </c>
      <c r="BB691" s="6" t="b">
        <v>0</v>
      </c>
    </row>
    <row r="692" spans="1:54" ht="15" x14ac:dyDescent="0.25">
      <c r="A692" s="3" t="s">
        <v>1443</v>
      </c>
      <c r="B692" s="3" t="str">
        <f ca="1">IFERROR(__xludf.DUMMYFUNCTION("SPLIT(A692,""/"")"),"MultiAgentLearning")</f>
        <v>MultiAgentLearning</v>
      </c>
      <c r="C692" s="3" t="str">
        <f ca="1">IFERROR(__xludf.DUMMYFUNCTION("""COMPUTED_VALUE"""),"playground")</f>
        <v>playground</v>
      </c>
      <c r="D692" s="4" t="s">
        <v>1444</v>
      </c>
      <c r="E692" s="5">
        <v>43095.128622685188</v>
      </c>
      <c r="F692" s="5">
        <v>44280.348969907405</v>
      </c>
      <c r="G692" s="13">
        <f t="shared" si="60"/>
        <v>1185.2203472222172</v>
      </c>
      <c r="H692" s="6" t="b">
        <v>0</v>
      </c>
      <c r="I692" s="7" t="b">
        <v>1</v>
      </c>
      <c r="J692" s="8">
        <v>650</v>
      </c>
      <c r="K692" s="8">
        <v>29</v>
      </c>
      <c r="L692" s="8">
        <v>185</v>
      </c>
      <c r="M692" s="8">
        <v>0</v>
      </c>
      <c r="N692" s="8">
        <v>4</v>
      </c>
      <c r="O692" s="8">
        <v>32</v>
      </c>
      <c r="P692" s="8">
        <v>131</v>
      </c>
      <c r="Q692" s="8">
        <v>7</v>
      </c>
      <c r="R692" s="8">
        <v>108</v>
      </c>
      <c r="S692" s="8">
        <v>9</v>
      </c>
      <c r="T692" s="3" t="s">
        <v>69</v>
      </c>
      <c r="U692" s="10">
        <v>3684</v>
      </c>
      <c r="V692" s="32">
        <v>39</v>
      </c>
      <c r="W692" s="27">
        <v>1.0586319218241042E-2</v>
      </c>
      <c r="X692" s="34">
        <v>0</v>
      </c>
      <c r="Y692" s="27">
        <v>0</v>
      </c>
      <c r="Z692" s="27">
        <v>0</v>
      </c>
      <c r="AA692" s="35">
        <v>24</v>
      </c>
      <c r="AB692" s="27">
        <v>0.61538461538461542</v>
      </c>
      <c r="AC692" s="27">
        <f t="shared" si="61"/>
        <v>6.5146579804560263E-3</v>
      </c>
      <c r="AD692" s="36">
        <v>5</v>
      </c>
      <c r="AE692" s="27">
        <v>0.12820512820512819</v>
      </c>
      <c r="AF692" s="27">
        <f t="shared" si="62"/>
        <v>1.3572204125950054E-3</v>
      </c>
      <c r="AG692" s="37">
        <v>0</v>
      </c>
      <c r="AH692" s="27">
        <v>0</v>
      </c>
      <c r="AI692" s="27">
        <f t="shared" si="63"/>
        <v>0</v>
      </c>
      <c r="AJ692" s="38">
        <v>4</v>
      </c>
      <c r="AK692" s="27">
        <v>0.10256410256410256</v>
      </c>
      <c r="AL692" s="27">
        <f t="shared" si="64"/>
        <v>1.0857763300760044E-3</v>
      </c>
      <c r="AM692" s="40">
        <v>0</v>
      </c>
      <c r="AN692" s="27">
        <v>0</v>
      </c>
      <c r="AO692" s="27">
        <f t="shared" si="65"/>
        <v>0</v>
      </c>
      <c r="AP692" s="7" t="b">
        <v>1</v>
      </c>
      <c r="AQ692" s="6" t="b">
        <v>0</v>
      </c>
      <c r="AR692" s="6" t="b">
        <v>0</v>
      </c>
      <c r="AS692" s="6" t="b">
        <v>0</v>
      </c>
      <c r="AT692" s="7" t="b">
        <v>1</v>
      </c>
      <c r="AU692" s="6" t="b">
        <v>0</v>
      </c>
      <c r="AV692" s="6" t="b">
        <v>0</v>
      </c>
      <c r="AW692" s="6" t="b">
        <v>0</v>
      </c>
      <c r="AX692" s="6" t="b">
        <v>0</v>
      </c>
      <c r="AY692" s="6" t="b">
        <v>0</v>
      </c>
      <c r="AZ692" s="6" t="b">
        <v>0</v>
      </c>
      <c r="BA692" s="6" t="b">
        <v>0</v>
      </c>
      <c r="BB692" s="6" t="b">
        <v>0</v>
      </c>
    </row>
    <row r="693" spans="1:54" ht="15" x14ac:dyDescent="0.25">
      <c r="A693" s="3" t="s">
        <v>1445</v>
      </c>
      <c r="B693" s="3" t="str">
        <f ca="1">IFERROR(__xludf.DUMMYFUNCTION("SPLIT(A693,""/"")"),"mushorg")</f>
        <v>mushorg</v>
      </c>
      <c r="C693" s="3" t="str">
        <f ca="1">IFERROR(__xludf.DUMMYFUNCTION("""COMPUTED_VALUE"""),"conpot")</f>
        <v>conpot</v>
      </c>
      <c r="D693" s="4" t="s">
        <v>1446</v>
      </c>
      <c r="E693" s="5">
        <v>41353.544490740744</v>
      </c>
      <c r="F693" s="5">
        <v>44289.872152777774</v>
      </c>
      <c r="G693" s="13">
        <f t="shared" si="60"/>
        <v>2936.3276620370307</v>
      </c>
      <c r="H693" s="6" t="b">
        <v>0</v>
      </c>
      <c r="I693" s="7" t="b">
        <v>1</v>
      </c>
      <c r="J693" s="8">
        <v>860</v>
      </c>
      <c r="K693" s="8">
        <v>91</v>
      </c>
      <c r="L693" s="8">
        <v>314</v>
      </c>
      <c r="M693" s="8">
        <v>2</v>
      </c>
      <c r="N693" s="8">
        <v>86</v>
      </c>
      <c r="O693" s="8">
        <v>42</v>
      </c>
      <c r="P693" s="8">
        <v>192</v>
      </c>
      <c r="Q693" s="8">
        <v>7</v>
      </c>
      <c r="R693" s="8">
        <v>361</v>
      </c>
      <c r="S693" s="8">
        <v>93</v>
      </c>
      <c r="T693" s="3" t="s">
        <v>64</v>
      </c>
      <c r="U693" s="10">
        <v>11316</v>
      </c>
      <c r="V693" s="32">
        <v>399</v>
      </c>
      <c r="W693" s="27">
        <v>3.5259809119830329E-2</v>
      </c>
      <c r="X693" s="34">
        <v>94</v>
      </c>
      <c r="Y693" s="27">
        <v>0.23558897243107768</v>
      </c>
      <c r="Z693" s="27">
        <v>8.30682219865677E-3</v>
      </c>
      <c r="AA693" s="35">
        <v>209</v>
      </c>
      <c r="AB693" s="27">
        <v>0.52380952380952384</v>
      </c>
      <c r="AC693" s="27">
        <f t="shared" si="61"/>
        <v>1.846942382467303E-2</v>
      </c>
      <c r="AD693" s="36">
        <v>39</v>
      </c>
      <c r="AE693" s="27">
        <v>9.7744360902255634E-2</v>
      </c>
      <c r="AF693" s="27">
        <f t="shared" si="62"/>
        <v>3.4464475079533405E-3</v>
      </c>
      <c r="AG693" s="37">
        <v>33</v>
      </c>
      <c r="AH693" s="27">
        <v>8.2706766917293228E-2</v>
      </c>
      <c r="AI693" s="27">
        <f t="shared" si="63"/>
        <v>2.9162248144220574E-3</v>
      </c>
      <c r="AJ693" s="38">
        <v>3</v>
      </c>
      <c r="AK693" s="27">
        <v>7.5187969924812026E-3</v>
      </c>
      <c r="AL693" s="27">
        <f t="shared" si="64"/>
        <v>2.651113467656416E-4</v>
      </c>
      <c r="AM693" s="40">
        <v>16</v>
      </c>
      <c r="AN693" s="27">
        <v>4.0100250626566414E-2</v>
      </c>
      <c r="AO693" s="27">
        <f t="shared" si="65"/>
        <v>1.4139271827500884E-3</v>
      </c>
      <c r="AP693" s="7" t="b">
        <v>1</v>
      </c>
      <c r="AQ693" s="7" t="b">
        <v>1</v>
      </c>
      <c r="AR693" s="6" t="b">
        <v>0</v>
      </c>
      <c r="AS693" s="6" t="b">
        <v>0</v>
      </c>
      <c r="AT693" s="7" t="b">
        <v>1</v>
      </c>
      <c r="AU693" s="6" t="b">
        <v>0</v>
      </c>
      <c r="AV693" s="6" t="b">
        <v>0</v>
      </c>
      <c r="AW693" s="6" t="b">
        <v>0</v>
      </c>
      <c r="AX693" s="6" t="b">
        <v>0</v>
      </c>
      <c r="AY693" s="6" t="b">
        <v>0</v>
      </c>
      <c r="AZ693" s="6" t="b">
        <v>0</v>
      </c>
      <c r="BA693" s="6" t="b">
        <v>0</v>
      </c>
      <c r="BB693" s="6" t="b">
        <v>0</v>
      </c>
    </row>
    <row r="694" spans="1:54" ht="15" x14ac:dyDescent="0.25">
      <c r="A694" s="3" t="s">
        <v>1447</v>
      </c>
      <c r="B694" s="3" t="str">
        <f ca="1">IFERROR(__xludf.DUMMYFUNCTION("SPLIT(A694,""/"")"),"mushorg")</f>
        <v>mushorg</v>
      </c>
      <c r="C694" s="3" t="str">
        <f ca="1">IFERROR(__xludf.DUMMYFUNCTION("""COMPUTED_VALUE"""),"glastopf")</f>
        <v>glastopf</v>
      </c>
      <c r="D694" s="4" t="s">
        <v>1448</v>
      </c>
      <c r="E694" s="5">
        <v>41228.914664351854</v>
      </c>
      <c r="F694" s="5">
        <v>44292.123067129629</v>
      </c>
      <c r="G694" s="13">
        <f t="shared" si="60"/>
        <v>3063.2084027777746</v>
      </c>
      <c r="H694" s="6" t="b">
        <v>0</v>
      </c>
      <c r="I694" s="7" t="b">
        <v>1</v>
      </c>
      <c r="J694" s="8">
        <v>447</v>
      </c>
      <c r="K694" s="8">
        <v>52</v>
      </c>
      <c r="L694" s="8">
        <v>151</v>
      </c>
      <c r="M694" s="8">
        <v>1</v>
      </c>
      <c r="N694" s="8">
        <v>67</v>
      </c>
      <c r="O694" s="8">
        <v>40</v>
      </c>
      <c r="P694" s="8">
        <v>96</v>
      </c>
      <c r="Q694" s="8">
        <v>1</v>
      </c>
      <c r="R694" s="8">
        <v>209</v>
      </c>
      <c r="S694" s="8">
        <v>1</v>
      </c>
      <c r="T694" s="11" t="s">
        <v>52</v>
      </c>
      <c r="U694" s="10">
        <v>4024</v>
      </c>
      <c r="V694" s="32">
        <v>109</v>
      </c>
      <c r="W694" s="27">
        <v>2.7087475149105367E-2</v>
      </c>
      <c r="X694" s="34">
        <v>14</v>
      </c>
      <c r="Y694" s="27">
        <v>0.12844036697247707</v>
      </c>
      <c r="Z694" s="27">
        <v>3.4791252485089465E-3</v>
      </c>
      <c r="AA694" s="35">
        <v>23</v>
      </c>
      <c r="AB694" s="27">
        <v>0.21100917431192662</v>
      </c>
      <c r="AC694" s="27">
        <f t="shared" si="61"/>
        <v>5.7157057654075548E-3</v>
      </c>
      <c r="AD694" s="36">
        <v>46</v>
      </c>
      <c r="AE694" s="27">
        <v>0.42201834862385323</v>
      </c>
      <c r="AF694" s="27">
        <f t="shared" si="62"/>
        <v>1.143141153081511E-2</v>
      </c>
      <c r="AG694" s="37">
        <v>26</v>
      </c>
      <c r="AH694" s="27">
        <v>0.23853211009174313</v>
      </c>
      <c r="AI694" s="27">
        <f t="shared" si="63"/>
        <v>6.4612326043737576E-3</v>
      </c>
      <c r="AJ694" s="38">
        <v>0</v>
      </c>
      <c r="AK694" s="27">
        <v>0</v>
      </c>
      <c r="AL694" s="27">
        <f t="shared" si="64"/>
        <v>0</v>
      </c>
      <c r="AM694" s="40">
        <v>0</v>
      </c>
      <c r="AN694" s="27">
        <v>0</v>
      </c>
      <c r="AO694" s="27">
        <f t="shared" si="65"/>
        <v>0</v>
      </c>
      <c r="AP694" s="7" t="b">
        <v>1</v>
      </c>
      <c r="AQ694" s="6" t="b">
        <v>0</v>
      </c>
      <c r="AR694" s="6" t="b">
        <v>0</v>
      </c>
      <c r="AS694" s="6" t="b">
        <v>0</v>
      </c>
      <c r="AT694" s="7" t="b">
        <v>1</v>
      </c>
      <c r="AU694" s="6" t="b">
        <v>0</v>
      </c>
      <c r="AV694" s="6" t="b">
        <v>0</v>
      </c>
      <c r="AW694" s="6" t="b">
        <v>0</v>
      </c>
      <c r="AX694" s="6" t="b">
        <v>0</v>
      </c>
      <c r="AY694" s="6" t="b">
        <v>0</v>
      </c>
      <c r="AZ694" s="6" t="b">
        <v>0</v>
      </c>
      <c r="BA694" s="6" t="b">
        <v>0</v>
      </c>
      <c r="BB694" s="6" t="b">
        <v>0</v>
      </c>
    </row>
    <row r="695" spans="1:54" ht="15" x14ac:dyDescent="0.25">
      <c r="A695" s="3" t="s">
        <v>1449</v>
      </c>
      <c r="B695" s="3" t="str">
        <f ca="1">IFERROR(__xludf.DUMMYFUNCTION("SPLIT(A695,""/"")"),"mvantellingen")</f>
        <v>mvantellingen</v>
      </c>
      <c r="C695" s="3" t="str">
        <f ca="1">IFERROR(__xludf.DUMMYFUNCTION("""COMPUTED_VALUE"""),"localshop")</f>
        <v>localshop</v>
      </c>
      <c r="D695" s="4" t="s">
        <v>1450</v>
      </c>
      <c r="E695" s="5">
        <v>40944.502662037034</v>
      </c>
      <c r="F695" s="5">
        <v>44209.814988425926</v>
      </c>
      <c r="G695" s="13">
        <f t="shared" si="60"/>
        <v>3265.312326388892</v>
      </c>
      <c r="H695" s="6" t="b">
        <v>0</v>
      </c>
      <c r="I695" s="6" t="b">
        <v>0</v>
      </c>
      <c r="J695" s="8">
        <v>371</v>
      </c>
      <c r="K695" s="8">
        <v>18</v>
      </c>
      <c r="L695" s="8">
        <v>107</v>
      </c>
      <c r="M695" s="8">
        <v>0</v>
      </c>
      <c r="N695" s="8">
        <v>7</v>
      </c>
      <c r="O695" s="8">
        <v>36</v>
      </c>
      <c r="P695" s="8">
        <v>106</v>
      </c>
      <c r="Q695" s="8">
        <v>10</v>
      </c>
      <c r="R695" s="8">
        <v>110</v>
      </c>
      <c r="S695" s="8">
        <v>34</v>
      </c>
      <c r="T695" s="3" t="s">
        <v>72</v>
      </c>
      <c r="U695" s="10">
        <v>2695</v>
      </c>
      <c r="V695" s="32">
        <v>18</v>
      </c>
      <c r="W695" s="27">
        <v>6.6790352504638223E-3</v>
      </c>
      <c r="X695" s="34">
        <v>1</v>
      </c>
      <c r="Y695" s="27">
        <v>5.5555555555555552E-2</v>
      </c>
      <c r="Z695" s="27">
        <v>3.7105751391465676E-4</v>
      </c>
      <c r="AA695" s="35">
        <v>14</v>
      </c>
      <c r="AB695" s="27">
        <v>0.77777777777777779</v>
      </c>
      <c r="AC695" s="27">
        <f t="shared" si="61"/>
        <v>5.1948051948051948E-3</v>
      </c>
      <c r="AD695" s="36">
        <v>0</v>
      </c>
      <c r="AE695" s="27">
        <v>0</v>
      </c>
      <c r="AF695" s="27">
        <f t="shared" si="62"/>
        <v>0</v>
      </c>
      <c r="AG695" s="37">
        <v>3</v>
      </c>
      <c r="AH695" s="27">
        <v>0.16666666666666666</v>
      </c>
      <c r="AI695" s="27">
        <f t="shared" si="63"/>
        <v>1.1131725417439704E-3</v>
      </c>
      <c r="AJ695" s="38">
        <v>0</v>
      </c>
      <c r="AK695" s="27">
        <v>0</v>
      </c>
      <c r="AL695" s="27">
        <f t="shared" si="64"/>
        <v>0</v>
      </c>
      <c r="AM695" s="40">
        <v>0</v>
      </c>
      <c r="AN695" s="27">
        <v>0</v>
      </c>
      <c r="AO695" s="27">
        <f t="shared" si="65"/>
        <v>0</v>
      </c>
      <c r="AP695" s="7" t="b">
        <v>1</v>
      </c>
      <c r="AQ695" s="7" t="b">
        <v>1</v>
      </c>
      <c r="AR695" s="6" t="b">
        <v>0</v>
      </c>
      <c r="AS695" s="6" t="b">
        <v>0</v>
      </c>
      <c r="AT695" s="7" t="b">
        <v>1</v>
      </c>
      <c r="AU695" s="6" t="b">
        <v>0</v>
      </c>
      <c r="AV695" s="6" t="b">
        <v>0</v>
      </c>
      <c r="AW695" s="6" t="b">
        <v>0</v>
      </c>
      <c r="AX695" s="6" t="b">
        <v>0</v>
      </c>
      <c r="AY695" s="6" t="b">
        <v>0</v>
      </c>
      <c r="AZ695" s="6" t="b">
        <v>0</v>
      </c>
      <c r="BA695" s="6" t="b">
        <v>0</v>
      </c>
      <c r="BB695" s="6" t="b">
        <v>0</v>
      </c>
    </row>
    <row r="696" spans="1:54" ht="15" x14ac:dyDescent="0.25">
      <c r="A696" s="3" t="s">
        <v>1451</v>
      </c>
      <c r="B696" s="3" t="str">
        <f ca="1">IFERROR(__xludf.DUMMYFUNCTION("SPLIT(A696,""/"")"),"mwarkentin")</f>
        <v>mwarkentin</v>
      </c>
      <c r="C696" s="3" t="str">
        <f ca="1">IFERROR(__xludf.DUMMYFUNCTION("""COMPUTED_VALUE"""),"django-watchman")</f>
        <v>django-watchman</v>
      </c>
      <c r="D696" s="4" t="s">
        <v>1452</v>
      </c>
      <c r="E696" s="5">
        <v>41678.965902777774</v>
      </c>
      <c r="F696" s="5">
        <v>44294.646249999998</v>
      </c>
      <c r="G696" s="13">
        <f t="shared" si="60"/>
        <v>2615.6803472222236</v>
      </c>
      <c r="H696" s="6" t="b">
        <v>0</v>
      </c>
      <c r="I696" s="6" t="b">
        <v>0</v>
      </c>
      <c r="J696" s="8">
        <v>358</v>
      </c>
      <c r="K696" s="8">
        <v>10</v>
      </c>
      <c r="L696" s="8">
        <v>47</v>
      </c>
      <c r="M696" s="8">
        <v>27</v>
      </c>
      <c r="N696" s="8">
        <v>2</v>
      </c>
      <c r="O696" s="8">
        <v>22</v>
      </c>
      <c r="P696" s="8">
        <v>84</v>
      </c>
      <c r="Q696" s="8">
        <v>2</v>
      </c>
      <c r="R696" s="8">
        <v>81</v>
      </c>
      <c r="S696" s="8">
        <v>13</v>
      </c>
      <c r="T696" s="3" t="s">
        <v>57</v>
      </c>
      <c r="U696" s="10">
        <v>908</v>
      </c>
      <c r="V696" s="32">
        <v>5</v>
      </c>
      <c r="W696" s="27">
        <v>5.5066079295154188E-3</v>
      </c>
      <c r="X696" s="34">
        <v>2</v>
      </c>
      <c r="Y696" s="27">
        <v>0.4</v>
      </c>
      <c r="Z696" s="27">
        <v>2.2026431718061676E-3</v>
      </c>
      <c r="AA696" s="35">
        <v>0</v>
      </c>
      <c r="AB696" s="27">
        <v>0</v>
      </c>
      <c r="AC696" s="27">
        <f t="shared" si="61"/>
        <v>0</v>
      </c>
      <c r="AD696" s="36">
        <v>1</v>
      </c>
      <c r="AE696" s="27">
        <v>0.2</v>
      </c>
      <c r="AF696" s="27">
        <f t="shared" si="62"/>
        <v>1.1013215859030838E-3</v>
      </c>
      <c r="AG696" s="37">
        <v>2</v>
      </c>
      <c r="AH696" s="27">
        <v>0.4</v>
      </c>
      <c r="AI696" s="27">
        <f t="shared" si="63"/>
        <v>2.2026431718061676E-3</v>
      </c>
      <c r="AJ696" s="38">
        <v>0</v>
      </c>
      <c r="AK696" s="27">
        <v>0</v>
      </c>
      <c r="AL696" s="27">
        <f t="shared" si="64"/>
        <v>0</v>
      </c>
      <c r="AM696" s="40">
        <v>0</v>
      </c>
      <c r="AN696" s="27">
        <v>0</v>
      </c>
      <c r="AO696" s="27">
        <f t="shared" si="65"/>
        <v>0</v>
      </c>
      <c r="AP696" s="7" t="b">
        <v>1</v>
      </c>
      <c r="AQ696" s="6" t="b">
        <v>0</v>
      </c>
      <c r="AR696" s="6" t="b">
        <v>0</v>
      </c>
      <c r="AS696" s="6" t="b">
        <v>0</v>
      </c>
      <c r="AT696" s="7" t="b">
        <v>1</v>
      </c>
      <c r="AU696" s="6" t="b">
        <v>0</v>
      </c>
      <c r="AV696" s="6" t="b">
        <v>0</v>
      </c>
      <c r="AW696" s="6" t="b">
        <v>0</v>
      </c>
      <c r="AX696" s="6" t="b">
        <v>0</v>
      </c>
      <c r="AY696" s="6" t="b">
        <v>0</v>
      </c>
      <c r="AZ696" s="6" t="b">
        <v>0</v>
      </c>
      <c r="BA696" s="6" t="b">
        <v>0</v>
      </c>
      <c r="BB696" s="6" t="b">
        <v>0</v>
      </c>
    </row>
    <row r="697" spans="1:54" ht="15" x14ac:dyDescent="0.25">
      <c r="A697" s="3" t="s">
        <v>1453</v>
      </c>
      <c r="B697" s="3" t="str">
        <f ca="1">IFERROR(__xludf.DUMMYFUNCTION("SPLIT(A697,""/"")"),"mwielgoszewski")</f>
        <v>mwielgoszewski</v>
      </c>
      <c r="C697" s="3" t="str">
        <f ca="1">IFERROR(__xludf.DUMMYFUNCTION("""COMPUTED_VALUE"""),"doorman")</f>
        <v>doorman</v>
      </c>
      <c r="D697" s="4" t="s">
        <v>1454</v>
      </c>
      <c r="E697" s="5">
        <v>42482.813807870371</v>
      </c>
      <c r="F697" s="5">
        <v>44286.62835648148</v>
      </c>
      <c r="G697" s="13">
        <f t="shared" si="60"/>
        <v>1803.8145486111098</v>
      </c>
      <c r="H697" s="6" t="b">
        <v>0</v>
      </c>
      <c r="I697" s="6" t="b">
        <v>0</v>
      </c>
      <c r="J697" s="8">
        <v>566</v>
      </c>
      <c r="K697" s="8">
        <v>33</v>
      </c>
      <c r="L697" s="8">
        <v>82</v>
      </c>
      <c r="M697" s="8">
        <v>7</v>
      </c>
      <c r="N697" s="8">
        <v>2</v>
      </c>
      <c r="O697" s="8">
        <v>15</v>
      </c>
      <c r="P697" s="8">
        <v>97</v>
      </c>
      <c r="Q697" s="8">
        <v>6</v>
      </c>
      <c r="R697" s="8">
        <v>56</v>
      </c>
      <c r="S697" s="8">
        <v>14</v>
      </c>
      <c r="T697" s="3" t="s">
        <v>72</v>
      </c>
      <c r="U697" s="10">
        <v>4140</v>
      </c>
      <c r="V697" s="32">
        <v>46</v>
      </c>
      <c r="W697" s="27">
        <v>1.1111111111111112E-2</v>
      </c>
      <c r="X697" s="34">
        <v>14</v>
      </c>
      <c r="Y697" s="27">
        <v>0.30434782608695654</v>
      </c>
      <c r="Z697" s="27">
        <v>3.3816425120772949E-3</v>
      </c>
      <c r="AA697" s="35">
        <v>10</v>
      </c>
      <c r="AB697" s="27">
        <v>0.21739130434782608</v>
      </c>
      <c r="AC697" s="27">
        <f t="shared" si="61"/>
        <v>2.4154589371980675E-3</v>
      </c>
      <c r="AD697" s="36">
        <v>4</v>
      </c>
      <c r="AE697" s="27">
        <v>8.6956521739130432E-2</v>
      </c>
      <c r="AF697" s="27">
        <f t="shared" si="62"/>
        <v>9.6618357487922703E-4</v>
      </c>
      <c r="AG697" s="37">
        <v>17</v>
      </c>
      <c r="AH697" s="27">
        <v>0.36956521739130432</v>
      </c>
      <c r="AI697" s="27">
        <f t="shared" si="63"/>
        <v>4.1062801932367152E-3</v>
      </c>
      <c r="AJ697" s="38">
        <v>0</v>
      </c>
      <c r="AK697" s="27">
        <v>0</v>
      </c>
      <c r="AL697" s="27">
        <f t="shared" si="64"/>
        <v>0</v>
      </c>
      <c r="AM697" s="40">
        <v>1</v>
      </c>
      <c r="AN697" s="27">
        <v>2.1739130434782608E-2</v>
      </c>
      <c r="AO697" s="27">
        <f t="shared" si="65"/>
        <v>2.4154589371980676E-4</v>
      </c>
      <c r="AP697" s="7" t="b">
        <v>1</v>
      </c>
      <c r="AQ697" s="6" t="b">
        <v>0</v>
      </c>
      <c r="AR697" s="6" t="b">
        <v>0</v>
      </c>
      <c r="AS697" s="6" t="b">
        <v>0</v>
      </c>
      <c r="AT697" s="7" t="b">
        <v>1</v>
      </c>
      <c r="AU697" s="6" t="b">
        <v>0</v>
      </c>
      <c r="AV697" s="6" t="b">
        <v>0</v>
      </c>
      <c r="AW697" s="6" t="b">
        <v>0</v>
      </c>
      <c r="AX697" s="6" t="b">
        <v>0</v>
      </c>
      <c r="AY697" s="6" t="b">
        <v>0</v>
      </c>
      <c r="AZ697" s="6" t="b">
        <v>0</v>
      </c>
      <c r="BA697" s="6" t="b">
        <v>0</v>
      </c>
      <c r="BB697" s="6" t="b">
        <v>0</v>
      </c>
    </row>
    <row r="698" spans="1:54" ht="15" x14ac:dyDescent="0.25">
      <c r="A698" s="3" t="s">
        <v>1455</v>
      </c>
      <c r="B698" s="3" t="str">
        <f ca="1">IFERROR(__xludf.DUMMYFUNCTION("SPLIT(A698,""/"")"),"MycroftAI")</f>
        <v>MycroftAI</v>
      </c>
      <c r="C698" s="3" t="str">
        <f ca="1">IFERROR(__xludf.DUMMYFUNCTION("""COMPUTED_VALUE"""),"mycroft-core")</f>
        <v>mycroft-core</v>
      </c>
      <c r="D698" s="4" t="s">
        <v>1456</v>
      </c>
      <c r="E698" s="5">
        <v>42510.591053240743</v>
      </c>
      <c r="F698" s="5">
        <v>44294.969085648147</v>
      </c>
      <c r="G698" s="13">
        <f t="shared" si="60"/>
        <v>1784.3780324074032</v>
      </c>
      <c r="H698" s="6" t="b">
        <v>0</v>
      </c>
      <c r="I698" s="7" t="b">
        <v>1</v>
      </c>
      <c r="J698" s="8">
        <v>5023</v>
      </c>
      <c r="K698" s="8">
        <v>297</v>
      </c>
      <c r="L698" s="8">
        <v>1026</v>
      </c>
      <c r="M698" s="8">
        <v>125</v>
      </c>
      <c r="N698" s="8">
        <v>17</v>
      </c>
      <c r="O698" s="8">
        <v>148</v>
      </c>
      <c r="P698" s="8">
        <v>1913</v>
      </c>
      <c r="Q698" s="8">
        <v>35</v>
      </c>
      <c r="R698" s="8">
        <v>940</v>
      </c>
      <c r="S698" s="8">
        <v>108</v>
      </c>
      <c r="T698" s="3" t="s">
        <v>69</v>
      </c>
      <c r="U698" s="10">
        <v>20423</v>
      </c>
      <c r="V698" s="32">
        <v>459</v>
      </c>
      <c r="W698" s="27">
        <v>2.2474660921510063E-2</v>
      </c>
      <c r="X698" s="34">
        <v>100</v>
      </c>
      <c r="Y698" s="27">
        <v>0.2178649237472767</v>
      </c>
      <c r="Z698" s="27">
        <v>4.8964402879106885E-3</v>
      </c>
      <c r="AA698" s="35">
        <v>155</v>
      </c>
      <c r="AB698" s="27">
        <v>0.33769063180827885</v>
      </c>
      <c r="AC698" s="27">
        <f t="shared" si="61"/>
        <v>7.5894824462615675E-3</v>
      </c>
      <c r="AD698" s="36">
        <v>51</v>
      </c>
      <c r="AE698" s="27">
        <v>0.1111111111111111</v>
      </c>
      <c r="AF698" s="27">
        <f t="shared" si="62"/>
        <v>2.4971845468344514E-3</v>
      </c>
      <c r="AG698" s="37">
        <v>144</v>
      </c>
      <c r="AH698" s="27">
        <v>0.31372549019607843</v>
      </c>
      <c r="AI698" s="27">
        <f t="shared" si="63"/>
        <v>7.0508740145913918E-3</v>
      </c>
      <c r="AJ698" s="38">
        <v>0</v>
      </c>
      <c r="AK698" s="27">
        <v>0</v>
      </c>
      <c r="AL698" s="27">
        <f t="shared" si="64"/>
        <v>0</v>
      </c>
      <c r="AM698" s="40">
        <v>0</v>
      </c>
      <c r="AN698" s="27">
        <v>0</v>
      </c>
      <c r="AO698" s="27">
        <f t="shared" si="65"/>
        <v>0</v>
      </c>
      <c r="AP698" s="7" t="b">
        <v>1</v>
      </c>
      <c r="AQ698" s="6" t="b">
        <v>0</v>
      </c>
      <c r="AR698" s="6" t="b">
        <v>0</v>
      </c>
      <c r="AS698" s="6" t="b">
        <v>0</v>
      </c>
      <c r="AT698" s="7" t="b">
        <v>1</v>
      </c>
      <c r="AU698" s="6" t="b">
        <v>0</v>
      </c>
      <c r="AV698" s="6" t="b">
        <v>0</v>
      </c>
      <c r="AW698" s="6" t="b">
        <v>0</v>
      </c>
      <c r="AX698" s="6" t="b">
        <v>0</v>
      </c>
      <c r="AY698" s="6" t="b">
        <v>0</v>
      </c>
      <c r="AZ698" s="6" t="b">
        <v>0</v>
      </c>
      <c r="BA698" s="6" t="b">
        <v>0</v>
      </c>
      <c r="BB698" s="6" t="b">
        <v>0</v>
      </c>
    </row>
    <row r="699" spans="1:54" ht="15" x14ac:dyDescent="0.25">
      <c r="A699" s="3" t="s">
        <v>1457</v>
      </c>
      <c r="B699" s="3" t="str">
        <f ca="1">IFERROR(__xludf.DUMMYFUNCTION("SPLIT(A699,""/"")"),"Naategh")</f>
        <v>Naategh</v>
      </c>
      <c r="C699" s="3" t="str">
        <f ca="1">IFERROR(__xludf.DUMMYFUNCTION("""COMPUTED_VALUE"""),"PyCk")</f>
        <v>PyCk</v>
      </c>
      <c r="D699" s="4" t="s">
        <v>1458</v>
      </c>
      <c r="E699" s="5">
        <v>43368.417268518519</v>
      </c>
      <c r="F699" s="5">
        <v>44293.610729166663</v>
      </c>
      <c r="G699" s="13">
        <f t="shared" si="60"/>
        <v>925.19346064814454</v>
      </c>
      <c r="H699" s="6" t="b">
        <v>0</v>
      </c>
      <c r="I699" s="6" t="b">
        <v>0</v>
      </c>
      <c r="J699" s="8">
        <v>356</v>
      </c>
      <c r="K699" s="8">
        <v>24</v>
      </c>
      <c r="L699" s="8">
        <v>68</v>
      </c>
      <c r="M699" s="8">
        <v>0</v>
      </c>
      <c r="N699" s="8">
        <v>0</v>
      </c>
      <c r="O699" s="8">
        <v>8</v>
      </c>
      <c r="P699" s="8">
        <v>15</v>
      </c>
      <c r="Q699" s="8">
        <v>1</v>
      </c>
      <c r="R699" s="8">
        <v>0</v>
      </c>
      <c r="S699" s="8">
        <v>0</v>
      </c>
      <c r="T699" s="3" t="s">
        <v>49</v>
      </c>
      <c r="U699" s="10">
        <v>992</v>
      </c>
      <c r="V699" s="32">
        <v>2</v>
      </c>
      <c r="W699" s="27">
        <v>2.0161290322580645E-3</v>
      </c>
      <c r="X699" s="34">
        <v>0</v>
      </c>
      <c r="Y699" s="27">
        <v>0</v>
      </c>
      <c r="Z699" s="27">
        <v>0</v>
      </c>
      <c r="AA699" s="35">
        <v>0</v>
      </c>
      <c r="AB699" s="27">
        <v>0</v>
      </c>
      <c r="AC699" s="27">
        <f t="shared" si="61"/>
        <v>0</v>
      </c>
      <c r="AD699" s="36">
        <v>0</v>
      </c>
      <c r="AE699" s="27">
        <v>0</v>
      </c>
      <c r="AF699" s="27">
        <f t="shared" si="62"/>
        <v>0</v>
      </c>
      <c r="AG699" s="37">
        <v>2</v>
      </c>
      <c r="AH699" s="27">
        <v>1</v>
      </c>
      <c r="AI699" s="27">
        <f t="shared" si="63"/>
        <v>2.0161290322580645E-3</v>
      </c>
      <c r="AJ699" s="38">
        <v>0</v>
      </c>
      <c r="AK699" s="27">
        <v>0</v>
      </c>
      <c r="AL699" s="27">
        <f t="shared" si="64"/>
        <v>0</v>
      </c>
      <c r="AM699" s="40">
        <v>0</v>
      </c>
      <c r="AN699" s="27">
        <v>0</v>
      </c>
      <c r="AO699" s="27">
        <f t="shared" si="65"/>
        <v>0</v>
      </c>
      <c r="AP699" s="7" t="b">
        <v>1</v>
      </c>
      <c r="AQ699" s="6" t="b">
        <v>0</v>
      </c>
      <c r="AR699" s="6" t="b">
        <v>0</v>
      </c>
      <c r="AS699" s="6" t="b">
        <v>0</v>
      </c>
      <c r="AT699" s="7" t="b">
        <v>1</v>
      </c>
      <c r="AU699" s="6" t="b">
        <v>0</v>
      </c>
      <c r="AV699" s="6" t="b">
        <v>0</v>
      </c>
      <c r="AW699" s="6" t="b">
        <v>0</v>
      </c>
      <c r="AX699" s="6" t="b">
        <v>0</v>
      </c>
      <c r="AY699" s="6" t="b">
        <v>0</v>
      </c>
      <c r="AZ699" s="6" t="b">
        <v>0</v>
      </c>
      <c r="BA699" s="6" t="b">
        <v>0</v>
      </c>
      <c r="BB699" s="6" t="b">
        <v>0</v>
      </c>
    </row>
    <row r="700" spans="1:54" ht="15" x14ac:dyDescent="0.25">
      <c r="A700" s="3" t="s">
        <v>1459</v>
      </c>
      <c r="B700" s="3" t="str">
        <f ca="1">IFERROR(__xludf.DUMMYFUNCTION("SPLIT(A700,""/"")"),"nabla-c0d3")</f>
        <v>nabla-c0d3</v>
      </c>
      <c r="C700" s="3" t="str">
        <f ca="1">IFERROR(__xludf.DUMMYFUNCTION("""COMPUTED_VALUE"""),"sslyze")</f>
        <v>sslyze</v>
      </c>
      <c r="D700" s="4" t="s">
        <v>1460</v>
      </c>
      <c r="E700" s="5">
        <v>41869.189930555556</v>
      </c>
      <c r="F700" s="5">
        <v>44294.171412037038</v>
      </c>
      <c r="G700" s="13">
        <f t="shared" si="60"/>
        <v>2424.9814814814818</v>
      </c>
      <c r="H700" s="6" t="b">
        <v>0</v>
      </c>
      <c r="I700" s="6" t="b">
        <v>0</v>
      </c>
      <c r="J700" s="8">
        <v>2449</v>
      </c>
      <c r="K700" s="8">
        <v>143</v>
      </c>
      <c r="L700" s="8">
        <v>340</v>
      </c>
      <c r="M700" s="8">
        <v>57</v>
      </c>
      <c r="N700" s="8">
        <v>10</v>
      </c>
      <c r="O700" s="8">
        <v>47</v>
      </c>
      <c r="P700" s="8">
        <v>93</v>
      </c>
      <c r="Q700" s="8">
        <v>0</v>
      </c>
      <c r="R700" s="8">
        <v>425</v>
      </c>
      <c r="S700" s="8">
        <v>21</v>
      </c>
      <c r="T700" s="3" t="s">
        <v>366</v>
      </c>
      <c r="U700" s="10">
        <v>6150</v>
      </c>
      <c r="V700" s="32">
        <v>14</v>
      </c>
      <c r="W700" s="27">
        <v>2.2764227642276423E-3</v>
      </c>
      <c r="X700" s="34">
        <v>0</v>
      </c>
      <c r="Y700" s="27">
        <v>0</v>
      </c>
      <c r="Z700" s="27">
        <v>0</v>
      </c>
      <c r="AA700" s="35">
        <v>2</v>
      </c>
      <c r="AB700" s="27">
        <v>0.14285714285714285</v>
      </c>
      <c r="AC700" s="27">
        <f t="shared" si="61"/>
        <v>3.2520325203252032E-4</v>
      </c>
      <c r="AD700" s="36">
        <v>12</v>
      </c>
      <c r="AE700" s="27">
        <v>0.8571428571428571</v>
      </c>
      <c r="AF700" s="27">
        <f t="shared" si="62"/>
        <v>1.9512195121951219E-3</v>
      </c>
      <c r="AG700" s="37">
        <v>0</v>
      </c>
      <c r="AH700" s="27">
        <v>0</v>
      </c>
      <c r="AI700" s="27">
        <f t="shared" si="63"/>
        <v>0</v>
      </c>
      <c r="AJ700" s="38">
        <v>0</v>
      </c>
      <c r="AK700" s="27">
        <v>0</v>
      </c>
      <c r="AL700" s="27">
        <f t="shared" si="64"/>
        <v>0</v>
      </c>
      <c r="AM700" s="40">
        <v>0</v>
      </c>
      <c r="AN700" s="27">
        <v>0</v>
      </c>
      <c r="AO700" s="27">
        <f t="shared" si="65"/>
        <v>0</v>
      </c>
      <c r="AP700" s="7" t="b">
        <v>1</v>
      </c>
      <c r="AQ700" s="6" t="b">
        <v>0</v>
      </c>
      <c r="AR700" s="6" t="b">
        <v>0</v>
      </c>
      <c r="AS700" s="6" t="b">
        <v>0</v>
      </c>
      <c r="AT700" s="7" t="b">
        <v>1</v>
      </c>
      <c r="AU700" s="6" t="b">
        <v>0</v>
      </c>
      <c r="AV700" s="6" t="b">
        <v>0</v>
      </c>
      <c r="AW700" s="6" t="b">
        <v>0</v>
      </c>
      <c r="AX700" s="6" t="b">
        <v>0</v>
      </c>
      <c r="AY700" s="6" t="b">
        <v>0</v>
      </c>
      <c r="AZ700" s="6" t="b">
        <v>0</v>
      </c>
      <c r="BA700" s="6" t="b">
        <v>0</v>
      </c>
      <c r="BB700" s="6" t="b">
        <v>0</v>
      </c>
    </row>
    <row r="701" spans="1:54" ht="15" x14ac:dyDescent="0.25">
      <c r="A701" s="3" t="s">
        <v>1461</v>
      </c>
      <c r="B701" s="3" t="str">
        <f ca="1">IFERROR(__xludf.DUMMYFUNCTION("SPLIT(A701,""/"")"),"namisan")</f>
        <v>namisan</v>
      </c>
      <c r="C701" s="3" t="str">
        <f ca="1">IFERROR(__xludf.DUMMYFUNCTION("""COMPUTED_VALUE"""),"mt-dnn")</f>
        <v>mt-dnn</v>
      </c>
      <c r="D701" s="4" t="s">
        <v>1462</v>
      </c>
      <c r="E701" s="5">
        <v>43515.957245370373</v>
      </c>
      <c r="F701" s="5">
        <v>44294.258715277778</v>
      </c>
      <c r="G701" s="13">
        <f t="shared" si="60"/>
        <v>778.30146990740468</v>
      </c>
      <c r="H701" s="6" t="b">
        <v>0</v>
      </c>
      <c r="I701" s="6" t="b">
        <v>0</v>
      </c>
      <c r="J701" s="8">
        <v>1680</v>
      </c>
      <c r="K701" s="8">
        <v>59</v>
      </c>
      <c r="L701" s="8">
        <v>341</v>
      </c>
      <c r="M701" s="8">
        <v>0</v>
      </c>
      <c r="N701" s="8">
        <v>11</v>
      </c>
      <c r="O701" s="8">
        <v>16</v>
      </c>
      <c r="P701" s="8">
        <v>58</v>
      </c>
      <c r="Q701" s="8">
        <v>1</v>
      </c>
      <c r="R701" s="8">
        <v>150</v>
      </c>
      <c r="S701" s="8">
        <v>11</v>
      </c>
      <c r="T701" s="3" t="s">
        <v>72</v>
      </c>
      <c r="U701" s="10">
        <v>10174</v>
      </c>
      <c r="V701" s="32">
        <v>118</v>
      </c>
      <c r="W701" s="27">
        <v>1.1598191468448987E-2</v>
      </c>
      <c r="X701" s="34">
        <v>0</v>
      </c>
      <c r="Y701" s="27">
        <v>0</v>
      </c>
      <c r="Z701" s="27">
        <v>0</v>
      </c>
      <c r="AA701" s="35">
        <v>104</v>
      </c>
      <c r="AB701" s="27">
        <v>0.88135593220338981</v>
      </c>
      <c r="AC701" s="27">
        <f t="shared" si="61"/>
        <v>1.0222134853548261E-2</v>
      </c>
      <c r="AD701" s="36">
        <v>9</v>
      </c>
      <c r="AE701" s="27">
        <v>7.6271186440677971E-2</v>
      </c>
      <c r="AF701" s="27">
        <f t="shared" si="62"/>
        <v>8.8460782386475326E-4</v>
      </c>
      <c r="AG701" s="37">
        <v>5</v>
      </c>
      <c r="AH701" s="27">
        <v>4.2372881355932202E-2</v>
      </c>
      <c r="AI701" s="27">
        <f t="shared" si="63"/>
        <v>4.9144879103597404E-4</v>
      </c>
      <c r="AJ701" s="38">
        <v>0</v>
      </c>
      <c r="AK701" s="27">
        <v>0</v>
      </c>
      <c r="AL701" s="27">
        <f t="shared" si="64"/>
        <v>0</v>
      </c>
      <c r="AM701" s="40">
        <v>0</v>
      </c>
      <c r="AN701" s="27">
        <v>0</v>
      </c>
      <c r="AO701" s="27">
        <f t="shared" si="65"/>
        <v>0</v>
      </c>
      <c r="AP701" s="7" t="b">
        <v>1</v>
      </c>
      <c r="AQ701" s="6" t="b">
        <v>0</v>
      </c>
      <c r="AR701" s="6" t="b">
        <v>0</v>
      </c>
      <c r="AS701" s="6" t="b">
        <v>0</v>
      </c>
      <c r="AT701" s="7" t="b">
        <v>1</v>
      </c>
      <c r="AU701" s="6" t="b">
        <v>0</v>
      </c>
      <c r="AV701" s="6" t="b">
        <v>0</v>
      </c>
      <c r="AW701" s="6" t="b">
        <v>0</v>
      </c>
      <c r="AX701" s="6" t="b">
        <v>0</v>
      </c>
      <c r="AY701" s="6" t="b">
        <v>0</v>
      </c>
      <c r="AZ701" s="6" t="b">
        <v>0</v>
      </c>
      <c r="BA701" s="6" t="b">
        <v>0</v>
      </c>
      <c r="BB701" s="6" t="b">
        <v>0</v>
      </c>
    </row>
    <row r="702" spans="1:54" ht="15" x14ac:dyDescent="0.25">
      <c r="A702" s="3" t="s">
        <v>1463</v>
      </c>
      <c r="B702" s="3" t="str">
        <f ca="1">IFERROR(__xludf.DUMMYFUNCTION("SPLIT(A702,""/"")"),"Nandaka")</f>
        <v>Nandaka</v>
      </c>
      <c r="C702" s="3" t="str">
        <f ca="1">IFERROR(__xludf.DUMMYFUNCTION("""COMPUTED_VALUE"""),"PixivUtil2")</f>
        <v>PixivUtil2</v>
      </c>
      <c r="D702" s="4" t="s">
        <v>1464</v>
      </c>
      <c r="E702" s="5">
        <v>40875.051782407405</v>
      </c>
      <c r="F702" s="5">
        <v>44293.950671296298</v>
      </c>
      <c r="G702" s="13">
        <f t="shared" si="60"/>
        <v>3418.8988888888925</v>
      </c>
      <c r="H702" s="6" t="b">
        <v>0</v>
      </c>
      <c r="I702" s="6" t="b">
        <v>0</v>
      </c>
      <c r="J702" s="8">
        <v>1394</v>
      </c>
      <c r="K702" s="8">
        <v>87</v>
      </c>
      <c r="L702" s="8">
        <v>152</v>
      </c>
      <c r="M702" s="8">
        <v>148</v>
      </c>
      <c r="N702" s="8">
        <v>16</v>
      </c>
      <c r="O702" s="8">
        <v>35</v>
      </c>
      <c r="P702" s="8">
        <v>127</v>
      </c>
      <c r="Q702" s="8">
        <v>1</v>
      </c>
      <c r="R702" s="8">
        <v>799</v>
      </c>
      <c r="S702" s="8">
        <v>26</v>
      </c>
      <c r="T702" s="3" t="s">
        <v>153</v>
      </c>
      <c r="U702" s="10">
        <v>8647</v>
      </c>
      <c r="V702" s="32">
        <v>41</v>
      </c>
      <c r="W702" s="27">
        <v>4.7415288539377817E-3</v>
      </c>
      <c r="X702" s="34">
        <v>1</v>
      </c>
      <c r="Y702" s="27">
        <v>2.4390243902439025E-2</v>
      </c>
      <c r="Z702" s="27">
        <v>1.1564704521799469E-4</v>
      </c>
      <c r="AA702" s="35">
        <v>34</v>
      </c>
      <c r="AB702" s="27">
        <v>0.82926829268292679</v>
      </c>
      <c r="AC702" s="27">
        <f t="shared" si="61"/>
        <v>3.9319995374118193E-3</v>
      </c>
      <c r="AD702" s="36">
        <v>0</v>
      </c>
      <c r="AE702" s="27">
        <v>0</v>
      </c>
      <c r="AF702" s="27">
        <f t="shared" si="62"/>
        <v>0</v>
      </c>
      <c r="AG702" s="37">
        <v>6</v>
      </c>
      <c r="AH702" s="27">
        <v>0.14634146341463414</v>
      </c>
      <c r="AI702" s="27">
        <f t="shared" si="63"/>
        <v>6.9388227130796811E-4</v>
      </c>
      <c r="AJ702" s="38">
        <v>0</v>
      </c>
      <c r="AK702" s="27">
        <v>0</v>
      </c>
      <c r="AL702" s="27">
        <f t="shared" si="64"/>
        <v>0</v>
      </c>
      <c r="AM702" s="40">
        <v>0</v>
      </c>
      <c r="AN702" s="27">
        <v>0</v>
      </c>
      <c r="AO702" s="27">
        <f t="shared" si="65"/>
        <v>0</v>
      </c>
      <c r="AP702" s="7" t="b">
        <v>1</v>
      </c>
      <c r="AQ702" s="6" t="b">
        <v>0</v>
      </c>
      <c r="AR702" s="6" t="b">
        <v>0</v>
      </c>
      <c r="AS702" s="6" t="b">
        <v>0</v>
      </c>
      <c r="AT702" s="7" t="b">
        <v>1</v>
      </c>
      <c r="AU702" s="6" t="b">
        <v>0</v>
      </c>
      <c r="AV702" s="6" t="b">
        <v>0</v>
      </c>
      <c r="AW702" s="6" t="b">
        <v>0</v>
      </c>
      <c r="AX702" s="6" t="b">
        <v>0</v>
      </c>
      <c r="AY702" s="6" t="b">
        <v>0</v>
      </c>
      <c r="AZ702" s="6" t="b">
        <v>0</v>
      </c>
      <c r="BA702" s="6" t="b">
        <v>0</v>
      </c>
      <c r="BB702" s="6" t="b">
        <v>0</v>
      </c>
    </row>
    <row r="703" spans="1:54" ht="15" x14ac:dyDescent="0.25">
      <c r="A703" s="3" t="s">
        <v>1465</v>
      </c>
      <c r="B703" s="3" t="str">
        <f ca="1">IFERROR(__xludf.DUMMYFUNCTION("SPLIT(A703,""/"")"),"napalm-automation")</f>
        <v>napalm-automation</v>
      </c>
      <c r="C703" s="3" t="str">
        <f ca="1">IFERROR(__xludf.DUMMYFUNCTION("""COMPUTED_VALUE"""),"napalm")</f>
        <v>napalm</v>
      </c>
      <c r="D703" s="4" t="s">
        <v>1466</v>
      </c>
      <c r="E703" s="5">
        <v>42086.613715277781</v>
      </c>
      <c r="F703" s="5">
        <v>44292.868680555555</v>
      </c>
      <c r="G703" s="13">
        <f t="shared" si="60"/>
        <v>2206.2549652777743</v>
      </c>
      <c r="H703" s="6" t="b">
        <v>0</v>
      </c>
      <c r="I703" s="7" t="b">
        <v>1</v>
      </c>
      <c r="J703" s="8">
        <v>1661</v>
      </c>
      <c r="K703" s="8">
        <v>171</v>
      </c>
      <c r="L703" s="8">
        <v>447</v>
      </c>
      <c r="M703" s="8">
        <v>31</v>
      </c>
      <c r="N703" s="8">
        <v>5</v>
      </c>
      <c r="O703" s="8">
        <v>142</v>
      </c>
      <c r="P703" s="8">
        <v>919</v>
      </c>
      <c r="Q703" s="8">
        <v>5</v>
      </c>
      <c r="R703" s="8">
        <v>496</v>
      </c>
      <c r="S703" s="8">
        <v>99</v>
      </c>
      <c r="T703" s="3" t="s">
        <v>69</v>
      </c>
      <c r="U703" s="10">
        <v>12166</v>
      </c>
      <c r="V703" s="32">
        <v>55</v>
      </c>
      <c r="W703" s="27">
        <v>4.5207956600361665E-3</v>
      </c>
      <c r="X703" s="34">
        <v>31</v>
      </c>
      <c r="Y703" s="27">
        <v>0.5636363636363636</v>
      </c>
      <c r="Z703" s="27">
        <v>2.5480848265658392E-3</v>
      </c>
      <c r="AA703" s="35">
        <v>0</v>
      </c>
      <c r="AB703" s="27">
        <v>0</v>
      </c>
      <c r="AC703" s="27">
        <f t="shared" si="61"/>
        <v>0</v>
      </c>
      <c r="AD703" s="36">
        <v>1</v>
      </c>
      <c r="AE703" s="27">
        <v>1.8181818181818181E-2</v>
      </c>
      <c r="AF703" s="27">
        <f t="shared" si="62"/>
        <v>8.2196284727930303E-5</v>
      </c>
      <c r="AG703" s="37">
        <v>22</v>
      </c>
      <c r="AH703" s="27">
        <v>0.4</v>
      </c>
      <c r="AI703" s="27">
        <f t="shared" si="63"/>
        <v>1.8083182640144665E-3</v>
      </c>
      <c r="AJ703" s="38">
        <v>0</v>
      </c>
      <c r="AK703" s="27">
        <v>0</v>
      </c>
      <c r="AL703" s="27">
        <f t="shared" si="64"/>
        <v>0</v>
      </c>
      <c r="AM703" s="40">
        <v>0</v>
      </c>
      <c r="AN703" s="27">
        <v>0</v>
      </c>
      <c r="AO703" s="27">
        <f t="shared" si="65"/>
        <v>0</v>
      </c>
      <c r="AP703" s="7" t="b">
        <v>1</v>
      </c>
      <c r="AQ703" s="6" t="b">
        <v>0</v>
      </c>
      <c r="AR703" s="6" t="b">
        <v>0</v>
      </c>
      <c r="AS703" s="6" t="b">
        <v>0</v>
      </c>
      <c r="AT703" s="7" t="b">
        <v>1</v>
      </c>
      <c r="AU703" s="6" t="b">
        <v>0</v>
      </c>
      <c r="AV703" s="6" t="b">
        <v>0</v>
      </c>
      <c r="AW703" s="6" t="b">
        <v>0</v>
      </c>
      <c r="AX703" s="6" t="b">
        <v>0</v>
      </c>
      <c r="AY703" s="6" t="b">
        <v>0</v>
      </c>
      <c r="AZ703" s="6" t="b">
        <v>0</v>
      </c>
      <c r="BA703" s="6" t="b">
        <v>0</v>
      </c>
      <c r="BB703" s="6" t="b">
        <v>0</v>
      </c>
    </row>
    <row r="704" spans="1:54" ht="15" x14ac:dyDescent="0.25">
      <c r="A704" s="3" t="s">
        <v>1467</v>
      </c>
      <c r="B704" s="3" t="str">
        <f ca="1">IFERROR(__xludf.DUMMYFUNCTION("SPLIT(A704,""/"")"),"napari")</f>
        <v>napari</v>
      </c>
      <c r="C704" s="3" t="str">
        <f ca="1">IFERROR(__xludf.DUMMYFUNCTION("""COMPUTED_VALUE"""),"napari")</f>
        <v>napari</v>
      </c>
      <c r="D704" s="4" t="s">
        <v>1468</v>
      </c>
      <c r="E704" s="5">
        <v>43325.050324074073</v>
      </c>
      <c r="F704" s="5">
        <v>44294.868171296293</v>
      </c>
      <c r="G704" s="13">
        <f t="shared" si="60"/>
        <v>969.81784722222073</v>
      </c>
      <c r="H704" s="6" t="b">
        <v>0</v>
      </c>
      <c r="I704" s="7" t="b">
        <v>1</v>
      </c>
      <c r="J704" s="8">
        <v>872</v>
      </c>
      <c r="K704" s="8">
        <v>34</v>
      </c>
      <c r="L704" s="8">
        <v>171</v>
      </c>
      <c r="M704" s="8">
        <v>64</v>
      </c>
      <c r="N704" s="8">
        <v>11</v>
      </c>
      <c r="O704" s="8">
        <v>74</v>
      </c>
      <c r="P704" s="8">
        <v>1404</v>
      </c>
      <c r="Q704" s="8">
        <v>68</v>
      </c>
      <c r="R704" s="8">
        <v>1118</v>
      </c>
      <c r="S704" s="8">
        <v>445</v>
      </c>
      <c r="T704" s="3" t="s">
        <v>57</v>
      </c>
      <c r="U704" s="10">
        <v>45183</v>
      </c>
      <c r="V704" s="32">
        <v>104</v>
      </c>
      <c r="W704" s="27">
        <v>2.3017506584334818E-3</v>
      </c>
      <c r="X704" s="34">
        <v>26</v>
      </c>
      <c r="Y704" s="27">
        <v>0.25</v>
      </c>
      <c r="Z704" s="27">
        <v>5.7543766460837044E-4</v>
      </c>
      <c r="AA704" s="35">
        <v>20</v>
      </c>
      <c r="AB704" s="27">
        <v>0.19230769230769232</v>
      </c>
      <c r="AC704" s="27">
        <f t="shared" si="61"/>
        <v>4.4264435739105416E-4</v>
      </c>
      <c r="AD704" s="36">
        <v>53</v>
      </c>
      <c r="AE704" s="27">
        <v>0.50961538461538458</v>
      </c>
      <c r="AF704" s="27">
        <f t="shared" si="62"/>
        <v>1.1730075470862936E-3</v>
      </c>
      <c r="AG704" s="37">
        <v>4</v>
      </c>
      <c r="AH704" s="27">
        <v>3.8461538461538464E-2</v>
      </c>
      <c r="AI704" s="27">
        <f t="shared" si="63"/>
        <v>8.8528871478210834E-5</v>
      </c>
      <c r="AJ704" s="38">
        <v>0</v>
      </c>
      <c r="AK704" s="27">
        <v>0</v>
      </c>
      <c r="AL704" s="27">
        <f t="shared" si="64"/>
        <v>0</v>
      </c>
      <c r="AM704" s="40">
        <v>1</v>
      </c>
      <c r="AN704" s="27">
        <v>9.6153846153846159E-3</v>
      </c>
      <c r="AO704" s="27">
        <f t="shared" si="65"/>
        <v>2.2132217869552708E-5</v>
      </c>
      <c r="AP704" s="7" t="b">
        <v>1</v>
      </c>
      <c r="AQ704" s="6" t="b">
        <v>0</v>
      </c>
      <c r="AR704" s="6" t="b">
        <v>0</v>
      </c>
      <c r="AS704" s="6" t="b">
        <v>0</v>
      </c>
      <c r="AT704" s="7" t="b">
        <v>1</v>
      </c>
      <c r="AU704" s="6" t="b">
        <v>0</v>
      </c>
      <c r="AV704" s="6" t="b">
        <v>0</v>
      </c>
      <c r="AW704" s="6" t="b">
        <v>0</v>
      </c>
      <c r="AX704" s="6" t="b">
        <v>0</v>
      </c>
      <c r="AY704" s="6" t="b">
        <v>0</v>
      </c>
      <c r="AZ704" s="6" t="b">
        <v>0</v>
      </c>
      <c r="BA704" s="6" t="b">
        <v>0</v>
      </c>
      <c r="BB704" s="6" t="b">
        <v>0</v>
      </c>
    </row>
    <row r="705" spans="1:54" ht="15" x14ac:dyDescent="0.25">
      <c r="A705" s="3" t="s">
        <v>1469</v>
      </c>
      <c r="B705" s="3" t="str">
        <f ca="1">IFERROR(__xludf.DUMMYFUNCTION("SPLIT(A705,""/"")"),"Naresh1318")</f>
        <v>Naresh1318</v>
      </c>
      <c r="C705" s="3" t="str">
        <f ca="1">IFERROR(__xludf.DUMMYFUNCTION("""COMPUTED_VALUE"""),"Topaz")</f>
        <v>Topaz</v>
      </c>
      <c r="D705" s="4" t="s">
        <v>1470</v>
      </c>
      <c r="E705" s="5">
        <v>43655.087210648147</v>
      </c>
      <c r="F705" s="5">
        <v>44295.081689814811</v>
      </c>
      <c r="G705" s="13">
        <f t="shared" si="60"/>
        <v>639.99447916666395</v>
      </c>
      <c r="H705" s="6" t="b">
        <v>0</v>
      </c>
      <c r="I705" s="6" t="b">
        <v>0</v>
      </c>
      <c r="J705" s="8">
        <v>362</v>
      </c>
      <c r="K705" s="8">
        <v>10</v>
      </c>
      <c r="L705" s="8">
        <v>40</v>
      </c>
      <c r="M705" s="8">
        <v>2</v>
      </c>
      <c r="N705" s="8">
        <v>0</v>
      </c>
      <c r="O705" s="8">
        <v>4</v>
      </c>
      <c r="P705" s="8">
        <v>26</v>
      </c>
      <c r="Q705" s="8">
        <v>10</v>
      </c>
      <c r="R705" s="8">
        <v>31</v>
      </c>
      <c r="S705" s="8">
        <v>9</v>
      </c>
      <c r="T705" s="3" t="s">
        <v>92</v>
      </c>
      <c r="U705" s="10">
        <v>725</v>
      </c>
      <c r="V705" s="32">
        <v>5</v>
      </c>
      <c r="W705" s="27">
        <v>6.8965517241379309E-3</v>
      </c>
      <c r="X705" s="34">
        <v>0</v>
      </c>
      <c r="Y705" s="27">
        <v>0</v>
      </c>
      <c r="Z705" s="27">
        <v>0</v>
      </c>
      <c r="AA705" s="35">
        <v>0</v>
      </c>
      <c r="AB705" s="27">
        <v>0</v>
      </c>
      <c r="AC705" s="27">
        <f t="shared" si="61"/>
        <v>0</v>
      </c>
      <c r="AD705" s="36">
        <v>1</v>
      </c>
      <c r="AE705" s="27">
        <v>0.2</v>
      </c>
      <c r="AF705" s="27">
        <f t="shared" si="62"/>
        <v>1.3793103448275861E-3</v>
      </c>
      <c r="AG705" s="37">
        <v>4</v>
      </c>
      <c r="AH705" s="27">
        <v>0.8</v>
      </c>
      <c r="AI705" s="27">
        <f t="shared" si="63"/>
        <v>5.5172413793103444E-3</v>
      </c>
      <c r="AJ705" s="38">
        <v>0</v>
      </c>
      <c r="AK705" s="27">
        <v>0</v>
      </c>
      <c r="AL705" s="27">
        <f t="shared" si="64"/>
        <v>0</v>
      </c>
      <c r="AM705" s="40">
        <v>0</v>
      </c>
      <c r="AN705" s="27">
        <v>0</v>
      </c>
      <c r="AO705" s="27">
        <f t="shared" si="65"/>
        <v>0</v>
      </c>
      <c r="AP705" s="7" t="b">
        <v>1</v>
      </c>
      <c r="AQ705" s="7" t="b">
        <v>1</v>
      </c>
      <c r="AR705" s="6" t="b">
        <v>0</v>
      </c>
      <c r="AS705" s="6" t="b">
        <v>0</v>
      </c>
      <c r="AT705" s="7" t="b">
        <v>1</v>
      </c>
      <c r="AU705" s="6" t="b">
        <v>0</v>
      </c>
      <c r="AV705" s="6" t="b">
        <v>0</v>
      </c>
      <c r="AW705" s="6" t="b">
        <v>0</v>
      </c>
      <c r="AX705" s="6" t="b">
        <v>0</v>
      </c>
      <c r="AY705" s="6" t="b">
        <v>0</v>
      </c>
      <c r="AZ705" s="6" t="b">
        <v>0</v>
      </c>
      <c r="BA705" s="6" t="b">
        <v>0</v>
      </c>
      <c r="BB705" s="6" t="b">
        <v>0</v>
      </c>
    </row>
    <row r="706" spans="1:54" ht="15" x14ac:dyDescent="0.25">
      <c r="A706" s="3" t="s">
        <v>1471</v>
      </c>
      <c r="B706" s="3" t="str">
        <f ca="1">IFERROR(__xludf.DUMMYFUNCTION("SPLIT(A706,""/"")"),"natlas")</f>
        <v>natlas</v>
      </c>
      <c r="C706" s="3" t="str">
        <f ca="1">IFERROR(__xludf.DUMMYFUNCTION("""COMPUTED_VALUE"""),"natlas")</f>
        <v>natlas</v>
      </c>
      <c r="D706" s="4" t="s">
        <v>1472</v>
      </c>
      <c r="E706" s="5">
        <v>43228.831053240741</v>
      </c>
      <c r="F706" s="5">
        <v>44292.008692129632</v>
      </c>
      <c r="G706" s="13">
        <f t="shared" si="60"/>
        <v>1063.1776388888902</v>
      </c>
      <c r="H706" s="6" t="b">
        <v>0</v>
      </c>
      <c r="I706" s="7" t="b">
        <v>1</v>
      </c>
      <c r="J706" s="8">
        <v>336</v>
      </c>
      <c r="K706" s="8">
        <v>15</v>
      </c>
      <c r="L706" s="8">
        <v>51</v>
      </c>
      <c r="M706" s="8">
        <v>18</v>
      </c>
      <c r="N706" s="8">
        <v>14</v>
      </c>
      <c r="O706" s="8">
        <v>15</v>
      </c>
      <c r="P706" s="8">
        <v>441</v>
      </c>
      <c r="Q706" s="8">
        <v>4</v>
      </c>
      <c r="R706" s="8">
        <v>293</v>
      </c>
      <c r="S706" s="8">
        <v>71</v>
      </c>
      <c r="T706" s="3" t="s">
        <v>69</v>
      </c>
      <c r="U706" s="10">
        <v>4256</v>
      </c>
      <c r="V706" s="32">
        <v>60</v>
      </c>
      <c r="W706" s="27">
        <v>1.4097744360902255E-2</v>
      </c>
      <c r="X706" s="34">
        <v>0</v>
      </c>
      <c r="Y706" s="27">
        <v>0</v>
      </c>
      <c r="Z706" s="27">
        <v>0</v>
      </c>
      <c r="AA706" s="35">
        <v>27</v>
      </c>
      <c r="AB706" s="27">
        <v>0.45</v>
      </c>
      <c r="AC706" s="27">
        <f t="shared" si="61"/>
        <v>6.3439849624060147E-3</v>
      </c>
      <c r="AD706" s="36">
        <v>22</v>
      </c>
      <c r="AE706" s="27">
        <v>0.36666666666666664</v>
      </c>
      <c r="AF706" s="27">
        <f t="shared" si="62"/>
        <v>5.1691729323308268E-3</v>
      </c>
      <c r="AG706" s="37">
        <v>9</v>
      </c>
      <c r="AH706" s="27">
        <v>0.15</v>
      </c>
      <c r="AI706" s="27">
        <f t="shared" si="63"/>
        <v>2.1146616541353382E-3</v>
      </c>
      <c r="AJ706" s="38">
        <v>2</v>
      </c>
      <c r="AK706" s="27">
        <v>3.3333333333333333E-2</v>
      </c>
      <c r="AL706" s="27">
        <f t="shared" si="64"/>
        <v>4.6992481203007516E-4</v>
      </c>
      <c r="AM706" s="40">
        <v>0</v>
      </c>
      <c r="AN706" s="27">
        <v>0</v>
      </c>
      <c r="AO706" s="27">
        <f t="shared" si="65"/>
        <v>0</v>
      </c>
      <c r="AP706" s="7" t="b">
        <v>1</v>
      </c>
      <c r="AQ706" s="7" t="b">
        <v>1</v>
      </c>
      <c r="AR706" s="6" t="b">
        <v>0</v>
      </c>
      <c r="AS706" s="6" t="b">
        <v>0</v>
      </c>
      <c r="AT706" s="7" t="b">
        <v>1</v>
      </c>
      <c r="AU706" s="6" t="b">
        <v>0</v>
      </c>
      <c r="AV706" s="6" t="b">
        <v>0</v>
      </c>
      <c r="AW706" s="6" t="b">
        <v>0</v>
      </c>
      <c r="AX706" s="6" t="b">
        <v>0</v>
      </c>
      <c r="AY706" s="6" t="b">
        <v>0</v>
      </c>
      <c r="AZ706" s="6" t="b">
        <v>0</v>
      </c>
      <c r="BA706" s="6" t="b">
        <v>0</v>
      </c>
      <c r="BB706" s="6" t="b">
        <v>0</v>
      </c>
    </row>
    <row r="707" spans="1:54" ht="15" x14ac:dyDescent="0.25">
      <c r="A707" s="3" t="s">
        <v>1473</v>
      </c>
      <c r="B707" s="3" t="str">
        <f ca="1">IFERROR(__xludf.DUMMYFUNCTION("SPLIT(A707,""/"")"),"nccgroup")</f>
        <v>nccgroup</v>
      </c>
      <c r="C707" s="3" t="str">
        <f ca="1">IFERROR(__xludf.DUMMYFUNCTION("""COMPUTED_VALUE"""),"ScoutSuite")</f>
        <v>ScoutSuite</v>
      </c>
      <c r="D707" s="4" t="s">
        <v>1474</v>
      </c>
      <c r="E707" s="5">
        <v>43403.490902777776</v>
      </c>
      <c r="F707" s="5">
        <v>44294.708124999997</v>
      </c>
      <c r="G707" s="13">
        <f t="shared" ref="G707:G770" si="66">F707-E707</f>
        <v>891.21722222222161</v>
      </c>
      <c r="H707" s="6" t="b">
        <v>0</v>
      </c>
      <c r="I707" s="7" t="b">
        <v>1</v>
      </c>
      <c r="J707" s="8">
        <v>3031</v>
      </c>
      <c r="K707" s="8">
        <v>95</v>
      </c>
      <c r="L707" s="8">
        <v>429</v>
      </c>
      <c r="M707" s="8">
        <v>28</v>
      </c>
      <c r="N707" s="8">
        <v>3</v>
      </c>
      <c r="O707" s="8">
        <v>36</v>
      </c>
      <c r="P707" s="8">
        <v>562</v>
      </c>
      <c r="Q707" s="8">
        <v>11</v>
      </c>
      <c r="R707" s="8">
        <v>651</v>
      </c>
      <c r="S707" s="8">
        <v>169</v>
      </c>
      <c r="T707" s="3" t="s">
        <v>64</v>
      </c>
      <c r="U707" s="10">
        <v>12490</v>
      </c>
      <c r="V707" s="32">
        <v>11</v>
      </c>
      <c r="W707" s="27">
        <v>8.807045636509207E-4</v>
      </c>
      <c r="X707" s="34">
        <v>1</v>
      </c>
      <c r="Y707" s="27">
        <v>9.0909090909090912E-2</v>
      </c>
      <c r="Z707" s="27">
        <v>8.0064051240992797E-5</v>
      </c>
      <c r="AA707" s="35">
        <v>1</v>
      </c>
      <c r="AB707" s="27">
        <v>9.0909090909090912E-2</v>
      </c>
      <c r="AC707" s="27">
        <f t="shared" ref="AC707:AC770" si="67">AA707/U707</f>
        <v>8.0064051240992797E-5</v>
      </c>
      <c r="AD707" s="36">
        <v>0</v>
      </c>
      <c r="AE707" s="27">
        <v>0</v>
      </c>
      <c r="AF707" s="27">
        <f t="shared" ref="AF707:AF770" si="68">AD707/U707</f>
        <v>0</v>
      </c>
      <c r="AG707" s="37">
        <v>9</v>
      </c>
      <c r="AH707" s="27">
        <v>0.81818181818181823</v>
      </c>
      <c r="AI707" s="27">
        <f t="shared" ref="AI707:AI770" si="69">AG707/U707</f>
        <v>7.2057646116893519E-4</v>
      </c>
      <c r="AJ707" s="38">
        <v>0</v>
      </c>
      <c r="AK707" s="27">
        <v>0</v>
      </c>
      <c r="AL707" s="27">
        <f t="shared" ref="AL707:AL770" si="70">AJ707/U707</f>
        <v>0</v>
      </c>
      <c r="AM707" s="40">
        <v>0</v>
      </c>
      <c r="AN707" s="27">
        <v>0</v>
      </c>
      <c r="AO707" s="27">
        <f t="shared" ref="AO707:AO770" si="71">AM707/U707</f>
        <v>0</v>
      </c>
      <c r="AP707" s="7" t="b">
        <v>1</v>
      </c>
      <c r="AQ707" s="7" t="b">
        <v>1</v>
      </c>
      <c r="AR707" s="6" t="b">
        <v>0</v>
      </c>
      <c r="AS707" s="6" t="b">
        <v>0</v>
      </c>
      <c r="AT707" s="7" t="b">
        <v>1</v>
      </c>
      <c r="AU707" s="6" t="b">
        <v>0</v>
      </c>
      <c r="AV707" s="6" t="b">
        <v>0</v>
      </c>
      <c r="AW707" s="6" t="b">
        <v>0</v>
      </c>
      <c r="AX707" s="6" t="b">
        <v>0</v>
      </c>
      <c r="AY707" s="6" t="b">
        <v>0</v>
      </c>
      <c r="AZ707" s="6" t="b">
        <v>0</v>
      </c>
      <c r="BA707" s="6" t="b">
        <v>0</v>
      </c>
      <c r="BB707" s="6" t="b">
        <v>0</v>
      </c>
    </row>
    <row r="708" spans="1:54" ht="15" x14ac:dyDescent="0.25">
      <c r="A708" s="3" t="s">
        <v>1475</v>
      </c>
      <c r="B708" s="3" t="str">
        <f ca="1">IFERROR(__xludf.DUMMYFUNCTION("SPLIT(A708,""/"")"),"nccgroup")</f>
        <v>nccgroup</v>
      </c>
      <c r="C708" s="3" t="str">
        <f ca="1">IFERROR(__xludf.DUMMYFUNCTION("""COMPUTED_VALUE"""),"Winpayloads")</f>
        <v>Winpayloads</v>
      </c>
      <c r="D708" s="4" t="s">
        <v>1476</v>
      </c>
      <c r="E708" s="5">
        <v>42286.39570601852</v>
      </c>
      <c r="F708" s="5">
        <v>44294.027199074073</v>
      </c>
      <c r="G708" s="13">
        <f t="shared" si="66"/>
        <v>2007.6314930555527</v>
      </c>
      <c r="H708" s="6" t="b">
        <v>0</v>
      </c>
      <c r="I708" s="7" t="b">
        <v>1</v>
      </c>
      <c r="J708" s="8">
        <v>1215</v>
      </c>
      <c r="K708" s="8">
        <v>109</v>
      </c>
      <c r="L708" s="8">
        <v>302</v>
      </c>
      <c r="M708" s="8">
        <v>0</v>
      </c>
      <c r="N708" s="8">
        <v>0</v>
      </c>
      <c r="O708" s="8">
        <v>3</v>
      </c>
      <c r="P708" s="8">
        <v>10</v>
      </c>
      <c r="Q708" s="8">
        <v>0</v>
      </c>
      <c r="R708" s="8">
        <v>74</v>
      </c>
      <c r="S708" s="8">
        <v>12</v>
      </c>
      <c r="T708" s="3" t="s">
        <v>69</v>
      </c>
      <c r="U708" s="10">
        <v>1422</v>
      </c>
      <c r="V708" s="32">
        <v>10</v>
      </c>
      <c r="W708" s="27">
        <v>7.0323488045007029E-3</v>
      </c>
      <c r="X708" s="34">
        <v>0</v>
      </c>
      <c r="Y708" s="27">
        <v>0</v>
      </c>
      <c r="Z708" s="27">
        <v>0</v>
      </c>
      <c r="AA708" s="35">
        <v>4</v>
      </c>
      <c r="AB708" s="27">
        <v>0.4</v>
      </c>
      <c r="AC708" s="27">
        <f t="shared" si="67"/>
        <v>2.8129395218002813E-3</v>
      </c>
      <c r="AD708" s="36">
        <v>0</v>
      </c>
      <c r="AE708" s="27">
        <v>0</v>
      </c>
      <c r="AF708" s="27">
        <f t="shared" si="68"/>
        <v>0</v>
      </c>
      <c r="AG708" s="37">
        <v>2</v>
      </c>
      <c r="AH708" s="27">
        <v>0.2</v>
      </c>
      <c r="AI708" s="27">
        <f t="shared" si="69"/>
        <v>1.4064697609001407E-3</v>
      </c>
      <c r="AJ708" s="38">
        <v>4</v>
      </c>
      <c r="AK708" s="27">
        <v>0.4</v>
      </c>
      <c r="AL708" s="27">
        <f t="shared" si="70"/>
        <v>2.8129395218002813E-3</v>
      </c>
      <c r="AM708" s="40">
        <v>0</v>
      </c>
      <c r="AN708" s="27">
        <v>0</v>
      </c>
      <c r="AO708" s="27">
        <f t="shared" si="71"/>
        <v>0</v>
      </c>
      <c r="AP708" s="7" t="b">
        <v>1</v>
      </c>
      <c r="AQ708" s="6" t="b">
        <v>0</v>
      </c>
      <c r="AR708" s="6" t="b">
        <v>0</v>
      </c>
      <c r="AS708" s="6" t="b">
        <v>0</v>
      </c>
      <c r="AT708" s="7" t="b">
        <v>1</v>
      </c>
      <c r="AU708" s="6" t="b">
        <v>0</v>
      </c>
      <c r="AV708" s="6" t="b">
        <v>0</v>
      </c>
      <c r="AW708" s="6" t="b">
        <v>0</v>
      </c>
      <c r="AX708" s="6" t="b">
        <v>0</v>
      </c>
      <c r="AY708" s="6" t="b">
        <v>0</v>
      </c>
      <c r="AZ708" s="6" t="b">
        <v>0</v>
      </c>
      <c r="BA708" s="6" t="b">
        <v>0</v>
      </c>
      <c r="BB708" s="6" t="b">
        <v>0</v>
      </c>
    </row>
    <row r="709" spans="1:54" ht="15" x14ac:dyDescent="0.25">
      <c r="A709" s="3" t="s">
        <v>1477</v>
      </c>
      <c r="B709" s="3" t="str">
        <f ca="1">IFERROR(__xludf.DUMMYFUNCTION("SPLIT(A709,""/"")"),"Nekmo")</f>
        <v>Nekmo</v>
      </c>
      <c r="C709" s="3" t="str">
        <f ca="1">IFERROR(__xludf.DUMMYFUNCTION("""COMPUTED_VALUE"""),"amazon-dash")</f>
        <v>amazon-dash</v>
      </c>
      <c r="D709" s="4" t="s">
        <v>1478</v>
      </c>
      <c r="E709" s="5">
        <v>42690.072314814817</v>
      </c>
      <c r="F709" s="5">
        <v>44291.223067129627</v>
      </c>
      <c r="G709" s="13">
        <f t="shared" si="66"/>
        <v>1601.1507523148102</v>
      </c>
      <c r="H709" s="6" t="b">
        <v>0</v>
      </c>
      <c r="I709" s="6" t="b">
        <v>0</v>
      </c>
      <c r="J709" s="8">
        <v>709</v>
      </c>
      <c r="K709" s="8">
        <v>29</v>
      </c>
      <c r="L709" s="8">
        <v>61</v>
      </c>
      <c r="M709" s="8">
        <v>25</v>
      </c>
      <c r="N709" s="8">
        <v>0</v>
      </c>
      <c r="O709" s="8">
        <v>7</v>
      </c>
      <c r="P709" s="8">
        <v>20</v>
      </c>
      <c r="Q709" s="8">
        <v>2</v>
      </c>
      <c r="R709" s="8">
        <v>150</v>
      </c>
      <c r="S709" s="8">
        <v>26</v>
      </c>
      <c r="T709" s="3" t="s">
        <v>72</v>
      </c>
      <c r="U709" s="10">
        <v>2114</v>
      </c>
      <c r="V709" s="32">
        <v>4</v>
      </c>
      <c r="W709" s="27">
        <v>1.8921475875118259E-3</v>
      </c>
      <c r="X709" s="34">
        <v>1</v>
      </c>
      <c r="Y709" s="27">
        <v>0.25</v>
      </c>
      <c r="Z709" s="27">
        <v>4.7303689687795648E-4</v>
      </c>
      <c r="AA709" s="35">
        <v>1</v>
      </c>
      <c r="AB709" s="27">
        <v>0.25</v>
      </c>
      <c r="AC709" s="27">
        <f t="shared" si="67"/>
        <v>4.7303689687795648E-4</v>
      </c>
      <c r="AD709" s="36">
        <v>2</v>
      </c>
      <c r="AE709" s="27">
        <v>0.5</v>
      </c>
      <c r="AF709" s="27">
        <f t="shared" si="68"/>
        <v>9.4607379375591296E-4</v>
      </c>
      <c r="AG709" s="37">
        <v>0</v>
      </c>
      <c r="AH709" s="27">
        <v>0</v>
      </c>
      <c r="AI709" s="27">
        <f t="shared" si="69"/>
        <v>0</v>
      </c>
      <c r="AJ709" s="38">
        <v>0</v>
      </c>
      <c r="AK709" s="27">
        <v>0</v>
      </c>
      <c r="AL709" s="27">
        <f t="shared" si="70"/>
        <v>0</v>
      </c>
      <c r="AM709" s="40">
        <v>0</v>
      </c>
      <c r="AN709" s="27">
        <v>0</v>
      </c>
      <c r="AO709" s="27">
        <f t="shared" si="71"/>
        <v>0</v>
      </c>
      <c r="AP709" s="7" t="b">
        <v>1</v>
      </c>
      <c r="AQ709" s="6" t="b">
        <v>0</v>
      </c>
      <c r="AR709" s="6" t="b">
        <v>0</v>
      </c>
      <c r="AS709" s="6" t="b">
        <v>0</v>
      </c>
      <c r="AT709" s="7" t="b">
        <v>1</v>
      </c>
      <c r="AU709" s="6" t="b">
        <v>0</v>
      </c>
      <c r="AV709" s="6" t="b">
        <v>0</v>
      </c>
      <c r="AW709" s="6" t="b">
        <v>0</v>
      </c>
      <c r="AX709" s="6" t="b">
        <v>0</v>
      </c>
      <c r="AY709" s="6" t="b">
        <v>0</v>
      </c>
      <c r="AZ709" s="6" t="b">
        <v>0</v>
      </c>
      <c r="BA709" s="6" t="b">
        <v>0</v>
      </c>
      <c r="BB709" s="6" t="b">
        <v>0</v>
      </c>
    </row>
    <row r="710" spans="1:54" ht="15" x14ac:dyDescent="0.25">
      <c r="A710" s="3" t="s">
        <v>1479</v>
      </c>
      <c r="B710" s="3" t="str">
        <f ca="1">IFERROR(__xludf.DUMMYFUNCTION("SPLIT(A710,""/"")"),"neo4j")</f>
        <v>neo4j</v>
      </c>
      <c r="C710" s="3" t="str">
        <f ca="1">IFERROR(__xludf.DUMMYFUNCTION("""COMPUTED_VALUE"""),"neo4j-python-driver")</f>
        <v>neo4j-python-driver</v>
      </c>
      <c r="D710" s="4" t="s">
        <v>1480</v>
      </c>
      <c r="E710" s="5">
        <v>42129.547453703701</v>
      </c>
      <c r="F710" s="5">
        <v>44293.651689814818</v>
      </c>
      <c r="G710" s="13">
        <f t="shared" si="66"/>
        <v>2164.1042361111176</v>
      </c>
      <c r="H710" s="6" t="b">
        <v>0</v>
      </c>
      <c r="I710" s="7" t="b">
        <v>1</v>
      </c>
      <c r="J710" s="8">
        <v>613</v>
      </c>
      <c r="K710" s="8">
        <v>88</v>
      </c>
      <c r="L710" s="8">
        <v>134</v>
      </c>
      <c r="M710" s="8">
        <v>46</v>
      </c>
      <c r="N710" s="8">
        <v>0</v>
      </c>
      <c r="O710" s="8">
        <v>24</v>
      </c>
      <c r="P710" s="8">
        <v>354</v>
      </c>
      <c r="Q710" s="8">
        <v>5</v>
      </c>
      <c r="R710" s="8">
        <v>176</v>
      </c>
      <c r="S710" s="8">
        <v>3</v>
      </c>
      <c r="T710" s="3" t="s">
        <v>69</v>
      </c>
      <c r="U710" s="10">
        <v>12611</v>
      </c>
      <c r="V710" s="32">
        <v>77</v>
      </c>
      <c r="W710" s="27">
        <v>6.1057806676710806E-3</v>
      </c>
      <c r="X710" s="34">
        <v>66</v>
      </c>
      <c r="Y710" s="27">
        <v>0.8571428571428571</v>
      </c>
      <c r="Z710" s="27">
        <v>5.233526286575212E-3</v>
      </c>
      <c r="AA710" s="35">
        <v>0</v>
      </c>
      <c r="AB710" s="27">
        <v>0</v>
      </c>
      <c r="AC710" s="27">
        <f t="shared" si="67"/>
        <v>0</v>
      </c>
      <c r="AD710" s="36">
        <v>1</v>
      </c>
      <c r="AE710" s="27">
        <v>1.2987012987012988E-2</v>
      </c>
      <c r="AF710" s="27">
        <f t="shared" si="68"/>
        <v>7.9295852826897147E-5</v>
      </c>
      <c r="AG710" s="37">
        <v>10</v>
      </c>
      <c r="AH710" s="27">
        <v>0.12987012987012986</v>
      </c>
      <c r="AI710" s="27">
        <f t="shared" si="69"/>
        <v>7.929585282689715E-4</v>
      </c>
      <c r="AJ710" s="38">
        <v>0</v>
      </c>
      <c r="AK710" s="27">
        <v>0</v>
      </c>
      <c r="AL710" s="27">
        <f t="shared" si="70"/>
        <v>0</v>
      </c>
      <c r="AM710" s="40">
        <v>0</v>
      </c>
      <c r="AN710" s="27">
        <v>0</v>
      </c>
      <c r="AO710" s="27">
        <f t="shared" si="71"/>
        <v>0</v>
      </c>
      <c r="AP710" s="7" t="b">
        <v>1</v>
      </c>
      <c r="AQ710" s="6" t="b">
        <v>0</v>
      </c>
      <c r="AR710" s="6" t="b">
        <v>0</v>
      </c>
      <c r="AS710" s="6" t="b">
        <v>0</v>
      </c>
      <c r="AT710" s="7" t="b">
        <v>1</v>
      </c>
      <c r="AU710" s="6" t="b">
        <v>0</v>
      </c>
      <c r="AV710" s="6" t="b">
        <v>0</v>
      </c>
      <c r="AW710" s="6" t="b">
        <v>0</v>
      </c>
      <c r="AX710" s="6" t="b">
        <v>0</v>
      </c>
      <c r="AY710" s="6" t="b">
        <v>0</v>
      </c>
      <c r="AZ710" s="6" t="b">
        <v>0</v>
      </c>
      <c r="BA710" s="6" t="b">
        <v>0</v>
      </c>
      <c r="BB710" s="6" t="b">
        <v>0</v>
      </c>
    </row>
    <row r="711" spans="1:54" ht="15" x14ac:dyDescent="0.25">
      <c r="A711" s="3" t="s">
        <v>1481</v>
      </c>
      <c r="B711" s="3" t="str">
        <f ca="1">IFERROR(__xludf.DUMMYFUNCTION("SPLIT(A711,""/"")"),"nerdvegas")</f>
        <v>nerdvegas</v>
      </c>
      <c r="C711" s="3" t="str">
        <f ca="1">IFERROR(__xludf.DUMMYFUNCTION("""COMPUTED_VALUE"""),"rez")</f>
        <v>rez</v>
      </c>
      <c r="D711" s="4" t="s">
        <v>1482</v>
      </c>
      <c r="E711" s="5">
        <v>41016.501423611109</v>
      </c>
      <c r="F711" s="5">
        <v>44294.214745370373</v>
      </c>
      <c r="G711" s="13">
        <f t="shared" si="66"/>
        <v>3277.7133217592636</v>
      </c>
      <c r="H711" s="6" t="b">
        <v>0</v>
      </c>
      <c r="I711" s="6" t="b">
        <v>0</v>
      </c>
      <c r="J711" s="8">
        <v>560</v>
      </c>
      <c r="K711" s="8">
        <v>93</v>
      </c>
      <c r="L711" s="8">
        <v>196</v>
      </c>
      <c r="M711" s="8">
        <v>172</v>
      </c>
      <c r="N711" s="8">
        <v>14</v>
      </c>
      <c r="O711" s="8">
        <v>36</v>
      </c>
      <c r="P711" s="8">
        <v>511</v>
      </c>
      <c r="Q711" s="8">
        <v>30</v>
      </c>
      <c r="R711" s="8">
        <v>535</v>
      </c>
      <c r="S711" s="8">
        <v>228</v>
      </c>
      <c r="T711" s="3" t="s">
        <v>160</v>
      </c>
      <c r="U711" s="10">
        <v>66162</v>
      </c>
      <c r="V711" s="32">
        <v>298</v>
      </c>
      <c r="W711" s="27">
        <v>4.504096006771258E-3</v>
      </c>
      <c r="X711" s="34">
        <v>86</v>
      </c>
      <c r="Y711" s="27">
        <v>0.28859060402684567</v>
      </c>
      <c r="Z711" s="27">
        <v>1.2998397871890209E-3</v>
      </c>
      <c r="AA711" s="35">
        <v>67</v>
      </c>
      <c r="AB711" s="27">
        <v>0.22483221476510068</v>
      </c>
      <c r="AC711" s="27">
        <f t="shared" si="67"/>
        <v>1.012665880717028E-3</v>
      </c>
      <c r="AD711" s="36">
        <v>87</v>
      </c>
      <c r="AE711" s="27">
        <v>0.29194630872483224</v>
      </c>
      <c r="AF711" s="27">
        <f t="shared" si="68"/>
        <v>1.3149542033191258E-3</v>
      </c>
      <c r="AG711" s="37">
        <v>32</v>
      </c>
      <c r="AH711" s="27">
        <v>0.10738255033557047</v>
      </c>
      <c r="AI711" s="27">
        <f t="shared" si="69"/>
        <v>4.8366131616335659E-4</v>
      </c>
      <c r="AJ711" s="38">
        <v>24</v>
      </c>
      <c r="AK711" s="27">
        <v>8.0536912751677847E-2</v>
      </c>
      <c r="AL711" s="27">
        <f t="shared" si="70"/>
        <v>3.6274598712251744E-4</v>
      </c>
      <c r="AM711" s="40">
        <v>2</v>
      </c>
      <c r="AN711" s="27">
        <v>6.7114093959731542E-3</v>
      </c>
      <c r="AO711" s="27">
        <f t="shared" si="71"/>
        <v>3.0228832260209787E-5</v>
      </c>
      <c r="AP711" s="7" t="b">
        <v>1</v>
      </c>
      <c r="AQ711" s="6" t="b">
        <v>0</v>
      </c>
      <c r="AR711" s="6" t="b">
        <v>0</v>
      </c>
      <c r="AS711" s="6" t="b">
        <v>0</v>
      </c>
      <c r="AT711" s="7" t="b">
        <v>1</v>
      </c>
      <c r="AU711" s="6" t="b">
        <v>0</v>
      </c>
      <c r="AV711" s="6" t="b">
        <v>0</v>
      </c>
      <c r="AW711" s="6" t="b">
        <v>0</v>
      </c>
      <c r="AX711" s="6" t="b">
        <v>0</v>
      </c>
      <c r="AY711" s="6" t="b">
        <v>0</v>
      </c>
      <c r="AZ711" s="6" t="b">
        <v>0</v>
      </c>
      <c r="BA711" s="6" t="b">
        <v>0</v>
      </c>
      <c r="BB711" s="6" t="b">
        <v>0</v>
      </c>
    </row>
    <row r="712" spans="1:54" ht="15" x14ac:dyDescent="0.25">
      <c r="A712" s="3" t="s">
        <v>1483</v>
      </c>
      <c r="B712" s="3" t="str">
        <f ca="1">IFERROR(__xludf.DUMMYFUNCTION("SPLIT(A712,""/"")"),"NervanaSystems")</f>
        <v>NervanaSystems</v>
      </c>
      <c r="C712" s="3" t="str">
        <f ca="1">IFERROR(__xludf.DUMMYFUNCTION("""COMPUTED_VALUE"""),"neon")</f>
        <v>neon</v>
      </c>
      <c r="D712" s="4" t="s">
        <v>1484</v>
      </c>
      <c r="E712" s="5">
        <v>41928.041863425926</v>
      </c>
      <c r="F712" s="5">
        <v>44284.019421296296</v>
      </c>
      <c r="G712" s="13">
        <f t="shared" si="66"/>
        <v>2355.9775578703702</v>
      </c>
      <c r="H712" s="6" t="b">
        <v>0</v>
      </c>
      <c r="I712" s="7" t="b">
        <v>1</v>
      </c>
      <c r="J712" s="8">
        <v>3851</v>
      </c>
      <c r="K712" s="8">
        <v>340</v>
      </c>
      <c r="L712" s="8">
        <v>812</v>
      </c>
      <c r="M712" s="8">
        <v>32</v>
      </c>
      <c r="N712" s="8">
        <v>6</v>
      </c>
      <c r="O712" s="8">
        <v>80</v>
      </c>
      <c r="P712" s="8">
        <v>89</v>
      </c>
      <c r="Q712" s="8">
        <v>9</v>
      </c>
      <c r="R712" s="8">
        <v>387</v>
      </c>
      <c r="S712" s="8">
        <v>82</v>
      </c>
      <c r="T712" s="3" t="s">
        <v>69</v>
      </c>
      <c r="U712" s="10">
        <v>34992</v>
      </c>
      <c r="V712" s="32">
        <v>73</v>
      </c>
      <c r="W712" s="27">
        <v>2.0861911294010058E-3</v>
      </c>
      <c r="X712" s="34">
        <v>6</v>
      </c>
      <c r="Y712" s="27">
        <v>8.2191780821917804E-2</v>
      </c>
      <c r="Z712" s="27">
        <v>1.7146776406035664E-4</v>
      </c>
      <c r="AA712" s="35">
        <v>23</v>
      </c>
      <c r="AB712" s="27">
        <v>0.31506849315068491</v>
      </c>
      <c r="AC712" s="27">
        <f t="shared" si="67"/>
        <v>6.5729309556470045E-4</v>
      </c>
      <c r="AD712" s="36">
        <v>27</v>
      </c>
      <c r="AE712" s="27">
        <v>0.36986301369863012</v>
      </c>
      <c r="AF712" s="27">
        <f t="shared" si="68"/>
        <v>7.716049382716049E-4</v>
      </c>
      <c r="AG712" s="37">
        <v>17</v>
      </c>
      <c r="AH712" s="27">
        <v>0.23287671232876711</v>
      </c>
      <c r="AI712" s="27">
        <f t="shared" si="69"/>
        <v>4.8582533150434384E-4</v>
      </c>
      <c r="AJ712" s="38">
        <v>0</v>
      </c>
      <c r="AK712" s="27">
        <v>0</v>
      </c>
      <c r="AL712" s="27">
        <f t="shared" si="70"/>
        <v>0</v>
      </c>
      <c r="AM712" s="40">
        <v>0</v>
      </c>
      <c r="AN712" s="27">
        <v>0</v>
      </c>
      <c r="AO712" s="27">
        <f t="shared" si="71"/>
        <v>0</v>
      </c>
      <c r="AP712" s="7" t="b">
        <v>1</v>
      </c>
      <c r="AQ712" s="6" t="b">
        <v>0</v>
      </c>
      <c r="AR712" s="6" t="b">
        <v>0</v>
      </c>
      <c r="AS712" s="6" t="b">
        <v>0</v>
      </c>
      <c r="AT712" s="7" t="b">
        <v>1</v>
      </c>
      <c r="AU712" s="6" t="b">
        <v>0</v>
      </c>
      <c r="AV712" s="6" t="b">
        <v>0</v>
      </c>
      <c r="AW712" s="6" t="b">
        <v>0</v>
      </c>
      <c r="AX712" s="6" t="b">
        <v>0</v>
      </c>
      <c r="AY712" s="6" t="b">
        <v>0</v>
      </c>
      <c r="AZ712" s="6" t="b">
        <v>0</v>
      </c>
      <c r="BA712" s="6" t="b">
        <v>0</v>
      </c>
      <c r="BB712" s="6" t="b">
        <v>0</v>
      </c>
    </row>
    <row r="713" spans="1:54" ht="15" x14ac:dyDescent="0.25">
      <c r="A713" s="3" t="s">
        <v>1485</v>
      </c>
      <c r="B713" s="3" t="str">
        <f ca="1">IFERROR(__xludf.DUMMYFUNCTION("SPLIT(A713,""/"")"),"NetEaseGame")</f>
        <v>NetEaseGame</v>
      </c>
      <c r="C713" s="3" t="str">
        <f ca="1">IFERROR(__xludf.DUMMYFUNCTION("""COMPUTED_VALUE"""),"git-webhook")</f>
        <v>git-webhook</v>
      </c>
      <c r="D713" s="4" t="s">
        <v>1486</v>
      </c>
      <c r="E713" s="5">
        <v>42642.372361111113</v>
      </c>
      <c r="F713" s="5">
        <v>44295.126793981479</v>
      </c>
      <c r="G713" s="13">
        <f t="shared" si="66"/>
        <v>1652.7544328703661</v>
      </c>
      <c r="H713" s="6" t="b">
        <v>0</v>
      </c>
      <c r="I713" s="7" t="b">
        <v>1</v>
      </c>
      <c r="J713" s="8">
        <v>1403</v>
      </c>
      <c r="K713" s="8">
        <v>87</v>
      </c>
      <c r="L713" s="8">
        <v>383</v>
      </c>
      <c r="M713" s="8">
        <v>0</v>
      </c>
      <c r="N713" s="8">
        <v>0</v>
      </c>
      <c r="O713" s="8">
        <v>5</v>
      </c>
      <c r="P713" s="8">
        <v>8</v>
      </c>
      <c r="Q713" s="8">
        <v>1</v>
      </c>
      <c r="R713" s="8">
        <v>49</v>
      </c>
      <c r="S713" s="8">
        <v>13</v>
      </c>
      <c r="T713" s="3" t="s">
        <v>72</v>
      </c>
      <c r="U713" s="10">
        <v>1197</v>
      </c>
      <c r="V713" s="32">
        <v>0</v>
      </c>
      <c r="W713" s="27">
        <v>0</v>
      </c>
      <c r="X713" s="34">
        <v>0</v>
      </c>
      <c r="Y713" s="27">
        <v>0</v>
      </c>
      <c r="Z713" s="27">
        <v>0</v>
      </c>
      <c r="AA713" s="35">
        <v>0</v>
      </c>
      <c r="AB713" s="27">
        <v>0</v>
      </c>
      <c r="AC713" s="27">
        <f t="shared" si="67"/>
        <v>0</v>
      </c>
      <c r="AD713" s="36">
        <v>0</v>
      </c>
      <c r="AE713" s="27">
        <v>0</v>
      </c>
      <c r="AF713" s="27">
        <f t="shared" si="68"/>
        <v>0</v>
      </c>
      <c r="AG713" s="37">
        <v>0</v>
      </c>
      <c r="AH713" s="27">
        <v>0</v>
      </c>
      <c r="AI713" s="27">
        <f t="shared" si="69"/>
        <v>0</v>
      </c>
      <c r="AJ713" s="38">
        <v>0</v>
      </c>
      <c r="AK713" s="27">
        <v>0</v>
      </c>
      <c r="AL713" s="27">
        <f t="shared" si="70"/>
        <v>0</v>
      </c>
      <c r="AM713" s="40">
        <v>0</v>
      </c>
      <c r="AN713" s="27">
        <v>0</v>
      </c>
      <c r="AO713" s="27">
        <f t="shared" si="71"/>
        <v>0</v>
      </c>
      <c r="AP713" s="7" t="b">
        <v>1</v>
      </c>
      <c r="AQ713" s="7" t="b">
        <v>1</v>
      </c>
      <c r="AR713" s="6" t="b">
        <v>0</v>
      </c>
      <c r="AS713" s="6" t="b">
        <v>0</v>
      </c>
      <c r="AT713" s="7" t="b">
        <v>1</v>
      </c>
      <c r="AU713" s="6" t="b">
        <v>0</v>
      </c>
      <c r="AV713" s="6" t="b">
        <v>0</v>
      </c>
      <c r="AW713" s="6" t="b">
        <v>0</v>
      </c>
      <c r="AX713" s="6" t="b">
        <v>0</v>
      </c>
      <c r="AY713" s="6" t="b">
        <v>0</v>
      </c>
      <c r="AZ713" s="6" t="b">
        <v>0</v>
      </c>
      <c r="BA713" s="6" t="b">
        <v>0</v>
      </c>
      <c r="BB713" s="6" t="b">
        <v>0</v>
      </c>
    </row>
    <row r="714" spans="1:54" ht="15" x14ac:dyDescent="0.25">
      <c r="A714" s="3" t="s">
        <v>1487</v>
      </c>
      <c r="B714" s="3" t="str">
        <f ca="1">IFERROR(__xludf.DUMMYFUNCTION("SPLIT(A714,""/"")"),"Netflix-Skunkworks")</f>
        <v>Netflix-Skunkworks</v>
      </c>
      <c r="C714" s="3" t="str">
        <f ca="1">IFERROR(__xludf.DUMMYFUNCTION("""COMPUTED_VALUE"""),"aardvark")</f>
        <v>aardvark</v>
      </c>
      <c r="D714" s="4" t="s">
        <v>1488</v>
      </c>
      <c r="E714" s="5">
        <v>42881.819016203706</v>
      </c>
      <c r="F714" s="5">
        <v>44286.951435185183</v>
      </c>
      <c r="G714" s="13">
        <f t="shared" si="66"/>
        <v>1405.1324189814768</v>
      </c>
      <c r="H714" s="6" t="b">
        <v>0</v>
      </c>
      <c r="I714" s="7" t="b">
        <v>1</v>
      </c>
      <c r="J714" s="8">
        <v>382</v>
      </c>
      <c r="K714" s="8">
        <v>127</v>
      </c>
      <c r="L714" s="8">
        <v>61</v>
      </c>
      <c r="M714" s="8">
        <v>2</v>
      </c>
      <c r="N714" s="8">
        <v>1</v>
      </c>
      <c r="O714" s="8">
        <v>21</v>
      </c>
      <c r="P714" s="8">
        <v>104</v>
      </c>
      <c r="Q714" s="8">
        <v>5</v>
      </c>
      <c r="R714" s="8">
        <v>26</v>
      </c>
      <c r="S714" s="8">
        <v>4</v>
      </c>
      <c r="T714" s="3" t="s">
        <v>69</v>
      </c>
      <c r="U714" s="10">
        <v>1208</v>
      </c>
      <c r="V714" s="32">
        <v>57</v>
      </c>
      <c r="W714" s="27">
        <v>4.7185430463576157E-2</v>
      </c>
      <c r="X714" s="34">
        <v>8</v>
      </c>
      <c r="Y714" s="27">
        <v>0.14035087719298245</v>
      </c>
      <c r="Z714" s="27">
        <v>6.6225165562913907E-3</v>
      </c>
      <c r="AA714" s="35">
        <v>30</v>
      </c>
      <c r="AB714" s="27">
        <v>0.52631578947368418</v>
      </c>
      <c r="AC714" s="27">
        <f t="shared" si="67"/>
        <v>2.4834437086092714E-2</v>
      </c>
      <c r="AD714" s="36">
        <v>7</v>
      </c>
      <c r="AE714" s="27">
        <v>0.12280701754385964</v>
      </c>
      <c r="AF714" s="27">
        <f t="shared" si="68"/>
        <v>5.794701986754967E-3</v>
      </c>
      <c r="AG714" s="37">
        <v>12</v>
      </c>
      <c r="AH714" s="27">
        <v>0.21052631578947367</v>
      </c>
      <c r="AI714" s="27">
        <f t="shared" si="69"/>
        <v>9.9337748344370865E-3</v>
      </c>
      <c r="AJ714" s="38">
        <v>0</v>
      </c>
      <c r="AK714" s="27">
        <v>0</v>
      </c>
      <c r="AL714" s="27">
        <f t="shared" si="70"/>
        <v>0</v>
      </c>
      <c r="AM714" s="40">
        <v>0</v>
      </c>
      <c r="AN714" s="27">
        <v>0</v>
      </c>
      <c r="AO714" s="27">
        <f t="shared" si="71"/>
        <v>0</v>
      </c>
      <c r="AP714" s="7" t="b">
        <v>1</v>
      </c>
      <c r="AQ714" s="7" t="b">
        <v>1</v>
      </c>
      <c r="AR714" s="6" t="b">
        <v>0</v>
      </c>
      <c r="AS714" s="6" t="b">
        <v>0</v>
      </c>
      <c r="AT714" s="7" t="b">
        <v>1</v>
      </c>
      <c r="AU714" s="6" t="b">
        <v>0</v>
      </c>
      <c r="AV714" s="6" t="b">
        <v>0</v>
      </c>
      <c r="AW714" s="6" t="b">
        <v>0</v>
      </c>
      <c r="AX714" s="6" t="b">
        <v>0</v>
      </c>
      <c r="AY714" s="6" t="b">
        <v>0</v>
      </c>
      <c r="AZ714" s="6" t="b">
        <v>0</v>
      </c>
      <c r="BA714" s="6" t="b">
        <v>0</v>
      </c>
      <c r="BB714" s="6" t="b">
        <v>0</v>
      </c>
    </row>
    <row r="715" spans="1:54" ht="15" x14ac:dyDescent="0.25">
      <c r="A715" s="3" t="s">
        <v>1489</v>
      </c>
      <c r="B715" s="3" t="str">
        <f ca="1">IFERROR(__xludf.DUMMYFUNCTION("SPLIT(A715,""/"")"),"Netflix-Skunkworks")</f>
        <v>Netflix-Skunkworks</v>
      </c>
      <c r="C715" s="3" t="str">
        <f ca="1">IFERROR(__xludf.DUMMYFUNCTION("""COMPUTED_VALUE"""),"stethoscope")</f>
        <v>stethoscope</v>
      </c>
      <c r="D715" s="4" t="s">
        <v>1490</v>
      </c>
      <c r="E715" s="5">
        <v>42744.902638888889</v>
      </c>
      <c r="F715" s="5">
        <v>44294.875138888892</v>
      </c>
      <c r="G715" s="13">
        <f t="shared" si="66"/>
        <v>1549.9725000000035</v>
      </c>
      <c r="H715" s="6" t="b">
        <v>0</v>
      </c>
      <c r="I715" s="7" t="b">
        <v>1</v>
      </c>
      <c r="J715" s="8">
        <v>1940</v>
      </c>
      <c r="K715" s="8">
        <v>353</v>
      </c>
      <c r="L715" s="8">
        <v>106</v>
      </c>
      <c r="M715" s="8">
        <v>0</v>
      </c>
      <c r="N715" s="8">
        <v>1</v>
      </c>
      <c r="O715" s="8">
        <v>6</v>
      </c>
      <c r="P715" s="8">
        <v>93</v>
      </c>
      <c r="Q715" s="8">
        <v>8</v>
      </c>
      <c r="R715" s="8">
        <v>37</v>
      </c>
      <c r="S715" s="8">
        <v>14</v>
      </c>
      <c r="T715" s="3" t="s">
        <v>69</v>
      </c>
      <c r="U715" s="10">
        <v>4318</v>
      </c>
      <c r="V715" s="32">
        <v>84</v>
      </c>
      <c r="W715" s="27">
        <v>1.9453450671607225E-2</v>
      </c>
      <c r="X715" s="34">
        <v>41</v>
      </c>
      <c r="Y715" s="27">
        <v>0.48809523809523808</v>
      </c>
      <c r="Z715" s="27">
        <v>9.4951366373320981E-3</v>
      </c>
      <c r="AA715" s="35">
        <v>8</v>
      </c>
      <c r="AB715" s="27">
        <v>9.5238095238095233E-2</v>
      </c>
      <c r="AC715" s="27">
        <f t="shared" si="67"/>
        <v>1.8527095877721167E-3</v>
      </c>
      <c r="AD715" s="36">
        <v>13</v>
      </c>
      <c r="AE715" s="27">
        <v>0.15476190476190477</v>
      </c>
      <c r="AF715" s="27">
        <f t="shared" si="68"/>
        <v>3.0106530801296896E-3</v>
      </c>
      <c r="AG715" s="37">
        <v>19</v>
      </c>
      <c r="AH715" s="27">
        <v>0.22619047619047619</v>
      </c>
      <c r="AI715" s="27">
        <f t="shared" si="69"/>
        <v>4.4001852709587772E-3</v>
      </c>
      <c r="AJ715" s="38">
        <v>1</v>
      </c>
      <c r="AK715" s="27">
        <v>1.1904761904761904E-2</v>
      </c>
      <c r="AL715" s="27">
        <f t="shared" si="70"/>
        <v>2.3158869847151459E-4</v>
      </c>
      <c r="AM715" s="40">
        <v>2</v>
      </c>
      <c r="AN715" s="27">
        <v>2.3809523809523808E-2</v>
      </c>
      <c r="AO715" s="27">
        <f t="shared" si="71"/>
        <v>4.6317739694302917E-4</v>
      </c>
      <c r="AP715" s="7" t="b">
        <v>1</v>
      </c>
      <c r="AQ715" s="7" t="b">
        <v>1</v>
      </c>
      <c r="AR715" s="6" t="b">
        <v>0</v>
      </c>
      <c r="AS715" s="6" t="b">
        <v>0</v>
      </c>
      <c r="AT715" s="7" t="b">
        <v>1</v>
      </c>
      <c r="AU715" s="6" t="b">
        <v>0</v>
      </c>
      <c r="AV715" s="6" t="b">
        <v>0</v>
      </c>
      <c r="AW715" s="7" t="b">
        <v>1</v>
      </c>
      <c r="AX715" s="6" t="b">
        <v>0</v>
      </c>
      <c r="AY715" s="6" t="b">
        <v>0</v>
      </c>
      <c r="AZ715" s="6" t="b">
        <v>0</v>
      </c>
      <c r="BA715" s="6" t="b">
        <v>0</v>
      </c>
      <c r="BB715" s="6" t="b">
        <v>0</v>
      </c>
    </row>
    <row r="716" spans="1:54" ht="15" x14ac:dyDescent="0.25">
      <c r="A716" s="3" t="s">
        <v>1491</v>
      </c>
      <c r="B716" s="3" t="str">
        <f ca="1">IFERROR(__xludf.DUMMYFUNCTION("SPLIT(A716,""/"")"),"Netflix")</f>
        <v>Netflix</v>
      </c>
      <c r="C716" s="3" t="str">
        <f ca="1">IFERROR(__xludf.DUMMYFUNCTION("""COMPUTED_VALUE"""),"consoleme")</f>
        <v>consoleme</v>
      </c>
      <c r="D716" s="4" t="s">
        <v>1492</v>
      </c>
      <c r="E716" s="5">
        <v>43782.639594907407</v>
      </c>
      <c r="F716" s="5">
        <v>44295.176886574074</v>
      </c>
      <c r="G716" s="13">
        <f t="shared" si="66"/>
        <v>512.53729166666744</v>
      </c>
      <c r="H716" s="6" t="b">
        <v>0</v>
      </c>
      <c r="I716" s="7" t="b">
        <v>1</v>
      </c>
      <c r="J716" s="8">
        <v>1771</v>
      </c>
      <c r="K716" s="8">
        <v>63</v>
      </c>
      <c r="L716" s="8">
        <v>92</v>
      </c>
      <c r="M716" s="8">
        <v>6</v>
      </c>
      <c r="N716" s="8">
        <v>1</v>
      </c>
      <c r="O716" s="8">
        <v>23</v>
      </c>
      <c r="P716" s="8">
        <v>353</v>
      </c>
      <c r="Q716" s="8">
        <v>5</v>
      </c>
      <c r="R716" s="8">
        <v>49</v>
      </c>
      <c r="S716" s="8">
        <v>19</v>
      </c>
      <c r="T716" s="3" t="s">
        <v>69</v>
      </c>
      <c r="U716" s="10">
        <v>12912</v>
      </c>
      <c r="V716" s="32">
        <v>328</v>
      </c>
      <c r="W716" s="27">
        <v>2.5402726146220571E-2</v>
      </c>
      <c r="X716" s="34">
        <v>122</v>
      </c>
      <c r="Y716" s="27">
        <v>0.37195121951219512</v>
      </c>
      <c r="Z716" s="27">
        <v>9.448574969021066E-3</v>
      </c>
      <c r="AA716" s="35">
        <v>25</v>
      </c>
      <c r="AB716" s="27">
        <v>7.621951219512195E-2</v>
      </c>
      <c r="AC716" s="27">
        <f t="shared" si="67"/>
        <v>1.9361833952912021E-3</v>
      </c>
      <c r="AD716" s="36">
        <v>25</v>
      </c>
      <c r="AE716" s="27">
        <v>7.621951219512195E-2</v>
      </c>
      <c r="AF716" s="27">
        <f t="shared" si="68"/>
        <v>1.9361833952912021E-3</v>
      </c>
      <c r="AG716" s="37">
        <v>156</v>
      </c>
      <c r="AH716" s="27">
        <v>0.47560975609756095</v>
      </c>
      <c r="AI716" s="27">
        <f t="shared" si="69"/>
        <v>1.2081784386617101E-2</v>
      </c>
      <c r="AJ716" s="38">
        <v>0</v>
      </c>
      <c r="AK716" s="27">
        <v>0</v>
      </c>
      <c r="AL716" s="27">
        <f t="shared" si="70"/>
        <v>0</v>
      </c>
      <c r="AM716" s="40">
        <v>0</v>
      </c>
      <c r="AN716" s="27">
        <v>0</v>
      </c>
      <c r="AO716" s="27">
        <f t="shared" si="71"/>
        <v>0</v>
      </c>
      <c r="AP716" s="7" t="b">
        <v>1</v>
      </c>
      <c r="AQ716" s="7" t="b">
        <v>1</v>
      </c>
      <c r="AR716" s="6" t="b">
        <v>0</v>
      </c>
      <c r="AS716" s="6" t="b">
        <v>0</v>
      </c>
      <c r="AT716" s="7" t="b">
        <v>1</v>
      </c>
      <c r="AU716" s="6" t="b">
        <v>0</v>
      </c>
      <c r="AV716" s="6" t="b">
        <v>0</v>
      </c>
      <c r="AW716" s="6" t="b">
        <v>0</v>
      </c>
      <c r="AX716" s="6" t="b">
        <v>0</v>
      </c>
      <c r="AY716" s="6" t="b">
        <v>0</v>
      </c>
      <c r="AZ716" s="6" t="b">
        <v>0</v>
      </c>
      <c r="BA716" s="6" t="b">
        <v>0</v>
      </c>
      <c r="BB716" s="6" t="b">
        <v>0</v>
      </c>
    </row>
    <row r="717" spans="1:54" ht="15" x14ac:dyDescent="0.25">
      <c r="A717" s="3" t="s">
        <v>1493</v>
      </c>
      <c r="B717" s="3" t="str">
        <f ca="1">IFERROR(__xludf.DUMMYFUNCTION("SPLIT(A717,""/"")"),"Netflix")</f>
        <v>Netflix</v>
      </c>
      <c r="C717" s="3" t="str">
        <f ca="1">IFERROR(__xludf.DUMMYFUNCTION("""COMPUTED_VALUE"""),"dispatch")</f>
        <v>dispatch</v>
      </c>
      <c r="D717" s="4" t="s">
        <v>1494</v>
      </c>
      <c r="E717" s="5">
        <v>43871.723240740743</v>
      </c>
      <c r="F717" s="5">
        <v>44295.001909722225</v>
      </c>
      <c r="G717" s="13">
        <f t="shared" si="66"/>
        <v>423.27866898148204</v>
      </c>
      <c r="H717" s="6" t="b">
        <v>0</v>
      </c>
      <c r="I717" s="7" t="b">
        <v>1</v>
      </c>
      <c r="J717" s="8">
        <v>2840</v>
      </c>
      <c r="K717" s="8">
        <v>157</v>
      </c>
      <c r="L717" s="8">
        <v>237</v>
      </c>
      <c r="M717" s="8">
        <v>19</v>
      </c>
      <c r="N717" s="8">
        <v>8</v>
      </c>
      <c r="O717" s="8">
        <v>42</v>
      </c>
      <c r="P717" s="8">
        <v>841</v>
      </c>
      <c r="Q717" s="8">
        <v>5</v>
      </c>
      <c r="R717" s="8">
        <v>154</v>
      </c>
      <c r="S717" s="8">
        <v>6</v>
      </c>
      <c r="T717" s="3" t="s">
        <v>69</v>
      </c>
      <c r="U717" s="10">
        <v>13930</v>
      </c>
      <c r="V717" s="32">
        <v>219</v>
      </c>
      <c r="W717" s="27">
        <v>1.572146446518306E-2</v>
      </c>
      <c r="X717" s="34">
        <v>72</v>
      </c>
      <c r="Y717" s="27">
        <v>0.32876712328767121</v>
      </c>
      <c r="Z717" s="27">
        <v>5.168700646087581E-3</v>
      </c>
      <c r="AA717" s="35">
        <v>16</v>
      </c>
      <c r="AB717" s="27">
        <v>7.3059360730593603E-2</v>
      </c>
      <c r="AC717" s="27">
        <f t="shared" si="67"/>
        <v>1.148600143575018E-3</v>
      </c>
      <c r="AD717" s="36">
        <v>49</v>
      </c>
      <c r="AE717" s="27">
        <v>0.22374429223744291</v>
      </c>
      <c r="AF717" s="27">
        <f t="shared" si="68"/>
        <v>3.5175879396984926E-3</v>
      </c>
      <c r="AG717" s="37">
        <v>14</v>
      </c>
      <c r="AH717" s="27">
        <v>6.3926940639269403E-2</v>
      </c>
      <c r="AI717" s="27">
        <f t="shared" si="69"/>
        <v>1.0050251256281408E-3</v>
      </c>
      <c r="AJ717" s="38">
        <v>3</v>
      </c>
      <c r="AK717" s="27">
        <v>1.3698630136986301E-2</v>
      </c>
      <c r="AL717" s="27">
        <f t="shared" si="70"/>
        <v>2.1536252692031587E-4</v>
      </c>
      <c r="AM717" s="40">
        <v>47</v>
      </c>
      <c r="AN717" s="27">
        <v>0.21461187214611871</v>
      </c>
      <c r="AO717" s="27">
        <f t="shared" si="71"/>
        <v>3.3740129217516152E-3</v>
      </c>
      <c r="AP717" s="7" t="b">
        <v>1</v>
      </c>
      <c r="AQ717" s="7" t="b">
        <v>1</v>
      </c>
      <c r="AR717" s="6" t="b">
        <v>0</v>
      </c>
      <c r="AS717" s="6" t="b">
        <v>0</v>
      </c>
      <c r="AT717" s="7" t="b">
        <v>1</v>
      </c>
      <c r="AU717" s="6" t="b">
        <v>0</v>
      </c>
      <c r="AV717" s="6" t="b">
        <v>0</v>
      </c>
      <c r="AW717" s="6" t="b">
        <v>0</v>
      </c>
      <c r="AX717" s="6" t="b">
        <v>0</v>
      </c>
      <c r="AY717" s="6" t="b">
        <v>0</v>
      </c>
      <c r="AZ717" s="6" t="b">
        <v>0</v>
      </c>
      <c r="BA717" s="6" t="b">
        <v>0</v>
      </c>
      <c r="BB717" s="6" t="b">
        <v>0</v>
      </c>
    </row>
    <row r="718" spans="1:54" ht="15" x14ac:dyDescent="0.25">
      <c r="A718" s="3" t="s">
        <v>1495</v>
      </c>
      <c r="B718" s="3" t="str">
        <f ca="1">IFERROR(__xludf.DUMMYFUNCTION("SPLIT(A718,""/"")"),"Netflix")</f>
        <v>Netflix</v>
      </c>
      <c r="C718" s="3" t="str">
        <f ca="1">IFERROR(__xludf.DUMMYFUNCTION("""COMPUTED_VALUE"""),"lemur")</f>
        <v>lemur</v>
      </c>
      <c r="D718" s="4" t="s">
        <v>1496</v>
      </c>
      <c r="E718" s="5">
        <v>42171.691747685189</v>
      </c>
      <c r="F718" s="5">
        <v>44294.980497685188</v>
      </c>
      <c r="G718" s="13">
        <f t="shared" si="66"/>
        <v>2123.2887499999997</v>
      </c>
      <c r="H718" s="6" t="b">
        <v>0</v>
      </c>
      <c r="I718" s="7" t="b">
        <v>1</v>
      </c>
      <c r="J718" s="8">
        <v>1458</v>
      </c>
      <c r="K718" s="8">
        <v>369</v>
      </c>
      <c r="L718" s="8">
        <v>268</v>
      </c>
      <c r="M718" s="8">
        <v>16</v>
      </c>
      <c r="N718" s="8">
        <v>8</v>
      </c>
      <c r="O718" s="8">
        <v>111</v>
      </c>
      <c r="P718" s="8">
        <v>3012</v>
      </c>
      <c r="Q718" s="8">
        <v>3</v>
      </c>
      <c r="R718" s="8">
        <v>455</v>
      </c>
      <c r="S718" s="8">
        <v>96</v>
      </c>
      <c r="T718" s="3" t="s">
        <v>69</v>
      </c>
      <c r="U718" s="10">
        <v>17281</v>
      </c>
      <c r="V718" s="32">
        <v>321</v>
      </c>
      <c r="W718" s="27">
        <v>1.8575313928592095E-2</v>
      </c>
      <c r="X718" s="34">
        <v>149</v>
      </c>
      <c r="Y718" s="27">
        <v>0.46417445482866043</v>
      </c>
      <c r="Z718" s="27">
        <v>8.6221862160754583E-3</v>
      </c>
      <c r="AA718" s="35">
        <v>56</v>
      </c>
      <c r="AB718" s="27">
        <v>0.17445482866043613</v>
      </c>
      <c r="AC718" s="27">
        <f t="shared" si="67"/>
        <v>3.2405532087263467E-3</v>
      </c>
      <c r="AD718" s="36">
        <v>34</v>
      </c>
      <c r="AE718" s="27">
        <v>0.1059190031152648</v>
      </c>
      <c r="AF718" s="27">
        <f t="shared" si="68"/>
        <v>1.9674787338695679E-3</v>
      </c>
      <c r="AG718" s="37">
        <v>70</v>
      </c>
      <c r="AH718" s="27">
        <v>0.21806853582554517</v>
      </c>
      <c r="AI718" s="27">
        <f t="shared" si="69"/>
        <v>4.0506915109079335E-3</v>
      </c>
      <c r="AJ718" s="38">
        <v>0</v>
      </c>
      <c r="AK718" s="27">
        <v>0</v>
      </c>
      <c r="AL718" s="27">
        <f t="shared" si="70"/>
        <v>0</v>
      </c>
      <c r="AM718" s="40">
        <v>0</v>
      </c>
      <c r="AN718" s="27">
        <v>0</v>
      </c>
      <c r="AO718" s="27">
        <f t="shared" si="71"/>
        <v>0</v>
      </c>
      <c r="AP718" s="7" t="b">
        <v>1</v>
      </c>
      <c r="AQ718" s="7" t="b">
        <v>1</v>
      </c>
      <c r="AR718" s="6" t="b">
        <v>0</v>
      </c>
      <c r="AS718" s="6" t="b">
        <v>0</v>
      </c>
      <c r="AT718" s="7" t="b">
        <v>1</v>
      </c>
      <c r="AU718" s="6" t="b">
        <v>0</v>
      </c>
      <c r="AV718" s="6" t="b">
        <v>0</v>
      </c>
      <c r="AW718" s="6" t="b">
        <v>0</v>
      </c>
      <c r="AX718" s="6" t="b">
        <v>0</v>
      </c>
      <c r="AY718" s="6" t="b">
        <v>0</v>
      </c>
      <c r="AZ718" s="6" t="b">
        <v>0</v>
      </c>
      <c r="BA718" s="6" t="b">
        <v>0</v>
      </c>
      <c r="BB718" s="6" t="b">
        <v>0</v>
      </c>
    </row>
    <row r="719" spans="1:54" ht="15" x14ac:dyDescent="0.25">
      <c r="A719" s="3" t="s">
        <v>1497</v>
      </c>
      <c r="B719" s="3" t="str">
        <f ca="1">IFERROR(__xludf.DUMMYFUNCTION("SPLIT(A719,""/"")"),"Netflix")</f>
        <v>Netflix</v>
      </c>
      <c r="C719" s="3" t="str">
        <f ca="1">IFERROR(__xludf.DUMMYFUNCTION("""COMPUTED_VALUE"""),"repokid")</f>
        <v>repokid</v>
      </c>
      <c r="D719" s="4" t="s">
        <v>1498</v>
      </c>
      <c r="E719" s="5">
        <v>42880.860462962963</v>
      </c>
      <c r="F719" s="5">
        <v>44294.579606481479</v>
      </c>
      <c r="G719" s="13">
        <f t="shared" si="66"/>
        <v>1413.7191435185159</v>
      </c>
      <c r="H719" s="6" t="b">
        <v>0</v>
      </c>
      <c r="I719" s="7" t="b">
        <v>1</v>
      </c>
      <c r="J719" s="8">
        <v>886</v>
      </c>
      <c r="K719" s="8">
        <v>304</v>
      </c>
      <c r="L719" s="8">
        <v>81</v>
      </c>
      <c r="M719" s="8">
        <v>28</v>
      </c>
      <c r="N719" s="8">
        <v>0</v>
      </c>
      <c r="O719" s="8">
        <v>17</v>
      </c>
      <c r="P719" s="8">
        <v>199</v>
      </c>
      <c r="Q719" s="8">
        <v>4</v>
      </c>
      <c r="R719" s="8">
        <v>28</v>
      </c>
      <c r="S719" s="8">
        <v>9</v>
      </c>
      <c r="T719" s="3" t="s">
        <v>69</v>
      </c>
      <c r="U719" s="10">
        <v>3321</v>
      </c>
      <c r="V719" s="32">
        <v>84</v>
      </c>
      <c r="W719" s="27">
        <v>2.5293586269196026E-2</v>
      </c>
      <c r="X719" s="34">
        <v>18</v>
      </c>
      <c r="Y719" s="27">
        <v>0.21428571428571427</v>
      </c>
      <c r="Z719" s="27">
        <v>5.4200542005420054E-3</v>
      </c>
      <c r="AA719" s="35">
        <v>30</v>
      </c>
      <c r="AB719" s="27">
        <v>0.35714285714285715</v>
      </c>
      <c r="AC719" s="27">
        <f t="shared" si="67"/>
        <v>9.0334236675700084E-3</v>
      </c>
      <c r="AD719" s="36">
        <v>10</v>
      </c>
      <c r="AE719" s="27">
        <v>0.11904761904761904</v>
      </c>
      <c r="AF719" s="27">
        <f t="shared" si="68"/>
        <v>3.0111412225233363E-3</v>
      </c>
      <c r="AG719" s="37">
        <v>19</v>
      </c>
      <c r="AH719" s="27">
        <v>0.22619047619047619</v>
      </c>
      <c r="AI719" s="27">
        <f t="shared" si="69"/>
        <v>5.7211683227943394E-3</v>
      </c>
      <c r="AJ719" s="38">
        <v>3</v>
      </c>
      <c r="AK719" s="27">
        <v>3.5714285714285712E-2</v>
      </c>
      <c r="AL719" s="27">
        <f t="shared" si="70"/>
        <v>9.0334236675700087E-4</v>
      </c>
      <c r="AM719" s="40">
        <v>0</v>
      </c>
      <c r="AN719" s="27">
        <v>0</v>
      </c>
      <c r="AO719" s="27">
        <f t="shared" si="71"/>
        <v>0</v>
      </c>
      <c r="AP719" s="7" t="b">
        <v>1</v>
      </c>
      <c r="AQ719" s="7" t="b">
        <v>1</v>
      </c>
      <c r="AR719" s="6" t="b">
        <v>0</v>
      </c>
      <c r="AS719" s="6" t="b">
        <v>0</v>
      </c>
      <c r="AT719" s="7" t="b">
        <v>1</v>
      </c>
      <c r="AU719" s="6" t="b">
        <v>0</v>
      </c>
      <c r="AV719" s="6" t="b">
        <v>0</v>
      </c>
      <c r="AW719" s="6" t="b">
        <v>0</v>
      </c>
      <c r="AX719" s="6" t="b">
        <v>0</v>
      </c>
      <c r="AY719" s="6" t="b">
        <v>0</v>
      </c>
      <c r="AZ719" s="6" t="b">
        <v>0</v>
      </c>
      <c r="BA719" s="6" t="b">
        <v>0</v>
      </c>
      <c r="BB719" s="6" t="b">
        <v>0</v>
      </c>
    </row>
    <row r="720" spans="1:54" ht="15" x14ac:dyDescent="0.25">
      <c r="A720" s="3" t="s">
        <v>1499</v>
      </c>
      <c r="B720" s="3" t="str">
        <f ca="1">IFERROR(__xludf.DUMMYFUNCTION("SPLIT(A720,""/"")"),"Netflix")</f>
        <v>Netflix</v>
      </c>
      <c r="C720" s="3" t="str">
        <f ca="1">IFERROR(__xludf.DUMMYFUNCTION("""COMPUTED_VALUE"""),"security_monkey")</f>
        <v>security_monkey</v>
      </c>
      <c r="D720" s="4" t="s">
        <v>1500</v>
      </c>
      <c r="E720" s="5">
        <v>41817.909675925926</v>
      </c>
      <c r="F720" s="5">
        <v>44295.1174537037</v>
      </c>
      <c r="G720" s="13">
        <f t="shared" si="66"/>
        <v>2477.207777777774</v>
      </c>
      <c r="H720" s="6" t="b">
        <v>0</v>
      </c>
      <c r="I720" s="7" t="b">
        <v>1</v>
      </c>
      <c r="J720" s="8">
        <v>4154</v>
      </c>
      <c r="K720" s="8">
        <v>577</v>
      </c>
      <c r="L720" s="8">
        <v>740</v>
      </c>
      <c r="M720" s="8">
        <v>18</v>
      </c>
      <c r="N720" s="8">
        <v>21</v>
      </c>
      <c r="O720" s="8">
        <v>109</v>
      </c>
      <c r="P720" s="8">
        <v>688</v>
      </c>
      <c r="Q720" s="8">
        <v>5</v>
      </c>
      <c r="R720" s="8">
        <v>547</v>
      </c>
      <c r="S720" s="8">
        <v>80</v>
      </c>
      <c r="T720" s="3" t="s">
        <v>69</v>
      </c>
      <c r="U720" s="10">
        <v>19790</v>
      </c>
      <c r="V720" s="32">
        <v>399</v>
      </c>
      <c r="W720" s="27">
        <v>2.0161697827185448E-2</v>
      </c>
      <c r="X720" s="34">
        <v>204</v>
      </c>
      <c r="Y720" s="27">
        <v>0.51127819548872178</v>
      </c>
      <c r="Z720" s="27">
        <v>1.0308236483072259E-2</v>
      </c>
      <c r="AA720" s="35">
        <v>108</v>
      </c>
      <c r="AB720" s="27">
        <v>0.27067669172932329</v>
      </c>
      <c r="AC720" s="27">
        <f t="shared" si="67"/>
        <v>5.4573016675088428E-3</v>
      </c>
      <c r="AD720" s="36">
        <v>16</v>
      </c>
      <c r="AE720" s="27">
        <v>4.0100250626566414E-2</v>
      </c>
      <c r="AF720" s="27">
        <f t="shared" si="68"/>
        <v>8.0848913592723596E-4</v>
      </c>
      <c r="AG720" s="37">
        <v>65</v>
      </c>
      <c r="AH720" s="27">
        <v>0.16290726817042606</v>
      </c>
      <c r="AI720" s="27">
        <f t="shared" si="69"/>
        <v>3.2844871147043962E-3</v>
      </c>
      <c r="AJ720" s="38">
        <v>0</v>
      </c>
      <c r="AK720" s="27">
        <v>0</v>
      </c>
      <c r="AL720" s="27">
        <f t="shared" si="70"/>
        <v>0</v>
      </c>
      <c r="AM720" s="40">
        <v>0</v>
      </c>
      <c r="AN720" s="27">
        <v>0</v>
      </c>
      <c r="AO720" s="27">
        <f t="shared" si="71"/>
        <v>0</v>
      </c>
      <c r="AP720" s="7" t="b">
        <v>1</v>
      </c>
      <c r="AQ720" s="7" t="b">
        <v>1</v>
      </c>
      <c r="AR720" s="6" t="b">
        <v>0</v>
      </c>
      <c r="AS720" s="6" t="b">
        <v>0</v>
      </c>
      <c r="AT720" s="7" t="b">
        <v>1</v>
      </c>
      <c r="AU720" s="6" t="b">
        <v>0</v>
      </c>
      <c r="AV720" s="6" t="b">
        <v>0</v>
      </c>
      <c r="AW720" s="6" t="b">
        <v>0</v>
      </c>
      <c r="AX720" s="6" t="b">
        <v>0</v>
      </c>
      <c r="AY720" s="6" t="b">
        <v>0</v>
      </c>
      <c r="AZ720" s="6" t="b">
        <v>0</v>
      </c>
      <c r="BA720" s="6" t="b">
        <v>0</v>
      </c>
      <c r="BB720" s="6" t="b">
        <v>0</v>
      </c>
    </row>
    <row r="721" spans="1:54" ht="15" x14ac:dyDescent="0.25">
      <c r="A721" s="3" t="s">
        <v>1501</v>
      </c>
      <c r="B721" s="3" t="str">
        <f ca="1">IFERROR(__xludf.DUMMYFUNCTION("SPLIT(A721,""/"")"),"Netflix")</f>
        <v>Netflix</v>
      </c>
      <c r="C721" s="3" t="str">
        <f ca="1">IFERROR(__xludf.DUMMYFUNCTION("""COMPUTED_VALUE"""),"vmaf")</f>
        <v>vmaf</v>
      </c>
      <c r="D721" s="4" t="s">
        <v>1502</v>
      </c>
      <c r="E721" s="5">
        <v>42408.778912037036</v>
      </c>
      <c r="F721" s="5">
        <v>44295.131284722222</v>
      </c>
      <c r="G721" s="13">
        <f t="shared" si="66"/>
        <v>1886.3523726851854</v>
      </c>
      <c r="H721" s="6" t="b">
        <v>0</v>
      </c>
      <c r="I721" s="7" t="b">
        <v>1</v>
      </c>
      <c r="J721" s="8">
        <v>2253</v>
      </c>
      <c r="K721" s="8">
        <v>428</v>
      </c>
      <c r="L721" s="8">
        <v>493</v>
      </c>
      <c r="M721" s="8">
        <v>17</v>
      </c>
      <c r="N721" s="8">
        <v>33</v>
      </c>
      <c r="O721" s="8">
        <v>66</v>
      </c>
      <c r="P721" s="8">
        <v>483</v>
      </c>
      <c r="Q721" s="8">
        <v>9</v>
      </c>
      <c r="R721" s="8">
        <v>368</v>
      </c>
      <c r="S721" s="8">
        <v>64</v>
      </c>
      <c r="T721" s="3" t="s">
        <v>92</v>
      </c>
      <c r="U721" s="10">
        <v>17623</v>
      </c>
      <c r="V721" s="32">
        <v>22</v>
      </c>
      <c r="W721" s="27">
        <v>1.2483686092038813E-3</v>
      </c>
      <c r="X721" s="34">
        <v>0</v>
      </c>
      <c r="Y721" s="27">
        <v>0</v>
      </c>
      <c r="Z721" s="27">
        <v>0</v>
      </c>
      <c r="AA721" s="35">
        <v>21</v>
      </c>
      <c r="AB721" s="27">
        <v>0.95454545454545459</v>
      </c>
      <c r="AC721" s="27">
        <f t="shared" si="67"/>
        <v>1.1916245815127959E-3</v>
      </c>
      <c r="AD721" s="36">
        <v>1</v>
      </c>
      <c r="AE721" s="27">
        <v>4.5454545454545456E-2</v>
      </c>
      <c r="AF721" s="27">
        <f t="shared" si="68"/>
        <v>5.6744027691085513E-5</v>
      </c>
      <c r="AG721" s="37">
        <v>0</v>
      </c>
      <c r="AH721" s="27">
        <v>0</v>
      </c>
      <c r="AI721" s="27">
        <f t="shared" si="69"/>
        <v>0</v>
      </c>
      <c r="AJ721" s="38">
        <v>0</v>
      </c>
      <c r="AK721" s="27">
        <v>0</v>
      </c>
      <c r="AL721" s="27">
        <f t="shared" si="70"/>
        <v>0</v>
      </c>
      <c r="AM721" s="40">
        <v>0</v>
      </c>
      <c r="AN721" s="27">
        <v>0</v>
      </c>
      <c r="AO721" s="27">
        <f t="shared" si="71"/>
        <v>0</v>
      </c>
      <c r="AP721" s="7" t="b">
        <v>1</v>
      </c>
      <c r="AQ721" s="6" t="b">
        <v>0</v>
      </c>
      <c r="AR721" s="6" t="b">
        <v>0</v>
      </c>
      <c r="AS721" s="6" t="b">
        <v>0</v>
      </c>
      <c r="AT721" s="7" t="b">
        <v>1</v>
      </c>
      <c r="AU721" s="6" t="b">
        <v>0</v>
      </c>
      <c r="AV721" s="6" t="b">
        <v>0</v>
      </c>
      <c r="AW721" s="6" t="b">
        <v>0</v>
      </c>
      <c r="AX721" s="6" t="b">
        <v>0</v>
      </c>
      <c r="AY721" s="6" t="b">
        <v>0</v>
      </c>
      <c r="AZ721" s="6" t="b">
        <v>0</v>
      </c>
      <c r="BA721" s="6" t="b">
        <v>0</v>
      </c>
      <c r="BB721" s="6" t="b">
        <v>0</v>
      </c>
    </row>
    <row r="722" spans="1:54" ht="15" x14ac:dyDescent="0.25">
      <c r="A722" s="3" t="s">
        <v>1503</v>
      </c>
      <c r="B722" s="3" t="str">
        <f ca="1">IFERROR(__xludf.DUMMYFUNCTION("SPLIT(A722,""/"")"),"netzob")</f>
        <v>netzob</v>
      </c>
      <c r="C722" s="3" t="str">
        <f ca="1">IFERROR(__xludf.DUMMYFUNCTION("""COMPUTED_VALUE"""),"netzob")</f>
        <v>netzob</v>
      </c>
      <c r="D722" s="4" t="s">
        <v>1504</v>
      </c>
      <c r="E722" s="5">
        <v>41075.526446759257</v>
      </c>
      <c r="F722" s="5">
        <v>44290.640127314815</v>
      </c>
      <c r="G722" s="13">
        <f t="shared" si="66"/>
        <v>3215.1136805555579</v>
      </c>
      <c r="H722" s="6" t="b">
        <v>0</v>
      </c>
      <c r="I722" s="7" t="b">
        <v>1</v>
      </c>
      <c r="J722" s="8">
        <v>587</v>
      </c>
      <c r="K722" s="8">
        <v>46</v>
      </c>
      <c r="L722" s="8">
        <v>132</v>
      </c>
      <c r="M722" s="8">
        <v>3</v>
      </c>
      <c r="N722" s="8">
        <v>0</v>
      </c>
      <c r="O722" s="8">
        <v>21</v>
      </c>
      <c r="P722" s="8">
        <v>111</v>
      </c>
      <c r="Q722" s="8">
        <v>8</v>
      </c>
      <c r="R722" s="8">
        <v>59</v>
      </c>
      <c r="S722" s="8">
        <v>40</v>
      </c>
      <c r="T722" s="11" t="s">
        <v>52</v>
      </c>
      <c r="U722" s="10">
        <v>14878</v>
      </c>
      <c r="V722" s="32">
        <v>251</v>
      </c>
      <c r="W722" s="27">
        <v>1.6870547116547924E-2</v>
      </c>
      <c r="X722" s="34">
        <v>158</v>
      </c>
      <c r="Y722" s="27">
        <v>0.62948207171314741</v>
      </c>
      <c r="Z722" s="27">
        <v>1.0619706949858853E-2</v>
      </c>
      <c r="AA722" s="35">
        <v>37</v>
      </c>
      <c r="AB722" s="27">
        <v>0.14741035856573706</v>
      </c>
      <c r="AC722" s="27">
        <f t="shared" si="67"/>
        <v>2.4868933996504907E-3</v>
      </c>
      <c r="AD722" s="36">
        <v>32</v>
      </c>
      <c r="AE722" s="27">
        <v>0.12749003984063745</v>
      </c>
      <c r="AF722" s="27">
        <f t="shared" si="68"/>
        <v>2.1508267240220461E-3</v>
      </c>
      <c r="AG722" s="37">
        <v>19</v>
      </c>
      <c r="AH722" s="27">
        <v>7.5697211155378488E-2</v>
      </c>
      <c r="AI722" s="27">
        <f t="shared" si="69"/>
        <v>1.2770533673880898E-3</v>
      </c>
      <c r="AJ722" s="38">
        <v>1</v>
      </c>
      <c r="AK722" s="27">
        <v>3.9840637450199202E-3</v>
      </c>
      <c r="AL722" s="27">
        <f t="shared" si="70"/>
        <v>6.721333512568894E-5</v>
      </c>
      <c r="AM722" s="40">
        <v>0</v>
      </c>
      <c r="AN722" s="27">
        <v>0</v>
      </c>
      <c r="AO722" s="27">
        <f t="shared" si="71"/>
        <v>0</v>
      </c>
      <c r="AP722" s="7" t="b">
        <v>1</v>
      </c>
      <c r="AQ722" s="6" t="b">
        <v>0</v>
      </c>
      <c r="AR722" s="6" t="b">
        <v>0</v>
      </c>
      <c r="AS722" s="6" t="b">
        <v>0</v>
      </c>
      <c r="AT722" s="7" t="b">
        <v>1</v>
      </c>
      <c r="AU722" s="6" t="b">
        <v>0</v>
      </c>
      <c r="AV722" s="6" t="b">
        <v>0</v>
      </c>
      <c r="AW722" s="6" t="b">
        <v>0</v>
      </c>
      <c r="AX722" s="6" t="b">
        <v>0</v>
      </c>
      <c r="AY722" s="6" t="b">
        <v>0</v>
      </c>
      <c r="AZ722" s="6" t="b">
        <v>0</v>
      </c>
      <c r="BA722" s="6" t="b">
        <v>0</v>
      </c>
      <c r="BB722" s="6" t="b">
        <v>0</v>
      </c>
    </row>
    <row r="723" spans="1:54" ht="15" x14ac:dyDescent="0.25">
      <c r="A723" s="3" t="s">
        <v>1505</v>
      </c>
      <c r="B723" s="3" t="str">
        <f ca="1">IFERROR(__xludf.DUMMYFUNCTION("SPLIT(A723,""/"")"),"NewFuture")</f>
        <v>NewFuture</v>
      </c>
      <c r="C723" s="3" t="str">
        <f ca="1">IFERROR(__xludf.DUMMYFUNCTION("""COMPUTED_VALUE"""),"DDNS")</f>
        <v>DDNS</v>
      </c>
      <c r="D723" s="4" t="s">
        <v>1506</v>
      </c>
      <c r="E723" s="5">
        <v>42531.494340277779</v>
      </c>
      <c r="F723" s="5">
        <v>44294.68341435185</v>
      </c>
      <c r="G723" s="13">
        <f t="shared" si="66"/>
        <v>1763.189074074071</v>
      </c>
      <c r="H723" s="6" t="b">
        <v>0</v>
      </c>
      <c r="I723" s="6" t="b">
        <v>0</v>
      </c>
      <c r="J723" s="8">
        <v>1938</v>
      </c>
      <c r="K723" s="8">
        <v>42</v>
      </c>
      <c r="L723" s="8">
        <v>349</v>
      </c>
      <c r="M723" s="8">
        <v>27</v>
      </c>
      <c r="N723" s="8">
        <v>4</v>
      </c>
      <c r="O723" s="8">
        <v>19</v>
      </c>
      <c r="P723" s="8">
        <v>71</v>
      </c>
      <c r="Q723" s="8">
        <v>3</v>
      </c>
      <c r="R723" s="8">
        <v>170</v>
      </c>
      <c r="S723" s="8">
        <v>21</v>
      </c>
      <c r="T723" s="3" t="s">
        <v>72</v>
      </c>
      <c r="U723" s="10">
        <v>1095</v>
      </c>
      <c r="V723" s="32">
        <v>0</v>
      </c>
      <c r="W723" s="27">
        <v>0</v>
      </c>
      <c r="X723" s="34">
        <v>0</v>
      </c>
      <c r="Y723" s="27">
        <v>0</v>
      </c>
      <c r="Z723" s="27">
        <v>0</v>
      </c>
      <c r="AA723" s="35">
        <v>0</v>
      </c>
      <c r="AB723" s="27">
        <v>0</v>
      </c>
      <c r="AC723" s="27">
        <f t="shared" si="67"/>
        <v>0</v>
      </c>
      <c r="AD723" s="36">
        <v>0</v>
      </c>
      <c r="AE723" s="27">
        <v>0</v>
      </c>
      <c r="AF723" s="27">
        <f t="shared" si="68"/>
        <v>0</v>
      </c>
      <c r="AG723" s="37">
        <v>0</v>
      </c>
      <c r="AH723" s="27">
        <v>0</v>
      </c>
      <c r="AI723" s="27">
        <f t="shared" si="69"/>
        <v>0</v>
      </c>
      <c r="AJ723" s="38">
        <v>0</v>
      </c>
      <c r="AK723" s="27">
        <v>0</v>
      </c>
      <c r="AL723" s="27">
        <f t="shared" si="70"/>
        <v>0</v>
      </c>
      <c r="AM723" s="40">
        <v>0</v>
      </c>
      <c r="AN723" s="27">
        <v>0</v>
      </c>
      <c r="AO723" s="27">
        <f t="shared" si="71"/>
        <v>0</v>
      </c>
      <c r="AP723" s="7" t="b">
        <v>1</v>
      </c>
      <c r="AQ723" s="6" t="b">
        <v>0</v>
      </c>
      <c r="AR723" s="6" t="b">
        <v>0</v>
      </c>
      <c r="AS723" s="6" t="b">
        <v>0</v>
      </c>
      <c r="AT723" s="7" t="b">
        <v>1</v>
      </c>
      <c r="AU723" s="6" t="b">
        <v>0</v>
      </c>
      <c r="AV723" s="6" t="b">
        <v>0</v>
      </c>
      <c r="AW723" s="6" t="b">
        <v>0</v>
      </c>
      <c r="AX723" s="6" t="b">
        <v>0</v>
      </c>
      <c r="AY723" s="6" t="b">
        <v>0</v>
      </c>
      <c r="AZ723" s="6" t="b">
        <v>0</v>
      </c>
      <c r="BA723" s="6" t="b">
        <v>0</v>
      </c>
      <c r="BB723" s="6" t="b">
        <v>0</v>
      </c>
    </row>
    <row r="724" spans="1:54" ht="15" x14ac:dyDescent="0.25">
      <c r="A724" s="3" t="s">
        <v>1507</v>
      </c>
      <c r="B724" s="3" t="str">
        <f ca="1">IFERROR(__xludf.DUMMYFUNCTION("SPLIT(A724,""/"")"),"nexB")</f>
        <v>nexB</v>
      </c>
      <c r="C724" s="3" t="str">
        <f ca="1">IFERROR(__xludf.DUMMYFUNCTION("""COMPUTED_VALUE"""),"scancode-toolkit")</f>
        <v>scancode-toolkit</v>
      </c>
      <c r="D724" s="4" t="s">
        <v>1508</v>
      </c>
      <c r="E724" s="5">
        <v>42186.571597222224</v>
      </c>
      <c r="F724" s="5">
        <v>44294.97934027778</v>
      </c>
      <c r="G724" s="13">
        <f t="shared" si="66"/>
        <v>2108.4077430555553</v>
      </c>
      <c r="H724" s="6" t="b">
        <v>0</v>
      </c>
      <c r="I724" s="7" t="b">
        <v>1</v>
      </c>
      <c r="J724" s="8">
        <v>1151</v>
      </c>
      <c r="K724" s="8">
        <v>64</v>
      </c>
      <c r="L724" s="8">
        <v>340</v>
      </c>
      <c r="M724" s="8">
        <v>35</v>
      </c>
      <c r="N724" s="8">
        <v>87</v>
      </c>
      <c r="O724" s="8">
        <v>109</v>
      </c>
      <c r="P724" s="8">
        <v>880</v>
      </c>
      <c r="Q724" s="8">
        <v>26</v>
      </c>
      <c r="R724" s="8">
        <v>1567</v>
      </c>
      <c r="S724" s="8">
        <v>518</v>
      </c>
      <c r="T724" s="11" t="s">
        <v>52</v>
      </c>
      <c r="U724" s="10">
        <v>50122</v>
      </c>
      <c r="V724" s="32">
        <v>208</v>
      </c>
      <c r="W724" s="27">
        <v>4.1498743066916725E-3</v>
      </c>
      <c r="X724" s="34">
        <v>45</v>
      </c>
      <c r="Y724" s="27">
        <v>0.21634615384615385</v>
      </c>
      <c r="Z724" s="27">
        <v>8.9780934519771759E-4</v>
      </c>
      <c r="AA724" s="35">
        <v>46</v>
      </c>
      <c r="AB724" s="27">
        <v>0.22115384615384615</v>
      </c>
      <c r="AC724" s="27">
        <f t="shared" si="67"/>
        <v>9.1776066397988908E-4</v>
      </c>
      <c r="AD724" s="36">
        <v>52</v>
      </c>
      <c r="AE724" s="27">
        <v>0.25</v>
      </c>
      <c r="AF724" s="27">
        <f t="shared" si="68"/>
        <v>1.0374685766729181E-3</v>
      </c>
      <c r="AG724" s="37">
        <v>64</v>
      </c>
      <c r="AH724" s="27">
        <v>0.30769230769230771</v>
      </c>
      <c r="AI724" s="27">
        <f t="shared" si="69"/>
        <v>1.276884402058976E-3</v>
      </c>
      <c r="AJ724" s="38">
        <v>0</v>
      </c>
      <c r="AK724" s="27">
        <v>0</v>
      </c>
      <c r="AL724" s="27">
        <f t="shared" si="70"/>
        <v>0</v>
      </c>
      <c r="AM724" s="40">
        <v>2</v>
      </c>
      <c r="AN724" s="27">
        <v>9.6153846153846159E-3</v>
      </c>
      <c r="AO724" s="27">
        <f t="shared" si="71"/>
        <v>3.9902637564343E-5</v>
      </c>
      <c r="AP724" s="7" t="b">
        <v>1</v>
      </c>
      <c r="AQ724" s="6" t="b">
        <v>0</v>
      </c>
      <c r="AR724" s="6" t="b">
        <v>0</v>
      </c>
      <c r="AS724" s="6" t="b">
        <v>0</v>
      </c>
      <c r="AT724" s="7" t="b">
        <v>1</v>
      </c>
      <c r="AU724" s="6" t="b">
        <v>0</v>
      </c>
      <c r="AV724" s="6" t="b">
        <v>0</v>
      </c>
      <c r="AW724" s="6" t="b">
        <v>0</v>
      </c>
      <c r="AX724" s="6" t="b">
        <v>0</v>
      </c>
      <c r="AY724" s="6" t="b">
        <v>0</v>
      </c>
      <c r="AZ724" s="6" t="b">
        <v>0</v>
      </c>
      <c r="BA724" s="6" t="b">
        <v>0</v>
      </c>
      <c r="BB724" s="6" t="b">
        <v>0</v>
      </c>
    </row>
    <row r="725" spans="1:54" ht="15" x14ac:dyDescent="0.25">
      <c r="A725" s="3" t="s">
        <v>1509</v>
      </c>
      <c r="B725" s="3" t="str">
        <f ca="1">IFERROR(__xludf.DUMMYFUNCTION("SPLIT(A725,""/"")"),"Nextdoor")</f>
        <v>Nextdoor</v>
      </c>
      <c r="C725" s="3" t="str">
        <f ca="1">IFERROR(__xludf.DUMMYFUNCTION("""COMPUTED_VALUE"""),"ndscheduler")</f>
        <v>ndscheduler</v>
      </c>
      <c r="D725" s="4" t="s">
        <v>1510</v>
      </c>
      <c r="E725" s="5">
        <v>42215.737361111111</v>
      </c>
      <c r="F725" s="5">
        <v>44288.205648148149</v>
      </c>
      <c r="G725" s="13">
        <f t="shared" si="66"/>
        <v>2072.468287037038</v>
      </c>
      <c r="H725" s="6" t="b">
        <v>0</v>
      </c>
      <c r="I725" s="7" t="b">
        <v>1</v>
      </c>
      <c r="J725" s="8">
        <v>962</v>
      </c>
      <c r="K725" s="8">
        <v>53</v>
      </c>
      <c r="L725" s="8">
        <v>147</v>
      </c>
      <c r="M725" s="8">
        <v>3</v>
      </c>
      <c r="N725" s="8">
        <v>0</v>
      </c>
      <c r="O725" s="8">
        <v>13</v>
      </c>
      <c r="P725" s="8">
        <v>41</v>
      </c>
      <c r="Q725" s="8">
        <v>15</v>
      </c>
      <c r="R725" s="8">
        <v>53</v>
      </c>
      <c r="S725" s="8">
        <v>27</v>
      </c>
      <c r="T725" s="3" t="s">
        <v>153</v>
      </c>
      <c r="U725" s="10">
        <v>1365</v>
      </c>
      <c r="V725" s="32">
        <v>8</v>
      </c>
      <c r="W725" s="27">
        <v>5.8608058608058608E-3</v>
      </c>
      <c r="X725" s="34">
        <v>0</v>
      </c>
      <c r="Y725" s="27">
        <v>0</v>
      </c>
      <c r="Z725" s="27">
        <v>0</v>
      </c>
      <c r="AA725" s="35">
        <v>4</v>
      </c>
      <c r="AB725" s="27">
        <v>0.5</v>
      </c>
      <c r="AC725" s="27">
        <f t="shared" si="67"/>
        <v>2.9304029304029304E-3</v>
      </c>
      <c r="AD725" s="36">
        <v>3</v>
      </c>
      <c r="AE725" s="27">
        <v>0.375</v>
      </c>
      <c r="AF725" s="27">
        <f t="shared" si="68"/>
        <v>2.1978021978021978E-3</v>
      </c>
      <c r="AG725" s="37">
        <v>1</v>
      </c>
      <c r="AH725" s="27">
        <v>0.125</v>
      </c>
      <c r="AI725" s="27">
        <f t="shared" si="69"/>
        <v>7.326007326007326E-4</v>
      </c>
      <c r="AJ725" s="38">
        <v>0</v>
      </c>
      <c r="AK725" s="27">
        <v>0</v>
      </c>
      <c r="AL725" s="27">
        <f t="shared" si="70"/>
        <v>0</v>
      </c>
      <c r="AM725" s="40">
        <v>0</v>
      </c>
      <c r="AN725" s="27">
        <v>0</v>
      </c>
      <c r="AO725" s="27">
        <f t="shared" si="71"/>
        <v>0</v>
      </c>
      <c r="AP725" s="7" t="b">
        <v>1</v>
      </c>
      <c r="AQ725" s="6" t="b">
        <v>0</v>
      </c>
      <c r="AR725" s="6" t="b">
        <v>0</v>
      </c>
      <c r="AS725" s="6" t="b">
        <v>0</v>
      </c>
      <c r="AT725" s="7" t="b">
        <v>1</v>
      </c>
      <c r="AU725" s="6" t="b">
        <v>0</v>
      </c>
      <c r="AV725" s="6" t="b">
        <v>0</v>
      </c>
      <c r="AW725" s="6" t="b">
        <v>0</v>
      </c>
      <c r="AX725" s="6" t="b">
        <v>0</v>
      </c>
      <c r="AY725" s="6" t="b">
        <v>0</v>
      </c>
      <c r="AZ725" s="6" t="b">
        <v>0</v>
      </c>
      <c r="BA725" s="6" t="b">
        <v>0</v>
      </c>
      <c r="BB725" s="6" t="b">
        <v>0</v>
      </c>
    </row>
    <row r="726" spans="1:54" ht="15" x14ac:dyDescent="0.25">
      <c r="A726" s="3" t="s">
        <v>1511</v>
      </c>
      <c r="B726" s="3" t="str">
        <f ca="1">IFERROR(__xludf.DUMMYFUNCTION("SPLIT(A726,""/"")"),"nginx-proxy")</f>
        <v>nginx-proxy</v>
      </c>
      <c r="C726" s="3" t="str">
        <f ca="1">IFERROR(__xludf.DUMMYFUNCTION("""COMPUTED_VALUE"""),"nginx-proxy")</f>
        <v>nginx-proxy</v>
      </c>
      <c r="D726" s="4" t="s">
        <v>1512</v>
      </c>
      <c r="E726" s="5">
        <v>41764.709490740737</v>
      </c>
      <c r="F726" s="5">
        <v>44295.045081018521</v>
      </c>
      <c r="G726" s="13">
        <f t="shared" si="66"/>
        <v>2530.3355902777839</v>
      </c>
      <c r="H726" s="6" t="b">
        <v>0</v>
      </c>
      <c r="I726" s="7" t="b">
        <v>1</v>
      </c>
      <c r="J726" s="8">
        <v>14631</v>
      </c>
      <c r="K726" s="8">
        <v>293</v>
      </c>
      <c r="L726" s="8">
        <v>2383</v>
      </c>
      <c r="M726" s="8">
        <v>0</v>
      </c>
      <c r="N726" s="8">
        <v>15</v>
      </c>
      <c r="O726" s="8">
        <v>90</v>
      </c>
      <c r="P726" s="8">
        <v>415</v>
      </c>
      <c r="Q726" s="8">
        <v>91</v>
      </c>
      <c r="R726" s="8">
        <v>1165</v>
      </c>
      <c r="S726" s="8">
        <v>577</v>
      </c>
      <c r="T726" s="3" t="s">
        <v>72</v>
      </c>
      <c r="U726" s="10">
        <v>959</v>
      </c>
      <c r="V726" s="32">
        <v>25</v>
      </c>
      <c r="W726" s="27">
        <v>2.6068821689259645E-2</v>
      </c>
      <c r="X726" s="34">
        <v>7</v>
      </c>
      <c r="Y726" s="27">
        <v>0.28000000000000003</v>
      </c>
      <c r="Z726" s="27">
        <v>7.2992700729927005E-3</v>
      </c>
      <c r="AA726" s="35">
        <v>13</v>
      </c>
      <c r="AB726" s="27">
        <v>0.52</v>
      </c>
      <c r="AC726" s="27">
        <f t="shared" si="67"/>
        <v>1.3555787278415016E-2</v>
      </c>
      <c r="AD726" s="36">
        <v>4</v>
      </c>
      <c r="AE726" s="27">
        <v>0.16</v>
      </c>
      <c r="AF726" s="27">
        <f t="shared" si="68"/>
        <v>4.1710114702815434E-3</v>
      </c>
      <c r="AG726" s="37">
        <v>1</v>
      </c>
      <c r="AH726" s="27">
        <v>0.04</v>
      </c>
      <c r="AI726" s="27">
        <f t="shared" si="69"/>
        <v>1.0427528675703858E-3</v>
      </c>
      <c r="AJ726" s="38">
        <v>0</v>
      </c>
      <c r="AK726" s="27">
        <v>0</v>
      </c>
      <c r="AL726" s="27">
        <f t="shared" si="70"/>
        <v>0</v>
      </c>
      <c r="AM726" s="40">
        <v>0</v>
      </c>
      <c r="AN726" s="27">
        <v>0</v>
      </c>
      <c r="AO726" s="27">
        <f t="shared" si="71"/>
        <v>0</v>
      </c>
      <c r="AP726" s="7" t="b">
        <v>1</v>
      </c>
      <c r="AQ726" s="7" t="b">
        <v>1</v>
      </c>
      <c r="AR726" s="6" t="b">
        <v>0</v>
      </c>
      <c r="AS726" s="6" t="b">
        <v>0</v>
      </c>
      <c r="AT726" s="7" t="b">
        <v>1</v>
      </c>
      <c r="AU726" s="6" t="b">
        <v>0</v>
      </c>
      <c r="AV726" s="6" t="b">
        <v>0</v>
      </c>
      <c r="AW726" s="6" t="b">
        <v>0</v>
      </c>
      <c r="AX726" s="6" t="b">
        <v>0</v>
      </c>
      <c r="AY726" s="6" t="b">
        <v>0</v>
      </c>
      <c r="AZ726" s="6" t="b">
        <v>0</v>
      </c>
      <c r="BA726" s="6" t="b">
        <v>0</v>
      </c>
      <c r="BB726" s="6" t="b">
        <v>0</v>
      </c>
    </row>
    <row r="727" spans="1:54" ht="15" x14ac:dyDescent="0.25">
      <c r="A727" s="3" t="s">
        <v>1513</v>
      </c>
      <c r="B727" s="3" t="str">
        <f ca="1">IFERROR(__xludf.DUMMYFUNCTION("SPLIT(A727,""/"")"),"ngoduykhanh")</f>
        <v>ngoduykhanh</v>
      </c>
      <c r="C727" s="3" t="str">
        <f ca="1">IFERROR(__xludf.DUMMYFUNCTION("""COMPUTED_VALUE"""),"PowerDNS-Admin")</f>
        <v>PowerDNS-Admin</v>
      </c>
      <c r="D727" s="4" t="s">
        <v>1514</v>
      </c>
      <c r="E727" s="5">
        <v>42351.401770833334</v>
      </c>
      <c r="F727" s="5">
        <v>44295.133402777778</v>
      </c>
      <c r="G727" s="13">
        <f t="shared" si="66"/>
        <v>1943.7316319444435</v>
      </c>
      <c r="H727" s="6" t="b">
        <v>0</v>
      </c>
      <c r="I727" s="6" t="b">
        <v>0</v>
      </c>
      <c r="J727" s="8">
        <v>1191</v>
      </c>
      <c r="K727" s="8">
        <v>89</v>
      </c>
      <c r="L727" s="8">
        <v>397</v>
      </c>
      <c r="M727" s="8">
        <v>5</v>
      </c>
      <c r="N727" s="8">
        <v>10</v>
      </c>
      <c r="O727" s="8">
        <v>90</v>
      </c>
      <c r="P727" s="8">
        <v>280</v>
      </c>
      <c r="Q727" s="8">
        <v>10</v>
      </c>
      <c r="R727" s="8">
        <v>635</v>
      </c>
      <c r="S727" s="8">
        <v>215</v>
      </c>
      <c r="T727" s="3" t="s">
        <v>72</v>
      </c>
      <c r="U727" s="10">
        <v>6891</v>
      </c>
      <c r="V727" s="32">
        <v>300</v>
      </c>
      <c r="W727" s="27">
        <v>4.3535045711797997E-2</v>
      </c>
      <c r="X727" s="34">
        <v>102</v>
      </c>
      <c r="Y727" s="27">
        <v>0.34</v>
      </c>
      <c r="Z727" s="27">
        <v>1.4801915542011318E-2</v>
      </c>
      <c r="AA727" s="35">
        <v>54</v>
      </c>
      <c r="AB727" s="27">
        <v>0.18</v>
      </c>
      <c r="AC727" s="27">
        <f t="shared" si="67"/>
        <v>7.8363082281236399E-3</v>
      </c>
      <c r="AD727" s="36">
        <v>11</v>
      </c>
      <c r="AE727" s="27">
        <v>3.6666666666666667E-2</v>
      </c>
      <c r="AF727" s="27">
        <f t="shared" si="68"/>
        <v>1.5962850094325932E-3</v>
      </c>
      <c r="AG727" s="37">
        <v>126</v>
      </c>
      <c r="AH727" s="27">
        <v>0.42</v>
      </c>
      <c r="AI727" s="27">
        <f t="shared" si="69"/>
        <v>1.8284719198955159E-2</v>
      </c>
      <c r="AJ727" s="38">
        <v>0</v>
      </c>
      <c r="AK727" s="27">
        <v>0</v>
      </c>
      <c r="AL727" s="27">
        <f t="shared" si="70"/>
        <v>0</v>
      </c>
      <c r="AM727" s="40">
        <v>0</v>
      </c>
      <c r="AN727" s="27">
        <v>0</v>
      </c>
      <c r="AO727" s="27">
        <f t="shared" si="71"/>
        <v>0</v>
      </c>
      <c r="AP727" s="7" t="b">
        <v>1</v>
      </c>
      <c r="AQ727" s="7" t="b">
        <v>1</v>
      </c>
      <c r="AR727" s="6" t="b">
        <v>0</v>
      </c>
      <c r="AS727" s="6" t="b">
        <v>0</v>
      </c>
      <c r="AT727" s="7" t="b">
        <v>1</v>
      </c>
      <c r="AU727" s="6" t="b">
        <v>0</v>
      </c>
      <c r="AV727" s="6" t="b">
        <v>0</v>
      </c>
      <c r="AW727" s="6" t="b">
        <v>0</v>
      </c>
      <c r="AX727" s="6" t="b">
        <v>0</v>
      </c>
      <c r="AY727" s="6" t="b">
        <v>0</v>
      </c>
      <c r="AZ727" s="6" t="b">
        <v>0</v>
      </c>
      <c r="BA727" s="6" t="b">
        <v>0</v>
      </c>
      <c r="BB727" s="6" t="b">
        <v>0</v>
      </c>
    </row>
    <row r="728" spans="1:54" ht="15" x14ac:dyDescent="0.25">
      <c r="A728" s="3" t="s">
        <v>1515</v>
      </c>
      <c r="B728" s="3" t="str">
        <f ca="1">IFERROR(__xludf.DUMMYFUNCTION("SPLIT(A728,""/"")"),"nicolargo")</f>
        <v>nicolargo</v>
      </c>
      <c r="C728" s="3" t="str">
        <f ca="1">IFERROR(__xludf.DUMMYFUNCTION("""COMPUTED_VALUE"""),"glances")</f>
        <v>glances</v>
      </c>
      <c r="D728" s="4" t="s">
        <v>1516</v>
      </c>
      <c r="E728" s="5">
        <v>40881.367534722223</v>
      </c>
      <c r="F728" s="5">
        <v>44295.09443287037</v>
      </c>
      <c r="G728" s="13">
        <f t="shared" si="66"/>
        <v>3413.7268981481466</v>
      </c>
      <c r="H728" s="6" t="b">
        <v>0</v>
      </c>
      <c r="I728" s="6" t="b">
        <v>0</v>
      </c>
      <c r="J728" s="8">
        <v>18151</v>
      </c>
      <c r="K728" s="8">
        <v>508</v>
      </c>
      <c r="L728" s="8">
        <v>1163</v>
      </c>
      <c r="M728" s="8">
        <v>21</v>
      </c>
      <c r="N728" s="8">
        <v>82</v>
      </c>
      <c r="O728" s="8">
        <v>126</v>
      </c>
      <c r="P728" s="8">
        <v>487</v>
      </c>
      <c r="Q728" s="8">
        <v>0</v>
      </c>
      <c r="R728" s="8">
        <v>1343</v>
      </c>
      <c r="S728" s="8">
        <v>202</v>
      </c>
      <c r="T728" s="3" t="s">
        <v>160</v>
      </c>
      <c r="U728" s="10">
        <v>10986</v>
      </c>
      <c r="V728" s="32">
        <v>361</v>
      </c>
      <c r="W728" s="27">
        <v>3.2860003640997636E-2</v>
      </c>
      <c r="X728" s="34">
        <v>193</v>
      </c>
      <c r="Y728" s="27">
        <v>0.53462603878116344</v>
      </c>
      <c r="Z728" s="27">
        <v>1.7567813580921174E-2</v>
      </c>
      <c r="AA728" s="35">
        <v>56</v>
      </c>
      <c r="AB728" s="27">
        <v>0.15512465373961218</v>
      </c>
      <c r="AC728" s="27">
        <f t="shared" si="67"/>
        <v>5.0973966866921534E-3</v>
      </c>
      <c r="AD728" s="36">
        <v>27</v>
      </c>
      <c r="AE728" s="27">
        <v>7.4792243767313013E-2</v>
      </c>
      <c r="AF728" s="27">
        <f t="shared" si="68"/>
        <v>2.4576734025122883E-3</v>
      </c>
      <c r="AG728" s="37">
        <v>50</v>
      </c>
      <c r="AH728" s="27">
        <v>0.13850415512465375</v>
      </c>
      <c r="AI728" s="27">
        <f t="shared" si="69"/>
        <v>4.5512470416894232E-3</v>
      </c>
      <c r="AJ728" s="38">
        <v>33</v>
      </c>
      <c r="AK728" s="27">
        <v>9.141274238227147E-2</v>
      </c>
      <c r="AL728" s="27">
        <f t="shared" si="70"/>
        <v>3.0038230475150189E-3</v>
      </c>
      <c r="AM728" s="40">
        <v>0</v>
      </c>
      <c r="AN728" s="27">
        <v>0</v>
      </c>
      <c r="AO728" s="27">
        <f t="shared" si="71"/>
        <v>0</v>
      </c>
      <c r="AP728" s="7" t="b">
        <v>1</v>
      </c>
      <c r="AQ728" s="7" t="b">
        <v>1</v>
      </c>
      <c r="AR728" s="6" t="b">
        <v>0</v>
      </c>
      <c r="AS728" s="6" t="b">
        <v>0</v>
      </c>
      <c r="AT728" s="7" t="b">
        <v>1</v>
      </c>
      <c r="AU728" s="6" t="b">
        <v>0</v>
      </c>
      <c r="AV728" s="6" t="b">
        <v>0</v>
      </c>
      <c r="AW728" s="6" t="b">
        <v>0</v>
      </c>
      <c r="AX728" s="6" t="b">
        <v>0</v>
      </c>
      <c r="AY728" s="6" t="b">
        <v>0</v>
      </c>
      <c r="AZ728" s="6" t="b">
        <v>0</v>
      </c>
      <c r="BA728" s="6" t="b">
        <v>0</v>
      </c>
      <c r="BB728" s="6" t="b">
        <v>0</v>
      </c>
    </row>
    <row r="729" spans="1:54" ht="15" x14ac:dyDescent="0.25">
      <c r="A729" s="3" t="s">
        <v>1517</v>
      </c>
      <c r="B729" s="3" t="str">
        <f ca="1">IFERROR(__xludf.DUMMYFUNCTION("SPLIT(A729,""/"")"),"nicolas-chaulet")</f>
        <v>nicolas-chaulet</v>
      </c>
      <c r="C729" s="3" t="str">
        <f ca="1">IFERROR(__xludf.DUMMYFUNCTION("""COMPUTED_VALUE"""),"torch-points3d")</f>
        <v>torch-points3d</v>
      </c>
      <c r="D729" s="4" t="s">
        <v>1518</v>
      </c>
      <c r="E729" s="5">
        <v>43805.48164351852</v>
      </c>
      <c r="F729" s="5">
        <v>44294.508657407408</v>
      </c>
      <c r="G729" s="13">
        <f t="shared" si="66"/>
        <v>489.02701388888818</v>
      </c>
      <c r="H729" s="6" t="b">
        <v>0</v>
      </c>
      <c r="I729" s="6" t="b">
        <v>0</v>
      </c>
      <c r="J729" s="8">
        <v>1175</v>
      </c>
      <c r="K729" s="8">
        <v>45</v>
      </c>
      <c r="L729" s="8">
        <v>171</v>
      </c>
      <c r="M729" s="8">
        <v>10</v>
      </c>
      <c r="N729" s="8">
        <v>7</v>
      </c>
      <c r="O729" s="8">
        <v>16</v>
      </c>
      <c r="P729" s="8">
        <v>364</v>
      </c>
      <c r="Q729" s="8">
        <v>12</v>
      </c>
      <c r="R729" s="8">
        <v>218</v>
      </c>
      <c r="S729" s="8">
        <v>46</v>
      </c>
      <c r="T729" s="3" t="s">
        <v>92</v>
      </c>
      <c r="U729" s="10">
        <v>20812</v>
      </c>
      <c r="V729" s="32">
        <v>157</v>
      </c>
      <c r="W729" s="27">
        <v>7.543724774168749E-3</v>
      </c>
      <c r="X729" s="34">
        <v>3</v>
      </c>
      <c r="Y729" s="27">
        <v>1.9108280254777069E-2</v>
      </c>
      <c r="Z729" s="27">
        <v>1.4414760714972133E-4</v>
      </c>
      <c r="AA729" s="35">
        <v>118</v>
      </c>
      <c r="AB729" s="27">
        <v>0.75159235668789814</v>
      </c>
      <c r="AC729" s="27">
        <f t="shared" si="67"/>
        <v>5.669805881222372E-3</v>
      </c>
      <c r="AD729" s="36">
        <v>31</v>
      </c>
      <c r="AE729" s="27">
        <v>0.19745222929936307</v>
      </c>
      <c r="AF729" s="27">
        <f t="shared" si="68"/>
        <v>1.4895252738804535E-3</v>
      </c>
      <c r="AG729" s="37">
        <v>5</v>
      </c>
      <c r="AH729" s="27">
        <v>3.1847133757961783E-2</v>
      </c>
      <c r="AI729" s="27">
        <f t="shared" si="69"/>
        <v>2.4024601191620219E-4</v>
      </c>
      <c r="AJ729" s="38">
        <v>0</v>
      </c>
      <c r="AK729" s="27">
        <v>0</v>
      </c>
      <c r="AL729" s="27">
        <f t="shared" si="70"/>
        <v>0</v>
      </c>
      <c r="AM729" s="40">
        <v>1</v>
      </c>
      <c r="AN729" s="27">
        <v>6.369426751592357E-3</v>
      </c>
      <c r="AO729" s="27">
        <f t="shared" si="71"/>
        <v>4.8049202383240436E-5</v>
      </c>
      <c r="AP729" s="7" t="b">
        <v>1</v>
      </c>
      <c r="AQ729" s="6" t="b">
        <v>0</v>
      </c>
      <c r="AR729" s="6" t="b">
        <v>0</v>
      </c>
      <c r="AS729" s="6" t="b">
        <v>0</v>
      </c>
      <c r="AT729" s="7" t="b">
        <v>1</v>
      </c>
      <c r="AU729" s="6" t="b">
        <v>0</v>
      </c>
      <c r="AV729" s="6" t="b">
        <v>0</v>
      </c>
      <c r="AW729" s="6" t="b">
        <v>0</v>
      </c>
      <c r="AX729" s="6" t="b">
        <v>0</v>
      </c>
      <c r="AY729" s="6" t="b">
        <v>0</v>
      </c>
      <c r="AZ729" s="6" t="b">
        <v>0</v>
      </c>
      <c r="BA729" s="6" t="b">
        <v>0</v>
      </c>
      <c r="BB729" s="6" t="b">
        <v>0</v>
      </c>
    </row>
    <row r="730" spans="1:54" ht="15" x14ac:dyDescent="0.25">
      <c r="A730" s="3" t="s">
        <v>1519</v>
      </c>
      <c r="B730" s="3" t="str">
        <f ca="1">IFERROR(__xludf.DUMMYFUNCTION("SPLIT(A730,""/"")"),"nidhaloff")</f>
        <v>nidhaloff</v>
      </c>
      <c r="C730" s="3" t="str">
        <f ca="1">IFERROR(__xludf.DUMMYFUNCTION("""COMPUTED_VALUE"""),"igel")</f>
        <v>igel</v>
      </c>
      <c r="D730" s="4" t="s">
        <v>1520</v>
      </c>
      <c r="E730" s="5">
        <v>44070.871516203704</v>
      </c>
      <c r="F730" s="5">
        <v>44294.184675925928</v>
      </c>
      <c r="G730" s="13">
        <f t="shared" si="66"/>
        <v>223.31315972222365</v>
      </c>
      <c r="H730" s="6" t="b">
        <v>0</v>
      </c>
      <c r="I730" s="6" t="b">
        <v>0</v>
      </c>
      <c r="J730" s="8">
        <v>2624</v>
      </c>
      <c r="K730" s="8">
        <v>68</v>
      </c>
      <c r="L730" s="8">
        <v>122</v>
      </c>
      <c r="M730" s="8">
        <v>9</v>
      </c>
      <c r="N730" s="8">
        <v>5</v>
      </c>
      <c r="O730" s="8">
        <v>11</v>
      </c>
      <c r="P730" s="8">
        <v>23</v>
      </c>
      <c r="Q730" s="8">
        <v>0</v>
      </c>
      <c r="R730" s="8">
        <v>32</v>
      </c>
      <c r="S730" s="8">
        <v>7</v>
      </c>
      <c r="T730" s="3" t="s">
        <v>72</v>
      </c>
      <c r="U730" s="10">
        <v>889</v>
      </c>
      <c r="V730" s="32">
        <v>63</v>
      </c>
      <c r="W730" s="27">
        <v>7.0866141732283464E-2</v>
      </c>
      <c r="X730" s="34">
        <v>0</v>
      </c>
      <c r="Y730" s="27">
        <v>0</v>
      </c>
      <c r="Z730" s="27">
        <v>0</v>
      </c>
      <c r="AA730" s="35">
        <v>54</v>
      </c>
      <c r="AB730" s="27">
        <v>0.8571428571428571</v>
      </c>
      <c r="AC730" s="27">
        <f t="shared" si="67"/>
        <v>6.074240719910011E-2</v>
      </c>
      <c r="AD730" s="36">
        <v>2</v>
      </c>
      <c r="AE730" s="27">
        <v>3.1746031746031744E-2</v>
      </c>
      <c r="AF730" s="27">
        <f t="shared" si="68"/>
        <v>2.2497187851518562E-3</v>
      </c>
      <c r="AG730" s="37">
        <v>6</v>
      </c>
      <c r="AH730" s="27">
        <v>9.5238095238095233E-2</v>
      </c>
      <c r="AI730" s="27">
        <f t="shared" si="69"/>
        <v>6.7491563554555678E-3</v>
      </c>
      <c r="AJ730" s="38">
        <v>0</v>
      </c>
      <c r="AK730" s="27">
        <v>0</v>
      </c>
      <c r="AL730" s="27">
        <f t="shared" si="70"/>
        <v>0</v>
      </c>
      <c r="AM730" s="40">
        <v>0</v>
      </c>
      <c r="AN730" s="27">
        <v>0</v>
      </c>
      <c r="AO730" s="27">
        <f t="shared" si="71"/>
        <v>0</v>
      </c>
      <c r="AP730" s="7" t="b">
        <v>1</v>
      </c>
      <c r="AQ730" s="6" t="b">
        <v>0</v>
      </c>
      <c r="AR730" s="6" t="b">
        <v>0</v>
      </c>
      <c r="AS730" s="6" t="b">
        <v>0</v>
      </c>
      <c r="AT730" s="7" t="b">
        <v>1</v>
      </c>
      <c r="AU730" s="6" t="b">
        <v>0</v>
      </c>
      <c r="AV730" s="6" t="b">
        <v>0</v>
      </c>
      <c r="AW730" s="6" t="b">
        <v>0</v>
      </c>
      <c r="AX730" s="6" t="b">
        <v>0</v>
      </c>
      <c r="AY730" s="6" t="b">
        <v>0</v>
      </c>
      <c r="AZ730" s="6" t="b">
        <v>0</v>
      </c>
      <c r="BA730" s="6" t="b">
        <v>0</v>
      </c>
      <c r="BB730" s="6" t="b">
        <v>0</v>
      </c>
    </row>
    <row r="731" spans="1:54" ht="15" x14ac:dyDescent="0.25">
      <c r="A731" s="3" t="s">
        <v>1521</v>
      </c>
      <c r="B731" s="3" t="str">
        <f ca="1">IFERROR(__xludf.DUMMYFUNCTION("SPLIT(A731,""/"")"),"nimia")</f>
        <v>nimia</v>
      </c>
      <c r="C731" s="3" t="str">
        <f ca="1">IFERROR(__xludf.DUMMYFUNCTION("""COMPUTED_VALUE"""),"public_drown_scanner")</f>
        <v>public_drown_scanner</v>
      </c>
      <c r="D731" s="4" t="s">
        <v>1522</v>
      </c>
      <c r="E731" s="5">
        <v>42430.532893518517</v>
      </c>
      <c r="F731" s="5">
        <v>44225.401226851849</v>
      </c>
      <c r="G731" s="13">
        <f t="shared" si="66"/>
        <v>1794.868333333332</v>
      </c>
      <c r="H731" s="6" t="b">
        <v>0</v>
      </c>
      <c r="I731" s="6" t="b">
        <v>0</v>
      </c>
      <c r="J731" s="8">
        <v>441</v>
      </c>
      <c r="K731" s="8">
        <v>35</v>
      </c>
      <c r="L731" s="8">
        <v>113</v>
      </c>
      <c r="M731" s="8">
        <v>0</v>
      </c>
      <c r="N731" s="8">
        <v>1</v>
      </c>
      <c r="O731" s="8">
        <v>13</v>
      </c>
      <c r="P731" s="8">
        <v>26</v>
      </c>
      <c r="Q731" s="8">
        <v>0</v>
      </c>
      <c r="R731" s="8">
        <v>30</v>
      </c>
      <c r="S731" s="8">
        <v>0</v>
      </c>
      <c r="T731" s="3" t="s">
        <v>64</v>
      </c>
      <c r="U731" s="10">
        <v>2331</v>
      </c>
      <c r="V731" s="32">
        <v>11</v>
      </c>
      <c r="W731" s="27">
        <v>4.7190047190047192E-3</v>
      </c>
      <c r="X731" s="34">
        <v>4</v>
      </c>
      <c r="Y731" s="27">
        <v>0.36363636363636365</v>
      </c>
      <c r="Z731" s="27">
        <v>1.716001716001716E-3</v>
      </c>
      <c r="AA731" s="35">
        <v>2</v>
      </c>
      <c r="AB731" s="27">
        <v>0.18181818181818182</v>
      </c>
      <c r="AC731" s="27">
        <f t="shared" si="67"/>
        <v>8.5800085800085801E-4</v>
      </c>
      <c r="AD731" s="36">
        <v>0</v>
      </c>
      <c r="AE731" s="27">
        <v>0</v>
      </c>
      <c r="AF731" s="27">
        <f t="shared" si="68"/>
        <v>0</v>
      </c>
      <c r="AG731" s="37">
        <v>5</v>
      </c>
      <c r="AH731" s="27">
        <v>0.45454545454545453</v>
      </c>
      <c r="AI731" s="27">
        <f t="shared" si="69"/>
        <v>2.1450021450021449E-3</v>
      </c>
      <c r="AJ731" s="38">
        <v>0</v>
      </c>
      <c r="AK731" s="27">
        <v>0</v>
      </c>
      <c r="AL731" s="27">
        <f t="shared" si="70"/>
        <v>0</v>
      </c>
      <c r="AM731" s="40">
        <v>0</v>
      </c>
      <c r="AN731" s="27">
        <v>0</v>
      </c>
      <c r="AO731" s="27">
        <f t="shared" si="71"/>
        <v>0</v>
      </c>
      <c r="AP731" s="7" t="b">
        <v>1</v>
      </c>
      <c r="AQ731" s="6" t="b">
        <v>0</v>
      </c>
      <c r="AR731" s="6" t="b">
        <v>0</v>
      </c>
      <c r="AS731" s="6" t="b">
        <v>0</v>
      </c>
      <c r="AT731" s="7" t="b">
        <v>1</v>
      </c>
      <c r="AU731" s="6" t="b">
        <v>0</v>
      </c>
      <c r="AV731" s="6" t="b">
        <v>0</v>
      </c>
      <c r="AW731" s="6" t="b">
        <v>0</v>
      </c>
      <c r="AX731" s="6" t="b">
        <v>0</v>
      </c>
      <c r="AY731" s="6" t="b">
        <v>0</v>
      </c>
      <c r="AZ731" s="6" t="b">
        <v>0</v>
      </c>
      <c r="BA731" s="6" t="b">
        <v>0</v>
      </c>
      <c r="BB731" s="6" t="b">
        <v>0</v>
      </c>
    </row>
    <row r="732" spans="1:54" ht="15" x14ac:dyDescent="0.25">
      <c r="A732" s="3" t="s">
        <v>1523</v>
      </c>
      <c r="B732" s="3" t="str">
        <f ca="1">IFERROR(__xludf.DUMMYFUNCTION("SPLIT(A732,""/"")"),"nixawk")</f>
        <v>nixawk</v>
      </c>
      <c r="C732" s="3" t="str">
        <f ca="1">IFERROR(__xludf.DUMMYFUNCTION("""COMPUTED_VALUE"""),"labs")</f>
        <v>labs</v>
      </c>
      <c r="D732" s="4" t="s">
        <v>1524</v>
      </c>
      <c r="E732" s="5">
        <v>42719.213645833333</v>
      </c>
      <c r="F732" s="5">
        <v>44292.766655092593</v>
      </c>
      <c r="G732" s="13">
        <f t="shared" si="66"/>
        <v>1573.5530092592599</v>
      </c>
      <c r="H732" s="6" t="b">
        <v>0</v>
      </c>
      <c r="I732" s="6" t="b">
        <v>0</v>
      </c>
      <c r="J732" s="8">
        <v>1010</v>
      </c>
      <c r="K732" s="8">
        <v>109</v>
      </c>
      <c r="L732" s="8">
        <v>402</v>
      </c>
      <c r="M732" s="8">
        <v>0</v>
      </c>
      <c r="N732" s="8">
        <v>0</v>
      </c>
      <c r="O732" s="8">
        <v>3</v>
      </c>
      <c r="P732" s="8">
        <v>4</v>
      </c>
      <c r="Q732" s="8">
        <v>1</v>
      </c>
      <c r="R732" s="8">
        <v>19</v>
      </c>
      <c r="S732" s="8">
        <v>11</v>
      </c>
      <c r="T732" s="11" t="s">
        <v>52</v>
      </c>
      <c r="U732" s="10">
        <v>1478</v>
      </c>
      <c r="V732" s="32">
        <v>62</v>
      </c>
      <c r="W732" s="27">
        <v>4.1948579161028419E-2</v>
      </c>
      <c r="X732" s="34">
        <v>21</v>
      </c>
      <c r="Y732" s="27">
        <v>0.33870967741935482</v>
      </c>
      <c r="Z732" s="27">
        <v>1.4208389715832206E-2</v>
      </c>
      <c r="AA732" s="35">
        <v>30</v>
      </c>
      <c r="AB732" s="27">
        <v>0.4838709677419355</v>
      </c>
      <c r="AC732" s="27">
        <f t="shared" si="67"/>
        <v>2.0297699594046009E-2</v>
      </c>
      <c r="AD732" s="36">
        <v>0</v>
      </c>
      <c r="AE732" s="27">
        <v>0</v>
      </c>
      <c r="AF732" s="27">
        <f t="shared" si="68"/>
        <v>0</v>
      </c>
      <c r="AG732" s="37">
        <v>11</v>
      </c>
      <c r="AH732" s="27">
        <v>0.17741935483870969</v>
      </c>
      <c r="AI732" s="27">
        <f t="shared" si="69"/>
        <v>7.4424898511502033E-3</v>
      </c>
      <c r="AJ732" s="38">
        <v>0</v>
      </c>
      <c r="AK732" s="27">
        <v>0</v>
      </c>
      <c r="AL732" s="27">
        <f t="shared" si="70"/>
        <v>0</v>
      </c>
      <c r="AM732" s="40">
        <v>0</v>
      </c>
      <c r="AN732" s="27">
        <v>0</v>
      </c>
      <c r="AO732" s="27">
        <f t="shared" si="71"/>
        <v>0</v>
      </c>
      <c r="AP732" s="7" t="b">
        <v>1</v>
      </c>
      <c r="AQ732" s="6" t="b">
        <v>0</v>
      </c>
      <c r="AR732" s="6" t="b">
        <v>0</v>
      </c>
      <c r="AS732" s="6" t="b">
        <v>0</v>
      </c>
      <c r="AT732" s="7" t="b">
        <v>1</v>
      </c>
      <c r="AU732" s="6" t="b">
        <v>0</v>
      </c>
      <c r="AV732" s="6" t="b">
        <v>0</v>
      </c>
      <c r="AW732" s="6" t="b">
        <v>0</v>
      </c>
      <c r="AX732" s="6" t="b">
        <v>0</v>
      </c>
      <c r="AY732" s="6" t="b">
        <v>0</v>
      </c>
      <c r="AZ732" s="6" t="b">
        <v>0</v>
      </c>
      <c r="BA732" s="6" t="b">
        <v>0</v>
      </c>
      <c r="BB732" s="6" t="b">
        <v>0</v>
      </c>
    </row>
    <row r="733" spans="1:54" ht="15" x14ac:dyDescent="0.25">
      <c r="A733" s="3" t="s">
        <v>1525</v>
      </c>
      <c r="B733" s="3" t="str">
        <f ca="1">IFERROR(__xludf.DUMMYFUNCTION("SPLIT(A733,""/"")"),"nornir-automation")</f>
        <v>nornir-automation</v>
      </c>
      <c r="C733" s="3" t="str">
        <f ca="1">IFERROR(__xludf.DUMMYFUNCTION("""COMPUTED_VALUE"""),"nornir")</f>
        <v>nornir</v>
      </c>
      <c r="D733" s="4" t="s">
        <v>1526</v>
      </c>
      <c r="E733" s="5">
        <v>42720.352187500001</v>
      </c>
      <c r="F733" s="5">
        <v>44291.284097222226</v>
      </c>
      <c r="G733" s="13">
        <f t="shared" si="66"/>
        <v>1570.9319097222251</v>
      </c>
      <c r="H733" s="6" t="b">
        <v>0</v>
      </c>
      <c r="I733" s="7" t="b">
        <v>1</v>
      </c>
      <c r="J733" s="8">
        <v>803</v>
      </c>
      <c r="K733" s="8">
        <v>86</v>
      </c>
      <c r="L733" s="8">
        <v>155</v>
      </c>
      <c r="M733" s="8">
        <v>21</v>
      </c>
      <c r="N733" s="8">
        <v>6</v>
      </c>
      <c r="O733" s="8">
        <v>41</v>
      </c>
      <c r="P733" s="8">
        <v>380</v>
      </c>
      <c r="Q733" s="8">
        <v>12</v>
      </c>
      <c r="R733" s="8">
        <v>263</v>
      </c>
      <c r="S733" s="8">
        <v>47</v>
      </c>
      <c r="T733" s="3" t="s">
        <v>69</v>
      </c>
      <c r="U733" s="10">
        <v>2259</v>
      </c>
      <c r="V733" s="32">
        <v>6</v>
      </c>
      <c r="W733" s="27">
        <v>2.6560424966799467E-3</v>
      </c>
      <c r="X733" s="34">
        <v>1</v>
      </c>
      <c r="Y733" s="27">
        <v>0.16666666666666666</v>
      </c>
      <c r="Z733" s="27">
        <v>4.4267374944665782E-4</v>
      </c>
      <c r="AA733" s="35">
        <v>1</v>
      </c>
      <c r="AB733" s="27">
        <v>0.16666666666666666</v>
      </c>
      <c r="AC733" s="27">
        <f t="shared" si="67"/>
        <v>4.4267374944665782E-4</v>
      </c>
      <c r="AD733" s="36">
        <v>2</v>
      </c>
      <c r="AE733" s="27">
        <v>0.33333333333333331</v>
      </c>
      <c r="AF733" s="27">
        <f t="shared" si="68"/>
        <v>8.8534749889331564E-4</v>
      </c>
      <c r="AG733" s="37">
        <v>2</v>
      </c>
      <c r="AH733" s="27">
        <v>0.33333333333333331</v>
      </c>
      <c r="AI733" s="27">
        <f t="shared" si="69"/>
        <v>8.8534749889331564E-4</v>
      </c>
      <c r="AJ733" s="38">
        <v>0</v>
      </c>
      <c r="AK733" s="27">
        <v>0</v>
      </c>
      <c r="AL733" s="27">
        <f t="shared" si="70"/>
        <v>0</v>
      </c>
      <c r="AM733" s="40">
        <v>0</v>
      </c>
      <c r="AN733" s="27">
        <v>0</v>
      </c>
      <c r="AO733" s="27">
        <f t="shared" si="71"/>
        <v>0</v>
      </c>
      <c r="AP733" s="7" t="b">
        <v>1</v>
      </c>
      <c r="AQ733" s="6" t="b">
        <v>0</v>
      </c>
      <c r="AR733" s="6" t="b">
        <v>0</v>
      </c>
      <c r="AS733" s="6" t="b">
        <v>0</v>
      </c>
      <c r="AT733" s="7" t="b">
        <v>1</v>
      </c>
      <c r="AU733" s="6" t="b">
        <v>0</v>
      </c>
      <c r="AV733" s="6" t="b">
        <v>0</v>
      </c>
      <c r="AW733" s="6" t="b">
        <v>0</v>
      </c>
      <c r="AX733" s="6" t="b">
        <v>0</v>
      </c>
      <c r="AY733" s="6" t="b">
        <v>0</v>
      </c>
      <c r="AZ733" s="6" t="b">
        <v>0</v>
      </c>
      <c r="BA733" s="6" t="b">
        <v>0</v>
      </c>
      <c r="BB733" s="6" t="b">
        <v>0</v>
      </c>
    </row>
    <row r="734" spans="1:54" ht="15" x14ac:dyDescent="0.25">
      <c r="A734" s="3" t="s">
        <v>1527</v>
      </c>
      <c r="B734" s="3" t="str">
        <f ca="1">IFERROR(__xludf.DUMMYFUNCTION("SPLIT(A734,""/"")"),"nsacyber")</f>
        <v>nsacyber</v>
      </c>
      <c r="C734" s="3" t="str">
        <f ca="1">IFERROR(__xludf.DUMMYFUNCTION("""COMPUTED_VALUE"""),"WALKOFF")</f>
        <v>WALKOFF</v>
      </c>
      <c r="D734" s="4" t="s">
        <v>1528</v>
      </c>
      <c r="E734" s="5">
        <v>42529.690810185188</v>
      </c>
      <c r="F734" s="5">
        <v>44294.200069444443</v>
      </c>
      <c r="G734" s="13">
        <f t="shared" si="66"/>
        <v>1764.5092592592555</v>
      </c>
      <c r="H734" s="6" t="b">
        <v>0</v>
      </c>
      <c r="I734" s="7" t="b">
        <v>1</v>
      </c>
      <c r="J734" s="8">
        <v>861</v>
      </c>
      <c r="K734" s="8">
        <v>88</v>
      </c>
      <c r="L734" s="8">
        <v>189</v>
      </c>
      <c r="M734" s="8">
        <v>40</v>
      </c>
      <c r="N734" s="8">
        <v>1</v>
      </c>
      <c r="O734" s="8">
        <v>33</v>
      </c>
      <c r="P734" s="8">
        <v>145</v>
      </c>
      <c r="Q734" s="8">
        <v>9</v>
      </c>
      <c r="R734" s="8">
        <v>134</v>
      </c>
      <c r="S734" s="8">
        <v>33</v>
      </c>
      <c r="T734" s="3" t="s">
        <v>92</v>
      </c>
      <c r="U734" s="10">
        <v>20382</v>
      </c>
      <c r="V734" s="32">
        <v>301</v>
      </c>
      <c r="W734" s="27">
        <v>1.4767932489451477E-2</v>
      </c>
      <c r="X734" s="34">
        <v>43</v>
      </c>
      <c r="Y734" s="27">
        <v>0.14285714285714285</v>
      </c>
      <c r="Z734" s="27">
        <v>2.1097046413502108E-3</v>
      </c>
      <c r="AA734" s="35">
        <v>177</v>
      </c>
      <c r="AB734" s="27">
        <v>0.58803986710963452</v>
      </c>
      <c r="AC734" s="27">
        <f t="shared" si="67"/>
        <v>8.6841330585811002E-3</v>
      </c>
      <c r="AD734" s="36">
        <v>17</v>
      </c>
      <c r="AE734" s="27">
        <v>5.647840531561462E-2</v>
      </c>
      <c r="AF734" s="27">
        <f t="shared" si="68"/>
        <v>8.3406927681287405E-4</v>
      </c>
      <c r="AG734" s="37">
        <v>61</v>
      </c>
      <c r="AH734" s="27">
        <v>0.20265780730897009</v>
      </c>
      <c r="AI734" s="27">
        <f t="shared" si="69"/>
        <v>2.9928368167991366E-3</v>
      </c>
      <c r="AJ734" s="38">
        <v>1</v>
      </c>
      <c r="AK734" s="27">
        <v>3.3222591362126247E-3</v>
      </c>
      <c r="AL734" s="27">
        <f t="shared" si="70"/>
        <v>4.9062898636051415E-5</v>
      </c>
      <c r="AM734" s="40">
        <v>0</v>
      </c>
      <c r="AN734" s="27">
        <v>0</v>
      </c>
      <c r="AO734" s="27">
        <f t="shared" si="71"/>
        <v>0</v>
      </c>
      <c r="AP734" s="7" t="b">
        <v>1</v>
      </c>
      <c r="AQ734" s="7" t="b">
        <v>1</v>
      </c>
      <c r="AR734" s="6" t="b">
        <v>0</v>
      </c>
      <c r="AS734" s="6" t="b">
        <v>0</v>
      </c>
      <c r="AT734" s="7" t="b">
        <v>1</v>
      </c>
      <c r="AU734" s="6" t="b">
        <v>0</v>
      </c>
      <c r="AV734" s="6" t="b">
        <v>0</v>
      </c>
      <c r="AW734" s="6" t="b">
        <v>0</v>
      </c>
      <c r="AX734" s="6" t="b">
        <v>0</v>
      </c>
      <c r="AY734" s="6" t="b">
        <v>0</v>
      </c>
      <c r="AZ734" s="6" t="b">
        <v>0</v>
      </c>
      <c r="BA734" s="6" t="b">
        <v>0</v>
      </c>
      <c r="BB734" s="6" t="b">
        <v>0</v>
      </c>
    </row>
    <row r="735" spans="1:54" ht="15" x14ac:dyDescent="0.25">
      <c r="A735" s="3" t="s">
        <v>1529</v>
      </c>
      <c r="B735" s="3" t="str">
        <f ca="1">IFERROR(__xludf.DUMMYFUNCTION("SPLIT(A735,""/"")"),"nsidnev")</f>
        <v>nsidnev</v>
      </c>
      <c r="C735" s="3" t="str">
        <f ca="1">IFERROR(__xludf.DUMMYFUNCTION("""COMPUTED_VALUE"""),"fastapi-realworld-example-app")</f>
        <v>fastapi-realworld-example-app</v>
      </c>
      <c r="D735" s="4" t="s">
        <v>1530</v>
      </c>
      <c r="E735" s="5">
        <v>43493.99119212963</v>
      </c>
      <c r="F735" s="5">
        <v>44295.021967592591</v>
      </c>
      <c r="G735" s="13">
        <f t="shared" si="66"/>
        <v>801.03077546296117</v>
      </c>
      <c r="H735" s="6" t="b">
        <v>0</v>
      </c>
      <c r="I735" s="6" t="b">
        <v>0</v>
      </c>
      <c r="J735" s="8">
        <v>977</v>
      </c>
      <c r="K735" s="8">
        <v>25</v>
      </c>
      <c r="L735" s="8">
        <v>176</v>
      </c>
      <c r="M735" s="8">
        <v>0</v>
      </c>
      <c r="N735" s="8">
        <v>0</v>
      </c>
      <c r="O735" s="8">
        <v>5</v>
      </c>
      <c r="P735" s="8">
        <v>122</v>
      </c>
      <c r="Q735" s="8">
        <v>11</v>
      </c>
      <c r="R735" s="8">
        <v>18</v>
      </c>
      <c r="S735" s="8">
        <v>5</v>
      </c>
      <c r="T735" s="3" t="s">
        <v>72</v>
      </c>
      <c r="U735" s="10">
        <v>1656</v>
      </c>
      <c r="V735" s="32">
        <v>4</v>
      </c>
      <c r="W735" s="27">
        <v>2.4154589371980675E-3</v>
      </c>
      <c r="X735" s="34">
        <v>0</v>
      </c>
      <c r="Y735" s="27">
        <v>0</v>
      </c>
      <c r="Z735" s="27">
        <v>0</v>
      </c>
      <c r="AA735" s="35">
        <v>4</v>
      </c>
      <c r="AB735" s="27">
        <v>1</v>
      </c>
      <c r="AC735" s="27">
        <f t="shared" si="67"/>
        <v>2.4154589371980675E-3</v>
      </c>
      <c r="AD735" s="36">
        <v>0</v>
      </c>
      <c r="AE735" s="27">
        <v>0</v>
      </c>
      <c r="AF735" s="27">
        <f t="shared" si="68"/>
        <v>0</v>
      </c>
      <c r="AG735" s="37">
        <v>0</v>
      </c>
      <c r="AH735" s="27">
        <v>0</v>
      </c>
      <c r="AI735" s="27">
        <f t="shared" si="69"/>
        <v>0</v>
      </c>
      <c r="AJ735" s="38">
        <v>0</v>
      </c>
      <c r="AK735" s="27">
        <v>0</v>
      </c>
      <c r="AL735" s="27">
        <f t="shared" si="70"/>
        <v>0</v>
      </c>
      <c r="AM735" s="40">
        <v>0</v>
      </c>
      <c r="AN735" s="27">
        <v>0</v>
      </c>
      <c r="AO735" s="27">
        <f t="shared" si="71"/>
        <v>0</v>
      </c>
      <c r="AP735" s="7" t="b">
        <v>1</v>
      </c>
      <c r="AQ735" s="7" t="b">
        <v>1</v>
      </c>
      <c r="AR735" s="6" t="b">
        <v>0</v>
      </c>
      <c r="AS735" s="6" t="b">
        <v>0</v>
      </c>
      <c r="AT735" s="7" t="b">
        <v>1</v>
      </c>
      <c r="AU735" s="6" t="b">
        <v>0</v>
      </c>
      <c r="AV735" s="6" t="b">
        <v>0</v>
      </c>
      <c r="AW735" s="6" t="b">
        <v>0</v>
      </c>
      <c r="AX735" s="7" t="b">
        <v>1</v>
      </c>
      <c r="AY735" s="6" t="b">
        <v>0</v>
      </c>
      <c r="AZ735" s="6" t="b">
        <v>0</v>
      </c>
      <c r="BA735" s="6" t="b">
        <v>0</v>
      </c>
      <c r="BB735" s="6" t="b">
        <v>0</v>
      </c>
    </row>
    <row r="736" spans="1:54" ht="15" x14ac:dyDescent="0.25">
      <c r="A736" s="3" t="s">
        <v>1531</v>
      </c>
      <c r="B736" s="3" t="str">
        <f ca="1">IFERROR(__xludf.DUMMYFUNCTION("SPLIT(A736,""/"")"),"numenta")</f>
        <v>numenta</v>
      </c>
      <c r="C736" s="3" t="str">
        <f ca="1">IFERROR(__xludf.DUMMYFUNCTION("""COMPUTED_VALUE"""),"nupic")</f>
        <v>nupic</v>
      </c>
      <c r="D736" s="4" t="s">
        <v>1532</v>
      </c>
      <c r="E736" s="5">
        <v>41369.968368055554</v>
      </c>
      <c r="F736" s="5">
        <v>44294.48673611111</v>
      </c>
      <c r="G736" s="13">
        <f t="shared" si="66"/>
        <v>2924.5183680555565</v>
      </c>
      <c r="H736" s="6" t="b">
        <v>0</v>
      </c>
      <c r="I736" s="7" t="b">
        <v>1</v>
      </c>
      <c r="J736" s="8">
        <v>6221</v>
      </c>
      <c r="K736" s="8">
        <v>641</v>
      </c>
      <c r="L736" s="8">
        <v>1552</v>
      </c>
      <c r="M736" s="8">
        <v>47</v>
      </c>
      <c r="N736" s="8">
        <v>53</v>
      </c>
      <c r="O736" s="8">
        <v>86</v>
      </c>
      <c r="P736" s="8">
        <v>2110</v>
      </c>
      <c r="Q736" s="8">
        <v>11</v>
      </c>
      <c r="R736" s="8">
        <v>1784</v>
      </c>
      <c r="S736" s="8">
        <v>447</v>
      </c>
      <c r="T736" s="3" t="s">
        <v>366</v>
      </c>
      <c r="U736" s="10">
        <v>94265</v>
      </c>
      <c r="V736" s="32">
        <v>380</v>
      </c>
      <c r="W736" s="27">
        <v>4.0311886702381582E-3</v>
      </c>
      <c r="X736" s="34">
        <v>81</v>
      </c>
      <c r="Y736" s="27">
        <v>0.2131578947368421</v>
      </c>
      <c r="Z736" s="27">
        <v>8.5927969023497585E-4</v>
      </c>
      <c r="AA736" s="35">
        <v>157</v>
      </c>
      <c r="AB736" s="27">
        <v>0.41315789473684211</v>
      </c>
      <c r="AC736" s="27">
        <f t="shared" si="67"/>
        <v>1.6655174242826076E-3</v>
      </c>
      <c r="AD736" s="36">
        <v>112</v>
      </c>
      <c r="AE736" s="27">
        <v>0.29473684210526313</v>
      </c>
      <c r="AF736" s="27">
        <f t="shared" si="68"/>
        <v>1.1881398185965098E-3</v>
      </c>
      <c r="AG736" s="37">
        <v>23</v>
      </c>
      <c r="AH736" s="27">
        <v>6.0526315789473685E-2</v>
      </c>
      <c r="AI736" s="27">
        <f t="shared" si="69"/>
        <v>2.4399299846178328E-4</v>
      </c>
      <c r="AJ736" s="38">
        <v>4</v>
      </c>
      <c r="AK736" s="27">
        <v>1.0526315789473684E-2</v>
      </c>
      <c r="AL736" s="27">
        <f t="shared" si="70"/>
        <v>4.2433564949875352E-5</v>
      </c>
      <c r="AM736" s="40">
        <v>3</v>
      </c>
      <c r="AN736" s="27">
        <v>7.8947368421052634E-3</v>
      </c>
      <c r="AO736" s="27">
        <f t="shared" si="71"/>
        <v>3.1825173712406514E-5</v>
      </c>
      <c r="AP736" s="7" t="b">
        <v>1</v>
      </c>
      <c r="AQ736" s="6" t="b">
        <v>0</v>
      </c>
      <c r="AR736" s="6" t="b">
        <v>0</v>
      </c>
      <c r="AS736" s="6" t="b">
        <v>0</v>
      </c>
      <c r="AT736" s="7" t="b">
        <v>1</v>
      </c>
      <c r="AU736" s="6" t="b">
        <v>0</v>
      </c>
      <c r="AV736" s="6" t="b">
        <v>0</v>
      </c>
      <c r="AW736" s="6" t="b">
        <v>0</v>
      </c>
      <c r="AX736" s="6" t="b">
        <v>0</v>
      </c>
      <c r="AY736" s="6" t="b">
        <v>0</v>
      </c>
      <c r="AZ736" s="6" t="b">
        <v>0</v>
      </c>
      <c r="BA736" s="6" t="b">
        <v>0</v>
      </c>
      <c r="BB736" s="6" t="b">
        <v>0</v>
      </c>
    </row>
    <row r="737" spans="1:54" ht="15" x14ac:dyDescent="0.25">
      <c r="A737" s="3" t="s">
        <v>1533</v>
      </c>
      <c r="B737" s="3" t="str">
        <f ca="1">IFERROR(__xludf.DUMMYFUNCTION("SPLIT(A737,""/"")"),"nv-tlabs")</f>
        <v>nv-tlabs</v>
      </c>
      <c r="C737" s="3" t="str">
        <f ca="1">IFERROR(__xludf.DUMMYFUNCTION("""COMPUTED_VALUE"""),"GSCNN")</f>
        <v>GSCNN</v>
      </c>
      <c r="D737" s="4" t="s">
        <v>1534</v>
      </c>
      <c r="E737" s="5">
        <v>43657.779942129629</v>
      </c>
      <c r="F737" s="5">
        <v>44294.600104166668</v>
      </c>
      <c r="G737" s="13">
        <f t="shared" si="66"/>
        <v>636.82016203703824</v>
      </c>
      <c r="H737" s="6" t="b">
        <v>0</v>
      </c>
      <c r="I737" s="7" t="b">
        <v>1</v>
      </c>
      <c r="J737" s="8">
        <v>727</v>
      </c>
      <c r="K737" s="8">
        <v>35</v>
      </c>
      <c r="L737" s="8">
        <v>161</v>
      </c>
      <c r="M737" s="8">
        <v>0</v>
      </c>
      <c r="N737" s="8">
        <v>0</v>
      </c>
      <c r="O737" s="8">
        <v>3</v>
      </c>
      <c r="P737" s="8">
        <v>4</v>
      </c>
      <c r="Q737" s="8">
        <v>2</v>
      </c>
      <c r="R737" s="8">
        <v>78</v>
      </c>
      <c r="S737" s="8">
        <v>47</v>
      </c>
      <c r="T737" s="3" t="s">
        <v>92</v>
      </c>
      <c r="U737" s="10">
        <v>2674</v>
      </c>
      <c r="V737" s="32">
        <v>23</v>
      </c>
      <c r="W737" s="27">
        <v>8.6013462976813754E-3</v>
      </c>
      <c r="X737" s="34">
        <v>0</v>
      </c>
      <c r="Y737" s="27">
        <v>0</v>
      </c>
      <c r="Z737" s="27">
        <v>0</v>
      </c>
      <c r="AA737" s="35">
        <v>23</v>
      </c>
      <c r="AB737" s="27">
        <v>1</v>
      </c>
      <c r="AC737" s="27">
        <f t="shared" si="67"/>
        <v>8.6013462976813754E-3</v>
      </c>
      <c r="AD737" s="36">
        <v>0</v>
      </c>
      <c r="AE737" s="27">
        <v>0</v>
      </c>
      <c r="AF737" s="27">
        <f t="shared" si="68"/>
        <v>0</v>
      </c>
      <c r="AG737" s="37">
        <v>0</v>
      </c>
      <c r="AH737" s="27">
        <v>0</v>
      </c>
      <c r="AI737" s="27">
        <f t="shared" si="69"/>
        <v>0</v>
      </c>
      <c r="AJ737" s="38">
        <v>0</v>
      </c>
      <c r="AK737" s="27">
        <v>0</v>
      </c>
      <c r="AL737" s="27">
        <f t="shared" si="70"/>
        <v>0</v>
      </c>
      <c r="AM737" s="40">
        <v>0</v>
      </c>
      <c r="AN737" s="27">
        <v>0</v>
      </c>
      <c r="AO737" s="27">
        <f t="shared" si="71"/>
        <v>0</v>
      </c>
      <c r="AP737" s="7" t="b">
        <v>1</v>
      </c>
      <c r="AQ737" s="6" t="b">
        <v>0</v>
      </c>
      <c r="AR737" s="6" t="b">
        <v>0</v>
      </c>
      <c r="AS737" s="6" t="b">
        <v>0</v>
      </c>
      <c r="AT737" s="7" t="b">
        <v>1</v>
      </c>
      <c r="AU737" s="6" t="b">
        <v>0</v>
      </c>
      <c r="AV737" s="6" t="b">
        <v>0</v>
      </c>
      <c r="AW737" s="6" t="b">
        <v>0</v>
      </c>
      <c r="AX737" s="6" t="b">
        <v>0</v>
      </c>
      <c r="AY737" s="6" t="b">
        <v>0</v>
      </c>
      <c r="AZ737" s="6" t="b">
        <v>0</v>
      </c>
      <c r="BA737" s="6" t="b">
        <v>0</v>
      </c>
      <c r="BB737" s="6" t="b">
        <v>0</v>
      </c>
    </row>
    <row r="738" spans="1:54" ht="15" x14ac:dyDescent="0.25">
      <c r="A738" s="3" t="s">
        <v>1535</v>
      </c>
      <c r="B738" s="3" t="str">
        <f ca="1">IFERROR(__xludf.DUMMYFUNCTION("SPLIT(A738,""/"")"),"NVIDIA")</f>
        <v>NVIDIA</v>
      </c>
      <c r="C738" s="3" t="str">
        <f ca="1">IFERROR(__xludf.DUMMYFUNCTION("""COMPUTED_VALUE"""),"semantic-segmentation")</f>
        <v>semantic-segmentation</v>
      </c>
      <c r="D738" s="4" t="s">
        <v>1536</v>
      </c>
      <c r="E738" s="5">
        <v>43630.805787037039</v>
      </c>
      <c r="F738" s="5">
        <v>44294.281585648147</v>
      </c>
      <c r="G738" s="13">
        <f t="shared" si="66"/>
        <v>663.47579861110717</v>
      </c>
      <c r="H738" s="6" t="b">
        <v>0</v>
      </c>
      <c r="I738" s="7" t="b">
        <v>1</v>
      </c>
      <c r="J738" s="8">
        <v>1144</v>
      </c>
      <c r="K738" s="8">
        <v>35</v>
      </c>
      <c r="L738" s="8">
        <v>244</v>
      </c>
      <c r="M738" s="8">
        <v>0</v>
      </c>
      <c r="N738" s="8">
        <v>0</v>
      </c>
      <c r="O738" s="8">
        <v>4</v>
      </c>
      <c r="P738" s="8">
        <v>19</v>
      </c>
      <c r="Q738" s="8">
        <v>1</v>
      </c>
      <c r="R738" s="8">
        <v>117</v>
      </c>
      <c r="S738" s="8">
        <v>37</v>
      </c>
      <c r="T738" s="3" t="s">
        <v>57</v>
      </c>
      <c r="U738" s="10">
        <v>5773</v>
      </c>
      <c r="V738" s="32">
        <v>3</v>
      </c>
      <c r="W738" s="27">
        <v>5.1966048848085919E-4</v>
      </c>
      <c r="X738" s="34">
        <v>0</v>
      </c>
      <c r="Y738" s="27">
        <v>0</v>
      </c>
      <c r="Z738" s="27">
        <v>0</v>
      </c>
      <c r="AA738" s="35">
        <v>1</v>
      </c>
      <c r="AB738" s="27">
        <v>0.33333333333333331</v>
      </c>
      <c r="AC738" s="27">
        <f t="shared" si="67"/>
        <v>1.7322016282695306E-4</v>
      </c>
      <c r="AD738" s="36">
        <v>1</v>
      </c>
      <c r="AE738" s="27">
        <v>0.33333333333333331</v>
      </c>
      <c r="AF738" s="27">
        <f t="shared" si="68"/>
        <v>1.7322016282695306E-4</v>
      </c>
      <c r="AG738" s="37">
        <v>0</v>
      </c>
      <c r="AH738" s="27">
        <v>0</v>
      </c>
      <c r="AI738" s="27">
        <f t="shared" si="69"/>
        <v>0</v>
      </c>
      <c r="AJ738" s="38">
        <v>0</v>
      </c>
      <c r="AK738" s="27">
        <v>0</v>
      </c>
      <c r="AL738" s="27">
        <f t="shared" si="70"/>
        <v>0</v>
      </c>
      <c r="AM738" s="40">
        <v>1</v>
      </c>
      <c r="AN738" s="27">
        <v>0.33333333333333331</v>
      </c>
      <c r="AO738" s="27">
        <f t="shared" si="71"/>
        <v>1.7322016282695306E-4</v>
      </c>
      <c r="AP738" s="7" t="b">
        <v>1</v>
      </c>
      <c r="AQ738" s="6" t="b">
        <v>0</v>
      </c>
      <c r="AR738" s="6" t="b">
        <v>0</v>
      </c>
      <c r="AS738" s="6" t="b">
        <v>0</v>
      </c>
      <c r="AT738" s="7" t="b">
        <v>1</v>
      </c>
      <c r="AU738" s="6" t="b">
        <v>0</v>
      </c>
      <c r="AV738" s="6" t="b">
        <v>0</v>
      </c>
      <c r="AW738" s="6" t="b">
        <v>0</v>
      </c>
      <c r="AX738" s="6" t="b">
        <v>0</v>
      </c>
      <c r="AY738" s="6" t="b">
        <v>0</v>
      </c>
      <c r="AZ738" s="6" t="b">
        <v>0</v>
      </c>
      <c r="BA738" s="6" t="b">
        <v>0</v>
      </c>
      <c r="BB738" s="6" t="b">
        <v>0</v>
      </c>
    </row>
    <row r="739" spans="1:54" ht="15" x14ac:dyDescent="0.25">
      <c r="A739" s="3" t="s">
        <v>1537</v>
      </c>
      <c r="B739" s="3" t="str">
        <f ca="1">IFERROR(__xludf.DUMMYFUNCTION("SPLIT(A739,""/"")"),"NVIDIAGameWorks")</f>
        <v>NVIDIAGameWorks</v>
      </c>
      <c r="C739" s="3" t="str">
        <f ca="1">IFERROR(__xludf.DUMMYFUNCTION("""COMPUTED_VALUE"""),"kaolin")</f>
        <v>kaolin</v>
      </c>
      <c r="D739" s="4" t="s">
        <v>1538</v>
      </c>
      <c r="E739" s="5">
        <v>43783.881712962961</v>
      </c>
      <c r="F739" s="5">
        <v>44295.000011574077</v>
      </c>
      <c r="G739" s="13">
        <f t="shared" si="66"/>
        <v>511.11829861111619</v>
      </c>
      <c r="H739" s="6" t="b">
        <v>0</v>
      </c>
      <c r="I739" s="7" t="b">
        <v>1</v>
      </c>
      <c r="J739" s="8">
        <v>2421</v>
      </c>
      <c r="K739" s="8">
        <v>108</v>
      </c>
      <c r="L739" s="8">
        <v>327</v>
      </c>
      <c r="M739" s="8">
        <v>3</v>
      </c>
      <c r="N739" s="8">
        <v>0</v>
      </c>
      <c r="O739" s="8">
        <v>15</v>
      </c>
      <c r="P739" s="8">
        <v>145</v>
      </c>
      <c r="Q739" s="8">
        <v>32</v>
      </c>
      <c r="R739" s="8">
        <v>226</v>
      </c>
      <c r="S739" s="8">
        <v>172</v>
      </c>
      <c r="T739" s="3" t="s">
        <v>92</v>
      </c>
      <c r="U739" s="10">
        <v>5474</v>
      </c>
      <c r="V739" s="32">
        <v>15</v>
      </c>
      <c r="W739" s="27">
        <v>2.7402265253927659E-3</v>
      </c>
      <c r="X739" s="34">
        <v>3</v>
      </c>
      <c r="Y739" s="27">
        <v>0.2</v>
      </c>
      <c r="Z739" s="27">
        <v>5.4804530507855317E-4</v>
      </c>
      <c r="AA739" s="35">
        <v>3</v>
      </c>
      <c r="AB739" s="27">
        <v>0.2</v>
      </c>
      <c r="AC739" s="27">
        <f t="shared" si="67"/>
        <v>5.4804530507855317E-4</v>
      </c>
      <c r="AD739" s="36">
        <v>9</v>
      </c>
      <c r="AE739" s="27">
        <v>0.6</v>
      </c>
      <c r="AF739" s="27">
        <f t="shared" si="68"/>
        <v>1.6441359152356595E-3</v>
      </c>
      <c r="AG739" s="37">
        <v>0</v>
      </c>
      <c r="AH739" s="27">
        <v>0</v>
      </c>
      <c r="AI739" s="27">
        <f t="shared" si="69"/>
        <v>0</v>
      </c>
      <c r="AJ739" s="38">
        <v>0</v>
      </c>
      <c r="AK739" s="27">
        <v>0</v>
      </c>
      <c r="AL739" s="27">
        <f t="shared" si="70"/>
        <v>0</v>
      </c>
      <c r="AM739" s="40">
        <v>0</v>
      </c>
      <c r="AN739" s="27">
        <v>0</v>
      </c>
      <c r="AO739" s="27">
        <f t="shared" si="71"/>
        <v>0</v>
      </c>
      <c r="AP739" s="7" t="b">
        <v>1</v>
      </c>
      <c r="AQ739" s="6" t="b">
        <v>0</v>
      </c>
      <c r="AR739" s="6" t="b">
        <v>0</v>
      </c>
      <c r="AS739" s="6" t="b">
        <v>0</v>
      </c>
      <c r="AT739" s="7" t="b">
        <v>1</v>
      </c>
      <c r="AU739" s="6" t="b">
        <v>0</v>
      </c>
      <c r="AV739" s="6" t="b">
        <v>0</v>
      </c>
      <c r="AW739" s="6" t="b">
        <v>0</v>
      </c>
      <c r="AX739" s="6" t="b">
        <v>0</v>
      </c>
      <c r="AY739" s="6" t="b">
        <v>0</v>
      </c>
      <c r="AZ739" s="6" t="b">
        <v>0</v>
      </c>
      <c r="BA739" s="6" t="b">
        <v>0</v>
      </c>
      <c r="BB739" s="6" t="b">
        <v>0</v>
      </c>
    </row>
    <row r="740" spans="1:54" ht="15" x14ac:dyDescent="0.25">
      <c r="A740" s="3" t="s">
        <v>1539</v>
      </c>
      <c r="B740" s="3" t="str">
        <f ca="1">IFERROR(__xludf.DUMMYFUNCTION("SPLIT(A740,""/"")"),"NVlabs")</f>
        <v>NVlabs</v>
      </c>
      <c r="C740" s="3" t="str">
        <f ca="1">IFERROR(__xludf.DUMMYFUNCTION("""COMPUTED_VALUE"""),"NVAE")</f>
        <v>NVAE</v>
      </c>
      <c r="D740" s="4" t="s">
        <v>1540</v>
      </c>
      <c r="E740" s="5">
        <v>44061.791203703702</v>
      </c>
      <c r="F740" s="5">
        <v>44294.118715277778</v>
      </c>
      <c r="G740" s="13">
        <f t="shared" si="66"/>
        <v>232.3275115740762</v>
      </c>
      <c r="H740" s="6" t="b">
        <v>0</v>
      </c>
      <c r="I740" s="7" t="b">
        <v>1</v>
      </c>
      <c r="J740" s="8">
        <v>582</v>
      </c>
      <c r="K740" s="8">
        <v>16</v>
      </c>
      <c r="L740" s="8">
        <v>64</v>
      </c>
      <c r="M740" s="8">
        <v>0</v>
      </c>
      <c r="N740" s="8">
        <v>0</v>
      </c>
      <c r="O740" s="9">
        <v>0</v>
      </c>
      <c r="P740" s="8">
        <v>3</v>
      </c>
      <c r="Q740" s="8">
        <v>3</v>
      </c>
      <c r="R740" s="8">
        <v>25</v>
      </c>
      <c r="S740" s="8">
        <v>9</v>
      </c>
      <c r="T740" s="3" t="s">
        <v>92</v>
      </c>
      <c r="U740" s="10">
        <v>2200</v>
      </c>
      <c r="V740" s="32">
        <v>37</v>
      </c>
      <c r="W740" s="27">
        <v>1.6818181818181819E-2</v>
      </c>
      <c r="X740" s="34">
        <v>0</v>
      </c>
      <c r="Y740" s="27">
        <v>0</v>
      </c>
      <c r="Z740" s="27">
        <v>0</v>
      </c>
      <c r="AA740" s="35">
        <v>32</v>
      </c>
      <c r="AB740" s="27">
        <v>0.86486486486486491</v>
      </c>
      <c r="AC740" s="27">
        <f t="shared" si="67"/>
        <v>1.4545454545454545E-2</v>
      </c>
      <c r="AD740" s="36">
        <v>0</v>
      </c>
      <c r="AE740" s="27">
        <v>0</v>
      </c>
      <c r="AF740" s="27">
        <f t="shared" si="68"/>
        <v>0</v>
      </c>
      <c r="AG740" s="37">
        <v>0</v>
      </c>
      <c r="AH740" s="27">
        <v>0</v>
      </c>
      <c r="AI740" s="27">
        <f t="shared" si="69"/>
        <v>0</v>
      </c>
      <c r="AJ740" s="38">
        <v>0</v>
      </c>
      <c r="AK740" s="27">
        <v>0</v>
      </c>
      <c r="AL740" s="27">
        <f t="shared" si="70"/>
        <v>0</v>
      </c>
      <c r="AM740" s="40">
        <v>5</v>
      </c>
      <c r="AN740" s="27">
        <v>0.13513513513513514</v>
      </c>
      <c r="AO740" s="27">
        <f t="shared" si="71"/>
        <v>2.2727272727272726E-3</v>
      </c>
      <c r="AP740" s="7" t="b">
        <v>1</v>
      </c>
      <c r="AQ740" s="6" t="b">
        <v>0</v>
      </c>
      <c r="AR740" s="6" t="b">
        <v>0</v>
      </c>
      <c r="AS740" s="6" t="b">
        <v>0</v>
      </c>
      <c r="AT740" s="7" t="b">
        <v>1</v>
      </c>
      <c r="AU740" s="6" t="b">
        <v>0</v>
      </c>
      <c r="AV740" s="6" t="b">
        <v>0</v>
      </c>
      <c r="AW740" s="6" t="b">
        <v>0</v>
      </c>
      <c r="AX740" s="6" t="b">
        <v>0</v>
      </c>
      <c r="AY740" s="6" t="b">
        <v>0</v>
      </c>
      <c r="AZ740" s="6" t="b">
        <v>0</v>
      </c>
      <c r="BA740" s="6" t="b">
        <v>0</v>
      </c>
      <c r="BB740" s="6" t="b">
        <v>0</v>
      </c>
    </row>
    <row r="741" spans="1:54" ht="15" x14ac:dyDescent="0.25">
      <c r="A741" s="3" t="s">
        <v>1541</v>
      </c>
      <c r="B741" s="3" t="str">
        <f ca="1">IFERROR(__xludf.DUMMYFUNCTION("SPLIT(A741,""/"")"),"NVlabs")</f>
        <v>NVlabs</v>
      </c>
      <c r="C741" s="3" t="str">
        <f ca="1">IFERROR(__xludf.DUMMYFUNCTION("""COMPUTED_VALUE"""),"stylegan2")</f>
        <v>stylegan2</v>
      </c>
      <c r="D741" s="4" t="s">
        <v>1542</v>
      </c>
      <c r="E741" s="5">
        <v>43795.869710648149</v>
      </c>
      <c r="F741" s="5">
        <v>44294.913946759261</v>
      </c>
      <c r="G741" s="13">
        <f t="shared" si="66"/>
        <v>499.0442361111127</v>
      </c>
      <c r="H741" s="6" t="b">
        <v>0</v>
      </c>
      <c r="I741" s="7" t="b">
        <v>1</v>
      </c>
      <c r="J741" s="8">
        <v>7502</v>
      </c>
      <c r="K741" s="8">
        <v>342</v>
      </c>
      <c r="L741" s="8">
        <v>1418</v>
      </c>
      <c r="M741" s="8">
        <v>0</v>
      </c>
      <c r="N741" s="8">
        <v>2</v>
      </c>
      <c r="O741" s="9">
        <v>0</v>
      </c>
      <c r="P741" s="8">
        <v>22</v>
      </c>
      <c r="Q741" s="8">
        <v>17</v>
      </c>
      <c r="R741" s="8">
        <v>0</v>
      </c>
      <c r="S741" s="8">
        <v>0</v>
      </c>
      <c r="T741" s="3" t="s">
        <v>92</v>
      </c>
      <c r="U741" s="10">
        <v>5147</v>
      </c>
      <c r="V741" s="32">
        <v>0</v>
      </c>
      <c r="W741" s="27">
        <v>0</v>
      </c>
      <c r="X741" s="34">
        <v>0</v>
      </c>
      <c r="Y741" s="27">
        <v>0</v>
      </c>
      <c r="Z741" s="27">
        <v>0</v>
      </c>
      <c r="AA741" s="35">
        <v>0</v>
      </c>
      <c r="AB741" s="27">
        <v>0</v>
      </c>
      <c r="AC741" s="27">
        <f t="shared" si="67"/>
        <v>0</v>
      </c>
      <c r="AD741" s="36">
        <v>0</v>
      </c>
      <c r="AE741" s="27">
        <v>0</v>
      </c>
      <c r="AF741" s="27">
        <f t="shared" si="68"/>
        <v>0</v>
      </c>
      <c r="AG741" s="37">
        <v>0</v>
      </c>
      <c r="AH741" s="27">
        <v>0</v>
      </c>
      <c r="AI741" s="27">
        <f t="shared" si="69"/>
        <v>0</v>
      </c>
      <c r="AJ741" s="38">
        <v>0</v>
      </c>
      <c r="AK741" s="27">
        <v>0</v>
      </c>
      <c r="AL741" s="27">
        <f t="shared" si="70"/>
        <v>0</v>
      </c>
      <c r="AM741" s="40">
        <v>0</v>
      </c>
      <c r="AN741" s="27">
        <v>0</v>
      </c>
      <c r="AO741" s="27">
        <f t="shared" si="71"/>
        <v>0</v>
      </c>
      <c r="AP741" s="7" t="b">
        <v>1</v>
      </c>
      <c r="AQ741" s="6" t="b">
        <v>0</v>
      </c>
      <c r="AR741" s="6" t="b">
        <v>0</v>
      </c>
      <c r="AS741" s="6" t="b">
        <v>0</v>
      </c>
      <c r="AT741" s="7" t="b">
        <v>1</v>
      </c>
      <c r="AU741" s="6" t="b">
        <v>0</v>
      </c>
      <c r="AV741" s="6" t="b">
        <v>0</v>
      </c>
      <c r="AW741" s="6" t="b">
        <v>0</v>
      </c>
      <c r="AX741" s="6" t="b">
        <v>0</v>
      </c>
      <c r="AY741" s="6" t="b">
        <v>0</v>
      </c>
      <c r="AZ741" s="6" t="b">
        <v>0</v>
      </c>
      <c r="BA741" s="6" t="b">
        <v>0</v>
      </c>
      <c r="BB741" s="6" t="b">
        <v>0</v>
      </c>
    </row>
    <row r="742" spans="1:54" ht="15" x14ac:dyDescent="0.25">
      <c r="A742" s="3" t="s">
        <v>1543</v>
      </c>
      <c r="B742" s="3" t="str">
        <f ca="1">IFERROR(__xludf.DUMMYFUNCTION("SPLIT(A742,""/"")"),"NVlabs")</f>
        <v>NVlabs</v>
      </c>
      <c r="C742" s="3" t="str">
        <f ca="1">IFERROR(__xludf.DUMMYFUNCTION("""COMPUTED_VALUE"""),"stylegan2-ada")</f>
        <v>stylegan2-ada</v>
      </c>
      <c r="D742" s="4" t="s">
        <v>1544</v>
      </c>
      <c r="E742" s="5">
        <v>44111.68408564815</v>
      </c>
      <c r="F742" s="5">
        <v>44294.799745370372</v>
      </c>
      <c r="G742" s="13">
        <f t="shared" si="66"/>
        <v>183.11565972222161</v>
      </c>
      <c r="H742" s="6" t="b">
        <v>0</v>
      </c>
      <c r="I742" s="7" t="b">
        <v>1</v>
      </c>
      <c r="J742" s="8">
        <v>1160</v>
      </c>
      <c r="K742" s="8">
        <v>27</v>
      </c>
      <c r="L742" s="8">
        <v>244</v>
      </c>
      <c r="M742" s="8">
        <v>0</v>
      </c>
      <c r="N742" s="8">
        <v>1</v>
      </c>
      <c r="O742" s="9">
        <v>0</v>
      </c>
      <c r="P742" s="8">
        <v>6</v>
      </c>
      <c r="Q742" s="8">
        <v>2</v>
      </c>
      <c r="R742" s="8">
        <v>85</v>
      </c>
      <c r="S742" s="8">
        <v>51</v>
      </c>
      <c r="T742" s="3" t="s">
        <v>92</v>
      </c>
      <c r="U742" s="10">
        <v>5510</v>
      </c>
      <c r="V742" s="32">
        <v>0</v>
      </c>
      <c r="W742" s="27">
        <v>0</v>
      </c>
      <c r="X742" s="34">
        <v>0</v>
      </c>
      <c r="Y742" s="27">
        <v>0</v>
      </c>
      <c r="Z742" s="27">
        <v>0</v>
      </c>
      <c r="AA742" s="35">
        <v>0</v>
      </c>
      <c r="AB742" s="27">
        <v>0</v>
      </c>
      <c r="AC742" s="27">
        <f t="shared" si="67"/>
        <v>0</v>
      </c>
      <c r="AD742" s="36">
        <v>0</v>
      </c>
      <c r="AE742" s="27">
        <v>0</v>
      </c>
      <c r="AF742" s="27">
        <f t="shared" si="68"/>
        <v>0</v>
      </c>
      <c r="AG742" s="37">
        <v>0</v>
      </c>
      <c r="AH742" s="27">
        <v>0</v>
      </c>
      <c r="AI742" s="27">
        <f t="shared" si="69"/>
        <v>0</v>
      </c>
      <c r="AJ742" s="38">
        <v>0</v>
      </c>
      <c r="AK742" s="27">
        <v>0</v>
      </c>
      <c r="AL742" s="27">
        <f t="shared" si="70"/>
        <v>0</v>
      </c>
      <c r="AM742" s="40">
        <v>0</v>
      </c>
      <c r="AN742" s="27">
        <v>0</v>
      </c>
      <c r="AO742" s="27">
        <f t="shared" si="71"/>
        <v>0</v>
      </c>
      <c r="AP742" s="7" t="b">
        <v>1</v>
      </c>
      <c r="AQ742" s="6" t="b">
        <v>0</v>
      </c>
      <c r="AR742" s="6" t="b">
        <v>0</v>
      </c>
      <c r="AS742" s="6" t="b">
        <v>0</v>
      </c>
      <c r="AT742" s="7" t="b">
        <v>1</v>
      </c>
      <c r="AU742" s="6" t="b">
        <v>0</v>
      </c>
      <c r="AV742" s="6" t="b">
        <v>0</v>
      </c>
      <c r="AW742" s="6" t="b">
        <v>0</v>
      </c>
      <c r="AX742" s="6" t="b">
        <v>0</v>
      </c>
      <c r="AY742" s="6" t="b">
        <v>0</v>
      </c>
      <c r="AZ742" s="6" t="b">
        <v>0</v>
      </c>
      <c r="BA742" s="6" t="b">
        <v>0</v>
      </c>
      <c r="BB742" s="6" t="b">
        <v>0</v>
      </c>
    </row>
    <row r="743" spans="1:54" ht="15" x14ac:dyDescent="0.25">
      <c r="A743" s="3" t="s">
        <v>1545</v>
      </c>
      <c r="B743" s="3" t="str">
        <f ca="1">IFERROR(__xludf.DUMMYFUNCTION("SPLIT(A743,""/"")"),"nyaadevs")</f>
        <v>nyaadevs</v>
      </c>
      <c r="C743" s="3" t="str">
        <f ca="1">IFERROR(__xludf.DUMMYFUNCTION("""COMPUTED_VALUE"""),"nyaa")</f>
        <v>nyaa</v>
      </c>
      <c r="D743" s="4" t="s">
        <v>1546</v>
      </c>
      <c r="E743" s="5">
        <v>42867.774652777778</v>
      </c>
      <c r="F743" s="5">
        <v>44294.407210648147</v>
      </c>
      <c r="G743" s="13">
        <f t="shared" si="66"/>
        <v>1426.6325578703691</v>
      </c>
      <c r="H743" s="6" t="b">
        <v>0</v>
      </c>
      <c r="I743" s="7" t="b">
        <v>1</v>
      </c>
      <c r="J743" s="8">
        <v>2787</v>
      </c>
      <c r="K743" s="8">
        <v>176</v>
      </c>
      <c r="L743" s="8">
        <v>318</v>
      </c>
      <c r="M743" s="8">
        <v>0</v>
      </c>
      <c r="N743" s="8">
        <v>46</v>
      </c>
      <c r="O743" s="8">
        <v>44</v>
      </c>
      <c r="P743" s="8">
        <v>288</v>
      </c>
      <c r="Q743" s="8">
        <v>15</v>
      </c>
      <c r="R743" s="8">
        <v>0</v>
      </c>
      <c r="S743" s="8">
        <v>0</v>
      </c>
      <c r="T743" s="3" t="s">
        <v>49</v>
      </c>
      <c r="U743" s="10">
        <v>4815</v>
      </c>
      <c r="V743" s="32">
        <v>9</v>
      </c>
      <c r="W743" s="27">
        <v>1.869158878504673E-3</v>
      </c>
      <c r="X743" s="34">
        <v>1</v>
      </c>
      <c r="Y743" s="27">
        <v>0.1111111111111111</v>
      </c>
      <c r="Z743" s="27">
        <v>2.0768431983385254E-4</v>
      </c>
      <c r="AA743" s="35">
        <v>3</v>
      </c>
      <c r="AB743" s="27">
        <v>0.33333333333333331</v>
      </c>
      <c r="AC743" s="27">
        <f t="shared" si="67"/>
        <v>6.2305295950155766E-4</v>
      </c>
      <c r="AD743" s="36">
        <v>2</v>
      </c>
      <c r="AE743" s="27">
        <v>0.22222222222222221</v>
      </c>
      <c r="AF743" s="27">
        <f t="shared" si="68"/>
        <v>4.1536863966770509E-4</v>
      </c>
      <c r="AG743" s="37">
        <v>3</v>
      </c>
      <c r="AH743" s="27">
        <v>0.33333333333333331</v>
      </c>
      <c r="AI743" s="27">
        <f t="shared" si="69"/>
        <v>6.2305295950155766E-4</v>
      </c>
      <c r="AJ743" s="38">
        <v>0</v>
      </c>
      <c r="AK743" s="27">
        <v>0</v>
      </c>
      <c r="AL743" s="27">
        <f t="shared" si="70"/>
        <v>0</v>
      </c>
      <c r="AM743" s="40">
        <v>0</v>
      </c>
      <c r="AN743" s="27">
        <v>0</v>
      </c>
      <c r="AO743" s="27">
        <f t="shared" si="71"/>
        <v>0</v>
      </c>
      <c r="AP743" s="7" t="b">
        <v>1</v>
      </c>
      <c r="AQ743" s="6" t="b">
        <v>0</v>
      </c>
      <c r="AR743" s="6" t="b">
        <v>0</v>
      </c>
      <c r="AS743" s="6" t="b">
        <v>0</v>
      </c>
      <c r="AT743" s="7" t="b">
        <v>1</v>
      </c>
      <c r="AU743" s="6" t="b">
        <v>0</v>
      </c>
      <c r="AV743" s="6" t="b">
        <v>0</v>
      </c>
      <c r="AW743" s="6" t="b">
        <v>0</v>
      </c>
      <c r="AX743" s="6" t="b">
        <v>0</v>
      </c>
      <c r="AY743" s="6" t="b">
        <v>0</v>
      </c>
      <c r="AZ743" s="6" t="b">
        <v>0</v>
      </c>
      <c r="BA743" s="6" t="b">
        <v>0</v>
      </c>
      <c r="BB743" s="6" t="b">
        <v>0</v>
      </c>
    </row>
    <row r="744" spans="1:54" ht="15" x14ac:dyDescent="0.25">
      <c r="A744" s="3" t="s">
        <v>1547</v>
      </c>
      <c r="B744" s="3" t="str">
        <f ca="1">IFERROR(__xludf.DUMMYFUNCTION("SPLIT(A744,""/"")"),"oarriaga")</f>
        <v>oarriaga</v>
      </c>
      <c r="C744" s="3" t="str">
        <f ca="1">IFERROR(__xludf.DUMMYFUNCTION("""COMPUTED_VALUE"""),"face_classification")</f>
        <v>face_classification</v>
      </c>
      <c r="D744" s="4" t="s">
        <v>1548</v>
      </c>
      <c r="E744" s="5">
        <v>42775.614259259259</v>
      </c>
      <c r="F744" s="5">
        <v>44293.544166666667</v>
      </c>
      <c r="G744" s="13">
        <f t="shared" si="66"/>
        <v>1517.9299074074079</v>
      </c>
      <c r="H744" s="6" t="b">
        <v>0</v>
      </c>
      <c r="I744" s="6" t="b">
        <v>0</v>
      </c>
      <c r="J744" s="8">
        <v>5062</v>
      </c>
      <c r="K744" s="8">
        <v>233</v>
      </c>
      <c r="L744" s="8">
        <v>1474</v>
      </c>
      <c r="M744" s="8">
        <v>0</v>
      </c>
      <c r="N744" s="8">
        <v>2</v>
      </c>
      <c r="O744" s="8">
        <v>6</v>
      </c>
      <c r="P744" s="8">
        <v>27</v>
      </c>
      <c r="Q744" s="8">
        <v>9</v>
      </c>
      <c r="R744" s="8">
        <v>116</v>
      </c>
      <c r="S744" s="8">
        <v>38</v>
      </c>
      <c r="T744" s="3" t="s">
        <v>72</v>
      </c>
      <c r="U744" s="10">
        <v>1358</v>
      </c>
      <c r="V744" s="32">
        <v>2</v>
      </c>
      <c r="W744" s="27">
        <v>1.4727540500736377E-3</v>
      </c>
      <c r="X744" s="34">
        <v>0</v>
      </c>
      <c r="Y744" s="27">
        <v>0</v>
      </c>
      <c r="Z744" s="27">
        <v>0</v>
      </c>
      <c r="AA744" s="35">
        <v>0</v>
      </c>
      <c r="AB744" s="27">
        <v>0</v>
      </c>
      <c r="AC744" s="27">
        <f t="shared" si="67"/>
        <v>0</v>
      </c>
      <c r="AD744" s="36">
        <v>0</v>
      </c>
      <c r="AE744" s="27">
        <v>0</v>
      </c>
      <c r="AF744" s="27">
        <f t="shared" si="68"/>
        <v>0</v>
      </c>
      <c r="AG744" s="37">
        <v>2</v>
      </c>
      <c r="AH744" s="27">
        <v>1</v>
      </c>
      <c r="AI744" s="27">
        <f t="shared" si="69"/>
        <v>1.4727540500736377E-3</v>
      </c>
      <c r="AJ744" s="38">
        <v>0</v>
      </c>
      <c r="AK744" s="27">
        <v>0</v>
      </c>
      <c r="AL744" s="27">
        <f t="shared" si="70"/>
        <v>0</v>
      </c>
      <c r="AM744" s="40">
        <v>0</v>
      </c>
      <c r="AN744" s="27">
        <v>0</v>
      </c>
      <c r="AO744" s="27">
        <f t="shared" si="71"/>
        <v>0</v>
      </c>
      <c r="AP744" s="7" t="b">
        <v>1</v>
      </c>
      <c r="AQ744" s="6" t="b">
        <v>0</v>
      </c>
      <c r="AR744" s="6" t="b">
        <v>0</v>
      </c>
      <c r="AS744" s="6" t="b">
        <v>0</v>
      </c>
      <c r="AT744" s="7" t="b">
        <v>1</v>
      </c>
      <c r="AU744" s="6" t="b">
        <v>0</v>
      </c>
      <c r="AV744" s="6" t="b">
        <v>0</v>
      </c>
      <c r="AW744" s="6" t="b">
        <v>0</v>
      </c>
      <c r="AX744" s="6" t="b">
        <v>0</v>
      </c>
      <c r="AY744" s="6" t="b">
        <v>0</v>
      </c>
      <c r="AZ744" s="6" t="b">
        <v>0</v>
      </c>
      <c r="BA744" s="6" t="b">
        <v>0</v>
      </c>
      <c r="BB744" s="6" t="b">
        <v>0</v>
      </c>
    </row>
    <row r="745" spans="1:54" ht="15" x14ac:dyDescent="0.25">
      <c r="A745" s="3" t="s">
        <v>1549</v>
      </c>
      <c r="B745" s="3" t="str">
        <f ca="1">IFERROR(__xludf.DUMMYFUNCTION("SPLIT(A745,""/"")"),"obsidianforensics")</f>
        <v>obsidianforensics</v>
      </c>
      <c r="C745" s="3" t="str">
        <f ca="1">IFERROR(__xludf.DUMMYFUNCTION("""COMPUTED_VALUE"""),"unfurl")</f>
        <v>unfurl</v>
      </c>
      <c r="D745" s="4" t="s">
        <v>1550</v>
      </c>
      <c r="E745" s="5">
        <v>43773.963159722225</v>
      </c>
      <c r="F745" s="5">
        <v>44291.14162037037</v>
      </c>
      <c r="G745" s="13">
        <f t="shared" si="66"/>
        <v>517.17846064814512</v>
      </c>
      <c r="H745" s="6" t="b">
        <v>0</v>
      </c>
      <c r="I745" s="6" t="b">
        <v>0</v>
      </c>
      <c r="J745" s="8">
        <v>359</v>
      </c>
      <c r="K745" s="8">
        <v>24</v>
      </c>
      <c r="L745" s="8">
        <v>41</v>
      </c>
      <c r="M745" s="8">
        <v>3</v>
      </c>
      <c r="N745" s="8">
        <v>0</v>
      </c>
      <c r="O745" s="8">
        <v>7</v>
      </c>
      <c r="P745" s="8">
        <v>65</v>
      </c>
      <c r="Q745" s="8">
        <v>0</v>
      </c>
      <c r="R745" s="8">
        <v>49</v>
      </c>
      <c r="S745" s="8">
        <v>27</v>
      </c>
      <c r="T745" s="3" t="s">
        <v>69</v>
      </c>
      <c r="U745" s="10">
        <v>1864</v>
      </c>
      <c r="V745" s="32">
        <v>10</v>
      </c>
      <c r="W745" s="27">
        <v>5.3648068669527897E-3</v>
      </c>
      <c r="X745" s="34">
        <v>0</v>
      </c>
      <c r="Y745" s="27">
        <v>0</v>
      </c>
      <c r="Z745" s="27">
        <v>0</v>
      </c>
      <c r="AA745" s="35">
        <v>1</v>
      </c>
      <c r="AB745" s="27">
        <v>0.1</v>
      </c>
      <c r="AC745" s="27">
        <f t="shared" si="67"/>
        <v>5.3648068669527897E-4</v>
      </c>
      <c r="AD745" s="36">
        <v>1</v>
      </c>
      <c r="AE745" s="27">
        <v>0.1</v>
      </c>
      <c r="AF745" s="27">
        <f t="shared" si="68"/>
        <v>5.3648068669527897E-4</v>
      </c>
      <c r="AG745" s="37">
        <v>8</v>
      </c>
      <c r="AH745" s="27">
        <v>0.8</v>
      </c>
      <c r="AI745" s="27">
        <f t="shared" si="69"/>
        <v>4.2918454935622317E-3</v>
      </c>
      <c r="AJ745" s="38">
        <v>0</v>
      </c>
      <c r="AK745" s="27">
        <v>0</v>
      </c>
      <c r="AL745" s="27">
        <f t="shared" si="70"/>
        <v>0</v>
      </c>
      <c r="AM745" s="40">
        <v>0</v>
      </c>
      <c r="AN745" s="27">
        <v>0</v>
      </c>
      <c r="AO745" s="27">
        <f t="shared" si="71"/>
        <v>0</v>
      </c>
      <c r="AP745" s="7" t="b">
        <v>1</v>
      </c>
      <c r="AQ745" s="7" t="b">
        <v>1</v>
      </c>
      <c r="AR745" s="6" t="b">
        <v>0</v>
      </c>
      <c r="AS745" s="6" t="b">
        <v>0</v>
      </c>
      <c r="AT745" s="7" t="b">
        <v>1</v>
      </c>
      <c r="AU745" s="6" t="b">
        <v>0</v>
      </c>
      <c r="AV745" s="6" t="b">
        <v>0</v>
      </c>
      <c r="AW745" s="6" t="b">
        <v>0</v>
      </c>
      <c r="AX745" s="6" t="b">
        <v>0</v>
      </c>
      <c r="AY745" s="6" t="b">
        <v>0</v>
      </c>
      <c r="AZ745" s="6" t="b">
        <v>0</v>
      </c>
      <c r="BA745" s="6" t="b">
        <v>0</v>
      </c>
      <c r="BB745" s="6" t="b">
        <v>0</v>
      </c>
    </row>
    <row r="746" spans="1:54" ht="15" x14ac:dyDescent="0.25">
      <c r="A746" s="3" t="s">
        <v>1551</v>
      </c>
      <c r="B746" s="3" t="str">
        <f ca="1">IFERROR(__xludf.DUMMYFUNCTION("SPLIT(A746,""/"")"),"obspy")</f>
        <v>obspy</v>
      </c>
      <c r="C746" s="3" t="str">
        <f ca="1">IFERROR(__xludf.DUMMYFUNCTION("""COMPUTED_VALUE"""),"obspy")</f>
        <v>obspy</v>
      </c>
      <c r="D746" s="4" t="s">
        <v>1552</v>
      </c>
      <c r="E746" s="5">
        <v>41160.80400462963</v>
      </c>
      <c r="F746" s="5">
        <v>44294.603206018517</v>
      </c>
      <c r="G746" s="13">
        <f t="shared" si="66"/>
        <v>3133.799201388887</v>
      </c>
      <c r="H746" s="6" t="b">
        <v>0</v>
      </c>
      <c r="I746" s="7" t="b">
        <v>1</v>
      </c>
      <c r="J746" s="8">
        <v>765</v>
      </c>
      <c r="K746" s="8">
        <v>123</v>
      </c>
      <c r="L746" s="8">
        <v>424</v>
      </c>
      <c r="M746" s="8">
        <v>20</v>
      </c>
      <c r="N746" s="8">
        <v>497</v>
      </c>
      <c r="O746" s="8">
        <v>93</v>
      </c>
      <c r="P746" s="8">
        <v>1334</v>
      </c>
      <c r="Q746" s="8">
        <v>118</v>
      </c>
      <c r="R746" s="8">
        <v>1483</v>
      </c>
      <c r="S746" s="8">
        <v>273</v>
      </c>
      <c r="T746" s="3" t="s">
        <v>92</v>
      </c>
      <c r="U746" s="10">
        <v>90636</v>
      </c>
      <c r="V746" s="32">
        <v>513</v>
      </c>
      <c r="W746" s="27">
        <v>5.6600026479544548E-3</v>
      </c>
      <c r="X746" s="34">
        <v>46</v>
      </c>
      <c r="Y746" s="27">
        <v>8.9668615984405453E-2</v>
      </c>
      <c r="Z746" s="27">
        <v>5.0752460391014604E-4</v>
      </c>
      <c r="AA746" s="35">
        <v>55</v>
      </c>
      <c r="AB746" s="27">
        <v>0.10721247563352826</v>
      </c>
      <c r="AC746" s="27">
        <f t="shared" si="67"/>
        <v>6.0682289597952248E-4</v>
      </c>
      <c r="AD746" s="36">
        <v>355</v>
      </c>
      <c r="AE746" s="27">
        <v>0.69200779727095518</v>
      </c>
      <c r="AF746" s="27">
        <f t="shared" si="68"/>
        <v>3.9167659649587362E-3</v>
      </c>
      <c r="AG746" s="37">
        <v>46</v>
      </c>
      <c r="AH746" s="27">
        <v>8.9668615984405453E-2</v>
      </c>
      <c r="AI746" s="27">
        <f t="shared" si="69"/>
        <v>5.0752460391014604E-4</v>
      </c>
      <c r="AJ746" s="38">
        <v>10</v>
      </c>
      <c r="AK746" s="27">
        <v>1.9493177387914229E-2</v>
      </c>
      <c r="AL746" s="27">
        <f t="shared" si="70"/>
        <v>1.1033143563264045E-4</v>
      </c>
      <c r="AM746" s="40">
        <v>0</v>
      </c>
      <c r="AN746" s="27">
        <v>0</v>
      </c>
      <c r="AO746" s="27">
        <f t="shared" si="71"/>
        <v>0</v>
      </c>
      <c r="AP746" s="7" t="b">
        <v>1</v>
      </c>
      <c r="AQ746" s="6" t="b">
        <v>0</v>
      </c>
      <c r="AR746" s="6" t="b">
        <v>0</v>
      </c>
      <c r="AS746" s="6" t="b">
        <v>0</v>
      </c>
      <c r="AT746" s="7" t="b">
        <v>1</v>
      </c>
      <c r="AU746" s="6" t="b">
        <v>0</v>
      </c>
      <c r="AV746" s="6" t="b">
        <v>0</v>
      </c>
      <c r="AW746" s="6" t="b">
        <v>0</v>
      </c>
      <c r="AX746" s="6" t="b">
        <v>0</v>
      </c>
      <c r="AY746" s="6" t="b">
        <v>0</v>
      </c>
      <c r="AZ746" s="6" t="b">
        <v>0</v>
      </c>
      <c r="BA746" s="6" t="b">
        <v>0</v>
      </c>
      <c r="BB746" s="6" t="b">
        <v>0</v>
      </c>
    </row>
    <row r="747" spans="1:54" ht="15" x14ac:dyDescent="0.25">
      <c r="A747" s="3" t="s">
        <v>1553</v>
      </c>
      <c r="B747" s="3" t="str">
        <f ca="1">IFERROR(__xludf.DUMMYFUNCTION("SPLIT(A747,""/"")"),"oduwsdl")</f>
        <v>oduwsdl</v>
      </c>
      <c r="C747" s="3" t="str">
        <f ca="1">IFERROR(__xludf.DUMMYFUNCTION("""COMPUTED_VALUE"""),"ipwb")</f>
        <v>ipwb</v>
      </c>
      <c r="D747" s="4" t="s">
        <v>1554</v>
      </c>
      <c r="E747" s="5">
        <v>42433.626076388886</v>
      </c>
      <c r="F747" s="5">
        <v>44291.280925925923</v>
      </c>
      <c r="G747" s="13">
        <f t="shared" si="66"/>
        <v>1857.6548495370371</v>
      </c>
      <c r="H747" s="6" t="b">
        <v>0</v>
      </c>
      <c r="I747" s="7" t="b">
        <v>1</v>
      </c>
      <c r="J747" s="8">
        <v>352</v>
      </c>
      <c r="K747" s="8">
        <v>21</v>
      </c>
      <c r="L747" s="8">
        <v>26</v>
      </c>
      <c r="M747" s="8">
        <v>44</v>
      </c>
      <c r="N747" s="8">
        <v>58</v>
      </c>
      <c r="O747" s="8">
        <v>3</v>
      </c>
      <c r="P747" s="8">
        <v>287</v>
      </c>
      <c r="Q747" s="8">
        <v>3</v>
      </c>
      <c r="R747" s="8">
        <v>439</v>
      </c>
      <c r="S747" s="8">
        <v>136</v>
      </c>
      <c r="T747" s="3" t="s">
        <v>72</v>
      </c>
      <c r="U747" s="10">
        <v>1880</v>
      </c>
      <c r="V747" s="32">
        <v>1</v>
      </c>
      <c r="W747" s="27">
        <v>5.3191489361702129E-4</v>
      </c>
      <c r="X747" s="34">
        <v>0</v>
      </c>
      <c r="Y747" s="27">
        <v>0</v>
      </c>
      <c r="Z747" s="27">
        <v>0</v>
      </c>
      <c r="AA747" s="35">
        <v>0</v>
      </c>
      <c r="AB747" s="27">
        <v>0</v>
      </c>
      <c r="AC747" s="27">
        <f t="shared" si="67"/>
        <v>0</v>
      </c>
      <c r="AD747" s="36">
        <v>0</v>
      </c>
      <c r="AE747" s="27">
        <v>0</v>
      </c>
      <c r="AF747" s="27">
        <f t="shared" si="68"/>
        <v>0</v>
      </c>
      <c r="AG747" s="37">
        <v>0</v>
      </c>
      <c r="AH747" s="27">
        <v>0</v>
      </c>
      <c r="AI747" s="27">
        <f t="shared" si="69"/>
        <v>0</v>
      </c>
      <c r="AJ747" s="38">
        <v>1</v>
      </c>
      <c r="AK747" s="27">
        <v>1</v>
      </c>
      <c r="AL747" s="27">
        <f t="shared" si="70"/>
        <v>5.3191489361702129E-4</v>
      </c>
      <c r="AM747" s="40">
        <v>0</v>
      </c>
      <c r="AN747" s="27">
        <v>0</v>
      </c>
      <c r="AO747" s="27">
        <f t="shared" si="71"/>
        <v>0</v>
      </c>
      <c r="AP747" s="7" t="b">
        <v>1</v>
      </c>
      <c r="AQ747" s="6" t="b">
        <v>0</v>
      </c>
      <c r="AR747" s="6" t="b">
        <v>0</v>
      </c>
      <c r="AS747" s="6" t="b">
        <v>0</v>
      </c>
      <c r="AT747" s="7" t="b">
        <v>1</v>
      </c>
      <c r="AU747" s="6" t="b">
        <v>0</v>
      </c>
      <c r="AV747" s="6" t="b">
        <v>0</v>
      </c>
      <c r="AW747" s="6" t="b">
        <v>0</v>
      </c>
      <c r="AX747" s="6" t="b">
        <v>0</v>
      </c>
      <c r="AY747" s="6" t="b">
        <v>0</v>
      </c>
      <c r="AZ747" s="6" t="b">
        <v>0</v>
      </c>
      <c r="BA747" s="6" t="b">
        <v>0</v>
      </c>
      <c r="BB747" s="6" t="b">
        <v>0</v>
      </c>
    </row>
    <row r="748" spans="1:54" ht="15" x14ac:dyDescent="0.25">
      <c r="A748" s="3" t="s">
        <v>1555</v>
      </c>
      <c r="B748" s="3" t="str">
        <f ca="1">IFERROR(__xludf.DUMMYFUNCTION("SPLIT(A748,""/"")"),"ohld")</f>
        <v>ohld</v>
      </c>
      <c r="C748" s="3" t="str">
        <f ca="1">IFERROR(__xludf.DUMMYFUNCTION("""COMPUTED_VALUE"""),"igbot")</f>
        <v>igbot</v>
      </c>
      <c r="D748" s="4" t="s">
        <v>1556</v>
      </c>
      <c r="E748" s="5">
        <v>42748.81559027778</v>
      </c>
      <c r="F748" s="5">
        <v>44294.4921875</v>
      </c>
      <c r="G748" s="13">
        <f t="shared" si="66"/>
        <v>1545.6765972222202</v>
      </c>
      <c r="H748" s="6" t="b">
        <v>0</v>
      </c>
      <c r="I748" s="6" t="b">
        <v>0</v>
      </c>
      <c r="J748" s="8">
        <v>3879</v>
      </c>
      <c r="K748" s="8">
        <v>316</v>
      </c>
      <c r="L748" s="8">
        <v>1290</v>
      </c>
      <c r="M748" s="8">
        <v>57</v>
      </c>
      <c r="N748" s="8">
        <v>49</v>
      </c>
      <c r="O748" s="8">
        <v>113</v>
      </c>
      <c r="P748" s="8">
        <v>475</v>
      </c>
      <c r="Q748" s="8">
        <v>0</v>
      </c>
      <c r="R748" s="8">
        <v>960</v>
      </c>
      <c r="S748" s="8">
        <v>35</v>
      </c>
      <c r="T748" s="3" t="s">
        <v>69</v>
      </c>
      <c r="U748" s="10">
        <v>7540</v>
      </c>
      <c r="V748" s="32">
        <v>315</v>
      </c>
      <c r="W748" s="27">
        <v>4.1777188328912467E-2</v>
      </c>
      <c r="X748" s="34">
        <v>11</v>
      </c>
      <c r="Y748" s="27">
        <v>3.4920634920634921E-2</v>
      </c>
      <c r="Z748" s="27">
        <v>1.4588859416445623E-3</v>
      </c>
      <c r="AA748" s="35">
        <v>196</v>
      </c>
      <c r="AB748" s="27">
        <v>0.62222222222222223</v>
      </c>
      <c r="AC748" s="27">
        <f t="shared" si="67"/>
        <v>2.59946949602122E-2</v>
      </c>
      <c r="AD748" s="36">
        <v>39</v>
      </c>
      <c r="AE748" s="27">
        <v>0.12380952380952381</v>
      </c>
      <c r="AF748" s="27">
        <f t="shared" si="68"/>
        <v>5.1724137931034482E-3</v>
      </c>
      <c r="AG748" s="37">
        <v>65</v>
      </c>
      <c r="AH748" s="27">
        <v>0.20634920634920634</v>
      </c>
      <c r="AI748" s="27">
        <f t="shared" si="69"/>
        <v>8.6206896551724137E-3</v>
      </c>
      <c r="AJ748" s="38">
        <v>1</v>
      </c>
      <c r="AK748" s="27">
        <v>3.1746031746031746E-3</v>
      </c>
      <c r="AL748" s="27">
        <f t="shared" si="70"/>
        <v>1.326259946949602E-4</v>
      </c>
      <c r="AM748" s="40">
        <v>0</v>
      </c>
      <c r="AN748" s="27">
        <v>0</v>
      </c>
      <c r="AO748" s="27">
        <f t="shared" si="71"/>
        <v>0</v>
      </c>
      <c r="AP748" s="7" t="b">
        <v>1</v>
      </c>
      <c r="AQ748" s="6" t="b">
        <v>0</v>
      </c>
      <c r="AR748" s="6" t="b">
        <v>0</v>
      </c>
      <c r="AS748" s="6" t="b">
        <v>0</v>
      </c>
      <c r="AT748" s="7" t="b">
        <v>1</v>
      </c>
      <c r="AU748" s="6" t="b">
        <v>0</v>
      </c>
      <c r="AV748" s="6" t="b">
        <v>0</v>
      </c>
      <c r="AW748" s="6" t="b">
        <v>0</v>
      </c>
      <c r="AX748" s="6" t="b">
        <v>0</v>
      </c>
      <c r="AY748" s="6" t="b">
        <v>0</v>
      </c>
      <c r="AZ748" s="6" t="b">
        <v>0</v>
      </c>
      <c r="BA748" s="6" t="b">
        <v>0</v>
      </c>
      <c r="BB748" s="6" t="b">
        <v>0</v>
      </c>
    </row>
    <row r="749" spans="1:54" ht="15" x14ac:dyDescent="0.25">
      <c r="A749" s="3" t="s">
        <v>1557</v>
      </c>
      <c r="B749" s="3" t="str">
        <f ca="1">IFERROR(__xludf.DUMMYFUNCTION("SPLIT(A749,""/"")"),"okfn-brasil")</f>
        <v>okfn-brasil</v>
      </c>
      <c r="C749" s="3" t="str">
        <f ca="1">IFERROR(__xludf.DUMMYFUNCTION("""COMPUTED_VALUE"""),"serenata-de-amor")</f>
        <v>serenata-de-amor</v>
      </c>
      <c r="D749" s="4" t="s">
        <v>1558</v>
      </c>
      <c r="E749" s="5">
        <v>42548.871655092589</v>
      </c>
      <c r="F749" s="5">
        <v>44293.141134259262</v>
      </c>
      <c r="G749" s="13">
        <f t="shared" si="66"/>
        <v>1744.2694791666727</v>
      </c>
      <c r="H749" s="6" t="b">
        <v>0</v>
      </c>
      <c r="I749" s="7" t="b">
        <v>1</v>
      </c>
      <c r="J749" s="8">
        <v>4254</v>
      </c>
      <c r="K749" s="8">
        <v>393</v>
      </c>
      <c r="L749" s="8">
        <v>672</v>
      </c>
      <c r="M749" s="8">
        <v>0</v>
      </c>
      <c r="N749" s="8">
        <v>16</v>
      </c>
      <c r="O749" s="8">
        <v>103</v>
      </c>
      <c r="P749" s="8">
        <v>370</v>
      </c>
      <c r="Q749" s="8">
        <v>17</v>
      </c>
      <c r="R749" s="8">
        <v>179</v>
      </c>
      <c r="S749" s="8">
        <v>46</v>
      </c>
      <c r="T749" s="3" t="s">
        <v>72</v>
      </c>
      <c r="U749" s="10">
        <v>6044</v>
      </c>
      <c r="V749" s="32">
        <v>34</v>
      </c>
      <c r="W749" s="27">
        <v>5.6254136333553934E-3</v>
      </c>
      <c r="X749" s="34">
        <v>5</v>
      </c>
      <c r="Y749" s="27">
        <v>0.14705882352941177</v>
      </c>
      <c r="Z749" s="27">
        <v>8.2726671078755794E-4</v>
      </c>
      <c r="AA749" s="35">
        <v>22</v>
      </c>
      <c r="AB749" s="27">
        <v>0.6470588235294118</v>
      </c>
      <c r="AC749" s="27">
        <f t="shared" si="67"/>
        <v>3.639973527465255E-3</v>
      </c>
      <c r="AD749" s="36">
        <v>1</v>
      </c>
      <c r="AE749" s="27">
        <v>2.9411764705882353E-2</v>
      </c>
      <c r="AF749" s="27">
        <f t="shared" si="68"/>
        <v>1.6545334215751158E-4</v>
      </c>
      <c r="AG749" s="37">
        <v>4</v>
      </c>
      <c r="AH749" s="27">
        <v>0.11764705882352941</v>
      </c>
      <c r="AI749" s="27">
        <f t="shared" si="69"/>
        <v>6.6181336863004633E-4</v>
      </c>
      <c r="AJ749" s="38">
        <v>0</v>
      </c>
      <c r="AK749" s="27">
        <v>0</v>
      </c>
      <c r="AL749" s="27">
        <f t="shared" si="70"/>
        <v>0</v>
      </c>
      <c r="AM749" s="40">
        <v>0</v>
      </c>
      <c r="AN749" s="27">
        <v>0</v>
      </c>
      <c r="AO749" s="27">
        <f t="shared" si="71"/>
        <v>0</v>
      </c>
      <c r="AP749" s="7" t="b">
        <v>1</v>
      </c>
      <c r="AQ749" s="7" t="b">
        <v>1</v>
      </c>
      <c r="AR749" s="6" t="b">
        <v>0</v>
      </c>
      <c r="AS749" s="6" t="b">
        <v>0</v>
      </c>
      <c r="AT749" s="7" t="b">
        <v>1</v>
      </c>
      <c r="AU749" s="6" t="b">
        <v>0</v>
      </c>
      <c r="AV749" s="6" t="b">
        <v>0</v>
      </c>
      <c r="AW749" s="6" t="b">
        <v>0</v>
      </c>
      <c r="AX749" s="6" t="b">
        <v>0</v>
      </c>
      <c r="AY749" s="6" t="b">
        <v>0</v>
      </c>
      <c r="AZ749" s="6" t="b">
        <v>0</v>
      </c>
      <c r="BA749" s="6" t="b">
        <v>0</v>
      </c>
      <c r="BB749" s="6" t="b">
        <v>0</v>
      </c>
    </row>
    <row r="750" spans="1:54" ht="15" x14ac:dyDescent="0.25">
      <c r="A750" s="3" t="s">
        <v>1559</v>
      </c>
      <c r="B750" s="3" t="str">
        <f ca="1">IFERROR(__xludf.DUMMYFUNCTION("SPLIT(A750,""/"")"),"okigan")</f>
        <v>okigan</v>
      </c>
      <c r="C750" s="3" t="str">
        <f ca="1">IFERROR(__xludf.DUMMYFUNCTION("""COMPUTED_VALUE"""),"awscurl")</f>
        <v>awscurl</v>
      </c>
      <c r="D750" s="4" t="s">
        <v>1560</v>
      </c>
      <c r="E750" s="5">
        <v>42298.849050925928</v>
      </c>
      <c r="F750" s="5">
        <v>44292.008379629631</v>
      </c>
      <c r="G750" s="13">
        <f t="shared" si="66"/>
        <v>1993.1593287037031</v>
      </c>
      <c r="H750" s="6" t="b">
        <v>0</v>
      </c>
      <c r="I750" s="6" t="b">
        <v>0</v>
      </c>
      <c r="J750" s="8">
        <v>358</v>
      </c>
      <c r="K750" s="8">
        <v>4</v>
      </c>
      <c r="L750" s="8">
        <v>55</v>
      </c>
      <c r="M750" s="8">
        <v>7</v>
      </c>
      <c r="N750" s="8">
        <v>0</v>
      </c>
      <c r="O750" s="8">
        <v>18</v>
      </c>
      <c r="P750" s="8">
        <v>74</v>
      </c>
      <c r="Q750" s="8">
        <v>4</v>
      </c>
      <c r="R750" s="8">
        <v>36</v>
      </c>
      <c r="S750" s="8">
        <v>8</v>
      </c>
      <c r="T750" s="3" t="s">
        <v>72</v>
      </c>
      <c r="U750" s="10">
        <v>500</v>
      </c>
      <c r="V750" s="32">
        <v>0</v>
      </c>
      <c r="W750" s="27">
        <v>0</v>
      </c>
      <c r="X750" s="34">
        <v>0</v>
      </c>
      <c r="Y750" s="27">
        <v>0</v>
      </c>
      <c r="Z750" s="27">
        <v>0</v>
      </c>
      <c r="AA750" s="35">
        <v>0</v>
      </c>
      <c r="AB750" s="27">
        <v>0</v>
      </c>
      <c r="AC750" s="27">
        <f t="shared" si="67"/>
        <v>0</v>
      </c>
      <c r="AD750" s="36">
        <v>0</v>
      </c>
      <c r="AE750" s="27">
        <v>0</v>
      </c>
      <c r="AF750" s="27">
        <f t="shared" si="68"/>
        <v>0</v>
      </c>
      <c r="AG750" s="37">
        <v>0</v>
      </c>
      <c r="AH750" s="27">
        <v>0</v>
      </c>
      <c r="AI750" s="27">
        <f t="shared" si="69"/>
        <v>0</v>
      </c>
      <c r="AJ750" s="38">
        <v>0</v>
      </c>
      <c r="AK750" s="27">
        <v>0</v>
      </c>
      <c r="AL750" s="27">
        <f t="shared" si="70"/>
        <v>0</v>
      </c>
      <c r="AM750" s="40">
        <v>0</v>
      </c>
      <c r="AN750" s="27">
        <v>0</v>
      </c>
      <c r="AO750" s="27">
        <f t="shared" si="71"/>
        <v>0</v>
      </c>
      <c r="AP750" s="7" t="b">
        <v>1</v>
      </c>
      <c r="AQ750" s="6" t="b">
        <v>0</v>
      </c>
      <c r="AR750" s="6" t="b">
        <v>0</v>
      </c>
      <c r="AS750" s="6" t="b">
        <v>0</v>
      </c>
      <c r="AT750" s="7" t="b">
        <v>1</v>
      </c>
      <c r="AU750" s="6" t="b">
        <v>0</v>
      </c>
      <c r="AV750" s="6" t="b">
        <v>0</v>
      </c>
      <c r="AW750" s="6" t="b">
        <v>0</v>
      </c>
      <c r="AX750" s="6" t="b">
        <v>0</v>
      </c>
      <c r="AY750" s="6" t="b">
        <v>0</v>
      </c>
      <c r="AZ750" s="6" t="b">
        <v>0</v>
      </c>
      <c r="BA750" s="6" t="b">
        <v>0</v>
      </c>
      <c r="BB750" s="6" t="b">
        <v>0</v>
      </c>
    </row>
    <row r="751" spans="1:54" ht="15" x14ac:dyDescent="0.25">
      <c r="A751" s="3" t="s">
        <v>1561</v>
      </c>
      <c r="B751" s="3" t="str">
        <f ca="1">IFERROR(__xludf.DUMMYFUNCTION("SPLIT(A751,""/"")"),"open-mmlab")</f>
        <v>open-mmlab</v>
      </c>
      <c r="C751" s="3" t="str">
        <f ca="1">IFERROR(__xludf.DUMMYFUNCTION("""COMPUTED_VALUE"""),"mmaction")</f>
        <v>mmaction</v>
      </c>
      <c r="D751" s="4" t="s">
        <v>1562</v>
      </c>
      <c r="E751" s="5">
        <v>43629.601655092592</v>
      </c>
      <c r="F751" s="5">
        <v>44295.137754629628</v>
      </c>
      <c r="G751" s="13">
        <f t="shared" si="66"/>
        <v>665.53609953703562</v>
      </c>
      <c r="H751" s="6" t="b">
        <v>0</v>
      </c>
      <c r="I751" s="7" t="b">
        <v>1</v>
      </c>
      <c r="J751" s="8">
        <v>1614</v>
      </c>
      <c r="K751" s="8">
        <v>49</v>
      </c>
      <c r="L751" s="8">
        <v>320</v>
      </c>
      <c r="M751" s="8">
        <v>0</v>
      </c>
      <c r="N751" s="8">
        <v>1</v>
      </c>
      <c r="O751" s="8">
        <v>21</v>
      </c>
      <c r="P751" s="8">
        <v>46</v>
      </c>
      <c r="Q751" s="8">
        <v>0</v>
      </c>
      <c r="R751" s="8">
        <v>180</v>
      </c>
      <c r="S751" s="8">
        <v>43</v>
      </c>
      <c r="T751" s="3" t="s">
        <v>69</v>
      </c>
      <c r="U751" s="10">
        <v>10681</v>
      </c>
      <c r="V751" s="32">
        <v>28</v>
      </c>
      <c r="W751" s="27">
        <v>2.6214773897575133E-3</v>
      </c>
      <c r="X751" s="34">
        <v>0</v>
      </c>
      <c r="Y751" s="27">
        <v>0</v>
      </c>
      <c r="Z751" s="27">
        <v>0</v>
      </c>
      <c r="AA751" s="35">
        <v>27</v>
      </c>
      <c r="AB751" s="27">
        <v>0.9642857142857143</v>
      </c>
      <c r="AC751" s="27">
        <f t="shared" si="67"/>
        <v>2.5278531972661735E-3</v>
      </c>
      <c r="AD751" s="36">
        <v>1</v>
      </c>
      <c r="AE751" s="27">
        <v>3.5714285714285712E-2</v>
      </c>
      <c r="AF751" s="27">
        <f t="shared" si="68"/>
        <v>9.3624192491339759E-5</v>
      </c>
      <c r="AG751" s="37">
        <v>0</v>
      </c>
      <c r="AH751" s="27">
        <v>0</v>
      </c>
      <c r="AI751" s="27">
        <f t="shared" si="69"/>
        <v>0</v>
      </c>
      <c r="AJ751" s="38">
        <v>0</v>
      </c>
      <c r="AK751" s="27">
        <v>0</v>
      </c>
      <c r="AL751" s="27">
        <f t="shared" si="70"/>
        <v>0</v>
      </c>
      <c r="AM751" s="40">
        <v>0</v>
      </c>
      <c r="AN751" s="27">
        <v>0</v>
      </c>
      <c r="AO751" s="27">
        <f t="shared" si="71"/>
        <v>0</v>
      </c>
      <c r="AP751" s="7" t="b">
        <v>1</v>
      </c>
      <c r="AQ751" s="6" t="b">
        <v>0</v>
      </c>
      <c r="AR751" s="6" t="b">
        <v>0</v>
      </c>
      <c r="AS751" s="6" t="b">
        <v>0</v>
      </c>
      <c r="AT751" s="7" t="b">
        <v>1</v>
      </c>
      <c r="AU751" s="6" t="b">
        <v>0</v>
      </c>
      <c r="AV751" s="6" t="b">
        <v>0</v>
      </c>
      <c r="AW751" s="6" t="b">
        <v>0</v>
      </c>
      <c r="AX751" s="6" t="b">
        <v>0</v>
      </c>
      <c r="AY751" s="6" t="b">
        <v>0</v>
      </c>
      <c r="AZ751" s="6" t="b">
        <v>0</v>
      </c>
      <c r="BA751" s="6" t="b">
        <v>0</v>
      </c>
      <c r="BB751" s="6" t="b">
        <v>0</v>
      </c>
    </row>
    <row r="752" spans="1:54" ht="15" x14ac:dyDescent="0.25">
      <c r="A752" s="3" t="s">
        <v>1563</v>
      </c>
      <c r="B752" s="3" t="str">
        <f ca="1">IFERROR(__xludf.DUMMYFUNCTION("SPLIT(A752,""/"")"),"open-mmlab")</f>
        <v>open-mmlab</v>
      </c>
      <c r="C752" s="3" t="str">
        <f ca="1">IFERROR(__xludf.DUMMYFUNCTION("""COMPUTED_VALUE"""),"mmaction2")</f>
        <v>mmaction2</v>
      </c>
      <c r="D752" s="4" t="s">
        <v>1564</v>
      </c>
      <c r="E752" s="5">
        <v>44023.304976851854</v>
      </c>
      <c r="F752" s="5">
        <v>44295.137719907405</v>
      </c>
      <c r="G752" s="13">
        <f t="shared" si="66"/>
        <v>271.83274305555096</v>
      </c>
      <c r="H752" s="6" t="b">
        <v>0</v>
      </c>
      <c r="I752" s="7" t="b">
        <v>1</v>
      </c>
      <c r="J752" s="8">
        <v>745</v>
      </c>
      <c r="K752" s="8">
        <v>26</v>
      </c>
      <c r="L752" s="8">
        <v>177</v>
      </c>
      <c r="M752" s="8">
        <v>9</v>
      </c>
      <c r="N752" s="8">
        <v>0</v>
      </c>
      <c r="O752" s="8">
        <v>23</v>
      </c>
      <c r="P752" s="8">
        <v>473</v>
      </c>
      <c r="Q752" s="8">
        <v>13</v>
      </c>
      <c r="R752" s="8">
        <v>296</v>
      </c>
      <c r="S752" s="8">
        <v>22</v>
      </c>
      <c r="T752" s="3" t="s">
        <v>69</v>
      </c>
      <c r="U752" s="10">
        <v>23254</v>
      </c>
      <c r="V752" s="32">
        <v>60</v>
      </c>
      <c r="W752" s="27">
        <v>2.5802012556979444E-3</v>
      </c>
      <c r="X752" s="34">
        <v>0</v>
      </c>
      <c r="Y752" s="27">
        <v>0</v>
      </c>
      <c r="Z752" s="27">
        <v>0</v>
      </c>
      <c r="AA752" s="35">
        <v>32</v>
      </c>
      <c r="AB752" s="27">
        <v>0.53333333333333333</v>
      </c>
      <c r="AC752" s="27">
        <f t="shared" si="67"/>
        <v>1.376107336372237E-3</v>
      </c>
      <c r="AD752" s="36">
        <v>28</v>
      </c>
      <c r="AE752" s="27">
        <v>0.46666666666666667</v>
      </c>
      <c r="AF752" s="27">
        <f t="shared" si="68"/>
        <v>1.2040939193257074E-3</v>
      </c>
      <c r="AG752" s="37">
        <v>0</v>
      </c>
      <c r="AH752" s="27">
        <v>0</v>
      </c>
      <c r="AI752" s="27">
        <f t="shared" si="69"/>
        <v>0</v>
      </c>
      <c r="AJ752" s="38">
        <v>0</v>
      </c>
      <c r="AK752" s="27">
        <v>0</v>
      </c>
      <c r="AL752" s="27">
        <f t="shared" si="70"/>
        <v>0</v>
      </c>
      <c r="AM752" s="40">
        <v>0</v>
      </c>
      <c r="AN752" s="27">
        <v>0</v>
      </c>
      <c r="AO752" s="27">
        <f t="shared" si="71"/>
        <v>0</v>
      </c>
      <c r="AP752" s="7" t="b">
        <v>1</v>
      </c>
      <c r="AQ752" s="6" t="b">
        <v>0</v>
      </c>
      <c r="AR752" s="6" t="b">
        <v>0</v>
      </c>
      <c r="AS752" s="6" t="b">
        <v>0</v>
      </c>
      <c r="AT752" s="7" t="b">
        <v>1</v>
      </c>
      <c r="AU752" s="6" t="b">
        <v>0</v>
      </c>
      <c r="AV752" s="6" t="b">
        <v>0</v>
      </c>
      <c r="AW752" s="6" t="b">
        <v>0</v>
      </c>
      <c r="AX752" s="6" t="b">
        <v>0</v>
      </c>
      <c r="AY752" s="6" t="b">
        <v>0</v>
      </c>
      <c r="AZ752" s="6" t="b">
        <v>0</v>
      </c>
      <c r="BA752" s="6" t="b">
        <v>0</v>
      </c>
      <c r="BB752" s="6" t="b">
        <v>0</v>
      </c>
    </row>
    <row r="753" spans="1:54" ht="15" x14ac:dyDescent="0.25">
      <c r="A753" s="3" t="s">
        <v>1565</v>
      </c>
      <c r="B753" s="3" t="str">
        <f ca="1">IFERROR(__xludf.DUMMYFUNCTION("SPLIT(A753,""/"")"),"open-mmlab")</f>
        <v>open-mmlab</v>
      </c>
      <c r="C753" s="3" t="str">
        <f ca="1">IFERROR(__xludf.DUMMYFUNCTION("""COMPUTED_VALUE"""),"mmcv")</f>
        <v>mmcv</v>
      </c>
      <c r="D753" s="4" t="s">
        <v>1566</v>
      </c>
      <c r="E753" s="5">
        <v>43334.295439814814</v>
      </c>
      <c r="F753" s="5">
        <v>44295.152986111112</v>
      </c>
      <c r="G753" s="13">
        <f t="shared" si="66"/>
        <v>960.8575462962981</v>
      </c>
      <c r="H753" s="6" t="b">
        <v>0</v>
      </c>
      <c r="I753" s="7" t="b">
        <v>1</v>
      </c>
      <c r="J753" s="8">
        <v>2349</v>
      </c>
      <c r="K753" s="8">
        <v>73</v>
      </c>
      <c r="L753" s="8">
        <v>606</v>
      </c>
      <c r="M753" s="8">
        <v>17</v>
      </c>
      <c r="N753" s="8">
        <v>3</v>
      </c>
      <c r="O753" s="8">
        <v>88</v>
      </c>
      <c r="P753" s="8">
        <v>647</v>
      </c>
      <c r="Q753" s="8">
        <v>43</v>
      </c>
      <c r="R753" s="8">
        <v>284</v>
      </c>
      <c r="S753" s="8">
        <v>24</v>
      </c>
      <c r="T753" s="3" t="s">
        <v>69</v>
      </c>
      <c r="U753" s="10">
        <v>18069</v>
      </c>
      <c r="V753" s="32">
        <v>47</v>
      </c>
      <c r="W753" s="27">
        <v>2.6011400741601637E-3</v>
      </c>
      <c r="X753" s="34">
        <v>0</v>
      </c>
      <c r="Y753" s="27">
        <v>0</v>
      </c>
      <c r="Z753" s="27">
        <v>0</v>
      </c>
      <c r="AA753" s="35">
        <v>14</v>
      </c>
      <c r="AB753" s="27">
        <v>0.2978723404255319</v>
      </c>
      <c r="AC753" s="27">
        <f t="shared" si="67"/>
        <v>7.7480768166472962E-4</v>
      </c>
      <c r="AD753" s="36">
        <v>27</v>
      </c>
      <c r="AE753" s="27">
        <v>0.57446808510638303</v>
      </c>
      <c r="AF753" s="27">
        <f t="shared" si="68"/>
        <v>1.4942719574962643E-3</v>
      </c>
      <c r="AG753" s="37">
        <v>0</v>
      </c>
      <c r="AH753" s="27">
        <v>0</v>
      </c>
      <c r="AI753" s="27">
        <f t="shared" si="69"/>
        <v>0</v>
      </c>
      <c r="AJ753" s="38">
        <v>0</v>
      </c>
      <c r="AK753" s="27">
        <v>0</v>
      </c>
      <c r="AL753" s="27">
        <f t="shared" si="70"/>
        <v>0</v>
      </c>
      <c r="AM753" s="40">
        <v>6</v>
      </c>
      <c r="AN753" s="27">
        <v>0.1276595744680851</v>
      </c>
      <c r="AO753" s="27">
        <f t="shared" si="71"/>
        <v>3.3206043499916984E-4</v>
      </c>
      <c r="AP753" s="7" t="b">
        <v>1</v>
      </c>
      <c r="AQ753" s="6" t="b">
        <v>0</v>
      </c>
      <c r="AR753" s="6" t="b">
        <v>0</v>
      </c>
      <c r="AS753" s="6" t="b">
        <v>0</v>
      </c>
      <c r="AT753" s="7" t="b">
        <v>1</v>
      </c>
      <c r="AU753" s="6" t="b">
        <v>0</v>
      </c>
      <c r="AV753" s="6" t="b">
        <v>0</v>
      </c>
      <c r="AW753" s="6" t="b">
        <v>0</v>
      </c>
      <c r="AX753" s="6" t="b">
        <v>0</v>
      </c>
      <c r="AY753" s="6" t="b">
        <v>0</v>
      </c>
      <c r="AZ753" s="6" t="b">
        <v>0</v>
      </c>
      <c r="BA753" s="6" t="b">
        <v>0</v>
      </c>
      <c r="BB753" s="6" t="b">
        <v>0</v>
      </c>
    </row>
    <row r="754" spans="1:54" ht="15" x14ac:dyDescent="0.25">
      <c r="A754" s="3" t="s">
        <v>1567</v>
      </c>
      <c r="B754" s="3" t="str">
        <f ca="1">IFERROR(__xludf.DUMMYFUNCTION("SPLIT(A754,""/"")"),"open-mmlab")</f>
        <v>open-mmlab</v>
      </c>
      <c r="C754" s="3" t="str">
        <f ca="1">IFERROR(__xludf.DUMMYFUNCTION("""COMPUTED_VALUE"""),"mmdetection")</f>
        <v>mmdetection</v>
      </c>
      <c r="D754" s="4" t="s">
        <v>1568</v>
      </c>
      <c r="E754" s="5">
        <v>43334.295902777776</v>
      </c>
      <c r="F754" s="5">
        <v>44295.157048611109</v>
      </c>
      <c r="G754" s="13">
        <f t="shared" si="66"/>
        <v>960.86114583333256</v>
      </c>
      <c r="H754" s="6" t="b">
        <v>0</v>
      </c>
      <c r="I754" s="7" t="b">
        <v>1</v>
      </c>
      <c r="J754" s="8">
        <v>14323</v>
      </c>
      <c r="K754" s="8">
        <v>356</v>
      </c>
      <c r="L754" s="8">
        <v>4619</v>
      </c>
      <c r="M754" s="8">
        <v>11</v>
      </c>
      <c r="N754" s="8">
        <v>10</v>
      </c>
      <c r="O754" s="8">
        <v>201</v>
      </c>
      <c r="P754" s="8">
        <v>1365</v>
      </c>
      <c r="Q754" s="8">
        <v>49</v>
      </c>
      <c r="R754" s="8">
        <v>3547</v>
      </c>
      <c r="S754" s="8">
        <v>264</v>
      </c>
      <c r="T754" s="3" t="s">
        <v>69</v>
      </c>
      <c r="U754" s="10">
        <v>32491</v>
      </c>
      <c r="V754" s="32">
        <v>42</v>
      </c>
      <c r="W754" s="27">
        <v>1.2926656612600412E-3</v>
      </c>
      <c r="X754" s="34">
        <v>5</v>
      </c>
      <c r="Y754" s="27">
        <v>0.11904761904761904</v>
      </c>
      <c r="Z754" s="27">
        <v>1.5388876919762395E-4</v>
      </c>
      <c r="AA754" s="35">
        <v>7</v>
      </c>
      <c r="AB754" s="27">
        <v>0.16666666666666666</v>
      </c>
      <c r="AC754" s="27">
        <f t="shared" si="67"/>
        <v>2.1544427687667354E-4</v>
      </c>
      <c r="AD754" s="36">
        <v>29</v>
      </c>
      <c r="AE754" s="27">
        <v>0.69047619047619047</v>
      </c>
      <c r="AF754" s="27">
        <f t="shared" si="68"/>
        <v>8.9255486134621901E-4</v>
      </c>
      <c r="AG754" s="37">
        <v>1</v>
      </c>
      <c r="AH754" s="27">
        <v>2.3809523809523808E-2</v>
      </c>
      <c r="AI754" s="27">
        <f t="shared" si="69"/>
        <v>3.0777753839524793E-5</v>
      </c>
      <c r="AJ754" s="38">
        <v>0</v>
      </c>
      <c r="AK754" s="27">
        <v>0</v>
      </c>
      <c r="AL754" s="27">
        <f t="shared" si="70"/>
        <v>0</v>
      </c>
      <c r="AM754" s="40">
        <v>0</v>
      </c>
      <c r="AN754" s="27">
        <v>0</v>
      </c>
      <c r="AO754" s="27">
        <f t="shared" si="71"/>
        <v>0</v>
      </c>
      <c r="AP754" s="7" t="b">
        <v>1</v>
      </c>
      <c r="AQ754" s="6" t="b">
        <v>0</v>
      </c>
      <c r="AR754" s="6" t="b">
        <v>0</v>
      </c>
      <c r="AS754" s="6" t="b">
        <v>0</v>
      </c>
      <c r="AT754" s="7" t="b">
        <v>1</v>
      </c>
      <c r="AU754" s="6" t="b">
        <v>0</v>
      </c>
      <c r="AV754" s="6" t="b">
        <v>0</v>
      </c>
      <c r="AW754" s="6" t="b">
        <v>0</v>
      </c>
      <c r="AX754" s="6" t="b">
        <v>0</v>
      </c>
      <c r="AY754" s="6" t="b">
        <v>0</v>
      </c>
      <c r="AZ754" s="6" t="b">
        <v>0</v>
      </c>
      <c r="BA754" s="6" t="b">
        <v>0</v>
      </c>
      <c r="BB754" s="6" t="b">
        <v>0</v>
      </c>
    </row>
    <row r="755" spans="1:54" ht="15" x14ac:dyDescent="0.25">
      <c r="A755" s="3" t="s">
        <v>1569</v>
      </c>
      <c r="B755" s="3" t="str">
        <f ca="1">IFERROR(__xludf.DUMMYFUNCTION("SPLIT(A755,""/"")"),"open-mmlab")</f>
        <v>open-mmlab</v>
      </c>
      <c r="C755" s="3" t="str">
        <f ca="1">IFERROR(__xludf.DUMMYFUNCTION("""COMPUTED_VALUE"""),"mmdetection3d")</f>
        <v>mmdetection3d</v>
      </c>
      <c r="D755" s="4" t="s">
        <v>1570</v>
      </c>
      <c r="E755" s="5">
        <v>44020.152604166666</v>
      </c>
      <c r="F755" s="5">
        <v>44294.59778935185</v>
      </c>
      <c r="G755" s="13">
        <f t="shared" si="66"/>
        <v>274.44518518518453</v>
      </c>
      <c r="H755" s="6" t="b">
        <v>0</v>
      </c>
      <c r="I755" s="7" t="b">
        <v>1</v>
      </c>
      <c r="J755" s="8">
        <v>992</v>
      </c>
      <c r="K755" s="8">
        <v>36</v>
      </c>
      <c r="L755" s="8">
        <v>228</v>
      </c>
      <c r="M755" s="8">
        <v>8</v>
      </c>
      <c r="N755" s="8">
        <v>1</v>
      </c>
      <c r="O755" s="8">
        <v>25</v>
      </c>
      <c r="P755" s="8">
        <v>218</v>
      </c>
      <c r="Q755" s="8">
        <v>7</v>
      </c>
      <c r="R755" s="8">
        <v>210</v>
      </c>
      <c r="S755" s="8">
        <v>34</v>
      </c>
      <c r="T755" s="3" t="s">
        <v>69</v>
      </c>
      <c r="U755" s="10">
        <v>22105</v>
      </c>
      <c r="V755" s="32">
        <v>13</v>
      </c>
      <c r="W755" s="27">
        <v>5.8810223931237272E-4</v>
      </c>
      <c r="X755" s="34">
        <v>0</v>
      </c>
      <c r="Y755" s="27">
        <v>0</v>
      </c>
      <c r="Z755" s="27">
        <v>0</v>
      </c>
      <c r="AA755" s="35">
        <v>8</v>
      </c>
      <c r="AB755" s="27">
        <v>0.61538461538461542</v>
      </c>
      <c r="AC755" s="27">
        <f t="shared" si="67"/>
        <v>3.6190907034607553E-4</v>
      </c>
      <c r="AD755" s="36">
        <v>5</v>
      </c>
      <c r="AE755" s="27">
        <v>0.38461538461538464</v>
      </c>
      <c r="AF755" s="27">
        <f t="shared" si="68"/>
        <v>2.2619316896629722E-4</v>
      </c>
      <c r="AG755" s="37">
        <v>0</v>
      </c>
      <c r="AH755" s="27">
        <v>0</v>
      </c>
      <c r="AI755" s="27">
        <f t="shared" si="69"/>
        <v>0</v>
      </c>
      <c r="AJ755" s="38">
        <v>0</v>
      </c>
      <c r="AK755" s="27">
        <v>0</v>
      </c>
      <c r="AL755" s="27">
        <f t="shared" si="70"/>
        <v>0</v>
      </c>
      <c r="AM755" s="40">
        <v>0</v>
      </c>
      <c r="AN755" s="27">
        <v>0</v>
      </c>
      <c r="AO755" s="27">
        <f t="shared" si="71"/>
        <v>0</v>
      </c>
      <c r="AP755" s="7" t="b">
        <v>1</v>
      </c>
      <c r="AQ755" s="6" t="b">
        <v>0</v>
      </c>
      <c r="AR755" s="6" t="b">
        <v>0</v>
      </c>
      <c r="AS755" s="6" t="b">
        <v>0</v>
      </c>
      <c r="AT755" s="7" t="b">
        <v>1</v>
      </c>
      <c r="AU755" s="6" t="b">
        <v>0</v>
      </c>
      <c r="AV755" s="6" t="b">
        <v>0</v>
      </c>
      <c r="AW755" s="6" t="b">
        <v>0</v>
      </c>
      <c r="AX755" s="6" t="b">
        <v>0</v>
      </c>
      <c r="AY755" s="6" t="b">
        <v>0</v>
      </c>
      <c r="AZ755" s="6" t="b">
        <v>0</v>
      </c>
      <c r="BA755" s="6" t="b">
        <v>0</v>
      </c>
      <c r="BB755" s="6" t="b">
        <v>0</v>
      </c>
    </row>
    <row r="756" spans="1:54" ht="15" x14ac:dyDescent="0.25">
      <c r="A756" s="3" t="s">
        <v>1571</v>
      </c>
      <c r="B756" s="3" t="str">
        <f ca="1">IFERROR(__xludf.DUMMYFUNCTION("SPLIT(A756,""/"")"),"open-mmlab")</f>
        <v>open-mmlab</v>
      </c>
      <c r="C756" s="3" t="str">
        <f ca="1">IFERROR(__xludf.DUMMYFUNCTION("""COMPUTED_VALUE"""),"mmediting")</f>
        <v>mmediting</v>
      </c>
      <c r="D756" s="4" t="s">
        <v>1572</v>
      </c>
      <c r="E756" s="5">
        <v>43700.54478009259</v>
      </c>
      <c r="F756" s="5">
        <v>44294.530393518522</v>
      </c>
      <c r="G756" s="13">
        <f t="shared" si="66"/>
        <v>593.98561342593166</v>
      </c>
      <c r="H756" s="6" t="b">
        <v>0</v>
      </c>
      <c r="I756" s="7" t="b">
        <v>1</v>
      </c>
      <c r="J756" s="8">
        <v>1886</v>
      </c>
      <c r="K756" s="8">
        <v>70</v>
      </c>
      <c r="L756" s="8">
        <v>346</v>
      </c>
      <c r="M756" s="8">
        <v>2</v>
      </c>
      <c r="N756" s="8">
        <v>0</v>
      </c>
      <c r="O756" s="8">
        <v>21</v>
      </c>
      <c r="P756" s="8">
        <v>111</v>
      </c>
      <c r="Q756" s="8">
        <v>6</v>
      </c>
      <c r="R756" s="8">
        <v>134</v>
      </c>
      <c r="S756" s="8">
        <v>8</v>
      </c>
      <c r="T756" s="3" t="s">
        <v>69</v>
      </c>
      <c r="U756" s="10">
        <v>16371</v>
      </c>
      <c r="V756" s="32">
        <v>7</v>
      </c>
      <c r="W756" s="27">
        <v>4.2758536436381404E-4</v>
      </c>
      <c r="X756" s="34">
        <v>0</v>
      </c>
      <c r="Y756" s="27">
        <v>0</v>
      </c>
      <c r="Z756" s="27">
        <v>0</v>
      </c>
      <c r="AA756" s="35">
        <v>5</v>
      </c>
      <c r="AB756" s="27">
        <v>0.7142857142857143</v>
      </c>
      <c r="AC756" s="27">
        <f t="shared" si="67"/>
        <v>3.0541811740272432E-4</v>
      </c>
      <c r="AD756" s="36">
        <v>2</v>
      </c>
      <c r="AE756" s="27">
        <v>0.2857142857142857</v>
      </c>
      <c r="AF756" s="27">
        <f t="shared" si="68"/>
        <v>1.2216724696108972E-4</v>
      </c>
      <c r="AG756" s="37">
        <v>0</v>
      </c>
      <c r="AH756" s="27">
        <v>0</v>
      </c>
      <c r="AI756" s="27">
        <f t="shared" si="69"/>
        <v>0</v>
      </c>
      <c r="AJ756" s="38">
        <v>0</v>
      </c>
      <c r="AK756" s="27">
        <v>0</v>
      </c>
      <c r="AL756" s="27">
        <f t="shared" si="70"/>
        <v>0</v>
      </c>
      <c r="AM756" s="40">
        <v>0</v>
      </c>
      <c r="AN756" s="27">
        <v>0</v>
      </c>
      <c r="AO756" s="27">
        <f t="shared" si="71"/>
        <v>0</v>
      </c>
      <c r="AP756" s="7" t="b">
        <v>1</v>
      </c>
      <c r="AQ756" s="6" t="b">
        <v>0</v>
      </c>
      <c r="AR756" s="6" t="b">
        <v>0</v>
      </c>
      <c r="AS756" s="6" t="b">
        <v>0</v>
      </c>
      <c r="AT756" s="7" t="b">
        <v>1</v>
      </c>
      <c r="AU756" s="6" t="b">
        <v>0</v>
      </c>
      <c r="AV756" s="6" t="b">
        <v>0</v>
      </c>
      <c r="AW756" s="6" t="b">
        <v>0</v>
      </c>
      <c r="AX756" s="6" t="b">
        <v>0</v>
      </c>
      <c r="AY756" s="6" t="b">
        <v>0</v>
      </c>
      <c r="AZ756" s="6" t="b">
        <v>0</v>
      </c>
      <c r="BA756" s="6" t="b">
        <v>0</v>
      </c>
      <c r="BB756" s="6" t="b">
        <v>0</v>
      </c>
    </row>
    <row r="757" spans="1:54" ht="15" x14ac:dyDescent="0.25">
      <c r="A757" s="3" t="s">
        <v>1573</v>
      </c>
      <c r="B757" s="3" t="str">
        <f ca="1">IFERROR(__xludf.DUMMYFUNCTION("SPLIT(A757,""/"")"),"open-mmlab")</f>
        <v>open-mmlab</v>
      </c>
      <c r="C757" s="3" t="str">
        <f ca="1">IFERROR(__xludf.DUMMYFUNCTION("""COMPUTED_VALUE"""),"mmfashion")</f>
        <v>mmfashion</v>
      </c>
      <c r="D757" s="4" t="s">
        <v>1574</v>
      </c>
      <c r="E757" s="5">
        <v>43763.219143518516</v>
      </c>
      <c r="F757" s="5">
        <v>44295.115046296298</v>
      </c>
      <c r="G757" s="13">
        <f t="shared" si="66"/>
        <v>531.89590277778188</v>
      </c>
      <c r="H757" s="6" t="b">
        <v>0</v>
      </c>
      <c r="I757" s="7" t="b">
        <v>1</v>
      </c>
      <c r="J757" s="8">
        <v>716</v>
      </c>
      <c r="K757" s="8">
        <v>42</v>
      </c>
      <c r="L757" s="8">
        <v>159</v>
      </c>
      <c r="M757" s="8">
        <v>0</v>
      </c>
      <c r="N757" s="8">
        <v>0</v>
      </c>
      <c r="O757" s="8">
        <v>5</v>
      </c>
      <c r="P757" s="8">
        <v>10</v>
      </c>
      <c r="Q757" s="8">
        <v>3</v>
      </c>
      <c r="R757" s="8">
        <v>120</v>
      </c>
      <c r="S757" s="8">
        <v>56</v>
      </c>
      <c r="T757" s="3" t="s">
        <v>69</v>
      </c>
      <c r="U757" s="10">
        <v>6249</v>
      </c>
      <c r="V757" s="32">
        <v>23</v>
      </c>
      <c r="W757" s="27">
        <v>3.6805888942230756E-3</v>
      </c>
      <c r="X757" s="34">
        <v>0</v>
      </c>
      <c r="Y757" s="27">
        <v>0</v>
      </c>
      <c r="Z757" s="27">
        <v>0</v>
      </c>
      <c r="AA757" s="35">
        <v>21</v>
      </c>
      <c r="AB757" s="27">
        <v>0.91304347826086951</v>
      </c>
      <c r="AC757" s="27">
        <f t="shared" si="67"/>
        <v>3.3605376860297649E-3</v>
      </c>
      <c r="AD757" s="36">
        <v>2</v>
      </c>
      <c r="AE757" s="27">
        <v>8.6956521739130432E-2</v>
      </c>
      <c r="AF757" s="27">
        <f t="shared" si="68"/>
        <v>3.2005120819331091E-4</v>
      </c>
      <c r="AG757" s="37">
        <v>0</v>
      </c>
      <c r="AH757" s="27">
        <v>0</v>
      </c>
      <c r="AI757" s="27">
        <f t="shared" si="69"/>
        <v>0</v>
      </c>
      <c r="AJ757" s="38">
        <v>0</v>
      </c>
      <c r="AK757" s="27">
        <v>0</v>
      </c>
      <c r="AL757" s="27">
        <f t="shared" si="70"/>
        <v>0</v>
      </c>
      <c r="AM757" s="40">
        <v>0</v>
      </c>
      <c r="AN757" s="27">
        <v>0</v>
      </c>
      <c r="AO757" s="27">
        <f t="shared" si="71"/>
        <v>0</v>
      </c>
      <c r="AP757" s="7" t="b">
        <v>1</v>
      </c>
      <c r="AQ757" s="6" t="b">
        <v>0</v>
      </c>
      <c r="AR757" s="6" t="b">
        <v>0</v>
      </c>
      <c r="AS757" s="6" t="b">
        <v>0</v>
      </c>
      <c r="AT757" s="7" t="b">
        <v>1</v>
      </c>
      <c r="AU757" s="6" t="b">
        <v>0</v>
      </c>
      <c r="AV757" s="6" t="b">
        <v>0</v>
      </c>
      <c r="AW757" s="6" t="b">
        <v>0</v>
      </c>
      <c r="AX757" s="6" t="b">
        <v>0</v>
      </c>
      <c r="AY757" s="6" t="b">
        <v>0</v>
      </c>
      <c r="AZ757" s="6" t="b">
        <v>0</v>
      </c>
      <c r="BA757" s="6" t="b">
        <v>0</v>
      </c>
      <c r="BB757" s="6" t="b">
        <v>0</v>
      </c>
    </row>
    <row r="758" spans="1:54" ht="15" x14ac:dyDescent="0.25">
      <c r="A758" s="3" t="s">
        <v>1575</v>
      </c>
      <c r="B758" s="3" t="str">
        <f ca="1">IFERROR(__xludf.DUMMYFUNCTION("SPLIT(A758,""/"")"),"open-mmlab")</f>
        <v>open-mmlab</v>
      </c>
      <c r="C758" s="3" t="str">
        <f ca="1">IFERROR(__xludf.DUMMYFUNCTION("""COMPUTED_VALUE"""),"mmpose")</f>
        <v>mmpose</v>
      </c>
      <c r="D758" s="4" t="s">
        <v>1576</v>
      </c>
      <c r="E758" s="5">
        <v>44020.252025462964</v>
      </c>
      <c r="F758" s="5">
        <v>44294.414687500001</v>
      </c>
      <c r="G758" s="13">
        <f t="shared" si="66"/>
        <v>274.16266203703708</v>
      </c>
      <c r="H758" s="6" t="b">
        <v>0</v>
      </c>
      <c r="I758" s="7" t="b">
        <v>1</v>
      </c>
      <c r="J758" s="8">
        <v>725</v>
      </c>
      <c r="K758" s="8">
        <v>28</v>
      </c>
      <c r="L758" s="8">
        <v>148</v>
      </c>
      <c r="M758" s="8">
        <v>8</v>
      </c>
      <c r="N758" s="8">
        <v>14</v>
      </c>
      <c r="O758" s="8">
        <v>26</v>
      </c>
      <c r="P758" s="8">
        <v>336</v>
      </c>
      <c r="Q758" s="8">
        <v>6</v>
      </c>
      <c r="R758" s="8">
        <v>219</v>
      </c>
      <c r="S758" s="8">
        <v>23</v>
      </c>
      <c r="T758" s="3" t="s">
        <v>69</v>
      </c>
      <c r="U758" s="10">
        <v>22454</v>
      </c>
      <c r="V758" s="32">
        <v>25</v>
      </c>
      <c r="W758" s="27">
        <v>1.1133873697336777E-3</v>
      </c>
      <c r="X758" s="34">
        <v>0</v>
      </c>
      <c r="Y758" s="27">
        <v>0</v>
      </c>
      <c r="Z758" s="27">
        <v>0</v>
      </c>
      <c r="AA758" s="35">
        <v>8</v>
      </c>
      <c r="AB758" s="27">
        <v>0.32</v>
      </c>
      <c r="AC758" s="27">
        <f t="shared" si="67"/>
        <v>3.5628395831477686E-4</v>
      </c>
      <c r="AD758" s="36">
        <v>17</v>
      </c>
      <c r="AE758" s="27">
        <v>0.68</v>
      </c>
      <c r="AF758" s="27">
        <f t="shared" si="68"/>
        <v>7.5710341141890086E-4</v>
      </c>
      <c r="AG758" s="37">
        <v>0</v>
      </c>
      <c r="AH758" s="27">
        <v>0</v>
      </c>
      <c r="AI758" s="27">
        <f t="shared" si="69"/>
        <v>0</v>
      </c>
      <c r="AJ758" s="38">
        <v>0</v>
      </c>
      <c r="AK758" s="27">
        <v>0</v>
      </c>
      <c r="AL758" s="27">
        <f t="shared" si="70"/>
        <v>0</v>
      </c>
      <c r="AM758" s="40">
        <v>0</v>
      </c>
      <c r="AN758" s="27">
        <v>0</v>
      </c>
      <c r="AO758" s="27">
        <f t="shared" si="71"/>
        <v>0</v>
      </c>
      <c r="AP758" s="7" t="b">
        <v>1</v>
      </c>
      <c r="AQ758" s="6" t="b">
        <v>0</v>
      </c>
      <c r="AR758" s="6" t="b">
        <v>0</v>
      </c>
      <c r="AS758" s="6" t="b">
        <v>0</v>
      </c>
      <c r="AT758" s="7" t="b">
        <v>1</v>
      </c>
      <c r="AU758" s="6" t="b">
        <v>0</v>
      </c>
      <c r="AV758" s="6" t="b">
        <v>0</v>
      </c>
      <c r="AW758" s="6" t="b">
        <v>0</v>
      </c>
      <c r="AX758" s="6" t="b">
        <v>0</v>
      </c>
      <c r="AY758" s="6" t="b">
        <v>0</v>
      </c>
      <c r="AZ758" s="6" t="b">
        <v>0</v>
      </c>
      <c r="BA758" s="6" t="b">
        <v>0</v>
      </c>
      <c r="BB758" s="6" t="b">
        <v>0</v>
      </c>
    </row>
    <row r="759" spans="1:54" ht="15" x14ac:dyDescent="0.25">
      <c r="A759" s="3" t="s">
        <v>1577</v>
      </c>
      <c r="B759" s="3" t="str">
        <f ca="1">IFERROR(__xludf.DUMMYFUNCTION("SPLIT(A759,""/"")"),"open-mmlab")</f>
        <v>open-mmlab</v>
      </c>
      <c r="C759" s="3" t="str">
        <f ca="1">IFERROR(__xludf.DUMMYFUNCTION("""COMPUTED_VALUE"""),"mmsegmentation")</f>
        <v>mmsegmentation</v>
      </c>
      <c r="D759" s="4" t="s">
        <v>1578</v>
      </c>
      <c r="E759" s="5">
        <v>43996.189270833333</v>
      </c>
      <c r="F759" s="5">
        <v>44295.150717592594</v>
      </c>
      <c r="G759" s="13">
        <f t="shared" si="66"/>
        <v>298.96144675926189</v>
      </c>
      <c r="H759" s="6" t="b">
        <v>0</v>
      </c>
      <c r="I759" s="7" t="b">
        <v>1</v>
      </c>
      <c r="J759" s="8">
        <v>1572</v>
      </c>
      <c r="K759" s="8">
        <v>40</v>
      </c>
      <c r="L759" s="8">
        <v>362</v>
      </c>
      <c r="M759" s="8">
        <v>7</v>
      </c>
      <c r="N759" s="8">
        <v>0</v>
      </c>
      <c r="O759" s="8">
        <v>28</v>
      </c>
      <c r="P759" s="8">
        <v>158</v>
      </c>
      <c r="Q759" s="8">
        <v>19</v>
      </c>
      <c r="R759" s="8">
        <v>305</v>
      </c>
      <c r="S759" s="8">
        <v>58</v>
      </c>
      <c r="T759" s="3" t="s">
        <v>69</v>
      </c>
      <c r="U759" s="10">
        <v>10630</v>
      </c>
      <c r="V759" s="32">
        <v>12</v>
      </c>
      <c r="W759" s="27">
        <v>1.1288805268109125E-3</v>
      </c>
      <c r="X759" s="34">
        <v>0</v>
      </c>
      <c r="Y759" s="27">
        <v>0</v>
      </c>
      <c r="Z759" s="27">
        <v>0</v>
      </c>
      <c r="AA759" s="35">
        <v>6</v>
      </c>
      <c r="AB759" s="27">
        <v>0.5</v>
      </c>
      <c r="AC759" s="27">
        <f t="shared" si="67"/>
        <v>5.6444026340545623E-4</v>
      </c>
      <c r="AD759" s="36">
        <v>6</v>
      </c>
      <c r="AE759" s="27">
        <v>0.5</v>
      </c>
      <c r="AF759" s="27">
        <f t="shared" si="68"/>
        <v>5.6444026340545623E-4</v>
      </c>
      <c r="AG759" s="37">
        <v>0</v>
      </c>
      <c r="AH759" s="27">
        <v>0</v>
      </c>
      <c r="AI759" s="27">
        <f t="shared" si="69"/>
        <v>0</v>
      </c>
      <c r="AJ759" s="38">
        <v>0</v>
      </c>
      <c r="AK759" s="27">
        <v>0</v>
      </c>
      <c r="AL759" s="27">
        <f t="shared" si="70"/>
        <v>0</v>
      </c>
      <c r="AM759" s="40">
        <v>0</v>
      </c>
      <c r="AN759" s="27">
        <v>0</v>
      </c>
      <c r="AO759" s="27">
        <f t="shared" si="71"/>
        <v>0</v>
      </c>
      <c r="AP759" s="7" t="b">
        <v>1</v>
      </c>
      <c r="AQ759" s="6" t="b">
        <v>0</v>
      </c>
      <c r="AR759" s="6" t="b">
        <v>0</v>
      </c>
      <c r="AS759" s="6" t="b">
        <v>0</v>
      </c>
      <c r="AT759" s="7" t="b">
        <v>1</v>
      </c>
      <c r="AU759" s="6" t="b">
        <v>0</v>
      </c>
      <c r="AV759" s="6" t="b">
        <v>0</v>
      </c>
      <c r="AW759" s="6" t="b">
        <v>0</v>
      </c>
      <c r="AX759" s="6" t="b">
        <v>0</v>
      </c>
      <c r="AY759" s="6" t="b">
        <v>0</v>
      </c>
      <c r="AZ759" s="6" t="b">
        <v>0</v>
      </c>
      <c r="BA759" s="6" t="b">
        <v>0</v>
      </c>
      <c r="BB759" s="6" t="b">
        <v>0</v>
      </c>
    </row>
    <row r="760" spans="1:54" ht="15" x14ac:dyDescent="0.25">
      <c r="A760" s="3" t="s">
        <v>1579</v>
      </c>
      <c r="B760" s="3" t="str">
        <f ca="1">IFERROR(__xludf.DUMMYFUNCTION("SPLIT(A760,""/"")"),"open-telemetry")</f>
        <v>open-telemetry</v>
      </c>
      <c r="C760" s="3" t="str">
        <f ca="1">IFERROR(__xludf.DUMMYFUNCTION("""COMPUTED_VALUE"""),"opentelemetry-python")</f>
        <v>opentelemetry-python</v>
      </c>
      <c r="D760" s="4" t="s">
        <v>1580</v>
      </c>
      <c r="E760" s="5">
        <v>43592.884375000001</v>
      </c>
      <c r="F760" s="5">
        <v>44294.89576388889</v>
      </c>
      <c r="G760" s="13">
        <f t="shared" si="66"/>
        <v>702.01138888888818</v>
      </c>
      <c r="H760" s="6" t="b">
        <v>0</v>
      </c>
      <c r="I760" s="7" t="b">
        <v>1</v>
      </c>
      <c r="J760" s="8">
        <v>527</v>
      </c>
      <c r="K760" s="8">
        <v>29</v>
      </c>
      <c r="L760" s="8">
        <v>178</v>
      </c>
      <c r="M760" s="8">
        <v>23</v>
      </c>
      <c r="N760" s="8">
        <v>9</v>
      </c>
      <c r="O760" s="8">
        <v>100</v>
      </c>
      <c r="P760" s="8">
        <v>1016</v>
      </c>
      <c r="Q760" s="8">
        <v>5</v>
      </c>
      <c r="R760" s="8">
        <v>677</v>
      </c>
      <c r="S760" s="8">
        <v>108</v>
      </c>
      <c r="T760" s="3" t="s">
        <v>69</v>
      </c>
      <c r="U760" s="10">
        <v>14276</v>
      </c>
      <c r="V760" s="32">
        <v>84</v>
      </c>
      <c r="W760" s="27">
        <v>5.884001120762118E-3</v>
      </c>
      <c r="X760" s="34">
        <v>6</v>
      </c>
      <c r="Y760" s="27">
        <v>7.1428571428571425E-2</v>
      </c>
      <c r="Z760" s="27">
        <v>4.2028579434015128E-4</v>
      </c>
      <c r="AA760" s="35">
        <v>11</v>
      </c>
      <c r="AB760" s="27">
        <v>0.13095238095238096</v>
      </c>
      <c r="AC760" s="27">
        <f t="shared" si="67"/>
        <v>7.7052395629027739E-4</v>
      </c>
      <c r="AD760" s="36">
        <v>34</v>
      </c>
      <c r="AE760" s="27">
        <v>0.40476190476190477</v>
      </c>
      <c r="AF760" s="27">
        <f t="shared" si="68"/>
        <v>2.3816195012608572E-3</v>
      </c>
      <c r="AG760" s="37">
        <v>29</v>
      </c>
      <c r="AH760" s="27">
        <v>0.34523809523809523</v>
      </c>
      <c r="AI760" s="27">
        <f t="shared" si="69"/>
        <v>2.0313813393107315E-3</v>
      </c>
      <c r="AJ760" s="38">
        <v>0</v>
      </c>
      <c r="AK760" s="27">
        <v>0</v>
      </c>
      <c r="AL760" s="27">
        <f t="shared" si="70"/>
        <v>0</v>
      </c>
      <c r="AM760" s="40">
        <v>4</v>
      </c>
      <c r="AN760" s="27">
        <v>4.7619047619047616E-2</v>
      </c>
      <c r="AO760" s="27">
        <f t="shared" si="71"/>
        <v>2.8019052956010089E-4</v>
      </c>
      <c r="AP760" s="6" t="b">
        <v>0</v>
      </c>
      <c r="AQ760" s="7" t="b">
        <v>1</v>
      </c>
      <c r="AR760" s="6" t="b">
        <v>0</v>
      </c>
      <c r="AS760" s="6" t="b">
        <v>0</v>
      </c>
      <c r="AT760" s="7" t="b">
        <v>1</v>
      </c>
      <c r="AU760" s="6" t="b">
        <v>0</v>
      </c>
      <c r="AV760" s="6" t="b">
        <v>0</v>
      </c>
      <c r="AW760" s="6" t="b">
        <v>0</v>
      </c>
      <c r="AX760" s="6" t="b">
        <v>0</v>
      </c>
      <c r="AY760" s="6" t="b">
        <v>0</v>
      </c>
      <c r="AZ760" s="6" t="b">
        <v>0</v>
      </c>
      <c r="BA760" s="6" t="b">
        <v>0</v>
      </c>
      <c r="BB760" s="6" t="b">
        <v>0</v>
      </c>
    </row>
    <row r="761" spans="1:54" ht="15" x14ac:dyDescent="0.25">
      <c r="A761" s="3" t="s">
        <v>1581</v>
      </c>
      <c r="B761" s="3" t="str">
        <f ca="1">IFERROR(__xludf.DUMMYFUNCTION("SPLIT(A761,""/"")"),"openai")</f>
        <v>openai</v>
      </c>
      <c r="C761" s="3" t="str">
        <f ca="1">IFERROR(__xludf.DUMMYFUNCTION("""COMPUTED_VALUE"""),"baselines")</f>
        <v>baselines</v>
      </c>
      <c r="D761" s="4" t="s">
        <v>1582</v>
      </c>
      <c r="E761" s="5">
        <v>42879.082094907404</v>
      </c>
      <c r="F761" s="5">
        <v>44295.154895833337</v>
      </c>
      <c r="G761" s="13">
        <f t="shared" si="66"/>
        <v>1416.0728009259328</v>
      </c>
      <c r="H761" s="6" t="b">
        <v>0</v>
      </c>
      <c r="I761" s="7" t="b">
        <v>1</v>
      </c>
      <c r="J761" s="8">
        <v>11348</v>
      </c>
      <c r="K761" s="8">
        <v>567</v>
      </c>
      <c r="L761" s="8">
        <v>3154</v>
      </c>
      <c r="M761" s="8">
        <v>0</v>
      </c>
      <c r="N761" s="8">
        <v>30</v>
      </c>
      <c r="O761" s="8">
        <v>112</v>
      </c>
      <c r="P761" s="8">
        <v>351</v>
      </c>
      <c r="Q761" s="8">
        <v>68</v>
      </c>
      <c r="R761" s="8">
        <v>812</v>
      </c>
      <c r="S761" s="8">
        <v>386</v>
      </c>
      <c r="T761" s="3" t="s">
        <v>72</v>
      </c>
      <c r="U761" s="10">
        <v>10832</v>
      </c>
      <c r="V761" s="32">
        <v>78</v>
      </c>
      <c r="W761" s="27">
        <v>7.2008862629246674E-3</v>
      </c>
      <c r="X761" s="34">
        <v>1</v>
      </c>
      <c r="Y761" s="27">
        <v>1.282051282051282E-2</v>
      </c>
      <c r="Z761" s="27">
        <v>9.2319054652880361E-5</v>
      </c>
      <c r="AA761" s="35">
        <v>28</v>
      </c>
      <c r="AB761" s="27">
        <v>0.35897435897435898</v>
      </c>
      <c r="AC761" s="27">
        <f t="shared" si="67"/>
        <v>2.5849335302806499E-3</v>
      </c>
      <c r="AD761" s="36">
        <v>11</v>
      </c>
      <c r="AE761" s="27">
        <v>0.14102564102564102</v>
      </c>
      <c r="AF761" s="27">
        <f t="shared" si="68"/>
        <v>1.0155096011816838E-3</v>
      </c>
      <c r="AG761" s="37">
        <v>0</v>
      </c>
      <c r="AH761" s="27">
        <v>0</v>
      </c>
      <c r="AI761" s="27">
        <f t="shared" si="69"/>
        <v>0</v>
      </c>
      <c r="AJ761" s="38">
        <v>0</v>
      </c>
      <c r="AK761" s="27">
        <v>0</v>
      </c>
      <c r="AL761" s="27">
        <f t="shared" si="70"/>
        <v>0</v>
      </c>
      <c r="AM761" s="40">
        <v>40</v>
      </c>
      <c r="AN761" s="27">
        <v>0.51282051282051277</v>
      </c>
      <c r="AO761" s="27">
        <f t="shared" si="71"/>
        <v>3.692762186115214E-3</v>
      </c>
      <c r="AP761" s="7" t="b">
        <v>1</v>
      </c>
      <c r="AQ761" s="6" t="b">
        <v>0</v>
      </c>
      <c r="AR761" s="6" t="b">
        <v>0</v>
      </c>
      <c r="AS761" s="6" t="b">
        <v>0</v>
      </c>
      <c r="AT761" s="7" t="b">
        <v>1</v>
      </c>
      <c r="AU761" s="6" t="b">
        <v>0</v>
      </c>
      <c r="AV761" s="6" t="b">
        <v>0</v>
      </c>
      <c r="AW761" s="6" t="b">
        <v>0</v>
      </c>
      <c r="AX761" s="6" t="b">
        <v>0</v>
      </c>
      <c r="AY761" s="6" t="b">
        <v>0</v>
      </c>
      <c r="AZ761" s="6" t="b">
        <v>0</v>
      </c>
      <c r="BA761" s="6" t="b">
        <v>0</v>
      </c>
      <c r="BB761" s="6" t="b">
        <v>0</v>
      </c>
    </row>
    <row r="762" spans="1:54" ht="15" x14ac:dyDescent="0.25">
      <c r="A762" s="3" t="s">
        <v>1583</v>
      </c>
      <c r="B762" s="3" t="str">
        <f ca="1">IFERROR(__xludf.DUMMYFUNCTION("SPLIT(A762,""/"")"),"openai")</f>
        <v>openai</v>
      </c>
      <c r="C762" s="3" t="str">
        <f ca="1">IFERROR(__xludf.DUMMYFUNCTION("""COMPUTED_VALUE"""),"jukebox")</f>
        <v>jukebox</v>
      </c>
      <c r="D762" s="4" t="s">
        <v>1584</v>
      </c>
      <c r="E762" s="5">
        <v>43950.719583333332</v>
      </c>
      <c r="F762" s="5">
        <v>44294.959861111114</v>
      </c>
      <c r="G762" s="13">
        <f t="shared" si="66"/>
        <v>344.24027777778247</v>
      </c>
      <c r="H762" s="6" t="b">
        <v>0</v>
      </c>
      <c r="I762" s="7" t="b">
        <v>1</v>
      </c>
      <c r="J762" s="8">
        <v>4235</v>
      </c>
      <c r="K762" s="8">
        <v>170</v>
      </c>
      <c r="L762" s="8">
        <v>597</v>
      </c>
      <c r="M762" s="8">
        <v>0</v>
      </c>
      <c r="N762" s="8">
        <v>0</v>
      </c>
      <c r="O762" s="8">
        <v>7</v>
      </c>
      <c r="P762" s="8">
        <v>30</v>
      </c>
      <c r="Q762" s="8">
        <v>7</v>
      </c>
      <c r="R762" s="8">
        <v>186</v>
      </c>
      <c r="S762" s="8">
        <v>128</v>
      </c>
      <c r="T762" s="3" t="s">
        <v>92</v>
      </c>
      <c r="U762" s="10">
        <v>15176</v>
      </c>
      <c r="V762" s="32">
        <v>6</v>
      </c>
      <c r="W762" s="27">
        <v>3.9536109646810753E-4</v>
      </c>
      <c r="X762" s="34">
        <v>0</v>
      </c>
      <c r="Y762" s="27">
        <v>0</v>
      </c>
      <c r="Z762" s="27">
        <v>0</v>
      </c>
      <c r="AA762" s="35">
        <v>1</v>
      </c>
      <c r="AB762" s="27">
        <v>0.16666666666666666</v>
      </c>
      <c r="AC762" s="27">
        <f t="shared" si="67"/>
        <v>6.5893516078017927E-5</v>
      </c>
      <c r="AD762" s="36">
        <v>5</v>
      </c>
      <c r="AE762" s="27">
        <v>0.83333333333333337</v>
      </c>
      <c r="AF762" s="27">
        <f t="shared" si="68"/>
        <v>3.2946758039008962E-4</v>
      </c>
      <c r="AG762" s="37">
        <v>0</v>
      </c>
      <c r="AH762" s="27">
        <v>0</v>
      </c>
      <c r="AI762" s="27">
        <f t="shared" si="69"/>
        <v>0</v>
      </c>
      <c r="AJ762" s="38">
        <v>0</v>
      </c>
      <c r="AK762" s="27">
        <v>0</v>
      </c>
      <c r="AL762" s="27">
        <f t="shared" si="70"/>
        <v>0</v>
      </c>
      <c r="AM762" s="40">
        <v>0</v>
      </c>
      <c r="AN762" s="27">
        <v>0</v>
      </c>
      <c r="AO762" s="27">
        <f t="shared" si="71"/>
        <v>0</v>
      </c>
      <c r="AP762" s="7" t="b">
        <v>1</v>
      </c>
      <c r="AQ762" s="6" t="b">
        <v>0</v>
      </c>
      <c r="AR762" s="6" t="b">
        <v>0</v>
      </c>
      <c r="AS762" s="6" t="b">
        <v>0</v>
      </c>
      <c r="AT762" s="7" t="b">
        <v>1</v>
      </c>
      <c r="AU762" s="6" t="b">
        <v>0</v>
      </c>
      <c r="AV762" s="6" t="b">
        <v>0</v>
      </c>
      <c r="AW762" s="6" t="b">
        <v>0</v>
      </c>
      <c r="AX762" s="6" t="b">
        <v>0</v>
      </c>
      <c r="AY762" s="6" t="b">
        <v>0</v>
      </c>
      <c r="AZ762" s="6" t="b">
        <v>0</v>
      </c>
      <c r="BA762" s="6" t="b">
        <v>0</v>
      </c>
      <c r="BB762" s="6" t="b">
        <v>0</v>
      </c>
    </row>
    <row r="763" spans="1:54" ht="15" x14ac:dyDescent="0.25">
      <c r="A763" s="3" t="s">
        <v>1585</v>
      </c>
      <c r="B763" s="3" t="str">
        <f ca="1">IFERROR(__xludf.DUMMYFUNCTION("SPLIT(A763,""/"")"),"openai")</f>
        <v>openai</v>
      </c>
      <c r="C763" s="3" t="str">
        <f ca="1">IFERROR(__xludf.DUMMYFUNCTION("""COMPUTED_VALUE"""),"kubernetes-ec2-autoscaler")</f>
        <v>kubernetes-ec2-autoscaler</v>
      </c>
      <c r="D763" s="4" t="s">
        <v>1586</v>
      </c>
      <c r="E763" s="5">
        <v>42432.763993055552</v>
      </c>
      <c r="F763" s="5">
        <v>44278.750949074078</v>
      </c>
      <c r="G763" s="13">
        <f t="shared" si="66"/>
        <v>1845.9869560185252</v>
      </c>
      <c r="H763" s="6" t="b">
        <v>0</v>
      </c>
      <c r="I763" s="7" t="b">
        <v>1</v>
      </c>
      <c r="J763" s="8">
        <v>839</v>
      </c>
      <c r="K763" s="8">
        <v>138</v>
      </c>
      <c r="L763" s="8">
        <v>137</v>
      </c>
      <c r="M763" s="8">
        <v>0</v>
      </c>
      <c r="N763" s="8">
        <v>2</v>
      </c>
      <c r="O763" s="8">
        <v>19</v>
      </c>
      <c r="P763" s="8">
        <v>84</v>
      </c>
      <c r="Q763" s="8">
        <v>0</v>
      </c>
      <c r="R763" s="8">
        <v>0</v>
      </c>
      <c r="S763" s="8">
        <v>0</v>
      </c>
      <c r="T763" s="3" t="s">
        <v>72</v>
      </c>
      <c r="U763" s="10">
        <v>2560</v>
      </c>
      <c r="V763" s="32">
        <v>102</v>
      </c>
      <c r="W763" s="27">
        <v>3.9843749999999997E-2</v>
      </c>
      <c r="X763" s="34">
        <v>22</v>
      </c>
      <c r="Y763" s="27">
        <v>0.21568627450980393</v>
      </c>
      <c r="Z763" s="27">
        <v>8.5937500000000007E-3</v>
      </c>
      <c r="AA763" s="35">
        <v>47</v>
      </c>
      <c r="AB763" s="27">
        <v>0.46078431372549017</v>
      </c>
      <c r="AC763" s="27">
        <f t="shared" si="67"/>
        <v>1.8359375000000001E-2</v>
      </c>
      <c r="AD763" s="36">
        <v>21</v>
      </c>
      <c r="AE763" s="27">
        <v>0.20588235294117646</v>
      </c>
      <c r="AF763" s="27">
        <f t="shared" si="68"/>
        <v>8.2031250000000003E-3</v>
      </c>
      <c r="AG763" s="37">
        <v>5</v>
      </c>
      <c r="AH763" s="27">
        <v>4.9019607843137254E-2</v>
      </c>
      <c r="AI763" s="27">
        <f t="shared" si="69"/>
        <v>1.953125E-3</v>
      </c>
      <c r="AJ763" s="38">
        <v>6</v>
      </c>
      <c r="AK763" s="27">
        <v>5.8823529411764705E-2</v>
      </c>
      <c r="AL763" s="27">
        <f t="shared" si="70"/>
        <v>2.3437499999999999E-3</v>
      </c>
      <c r="AM763" s="40">
        <v>0</v>
      </c>
      <c r="AN763" s="27">
        <v>0</v>
      </c>
      <c r="AO763" s="27">
        <f t="shared" si="71"/>
        <v>0</v>
      </c>
      <c r="AP763" s="7" t="b">
        <v>1</v>
      </c>
      <c r="AQ763" s="6" t="b">
        <v>0</v>
      </c>
      <c r="AR763" s="6" t="b">
        <v>0</v>
      </c>
      <c r="AS763" s="6" t="b">
        <v>0</v>
      </c>
      <c r="AT763" s="7" t="b">
        <v>1</v>
      </c>
      <c r="AU763" s="6" t="b">
        <v>0</v>
      </c>
      <c r="AV763" s="6" t="b">
        <v>0</v>
      </c>
      <c r="AW763" s="6" t="b">
        <v>0</v>
      </c>
      <c r="AX763" s="6" t="b">
        <v>0</v>
      </c>
      <c r="AY763" s="6" t="b">
        <v>0</v>
      </c>
      <c r="AZ763" s="6" t="b">
        <v>0</v>
      </c>
      <c r="BA763" s="6" t="b">
        <v>0</v>
      </c>
      <c r="BB763" s="6" t="b">
        <v>0</v>
      </c>
    </row>
    <row r="764" spans="1:54" ht="15" x14ac:dyDescent="0.25">
      <c r="A764" s="3" t="s">
        <v>1587</v>
      </c>
      <c r="B764" s="3" t="str">
        <f ca="1">IFERROR(__xludf.DUMMYFUNCTION("SPLIT(A764,""/"")"),"openai")</f>
        <v>openai</v>
      </c>
      <c r="C764" s="3" t="str">
        <f ca="1">IFERROR(__xludf.DUMMYFUNCTION("""COMPUTED_VALUE"""),"mlsh")</f>
        <v>mlsh</v>
      </c>
      <c r="D764" s="4" t="s">
        <v>1588</v>
      </c>
      <c r="E764" s="5">
        <v>43034.283321759256</v>
      </c>
      <c r="F764" s="5">
        <v>44270.029872685183</v>
      </c>
      <c r="G764" s="13">
        <f t="shared" si="66"/>
        <v>1235.7465509259273</v>
      </c>
      <c r="H764" s="6" t="b">
        <v>0</v>
      </c>
      <c r="I764" s="7" t="b">
        <v>1</v>
      </c>
      <c r="J764" s="8">
        <v>548</v>
      </c>
      <c r="K764" s="8">
        <v>43</v>
      </c>
      <c r="L764" s="8">
        <v>138</v>
      </c>
      <c r="M764" s="8">
        <v>0</v>
      </c>
      <c r="N764" s="8">
        <v>0</v>
      </c>
      <c r="O764" s="8">
        <v>3</v>
      </c>
      <c r="P764" s="8">
        <v>8</v>
      </c>
      <c r="Q764" s="8">
        <v>4</v>
      </c>
      <c r="R764" s="8">
        <v>14</v>
      </c>
      <c r="S764" s="8">
        <v>12</v>
      </c>
      <c r="T764" s="11" t="s">
        <v>52</v>
      </c>
      <c r="U764" s="10">
        <v>12079</v>
      </c>
      <c r="V764" s="32">
        <v>64</v>
      </c>
      <c r="W764" s="27">
        <v>5.2984518585975663E-3</v>
      </c>
      <c r="X764" s="34">
        <v>13</v>
      </c>
      <c r="Y764" s="27">
        <v>0.203125</v>
      </c>
      <c r="Z764" s="27">
        <v>1.0762480337776306E-3</v>
      </c>
      <c r="AA764" s="35">
        <v>27</v>
      </c>
      <c r="AB764" s="27">
        <v>0.421875</v>
      </c>
      <c r="AC764" s="27">
        <f t="shared" si="67"/>
        <v>2.2352843778458481E-3</v>
      </c>
      <c r="AD764" s="36">
        <v>18</v>
      </c>
      <c r="AE764" s="27">
        <v>0.28125</v>
      </c>
      <c r="AF764" s="27">
        <f t="shared" si="68"/>
        <v>1.4901895852305655E-3</v>
      </c>
      <c r="AG764" s="37">
        <v>5</v>
      </c>
      <c r="AH764" s="27">
        <v>7.8125E-2</v>
      </c>
      <c r="AI764" s="27">
        <f t="shared" si="69"/>
        <v>4.1394155145293483E-4</v>
      </c>
      <c r="AJ764" s="38">
        <v>0</v>
      </c>
      <c r="AK764" s="27">
        <v>0</v>
      </c>
      <c r="AL764" s="27">
        <f t="shared" si="70"/>
        <v>0</v>
      </c>
      <c r="AM764" s="40">
        <v>1</v>
      </c>
      <c r="AN764" s="27">
        <v>1.5625E-2</v>
      </c>
      <c r="AO764" s="27">
        <f t="shared" si="71"/>
        <v>8.2788310290586974E-5</v>
      </c>
      <c r="AP764" s="7" t="b">
        <v>1</v>
      </c>
      <c r="AQ764" s="6" t="b">
        <v>0</v>
      </c>
      <c r="AR764" s="6" t="b">
        <v>0</v>
      </c>
      <c r="AS764" s="6" t="b">
        <v>0</v>
      </c>
      <c r="AT764" s="7" t="b">
        <v>1</v>
      </c>
      <c r="AU764" s="6" t="b">
        <v>0</v>
      </c>
      <c r="AV764" s="6" t="b">
        <v>0</v>
      </c>
      <c r="AW764" s="6" t="b">
        <v>0</v>
      </c>
      <c r="AX764" s="6" t="b">
        <v>0</v>
      </c>
      <c r="AY764" s="6" t="b">
        <v>0</v>
      </c>
      <c r="AZ764" s="6" t="b">
        <v>0</v>
      </c>
      <c r="BA764" s="6" t="b">
        <v>0</v>
      </c>
      <c r="BB764" s="6" t="b">
        <v>0</v>
      </c>
    </row>
    <row r="765" spans="1:54" ht="15" x14ac:dyDescent="0.25">
      <c r="A765" s="3" t="s">
        <v>1589</v>
      </c>
      <c r="B765" s="3" t="str">
        <f ca="1">IFERROR(__xludf.DUMMYFUNCTION("SPLIT(A765,""/"")"),"openai")</f>
        <v>openai</v>
      </c>
      <c r="C765" s="3" t="str">
        <f ca="1">IFERROR(__xludf.DUMMYFUNCTION("""COMPUTED_VALUE"""),"universe")</f>
        <v>universe</v>
      </c>
      <c r="D765" s="4" t="s">
        <v>1590</v>
      </c>
      <c r="E765" s="5">
        <v>42708.912210648145</v>
      </c>
      <c r="F765" s="5">
        <v>44294.225243055553</v>
      </c>
      <c r="G765" s="13">
        <f t="shared" si="66"/>
        <v>1585.3130324074082</v>
      </c>
      <c r="H765" s="6" t="b">
        <v>0</v>
      </c>
      <c r="I765" s="7" t="b">
        <v>1</v>
      </c>
      <c r="J765" s="8">
        <v>7258</v>
      </c>
      <c r="K765" s="8">
        <v>477</v>
      </c>
      <c r="L765" s="8">
        <v>875</v>
      </c>
      <c r="M765" s="8">
        <v>2</v>
      </c>
      <c r="N765" s="8">
        <v>3</v>
      </c>
      <c r="O765" s="8">
        <v>23</v>
      </c>
      <c r="P765" s="8">
        <v>43</v>
      </c>
      <c r="Q765" s="8">
        <v>0</v>
      </c>
      <c r="R765" s="8">
        <v>193</v>
      </c>
      <c r="S765" s="8">
        <v>0</v>
      </c>
      <c r="T765" s="3" t="s">
        <v>72</v>
      </c>
      <c r="U765" s="10">
        <v>9389</v>
      </c>
      <c r="V765" s="32">
        <v>243</v>
      </c>
      <c r="W765" s="27">
        <v>2.5881350516561933E-2</v>
      </c>
      <c r="X765" s="34">
        <v>55</v>
      </c>
      <c r="Y765" s="27">
        <v>0.22633744855967078</v>
      </c>
      <c r="Z765" s="27">
        <v>5.8579188411971459E-3</v>
      </c>
      <c r="AA765" s="35">
        <v>154</v>
      </c>
      <c r="AB765" s="27">
        <v>0.63374485596707819</v>
      </c>
      <c r="AC765" s="27">
        <f t="shared" si="67"/>
        <v>1.6402172755352006E-2</v>
      </c>
      <c r="AD765" s="36">
        <v>12</v>
      </c>
      <c r="AE765" s="27">
        <v>4.9382716049382713E-2</v>
      </c>
      <c r="AF765" s="27">
        <f t="shared" si="68"/>
        <v>1.2780913835339226E-3</v>
      </c>
      <c r="AG765" s="37">
        <v>22</v>
      </c>
      <c r="AH765" s="27">
        <v>9.0534979423868317E-2</v>
      </c>
      <c r="AI765" s="27">
        <f t="shared" si="69"/>
        <v>2.343167536478858E-3</v>
      </c>
      <c r="AJ765" s="38">
        <v>0</v>
      </c>
      <c r="AK765" s="27">
        <v>0</v>
      </c>
      <c r="AL765" s="27">
        <f t="shared" si="70"/>
        <v>0</v>
      </c>
      <c r="AM765" s="40">
        <v>0</v>
      </c>
      <c r="AN765" s="27">
        <v>0</v>
      </c>
      <c r="AO765" s="27">
        <f t="shared" si="71"/>
        <v>0</v>
      </c>
      <c r="AP765" s="7" t="b">
        <v>1</v>
      </c>
      <c r="AQ765" s="6" t="b">
        <v>0</v>
      </c>
      <c r="AR765" s="6" t="b">
        <v>0</v>
      </c>
      <c r="AS765" s="6" t="b">
        <v>0</v>
      </c>
      <c r="AT765" s="7" t="b">
        <v>1</v>
      </c>
      <c r="AU765" s="6" t="b">
        <v>0</v>
      </c>
      <c r="AV765" s="6" t="b">
        <v>0</v>
      </c>
      <c r="AW765" s="6" t="b">
        <v>0</v>
      </c>
      <c r="AX765" s="6" t="b">
        <v>0</v>
      </c>
      <c r="AY765" s="6" t="b">
        <v>0</v>
      </c>
      <c r="AZ765" s="6" t="b">
        <v>0</v>
      </c>
      <c r="BA765" s="6" t="b">
        <v>0</v>
      </c>
      <c r="BB765" s="6" t="b">
        <v>0</v>
      </c>
    </row>
    <row r="766" spans="1:54" ht="15" x14ac:dyDescent="0.25">
      <c r="A766" s="3" t="s">
        <v>1591</v>
      </c>
      <c r="B766" s="3" t="str">
        <f ca="1">IFERROR(__xludf.DUMMYFUNCTION("SPLIT(A766,""/"")"),"openbmc")</f>
        <v>openbmc</v>
      </c>
      <c r="C766" s="3" t="str">
        <f ca="1">IFERROR(__xludf.DUMMYFUNCTION("""COMPUTED_VALUE"""),"openbmc")</f>
        <v>openbmc</v>
      </c>
      <c r="D766" s="4" t="s">
        <v>1592</v>
      </c>
      <c r="E766" s="5">
        <v>42262.827569444446</v>
      </c>
      <c r="F766" s="5">
        <v>44295.166956018518</v>
      </c>
      <c r="G766" s="13">
        <f t="shared" si="66"/>
        <v>2032.3393865740727</v>
      </c>
      <c r="H766" s="6" t="b">
        <v>0</v>
      </c>
      <c r="I766" s="7" t="b">
        <v>1</v>
      </c>
      <c r="J766" s="8">
        <v>778</v>
      </c>
      <c r="K766" s="8">
        <v>216</v>
      </c>
      <c r="L766" s="8">
        <v>427</v>
      </c>
      <c r="M766" s="8">
        <v>19</v>
      </c>
      <c r="N766" s="8">
        <v>20</v>
      </c>
      <c r="O766" s="8">
        <v>184</v>
      </c>
      <c r="P766" s="8">
        <v>268</v>
      </c>
      <c r="Q766" s="8">
        <v>0</v>
      </c>
      <c r="R766" s="8">
        <v>3507</v>
      </c>
      <c r="S766" s="8">
        <v>64</v>
      </c>
      <c r="T766" s="3" t="s">
        <v>92</v>
      </c>
      <c r="U766" s="10">
        <v>100355</v>
      </c>
      <c r="V766" s="32">
        <v>1755</v>
      </c>
      <c r="W766" s="27">
        <v>1.7487917891485228E-2</v>
      </c>
      <c r="X766" s="34">
        <v>526</v>
      </c>
      <c r="Y766" s="27">
        <v>0.29971509971509974</v>
      </c>
      <c r="Z766" s="27">
        <v>5.2413930546559712E-3</v>
      </c>
      <c r="AA766" s="35">
        <v>339</v>
      </c>
      <c r="AB766" s="27">
        <v>0.19316239316239317</v>
      </c>
      <c r="AC766" s="27">
        <f t="shared" si="67"/>
        <v>3.3780080713467189E-3</v>
      </c>
      <c r="AD766" s="36">
        <v>317</v>
      </c>
      <c r="AE766" s="27">
        <v>0.18062678062678061</v>
      </c>
      <c r="AF766" s="27">
        <f t="shared" si="68"/>
        <v>3.1587863086044543E-3</v>
      </c>
      <c r="AG766" s="37">
        <v>388</v>
      </c>
      <c r="AH766" s="27">
        <v>0.22108262108262108</v>
      </c>
      <c r="AI766" s="27">
        <f t="shared" si="69"/>
        <v>3.8662747247272182E-3</v>
      </c>
      <c r="AJ766" s="38">
        <v>173</v>
      </c>
      <c r="AK766" s="27">
        <v>9.8575498575498577E-2</v>
      </c>
      <c r="AL766" s="27">
        <f t="shared" si="70"/>
        <v>1.723880225200538E-3</v>
      </c>
      <c r="AM766" s="40">
        <v>9</v>
      </c>
      <c r="AN766" s="27">
        <v>5.1282051282051282E-3</v>
      </c>
      <c r="AO766" s="27">
        <f t="shared" si="71"/>
        <v>8.9681630212744753E-5</v>
      </c>
      <c r="AP766" s="7" t="b">
        <v>1</v>
      </c>
      <c r="AQ766" s="6" t="b">
        <v>0</v>
      </c>
      <c r="AR766" s="6" t="b">
        <v>0</v>
      </c>
      <c r="AS766" s="6" t="b">
        <v>0</v>
      </c>
      <c r="AT766" s="7" t="b">
        <v>1</v>
      </c>
      <c r="AU766" s="6" t="b">
        <v>0</v>
      </c>
      <c r="AV766" s="6" t="b">
        <v>0</v>
      </c>
      <c r="AW766" s="6" t="b">
        <v>0</v>
      </c>
      <c r="AX766" s="6" t="b">
        <v>0</v>
      </c>
      <c r="AY766" s="6" t="b">
        <v>0</v>
      </c>
      <c r="AZ766" s="6" t="b">
        <v>0</v>
      </c>
      <c r="BA766" s="6" t="b">
        <v>0</v>
      </c>
      <c r="BB766" s="6" t="b">
        <v>0</v>
      </c>
    </row>
    <row r="767" spans="1:54" ht="15" x14ac:dyDescent="0.25">
      <c r="A767" s="3" t="s">
        <v>1593</v>
      </c>
      <c r="B767" s="3" t="str">
        <f ca="1">IFERROR(__xludf.DUMMYFUNCTION("SPLIT(A767,""/"")"),"OpenDroneMap")</f>
        <v>OpenDroneMap</v>
      </c>
      <c r="C767" s="3" t="str">
        <f ca="1">IFERROR(__xludf.DUMMYFUNCTION("""COMPUTED_VALUE"""),"ODM")</f>
        <v>ODM</v>
      </c>
      <c r="D767" s="4" t="s">
        <v>1594</v>
      </c>
      <c r="E767" s="5">
        <v>41907.770254629628</v>
      </c>
      <c r="F767" s="5">
        <v>44295.153067129628</v>
      </c>
      <c r="G767" s="13">
        <f t="shared" si="66"/>
        <v>2387.3828125</v>
      </c>
      <c r="H767" s="6" t="b">
        <v>0</v>
      </c>
      <c r="I767" s="7" t="b">
        <v>1</v>
      </c>
      <c r="J767" s="8">
        <v>3035</v>
      </c>
      <c r="K767" s="8">
        <v>246</v>
      </c>
      <c r="L767" s="8">
        <v>768</v>
      </c>
      <c r="M767" s="8">
        <v>22</v>
      </c>
      <c r="N767" s="8">
        <v>30</v>
      </c>
      <c r="O767" s="8">
        <v>83</v>
      </c>
      <c r="P767" s="8">
        <v>469</v>
      </c>
      <c r="Q767" s="8">
        <v>1</v>
      </c>
      <c r="R767" s="8">
        <v>789</v>
      </c>
      <c r="S767" s="8">
        <v>49</v>
      </c>
      <c r="T767" s="3" t="s">
        <v>366</v>
      </c>
      <c r="U767" s="10">
        <v>8127</v>
      </c>
      <c r="V767" s="32">
        <v>7</v>
      </c>
      <c r="W767" s="27">
        <v>8.6132644272179156E-4</v>
      </c>
      <c r="X767" s="34">
        <v>1</v>
      </c>
      <c r="Y767" s="27">
        <v>0.14285714285714285</v>
      </c>
      <c r="Z767" s="27">
        <v>1.2304663467454166E-4</v>
      </c>
      <c r="AA767" s="35">
        <v>1</v>
      </c>
      <c r="AB767" s="27">
        <v>0.14285714285714285</v>
      </c>
      <c r="AC767" s="27">
        <f t="shared" si="67"/>
        <v>1.2304663467454166E-4</v>
      </c>
      <c r="AD767" s="36">
        <v>1</v>
      </c>
      <c r="AE767" s="27">
        <v>0.14285714285714285</v>
      </c>
      <c r="AF767" s="27">
        <f t="shared" si="68"/>
        <v>1.2304663467454166E-4</v>
      </c>
      <c r="AG767" s="37">
        <v>2</v>
      </c>
      <c r="AH767" s="27">
        <v>0.2857142857142857</v>
      </c>
      <c r="AI767" s="27">
        <f t="shared" si="69"/>
        <v>2.4609326934908331E-4</v>
      </c>
      <c r="AJ767" s="38">
        <v>2</v>
      </c>
      <c r="AK767" s="27">
        <v>0.2857142857142857</v>
      </c>
      <c r="AL767" s="27">
        <f t="shared" si="70"/>
        <v>2.4609326934908331E-4</v>
      </c>
      <c r="AM767" s="40">
        <v>0</v>
      </c>
      <c r="AN767" s="27">
        <v>0</v>
      </c>
      <c r="AO767" s="27">
        <f t="shared" si="71"/>
        <v>0</v>
      </c>
      <c r="AP767" s="7" t="b">
        <v>1</v>
      </c>
      <c r="AQ767" s="6" t="b">
        <v>0</v>
      </c>
      <c r="AR767" s="6" t="b">
        <v>0</v>
      </c>
      <c r="AS767" s="6" t="b">
        <v>0</v>
      </c>
      <c r="AT767" s="7" t="b">
        <v>1</v>
      </c>
      <c r="AU767" s="6" t="b">
        <v>0</v>
      </c>
      <c r="AV767" s="6" t="b">
        <v>0</v>
      </c>
      <c r="AW767" s="6" t="b">
        <v>0</v>
      </c>
      <c r="AX767" s="6" t="b">
        <v>0</v>
      </c>
      <c r="AY767" s="6" t="b">
        <v>0</v>
      </c>
      <c r="AZ767" s="6" t="b">
        <v>0</v>
      </c>
      <c r="BA767" s="6" t="b">
        <v>0</v>
      </c>
      <c r="BB767" s="6" t="b">
        <v>0</v>
      </c>
    </row>
    <row r="768" spans="1:54" ht="15" x14ac:dyDescent="0.25">
      <c r="A768" s="3" t="s">
        <v>1595</v>
      </c>
      <c r="B768" s="3" t="str">
        <f ca="1">IFERROR(__xludf.DUMMYFUNCTION("SPLIT(A768,""/"")"),"OpenGeoscience")</f>
        <v>OpenGeoscience</v>
      </c>
      <c r="C768" s="3" t="str">
        <f ca="1">IFERROR(__xludf.DUMMYFUNCTION("""COMPUTED_VALUE"""),"geonotebook")</f>
        <v>geonotebook</v>
      </c>
      <c r="D768" s="4" t="s">
        <v>1596</v>
      </c>
      <c r="E768" s="5">
        <v>42577.825520833336</v>
      </c>
      <c r="F768" s="5">
        <v>44295.148287037038</v>
      </c>
      <c r="G768" s="13">
        <f t="shared" si="66"/>
        <v>1717.3227662037025</v>
      </c>
      <c r="H768" s="6" t="b">
        <v>0</v>
      </c>
      <c r="I768" s="7" t="b">
        <v>1</v>
      </c>
      <c r="J768" s="8">
        <v>1011</v>
      </c>
      <c r="K768" s="8">
        <v>66</v>
      </c>
      <c r="L768" s="8">
        <v>136</v>
      </c>
      <c r="M768" s="8">
        <v>0</v>
      </c>
      <c r="N768" s="8">
        <v>0</v>
      </c>
      <c r="O768" s="8">
        <v>7</v>
      </c>
      <c r="P768" s="8">
        <v>90</v>
      </c>
      <c r="Q768" s="8">
        <v>2</v>
      </c>
      <c r="R768" s="8">
        <v>83</v>
      </c>
      <c r="S768" s="8">
        <v>37</v>
      </c>
      <c r="T768" s="3" t="s">
        <v>69</v>
      </c>
      <c r="U768" s="10">
        <v>8489</v>
      </c>
      <c r="V768" s="32">
        <v>35</v>
      </c>
      <c r="W768" s="27">
        <v>4.1229826834727297E-3</v>
      </c>
      <c r="X768" s="34">
        <v>0</v>
      </c>
      <c r="Y768" s="27">
        <v>0</v>
      </c>
      <c r="Z768" s="27">
        <v>0</v>
      </c>
      <c r="AA768" s="35">
        <v>9</v>
      </c>
      <c r="AB768" s="27">
        <v>0.25714285714285712</v>
      </c>
      <c r="AC768" s="27">
        <f t="shared" si="67"/>
        <v>1.0601955471787018E-3</v>
      </c>
      <c r="AD768" s="36">
        <v>16</v>
      </c>
      <c r="AE768" s="27">
        <v>0.45714285714285713</v>
      </c>
      <c r="AF768" s="27">
        <f t="shared" si="68"/>
        <v>1.8847920838732477E-3</v>
      </c>
      <c r="AG768" s="37">
        <v>10</v>
      </c>
      <c r="AH768" s="27">
        <v>0.2857142857142857</v>
      </c>
      <c r="AI768" s="27">
        <f t="shared" si="69"/>
        <v>1.1779950524207798E-3</v>
      </c>
      <c r="AJ768" s="38">
        <v>0</v>
      </c>
      <c r="AK768" s="27">
        <v>0</v>
      </c>
      <c r="AL768" s="27">
        <f t="shared" si="70"/>
        <v>0</v>
      </c>
      <c r="AM768" s="40">
        <v>0</v>
      </c>
      <c r="AN768" s="27">
        <v>0</v>
      </c>
      <c r="AO768" s="27">
        <f t="shared" si="71"/>
        <v>0</v>
      </c>
      <c r="AP768" s="7" t="b">
        <v>1</v>
      </c>
      <c r="AQ768" s="6" t="b">
        <v>0</v>
      </c>
      <c r="AR768" s="6" t="b">
        <v>0</v>
      </c>
      <c r="AS768" s="6" t="b">
        <v>0</v>
      </c>
      <c r="AT768" s="7" t="b">
        <v>1</v>
      </c>
      <c r="AU768" s="6" t="b">
        <v>0</v>
      </c>
      <c r="AV768" s="6" t="b">
        <v>0</v>
      </c>
      <c r="AW768" s="6" t="b">
        <v>0</v>
      </c>
      <c r="AX768" s="6" t="b">
        <v>0</v>
      </c>
      <c r="AY768" s="6" t="b">
        <v>0</v>
      </c>
      <c r="AZ768" s="6" t="b">
        <v>0</v>
      </c>
      <c r="BA768" s="6" t="b">
        <v>0</v>
      </c>
      <c r="BB768" s="6" t="b">
        <v>0</v>
      </c>
    </row>
    <row r="769" spans="1:54" ht="15" x14ac:dyDescent="0.25">
      <c r="A769" s="3" t="s">
        <v>1597</v>
      </c>
      <c r="B769" s="3" t="str">
        <f ca="1">IFERROR(__xludf.DUMMYFUNCTION("SPLIT(A769,""/"")"),"OpenIDC")</f>
        <v>OpenIDC</v>
      </c>
      <c r="C769" s="3" t="str">
        <f ca="1">IFERROR(__xludf.DUMMYFUNCTION("""COMPUTED_VALUE"""),"pyoidc")</f>
        <v>pyoidc</v>
      </c>
      <c r="D769" s="4" t="s">
        <v>1598</v>
      </c>
      <c r="E769" s="5">
        <v>40857.352824074071</v>
      </c>
      <c r="F769" s="5">
        <v>44294.557662037034</v>
      </c>
      <c r="G769" s="13">
        <f t="shared" si="66"/>
        <v>3437.2048379629632</v>
      </c>
      <c r="H769" s="6" t="b">
        <v>0</v>
      </c>
      <c r="I769" s="7" t="b">
        <v>1</v>
      </c>
      <c r="J769" s="8">
        <v>554</v>
      </c>
      <c r="K769" s="8">
        <v>28</v>
      </c>
      <c r="L769" s="8">
        <v>189</v>
      </c>
      <c r="M769" s="8">
        <v>26</v>
      </c>
      <c r="N769" s="8">
        <v>13</v>
      </c>
      <c r="O769" s="8">
        <v>45</v>
      </c>
      <c r="P769" s="8">
        <v>483</v>
      </c>
      <c r="Q769" s="8">
        <v>9</v>
      </c>
      <c r="R769" s="8">
        <v>291</v>
      </c>
      <c r="S769" s="8">
        <v>48</v>
      </c>
      <c r="T769" s="3" t="s">
        <v>92</v>
      </c>
      <c r="U769" s="10">
        <v>25036</v>
      </c>
      <c r="V769" s="32">
        <v>395</v>
      </c>
      <c r="W769" s="27">
        <v>1.5777280715769292E-2</v>
      </c>
      <c r="X769" s="34">
        <v>155</v>
      </c>
      <c r="Y769" s="27">
        <v>0.39240506329113922</v>
      </c>
      <c r="Z769" s="27">
        <v>6.1910848378335199E-3</v>
      </c>
      <c r="AA769" s="35">
        <v>82</v>
      </c>
      <c r="AB769" s="27">
        <v>0.20759493670886076</v>
      </c>
      <c r="AC769" s="27">
        <f t="shared" si="67"/>
        <v>3.2752835916280555E-3</v>
      </c>
      <c r="AD769" s="36">
        <v>61</v>
      </c>
      <c r="AE769" s="27">
        <v>0.15443037974683543</v>
      </c>
      <c r="AF769" s="27">
        <f t="shared" si="68"/>
        <v>2.4364914523086756E-3</v>
      </c>
      <c r="AG769" s="37">
        <v>96</v>
      </c>
      <c r="AH769" s="27">
        <v>0.24303797468354429</v>
      </c>
      <c r="AI769" s="27">
        <f t="shared" si="69"/>
        <v>3.8344783511743089E-3</v>
      </c>
      <c r="AJ769" s="38">
        <v>1</v>
      </c>
      <c r="AK769" s="27">
        <v>2.5316455696202532E-3</v>
      </c>
      <c r="AL769" s="27">
        <f t="shared" si="70"/>
        <v>3.9942482824732382E-5</v>
      </c>
      <c r="AM769" s="40">
        <v>0</v>
      </c>
      <c r="AN769" s="27">
        <v>0</v>
      </c>
      <c r="AO769" s="27">
        <f t="shared" si="71"/>
        <v>0</v>
      </c>
      <c r="AP769" s="7" t="b">
        <v>1</v>
      </c>
      <c r="AQ769" s="7" t="b">
        <v>1</v>
      </c>
      <c r="AR769" s="6" t="b">
        <v>0</v>
      </c>
      <c r="AS769" s="6" t="b">
        <v>0</v>
      </c>
      <c r="AT769" s="7" t="b">
        <v>1</v>
      </c>
      <c r="AU769" s="6" t="b">
        <v>0</v>
      </c>
      <c r="AV769" s="6" t="b">
        <v>0</v>
      </c>
      <c r="AW769" s="6" t="b">
        <v>0</v>
      </c>
      <c r="AX769" s="6" t="b">
        <v>0</v>
      </c>
      <c r="AY769" s="6" t="b">
        <v>0</v>
      </c>
      <c r="AZ769" s="6" t="b">
        <v>0</v>
      </c>
      <c r="BA769" s="6" t="b">
        <v>0</v>
      </c>
      <c r="BB769" s="6" t="b">
        <v>0</v>
      </c>
    </row>
    <row r="770" spans="1:54" ht="15" x14ac:dyDescent="0.25">
      <c r="A770" s="3" t="s">
        <v>1599</v>
      </c>
      <c r="B770" s="3" t="str">
        <f ca="1">IFERROR(__xludf.DUMMYFUNCTION("SPLIT(A770,""/"")"),"OpenMined")</f>
        <v>OpenMined</v>
      </c>
      <c r="C770" s="3" t="str">
        <f ca="1">IFERROR(__xludf.DUMMYFUNCTION("""COMPUTED_VALUE"""),"PyGrid")</f>
        <v>PyGrid</v>
      </c>
      <c r="D770" s="4" t="s">
        <v>1600</v>
      </c>
      <c r="E770" s="5">
        <v>43126.870173611111</v>
      </c>
      <c r="F770" s="5">
        <v>44294.754872685182</v>
      </c>
      <c r="G770" s="13">
        <f t="shared" si="66"/>
        <v>1167.8846990740712</v>
      </c>
      <c r="H770" s="6" t="b">
        <v>0</v>
      </c>
      <c r="I770" s="7" t="b">
        <v>1</v>
      </c>
      <c r="J770" s="8">
        <v>536</v>
      </c>
      <c r="K770" s="8">
        <v>64</v>
      </c>
      <c r="L770" s="8">
        <v>195</v>
      </c>
      <c r="M770" s="8">
        <v>1</v>
      </c>
      <c r="N770" s="8">
        <v>0</v>
      </c>
      <c r="O770" s="8">
        <v>70</v>
      </c>
      <c r="P770" s="8">
        <v>515</v>
      </c>
      <c r="Q770" s="8">
        <v>2</v>
      </c>
      <c r="R770" s="8">
        <v>316</v>
      </c>
      <c r="S770" s="8">
        <v>48</v>
      </c>
      <c r="T770" s="3" t="s">
        <v>69</v>
      </c>
      <c r="U770" s="10">
        <v>15627</v>
      </c>
      <c r="V770" s="32">
        <v>46</v>
      </c>
      <c r="W770" s="27">
        <v>2.9436232162283228E-3</v>
      </c>
      <c r="X770" s="34">
        <v>0</v>
      </c>
      <c r="Y770" s="27">
        <v>0</v>
      </c>
      <c r="Z770" s="27">
        <v>0</v>
      </c>
      <c r="AA770" s="35">
        <v>35</v>
      </c>
      <c r="AB770" s="27">
        <v>0.76086956521739135</v>
      </c>
      <c r="AC770" s="27">
        <f t="shared" si="67"/>
        <v>2.2397133166954628E-3</v>
      </c>
      <c r="AD770" s="36">
        <v>7</v>
      </c>
      <c r="AE770" s="27">
        <v>0.15217391304347827</v>
      </c>
      <c r="AF770" s="27">
        <f t="shared" si="68"/>
        <v>4.4794266333909259E-4</v>
      </c>
      <c r="AG770" s="37">
        <v>4</v>
      </c>
      <c r="AH770" s="27">
        <v>8.6956521739130432E-2</v>
      </c>
      <c r="AI770" s="27">
        <f t="shared" si="69"/>
        <v>2.5596723619376719E-4</v>
      </c>
      <c r="AJ770" s="38">
        <v>0</v>
      </c>
      <c r="AK770" s="27">
        <v>0</v>
      </c>
      <c r="AL770" s="27">
        <f t="shared" si="70"/>
        <v>0</v>
      </c>
      <c r="AM770" s="40">
        <v>0</v>
      </c>
      <c r="AN770" s="27">
        <v>0</v>
      </c>
      <c r="AO770" s="27">
        <f t="shared" si="71"/>
        <v>0</v>
      </c>
      <c r="AP770" s="7" t="b">
        <v>1</v>
      </c>
      <c r="AQ770" s="7" t="b">
        <v>1</v>
      </c>
      <c r="AR770" s="6" t="b">
        <v>0</v>
      </c>
      <c r="AS770" s="6" t="b">
        <v>0</v>
      </c>
      <c r="AT770" s="7" t="b">
        <v>1</v>
      </c>
      <c r="AU770" s="6" t="b">
        <v>0</v>
      </c>
      <c r="AV770" s="6" t="b">
        <v>0</v>
      </c>
      <c r="AW770" s="6" t="b">
        <v>0</v>
      </c>
      <c r="AX770" s="7" t="b">
        <v>1</v>
      </c>
      <c r="AY770" s="6" t="b">
        <v>0</v>
      </c>
      <c r="AZ770" s="6" t="b">
        <v>0</v>
      </c>
      <c r="BA770" s="6" t="b">
        <v>0</v>
      </c>
      <c r="BB770" s="6" t="b">
        <v>0</v>
      </c>
    </row>
    <row r="771" spans="1:54" ht="15" x14ac:dyDescent="0.25">
      <c r="A771" s="3" t="s">
        <v>1601</v>
      </c>
      <c r="B771" s="3" t="str">
        <f ca="1">IFERROR(__xludf.DUMMYFUNCTION("SPLIT(A771,""/"")"),"openshift")</f>
        <v>openshift</v>
      </c>
      <c r="C771" s="3" t="str">
        <f ca="1">IFERROR(__xludf.DUMMYFUNCTION("""COMPUTED_VALUE"""),"openshift-ansible")</f>
        <v>openshift-ansible</v>
      </c>
      <c r="D771" s="4" t="s">
        <v>1602</v>
      </c>
      <c r="E771" s="5">
        <v>41898.713784722226</v>
      </c>
      <c r="F771" s="5">
        <v>44289.115543981483</v>
      </c>
      <c r="G771" s="13">
        <f t="shared" ref="G771:G834" si="72">F771-E771</f>
        <v>2390.4017592592572</v>
      </c>
      <c r="H771" s="6" t="b">
        <v>0</v>
      </c>
      <c r="I771" s="7" t="b">
        <v>1</v>
      </c>
      <c r="J771" s="8">
        <v>1986</v>
      </c>
      <c r="K771" s="8">
        <v>156</v>
      </c>
      <c r="L771" s="8">
        <v>2203</v>
      </c>
      <c r="M771" s="8">
        <v>0</v>
      </c>
      <c r="N771" s="8">
        <v>157</v>
      </c>
      <c r="O771" s="8">
        <v>412</v>
      </c>
      <c r="P771" s="8">
        <v>9577</v>
      </c>
      <c r="Q771" s="8">
        <v>3</v>
      </c>
      <c r="R771" s="8">
        <v>2744</v>
      </c>
      <c r="S771" s="8">
        <v>12</v>
      </c>
      <c r="T771" s="3" t="s">
        <v>69</v>
      </c>
      <c r="U771" s="10">
        <v>1110</v>
      </c>
      <c r="V771" s="32">
        <v>0</v>
      </c>
      <c r="W771" s="27">
        <v>0</v>
      </c>
      <c r="X771" s="34">
        <v>0</v>
      </c>
      <c r="Y771" s="27">
        <v>0</v>
      </c>
      <c r="Z771" s="27">
        <v>0</v>
      </c>
      <c r="AA771" s="35">
        <v>0</v>
      </c>
      <c r="AB771" s="27">
        <v>0</v>
      </c>
      <c r="AC771" s="27">
        <f t="shared" ref="AC771:AC834" si="73">AA771/U771</f>
        <v>0</v>
      </c>
      <c r="AD771" s="36">
        <v>0</v>
      </c>
      <c r="AE771" s="27">
        <v>0</v>
      </c>
      <c r="AF771" s="27">
        <f t="shared" ref="AF771:AF834" si="74">AD771/U771</f>
        <v>0</v>
      </c>
      <c r="AG771" s="37">
        <v>0</v>
      </c>
      <c r="AH771" s="27">
        <v>0</v>
      </c>
      <c r="AI771" s="27">
        <f t="shared" ref="AI771:AI834" si="75">AG771/U771</f>
        <v>0</v>
      </c>
      <c r="AJ771" s="38">
        <v>0</v>
      </c>
      <c r="AK771" s="27">
        <v>0</v>
      </c>
      <c r="AL771" s="27">
        <f t="shared" ref="AL771:AL834" si="76">AJ771/U771</f>
        <v>0</v>
      </c>
      <c r="AM771" s="40">
        <v>0</v>
      </c>
      <c r="AN771" s="27">
        <v>0</v>
      </c>
      <c r="AO771" s="27">
        <f t="shared" ref="AO771:AO834" si="77">AM771/U771</f>
        <v>0</v>
      </c>
      <c r="AP771" s="7" t="b">
        <v>1</v>
      </c>
      <c r="AQ771" s="6" t="b">
        <v>0</v>
      </c>
      <c r="AR771" s="6" t="b">
        <v>0</v>
      </c>
      <c r="AS771" s="6" t="b">
        <v>0</v>
      </c>
      <c r="AT771" s="7" t="b">
        <v>1</v>
      </c>
      <c r="AU771" s="6" t="b">
        <v>0</v>
      </c>
      <c r="AV771" s="6" t="b">
        <v>0</v>
      </c>
      <c r="AW771" s="6" t="b">
        <v>0</v>
      </c>
      <c r="AX771" s="6" t="b">
        <v>0</v>
      </c>
      <c r="AY771" s="6" t="b">
        <v>0</v>
      </c>
      <c r="AZ771" s="6" t="b">
        <v>0</v>
      </c>
      <c r="BA771" s="6" t="b">
        <v>0</v>
      </c>
      <c r="BB771" s="6" t="b">
        <v>0</v>
      </c>
    </row>
    <row r="772" spans="1:54" ht="15" x14ac:dyDescent="0.25">
      <c r="A772" s="3" t="s">
        <v>1603</v>
      </c>
      <c r="B772" s="3" t="str">
        <f ca="1">IFERROR(__xludf.DUMMYFUNCTION("SPLIT(A772,""/"")"),"openstack")</f>
        <v>openstack</v>
      </c>
      <c r="C772" s="3" t="str">
        <f ca="1">IFERROR(__xludf.DUMMYFUNCTION("""COMPUTED_VALUE"""),"cinder")</f>
        <v>cinder</v>
      </c>
      <c r="D772" s="4" t="s">
        <v>1604</v>
      </c>
      <c r="E772" s="5">
        <v>41242.940706018519</v>
      </c>
      <c r="F772" s="5">
        <v>44294.303043981483</v>
      </c>
      <c r="G772" s="13">
        <f t="shared" si="72"/>
        <v>3051.3623379629644</v>
      </c>
      <c r="H772" s="6" t="b">
        <v>0</v>
      </c>
      <c r="I772" s="7" t="b">
        <v>1</v>
      </c>
      <c r="J772" s="8">
        <v>573</v>
      </c>
      <c r="K772" s="8">
        <v>154</v>
      </c>
      <c r="L772" s="8">
        <v>788</v>
      </c>
      <c r="M772" s="8">
        <v>0</v>
      </c>
      <c r="N772" s="8">
        <v>32</v>
      </c>
      <c r="O772" s="8">
        <v>751</v>
      </c>
      <c r="P772" s="8">
        <v>60</v>
      </c>
      <c r="Q772" s="8">
        <v>0</v>
      </c>
      <c r="R772" s="8">
        <v>0</v>
      </c>
      <c r="S772" s="8">
        <v>0</v>
      </c>
      <c r="T772" s="3" t="s">
        <v>69</v>
      </c>
      <c r="U772" s="10">
        <v>291101</v>
      </c>
      <c r="V772" s="32">
        <v>6971</v>
      </c>
      <c r="W772" s="27">
        <v>2.3947014953572814E-2</v>
      </c>
      <c r="X772" s="34">
        <v>2912</v>
      </c>
      <c r="Y772" s="27">
        <v>0.41773059819251185</v>
      </c>
      <c r="Z772" s="27">
        <v>1.0003400881480998E-2</v>
      </c>
      <c r="AA772" s="35">
        <v>1184</v>
      </c>
      <c r="AB772" s="27">
        <v>0.16984650695739492</v>
      </c>
      <c r="AC772" s="27">
        <f t="shared" si="73"/>
        <v>4.0673168419208452E-3</v>
      </c>
      <c r="AD772" s="36">
        <v>584</v>
      </c>
      <c r="AE772" s="27">
        <v>8.3775641945201554E-2</v>
      </c>
      <c r="AF772" s="27">
        <f t="shared" si="74"/>
        <v>2.0061765504069034E-3</v>
      </c>
      <c r="AG772" s="37">
        <v>2280</v>
      </c>
      <c r="AH772" s="27">
        <v>0.32706928704633481</v>
      </c>
      <c r="AI772" s="27">
        <f t="shared" si="75"/>
        <v>7.8323331077529788E-3</v>
      </c>
      <c r="AJ772" s="38">
        <v>1</v>
      </c>
      <c r="AK772" s="27">
        <v>1.4345144168698896E-4</v>
      </c>
      <c r="AL772" s="27">
        <f t="shared" si="76"/>
        <v>3.4352338191899032E-6</v>
      </c>
      <c r="AM772" s="40">
        <v>5</v>
      </c>
      <c r="AN772" s="27">
        <v>7.1725720843494477E-4</v>
      </c>
      <c r="AO772" s="27">
        <f t="shared" si="77"/>
        <v>1.7176169095949516E-5</v>
      </c>
      <c r="AP772" s="6" t="b">
        <v>0</v>
      </c>
      <c r="AQ772" s="7" t="b">
        <v>1</v>
      </c>
      <c r="AR772" s="6" t="b">
        <v>0</v>
      </c>
      <c r="AS772" s="6" t="b">
        <v>0</v>
      </c>
      <c r="AT772" s="7" t="b">
        <v>1</v>
      </c>
      <c r="AU772" s="6" t="b">
        <v>0</v>
      </c>
      <c r="AV772" s="6" t="b">
        <v>0</v>
      </c>
      <c r="AW772" s="6" t="b">
        <v>0</v>
      </c>
      <c r="AX772" s="6" t="b">
        <v>0</v>
      </c>
      <c r="AY772" s="6" t="b">
        <v>0</v>
      </c>
      <c r="AZ772" s="6" t="b">
        <v>0</v>
      </c>
      <c r="BA772" s="6" t="b">
        <v>0</v>
      </c>
      <c r="BB772" s="6" t="b">
        <v>0</v>
      </c>
    </row>
    <row r="773" spans="1:54" ht="15" x14ac:dyDescent="0.25">
      <c r="A773" s="3" t="s">
        <v>1605</v>
      </c>
      <c r="B773" s="3" t="str">
        <f ca="1">IFERROR(__xludf.DUMMYFUNCTION("SPLIT(A773,""/"")"),"openstack")</f>
        <v>openstack</v>
      </c>
      <c r="C773" s="3" t="str">
        <f ca="1">IFERROR(__xludf.DUMMYFUNCTION("""COMPUTED_VALUE"""),"swift")</f>
        <v>swift</v>
      </c>
      <c r="D773" s="4" t="s">
        <v>1606</v>
      </c>
      <c r="E773" s="5">
        <v>40381.076469907406</v>
      </c>
      <c r="F773" s="5">
        <v>44294.932789351849</v>
      </c>
      <c r="G773" s="13">
        <f t="shared" si="72"/>
        <v>3913.8563194444432</v>
      </c>
      <c r="H773" s="6" t="b">
        <v>0</v>
      </c>
      <c r="I773" s="7" t="b">
        <v>1</v>
      </c>
      <c r="J773" s="8">
        <v>2184</v>
      </c>
      <c r="K773" s="8">
        <v>330</v>
      </c>
      <c r="L773" s="8">
        <v>959</v>
      </c>
      <c r="M773" s="8">
        <v>0</v>
      </c>
      <c r="N773" s="8">
        <v>17</v>
      </c>
      <c r="O773" s="8">
        <v>309</v>
      </c>
      <c r="P773" s="8">
        <v>32</v>
      </c>
      <c r="Q773" s="8">
        <v>0</v>
      </c>
      <c r="R773" s="8">
        <v>0</v>
      </c>
      <c r="S773" s="8">
        <v>0</v>
      </c>
      <c r="T773" s="3" t="s">
        <v>69</v>
      </c>
      <c r="U773" s="10">
        <v>176499</v>
      </c>
      <c r="V773" s="32">
        <v>772</v>
      </c>
      <c r="W773" s="27">
        <v>4.3739624587108145E-3</v>
      </c>
      <c r="X773" s="34">
        <v>202</v>
      </c>
      <c r="Y773" s="27">
        <v>0.26165803108808289</v>
      </c>
      <c r="Z773" s="27">
        <v>1.1444824049994618E-3</v>
      </c>
      <c r="AA773" s="35">
        <v>179</v>
      </c>
      <c r="AB773" s="27">
        <v>0.23186528497409326</v>
      </c>
      <c r="AC773" s="27">
        <f t="shared" si="73"/>
        <v>1.0141700519549685E-3</v>
      </c>
      <c r="AD773" s="36">
        <v>146</v>
      </c>
      <c r="AE773" s="27">
        <v>0.18911917098445596</v>
      </c>
      <c r="AF773" s="27">
        <f t="shared" si="74"/>
        <v>8.2720015410852189E-4</v>
      </c>
      <c r="AG773" s="37">
        <v>239</v>
      </c>
      <c r="AH773" s="27">
        <v>0.30958549222797926</v>
      </c>
      <c r="AI773" s="27">
        <f t="shared" si="75"/>
        <v>1.3541153207666898E-3</v>
      </c>
      <c r="AJ773" s="38">
        <v>1</v>
      </c>
      <c r="AK773" s="27">
        <v>1.2953367875647669E-3</v>
      </c>
      <c r="AL773" s="27">
        <f t="shared" si="76"/>
        <v>5.6657544801953555E-6</v>
      </c>
      <c r="AM773" s="40">
        <v>3</v>
      </c>
      <c r="AN773" s="27">
        <v>3.8860103626943004E-3</v>
      </c>
      <c r="AO773" s="27">
        <f t="shared" si="77"/>
        <v>1.6997263440586064E-5</v>
      </c>
      <c r="AP773" s="7" t="b">
        <v>1</v>
      </c>
      <c r="AQ773" s="6" t="b">
        <v>0</v>
      </c>
      <c r="AR773" s="6" t="b">
        <v>0</v>
      </c>
      <c r="AS773" s="6" t="b">
        <v>0</v>
      </c>
      <c r="AT773" s="7" t="b">
        <v>1</v>
      </c>
      <c r="AU773" s="6" t="b">
        <v>0</v>
      </c>
      <c r="AV773" s="6" t="b">
        <v>0</v>
      </c>
      <c r="AW773" s="6" t="b">
        <v>0</v>
      </c>
      <c r="AX773" s="6" t="b">
        <v>0</v>
      </c>
      <c r="AY773" s="6" t="b">
        <v>0</v>
      </c>
      <c r="AZ773" s="6" t="b">
        <v>0</v>
      </c>
      <c r="BA773" s="6" t="b">
        <v>0</v>
      </c>
      <c r="BB773" s="6" t="b">
        <v>0</v>
      </c>
    </row>
    <row r="774" spans="1:54" ht="15" x14ac:dyDescent="0.25">
      <c r="A774" s="3" t="s">
        <v>1607</v>
      </c>
      <c r="B774" s="3" t="str">
        <f ca="1">IFERROR(__xludf.DUMMYFUNCTION("SPLIT(A774,""/"")"),"openstates")</f>
        <v>openstates</v>
      </c>
      <c r="C774" s="3" t="str">
        <f ca="1">IFERROR(__xludf.DUMMYFUNCTION("""COMPUTED_VALUE"""),"openstates-scrapers")</f>
        <v>openstates-scrapers</v>
      </c>
      <c r="D774" s="4" t="s">
        <v>1608</v>
      </c>
      <c r="E774" s="5">
        <v>39870.950914351852</v>
      </c>
      <c r="F774" s="5">
        <v>44293.757592592592</v>
      </c>
      <c r="G774" s="13">
        <f t="shared" si="72"/>
        <v>4422.8066782407404</v>
      </c>
      <c r="H774" s="6" t="b">
        <v>0</v>
      </c>
      <c r="I774" s="7" t="b">
        <v>1</v>
      </c>
      <c r="J774" s="8">
        <v>699</v>
      </c>
      <c r="K774" s="8">
        <v>54</v>
      </c>
      <c r="L774" s="8">
        <v>375</v>
      </c>
      <c r="M774" s="8">
        <v>0</v>
      </c>
      <c r="N774" s="8">
        <v>81</v>
      </c>
      <c r="O774" s="8">
        <v>135</v>
      </c>
      <c r="P774" s="8">
        <v>2116</v>
      </c>
      <c r="Q774" s="8">
        <v>2</v>
      </c>
      <c r="R774" s="8">
        <v>1505</v>
      </c>
      <c r="S774" s="8">
        <v>1</v>
      </c>
      <c r="T774" s="3" t="s">
        <v>49</v>
      </c>
      <c r="U774" s="10">
        <v>27055</v>
      </c>
      <c r="V774" s="32">
        <v>514</v>
      </c>
      <c r="W774" s="27">
        <v>1.8998336721493255E-2</v>
      </c>
      <c r="X774" s="34">
        <v>9</v>
      </c>
      <c r="Y774" s="27">
        <v>1.7509727626459144E-2</v>
      </c>
      <c r="Z774" s="27">
        <v>3.3265570134910369E-4</v>
      </c>
      <c r="AA774" s="35">
        <v>178</v>
      </c>
      <c r="AB774" s="27">
        <v>0.34630350194552528</v>
      </c>
      <c r="AC774" s="27">
        <f t="shared" si="73"/>
        <v>6.579190537793384E-3</v>
      </c>
      <c r="AD774" s="36">
        <v>308</v>
      </c>
      <c r="AE774" s="27">
        <v>0.59922178988326846</v>
      </c>
      <c r="AF774" s="27">
        <f t="shared" si="74"/>
        <v>1.1384217335058214E-2</v>
      </c>
      <c r="AG774" s="37">
        <v>12</v>
      </c>
      <c r="AH774" s="27">
        <v>2.3346303501945526E-2</v>
      </c>
      <c r="AI774" s="27">
        <f t="shared" si="75"/>
        <v>4.4354093513213825E-4</v>
      </c>
      <c r="AJ774" s="38">
        <v>1</v>
      </c>
      <c r="AK774" s="27">
        <v>1.9455252918287938E-3</v>
      </c>
      <c r="AL774" s="27">
        <f t="shared" si="76"/>
        <v>3.6961744594344855E-5</v>
      </c>
      <c r="AM774" s="40">
        <v>2</v>
      </c>
      <c r="AN774" s="27">
        <v>3.8910505836575876E-3</v>
      </c>
      <c r="AO774" s="27">
        <f t="shared" si="77"/>
        <v>7.3923489188689709E-5</v>
      </c>
      <c r="AP774" s="7" t="b">
        <v>1</v>
      </c>
      <c r="AQ774" s="7" t="b">
        <v>1</v>
      </c>
      <c r="AR774" s="6" t="b">
        <v>0</v>
      </c>
      <c r="AS774" s="6" t="b">
        <v>0</v>
      </c>
      <c r="AT774" s="7" t="b">
        <v>1</v>
      </c>
      <c r="AU774" s="6" t="b">
        <v>0</v>
      </c>
      <c r="AV774" s="6" t="b">
        <v>0</v>
      </c>
      <c r="AW774" s="6" t="b">
        <v>0</v>
      </c>
      <c r="AX774" s="6" t="b">
        <v>0</v>
      </c>
      <c r="AY774" s="6" t="b">
        <v>0</v>
      </c>
      <c r="AZ774" s="6" t="b">
        <v>0</v>
      </c>
      <c r="BA774" s="6" t="b">
        <v>0</v>
      </c>
      <c r="BB774" s="6" t="b">
        <v>0</v>
      </c>
    </row>
    <row r="775" spans="1:54" ht="15" x14ac:dyDescent="0.25">
      <c r="A775" s="3" t="s">
        <v>1609</v>
      </c>
      <c r="B775" s="3" t="str">
        <f ca="1">IFERROR(__xludf.DUMMYFUNCTION("SPLIT(A775,""/"")"),"OpnTec")</f>
        <v>OpnTec</v>
      </c>
      <c r="C775" s="3" t="str">
        <f ca="1">IFERROR(__xludf.DUMMYFUNCTION("""COMPUTED_VALUE"""),"open-event-server")</f>
        <v>open-event-server</v>
      </c>
      <c r="D775" s="4" t="s">
        <v>1610</v>
      </c>
      <c r="E775" s="5">
        <v>43123.913344907407</v>
      </c>
      <c r="F775" s="5">
        <v>44292.696180555555</v>
      </c>
      <c r="G775" s="13">
        <f t="shared" si="72"/>
        <v>1168.7828356481477</v>
      </c>
      <c r="H775" s="6" t="b">
        <v>0</v>
      </c>
      <c r="I775" s="7" t="b">
        <v>1</v>
      </c>
      <c r="J775" s="8">
        <v>1117</v>
      </c>
      <c r="K775" s="8">
        <v>2</v>
      </c>
      <c r="L775" s="8">
        <v>3</v>
      </c>
      <c r="M775" s="8">
        <v>0</v>
      </c>
      <c r="N775" s="8">
        <v>0</v>
      </c>
      <c r="O775" s="8">
        <v>106</v>
      </c>
      <c r="P775" s="8">
        <v>0</v>
      </c>
      <c r="Q775" s="8">
        <v>0</v>
      </c>
      <c r="R775" s="8">
        <v>0</v>
      </c>
      <c r="S775" s="8">
        <v>0</v>
      </c>
      <c r="T775" s="3" t="s">
        <v>92</v>
      </c>
      <c r="U775" s="10">
        <v>18719</v>
      </c>
      <c r="V775" s="32">
        <v>9</v>
      </c>
      <c r="W775" s="27">
        <v>4.8079491425824029E-4</v>
      </c>
      <c r="X775" s="34">
        <v>0</v>
      </c>
      <c r="Y775" s="27">
        <v>0</v>
      </c>
      <c r="Z775" s="27">
        <v>0</v>
      </c>
      <c r="AA775" s="35">
        <v>8</v>
      </c>
      <c r="AB775" s="27">
        <v>0.88888888888888884</v>
      </c>
      <c r="AC775" s="27">
        <f t="shared" si="73"/>
        <v>4.273732571184358E-4</v>
      </c>
      <c r="AD775" s="36">
        <v>0</v>
      </c>
      <c r="AE775" s="27">
        <v>0</v>
      </c>
      <c r="AF775" s="27">
        <f t="shared" si="74"/>
        <v>0</v>
      </c>
      <c r="AG775" s="37">
        <v>1</v>
      </c>
      <c r="AH775" s="27">
        <v>0.1111111111111111</v>
      </c>
      <c r="AI775" s="27">
        <f t="shared" si="75"/>
        <v>5.3421657139804475E-5</v>
      </c>
      <c r="AJ775" s="38">
        <v>0</v>
      </c>
      <c r="AK775" s="27">
        <v>0</v>
      </c>
      <c r="AL775" s="27">
        <f t="shared" si="76"/>
        <v>0</v>
      </c>
      <c r="AM775" s="40">
        <v>0</v>
      </c>
      <c r="AN775" s="27">
        <v>0</v>
      </c>
      <c r="AO775" s="27">
        <f t="shared" si="77"/>
        <v>0</v>
      </c>
      <c r="AP775" s="7" t="b">
        <v>1</v>
      </c>
      <c r="AQ775" s="7" t="b">
        <v>1</v>
      </c>
      <c r="AR775" s="6" t="b">
        <v>0</v>
      </c>
      <c r="AS775" s="6" t="b">
        <v>0</v>
      </c>
      <c r="AT775" s="7" t="b">
        <v>1</v>
      </c>
      <c r="AU775" s="6" t="b">
        <v>0</v>
      </c>
      <c r="AV775" s="6" t="b">
        <v>0</v>
      </c>
      <c r="AW775" s="6" t="b">
        <v>0</v>
      </c>
      <c r="AX775" s="6" t="b">
        <v>0</v>
      </c>
      <c r="AY775" s="6" t="b">
        <v>0</v>
      </c>
      <c r="AZ775" s="6" t="b">
        <v>0</v>
      </c>
      <c r="BA775" s="6" t="b">
        <v>0</v>
      </c>
      <c r="BB775" s="6" t="b">
        <v>0</v>
      </c>
    </row>
    <row r="776" spans="1:54" ht="15" x14ac:dyDescent="0.25">
      <c r="A776" s="3" t="s">
        <v>1611</v>
      </c>
      <c r="B776" s="3" t="str">
        <f ca="1">IFERROR(__xludf.DUMMYFUNCTION("SPLIT(A776,""/"")"),"opsdroid")</f>
        <v>opsdroid</v>
      </c>
      <c r="C776" s="3" t="str">
        <f ca="1">IFERROR(__xludf.DUMMYFUNCTION("""COMPUTED_VALUE"""),"opsdroid")</f>
        <v>opsdroid</v>
      </c>
      <c r="D776" s="4" t="s">
        <v>1612</v>
      </c>
      <c r="E776" s="5">
        <v>42574.84648148148</v>
      </c>
      <c r="F776" s="5">
        <v>44293.451967592591</v>
      </c>
      <c r="G776" s="13">
        <f t="shared" si="72"/>
        <v>1718.6054861111115</v>
      </c>
      <c r="H776" s="6" t="b">
        <v>0</v>
      </c>
      <c r="I776" s="7" t="b">
        <v>1</v>
      </c>
      <c r="J776" s="8">
        <v>570</v>
      </c>
      <c r="K776" s="8">
        <v>26</v>
      </c>
      <c r="L776" s="8">
        <v>316</v>
      </c>
      <c r="M776" s="8">
        <v>39</v>
      </c>
      <c r="N776" s="8">
        <v>3</v>
      </c>
      <c r="O776" s="8">
        <v>152</v>
      </c>
      <c r="P776" s="8">
        <v>1335</v>
      </c>
      <c r="Q776" s="8">
        <v>6</v>
      </c>
      <c r="R776" s="8">
        <v>427</v>
      </c>
      <c r="S776" s="8">
        <v>71</v>
      </c>
      <c r="T776" s="3" t="s">
        <v>69</v>
      </c>
      <c r="U776" s="10">
        <v>14537</v>
      </c>
      <c r="V776" s="32">
        <v>327</v>
      </c>
      <c r="W776" s="27">
        <v>2.2494324826305291E-2</v>
      </c>
      <c r="X776" s="34">
        <v>148</v>
      </c>
      <c r="Y776" s="27">
        <v>0.45259938837920488</v>
      </c>
      <c r="Z776" s="27">
        <v>1.0180917658388938E-2</v>
      </c>
      <c r="AA776" s="35">
        <v>60</v>
      </c>
      <c r="AB776" s="27">
        <v>0.1834862385321101</v>
      </c>
      <c r="AC776" s="27">
        <f t="shared" si="73"/>
        <v>4.1273990506982185E-3</v>
      </c>
      <c r="AD776" s="36">
        <v>35</v>
      </c>
      <c r="AE776" s="27">
        <v>0.10703363914373089</v>
      </c>
      <c r="AF776" s="27">
        <f t="shared" si="74"/>
        <v>2.4076494462406273E-3</v>
      </c>
      <c r="AG776" s="37">
        <v>72</v>
      </c>
      <c r="AH776" s="27">
        <v>0.22018348623853212</v>
      </c>
      <c r="AI776" s="27">
        <f t="shared" si="75"/>
        <v>4.9528788608378619E-3</v>
      </c>
      <c r="AJ776" s="38">
        <v>11</v>
      </c>
      <c r="AK776" s="27">
        <v>3.3639143730886847E-2</v>
      </c>
      <c r="AL776" s="27">
        <f t="shared" si="76"/>
        <v>7.5668982596134007E-4</v>
      </c>
      <c r="AM776" s="40">
        <v>0</v>
      </c>
      <c r="AN776" s="27">
        <v>0</v>
      </c>
      <c r="AO776" s="27">
        <f t="shared" si="77"/>
        <v>0</v>
      </c>
      <c r="AP776" s="7" t="b">
        <v>1</v>
      </c>
      <c r="AQ776" s="6" t="b">
        <v>0</v>
      </c>
      <c r="AR776" s="6" t="b">
        <v>0</v>
      </c>
      <c r="AS776" s="6" t="b">
        <v>0</v>
      </c>
      <c r="AT776" s="7" t="b">
        <v>1</v>
      </c>
      <c r="AU776" s="6" t="b">
        <v>0</v>
      </c>
      <c r="AV776" s="6" t="b">
        <v>0</v>
      </c>
      <c r="AW776" s="6" t="b">
        <v>0</v>
      </c>
      <c r="AX776" s="6" t="b">
        <v>0</v>
      </c>
      <c r="AY776" s="6" t="b">
        <v>0</v>
      </c>
      <c r="AZ776" s="6" t="b">
        <v>0</v>
      </c>
      <c r="BA776" s="6" t="b">
        <v>0</v>
      </c>
      <c r="BB776" s="6" t="b">
        <v>0</v>
      </c>
    </row>
    <row r="777" spans="1:54" ht="15" x14ac:dyDescent="0.25">
      <c r="A777" s="3" t="s">
        <v>1613</v>
      </c>
      <c r="B777" s="3" t="str">
        <f ca="1">IFERROR(__xludf.DUMMYFUNCTION("SPLIT(A777,""/"")"),"optuna")</f>
        <v>optuna</v>
      </c>
      <c r="C777" s="3" t="str">
        <f ca="1">IFERROR(__xludf.DUMMYFUNCTION("""COMPUTED_VALUE"""),"optuna")</f>
        <v>optuna</v>
      </c>
      <c r="D777" s="4" t="s">
        <v>1614</v>
      </c>
      <c r="E777" s="5">
        <v>43152.258981481478</v>
      </c>
      <c r="F777" s="5">
        <v>44295.157858796294</v>
      </c>
      <c r="G777" s="13">
        <f t="shared" si="72"/>
        <v>1142.8988773148158</v>
      </c>
      <c r="H777" s="6" t="b">
        <v>0</v>
      </c>
      <c r="I777" s="7" t="b">
        <v>1</v>
      </c>
      <c r="J777" s="8">
        <v>4377</v>
      </c>
      <c r="K777" s="8">
        <v>134</v>
      </c>
      <c r="L777" s="8">
        <v>487</v>
      </c>
      <c r="M777" s="8">
        <v>37</v>
      </c>
      <c r="N777" s="8">
        <v>12</v>
      </c>
      <c r="O777" s="8">
        <v>113</v>
      </c>
      <c r="P777" s="8">
        <v>1837</v>
      </c>
      <c r="Q777" s="8">
        <v>39</v>
      </c>
      <c r="R777" s="8">
        <v>737</v>
      </c>
      <c r="S777" s="8">
        <v>147</v>
      </c>
      <c r="T777" s="3" t="s">
        <v>72</v>
      </c>
      <c r="U777" s="10">
        <v>27777</v>
      </c>
      <c r="V777" s="32">
        <v>128</v>
      </c>
      <c r="W777" s="27">
        <v>4.6081290276127731E-3</v>
      </c>
      <c r="X777" s="34">
        <v>7</v>
      </c>
      <c r="Y777" s="27">
        <v>5.46875E-2</v>
      </c>
      <c r="Z777" s="27">
        <v>2.5200705619757351E-4</v>
      </c>
      <c r="AA777" s="35">
        <v>32</v>
      </c>
      <c r="AB777" s="27">
        <v>0.25</v>
      </c>
      <c r="AC777" s="27">
        <f t="shared" si="73"/>
        <v>1.1520322569031933E-3</v>
      </c>
      <c r="AD777" s="36">
        <v>84</v>
      </c>
      <c r="AE777" s="27">
        <v>0.65625</v>
      </c>
      <c r="AF777" s="27">
        <f t="shared" si="74"/>
        <v>3.0240846743708823E-3</v>
      </c>
      <c r="AG777" s="37">
        <v>1</v>
      </c>
      <c r="AH777" s="27">
        <v>7.8125E-3</v>
      </c>
      <c r="AI777" s="27">
        <f t="shared" si="75"/>
        <v>3.6001008028224789E-5</v>
      </c>
      <c r="AJ777" s="38">
        <v>0</v>
      </c>
      <c r="AK777" s="27">
        <v>0</v>
      </c>
      <c r="AL777" s="27">
        <f t="shared" si="76"/>
        <v>0</v>
      </c>
      <c r="AM777" s="40">
        <v>3</v>
      </c>
      <c r="AN777" s="27">
        <v>2.34375E-2</v>
      </c>
      <c r="AO777" s="27">
        <f t="shared" si="77"/>
        <v>1.0800302408467438E-4</v>
      </c>
      <c r="AP777" s="7" t="b">
        <v>1</v>
      </c>
      <c r="AQ777" s="6" t="b">
        <v>0</v>
      </c>
      <c r="AR777" s="6" t="b">
        <v>0</v>
      </c>
      <c r="AS777" s="6" t="b">
        <v>0</v>
      </c>
      <c r="AT777" s="7" t="b">
        <v>1</v>
      </c>
      <c r="AU777" s="6" t="b">
        <v>0</v>
      </c>
      <c r="AV777" s="6" t="b">
        <v>0</v>
      </c>
      <c r="AW777" s="6" t="b">
        <v>0</v>
      </c>
      <c r="AX777" s="6" t="b">
        <v>0</v>
      </c>
      <c r="AY777" s="6" t="b">
        <v>0</v>
      </c>
      <c r="AZ777" s="6" t="b">
        <v>0</v>
      </c>
      <c r="BA777" s="6" t="b">
        <v>0</v>
      </c>
      <c r="BB777" s="6" t="b">
        <v>0</v>
      </c>
    </row>
    <row r="778" spans="1:54" ht="15" x14ac:dyDescent="0.25">
      <c r="A778" s="3" t="s">
        <v>1615</v>
      </c>
      <c r="B778" s="3" t="str">
        <f ca="1">IFERROR(__xludf.DUMMYFUNCTION("SPLIT(A778,""/"")"),"orchest")</f>
        <v>orchest</v>
      </c>
      <c r="C778" s="3" t="str">
        <f ca="1">IFERROR(__xludf.DUMMYFUNCTION("""COMPUTED_VALUE"""),"orchest")</f>
        <v>orchest</v>
      </c>
      <c r="D778" s="4" t="s">
        <v>1616</v>
      </c>
      <c r="E778" s="5">
        <v>43972.731307870374</v>
      </c>
      <c r="F778" s="5">
        <v>44293.77140046296</v>
      </c>
      <c r="G778" s="13">
        <f t="shared" si="72"/>
        <v>321.04009259258601</v>
      </c>
      <c r="H778" s="6" t="b">
        <v>0</v>
      </c>
      <c r="I778" s="7" t="b">
        <v>1</v>
      </c>
      <c r="J778" s="8">
        <v>715</v>
      </c>
      <c r="K778" s="8">
        <v>14</v>
      </c>
      <c r="L778" s="8">
        <v>44</v>
      </c>
      <c r="M778" s="8">
        <v>38</v>
      </c>
      <c r="N778" s="8">
        <v>1</v>
      </c>
      <c r="O778" s="8">
        <v>11</v>
      </c>
      <c r="P778" s="8">
        <v>104</v>
      </c>
      <c r="Q778" s="8">
        <v>1</v>
      </c>
      <c r="R778" s="8">
        <v>89</v>
      </c>
      <c r="S778" s="8">
        <v>34</v>
      </c>
      <c r="T778" s="3" t="s">
        <v>366</v>
      </c>
      <c r="U778" s="10">
        <v>9254</v>
      </c>
      <c r="V778" s="32">
        <v>158</v>
      </c>
      <c r="W778" s="27">
        <v>1.70736978603847E-2</v>
      </c>
      <c r="X778" s="34">
        <v>12</v>
      </c>
      <c r="Y778" s="27">
        <v>7.5949367088607597E-2</v>
      </c>
      <c r="Z778" s="27">
        <v>1.2967365463583316E-3</v>
      </c>
      <c r="AA778" s="35">
        <v>61</v>
      </c>
      <c r="AB778" s="27">
        <v>0.38607594936708861</v>
      </c>
      <c r="AC778" s="27">
        <f t="shared" si="73"/>
        <v>6.5917441106548517E-3</v>
      </c>
      <c r="AD778" s="36">
        <v>13</v>
      </c>
      <c r="AE778" s="27">
        <v>8.2278481012658222E-2</v>
      </c>
      <c r="AF778" s="27">
        <f t="shared" si="74"/>
        <v>1.4047979252215259E-3</v>
      </c>
      <c r="AG778" s="37">
        <v>47</v>
      </c>
      <c r="AH778" s="27">
        <v>0.29746835443037972</v>
      </c>
      <c r="AI778" s="27">
        <f t="shared" si="75"/>
        <v>5.0788848065701315E-3</v>
      </c>
      <c r="AJ778" s="38">
        <v>0</v>
      </c>
      <c r="AK778" s="27">
        <v>0</v>
      </c>
      <c r="AL778" s="27">
        <f t="shared" si="76"/>
        <v>0</v>
      </c>
      <c r="AM778" s="40">
        <v>0</v>
      </c>
      <c r="AN778" s="27">
        <v>0</v>
      </c>
      <c r="AO778" s="27">
        <f t="shared" si="77"/>
        <v>0</v>
      </c>
      <c r="AP778" s="7" t="b">
        <v>1</v>
      </c>
      <c r="AQ778" s="6" t="b">
        <v>0</v>
      </c>
      <c r="AR778" s="6" t="b">
        <v>0</v>
      </c>
      <c r="AS778" s="6" t="b">
        <v>0</v>
      </c>
      <c r="AT778" s="7" t="b">
        <v>1</v>
      </c>
      <c r="AU778" s="6" t="b">
        <v>0</v>
      </c>
      <c r="AV778" s="6" t="b">
        <v>0</v>
      </c>
      <c r="AW778" s="6" t="b">
        <v>0</v>
      </c>
      <c r="AX778" s="6" t="b">
        <v>0</v>
      </c>
      <c r="AY778" s="6" t="b">
        <v>0</v>
      </c>
      <c r="AZ778" s="6" t="b">
        <v>0</v>
      </c>
      <c r="BA778" s="6" t="b">
        <v>0</v>
      </c>
      <c r="BB778" s="6" t="b">
        <v>0</v>
      </c>
    </row>
    <row r="779" spans="1:54" ht="15" x14ac:dyDescent="0.25">
      <c r="A779" s="3" t="s">
        <v>1617</v>
      </c>
      <c r="B779" s="3" t="str">
        <f ca="1">IFERROR(__xludf.DUMMYFUNCTION("SPLIT(A779,""/"")"),"osmr")</f>
        <v>osmr</v>
      </c>
      <c r="C779" s="3" t="str">
        <f ca="1">IFERROR(__xludf.DUMMYFUNCTION("""COMPUTED_VALUE"""),"imgclsmob")</f>
        <v>imgclsmob</v>
      </c>
      <c r="D779" s="4" t="s">
        <v>1618</v>
      </c>
      <c r="E779" s="5">
        <v>43290.54011574074</v>
      </c>
      <c r="F779" s="5">
        <v>44294.532511574071</v>
      </c>
      <c r="G779" s="13">
        <f t="shared" si="72"/>
        <v>1003.9923958333311</v>
      </c>
      <c r="H779" s="6" t="b">
        <v>0</v>
      </c>
      <c r="I779" s="6" t="b">
        <v>0</v>
      </c>
      <c r="J779" s="8">
        <v>2094</v>
      </c>
      <c r="K779" s="8">
        <v>69</v>
      </c>
      <c r="L779" s="8">
        <v>428</v>
      </c>
      <c r="M779" s="8">
        <v>540</v>
      </c>
      <c r="N779" s="8">
        <v>0</v>
      </c>
      <c r="O779" s="8">
        <v>3</v>
      </c>
      <c r="P779" s="8">
        <v>6</v>
      </c>
      <c r="Q779" s="8">
        <v>0</v>
      </c>
      <c r="R779" s="8">
        <v>83</v>
      </c>
      <c r="S779" s="8">
        <v>2</v>
      </c>
      <c r="T779" s="3" t="s">
        <v>72</v>
      </c>
      <c r="U779" s="10">
        <v>124104</v>
      </c>
      <c r="V779" s="32">
        <v>210</v>
      </c>
      <c r="W779" s="27">
        <v>1.6921291819764069E-3</v>
      </c>
      <c r="X779" s="34">
        <v>0</v>
      </c>
      <c r="Y779" s="27">
        <v>0</v>
      </c>
      <c r="Z779" s="27">
        <v>0</v>
      </c>
      <c r="AA779" s="35">
        <v>182</v>
      </c>
      <c r="AB779" s="27">
        <v>0.8666666666666667</v>
      </c>
      <c r="AC779" s="27">
        <f t="shared" si="73"/>
        <v>1.466511957712886E-3</v>
      </c>
      <c r="AD779" s="36">
        <v>27</v>
      </c>
      <c r="AE779" s="27">
        <v>0.12857142857142856</v>
      </c>
      <c r="AF779" s="27">
        <f t="shared" si="74"/>
        <v>2.1755946625410947E-4</v>
      </c>
      <c r="AG779" s="37">
        <v>1</v>
      </c>
      <c r="AH779" s="27">
        <v>4.7619047619047623E-3</v>
      </c>
      <c r="AI779" s="27">
        <f t="shared" si="75"/>
        <v>8.0577580094114621E-6</v>
      </c>
      <c r="AJ779" s="38">
        <v>0</v>
      </c>
      <c r="AK779" s="27">
        <v>0</v>
      </c>
      <c r="AL779" s="27">
        <f t="shared" si="76"/>
        <v>0</v>
      </c>
      <c r="AM779" s="40">
        <v>0</v>
      </c>
      <c r="AN779" s="27">
        <v>0</v>
      </c>
      <c r="AO779" s="27">
        <f t="shared" si="77"/>
        <v>0</v>
      </c>
      <c r="AP779" s="7" t="b">
        <v>1</v>
      </c>
      <c r="AQ779" s="6" t="b">
        <v>0</v>
      </c>
      <c r="AR779" s="6" t="b">
        <v>0</v>
      </c>
      <c r="AS779" s="6" t="b">
        <v>0</v>
      </c>
      <c r="AT779" s="7" t="b">
        <v>1</v>
      </c>
      <c r="AU779" s="6" t="b">
        <v>0</v>
      </c>
      <c r="AV779" s="6" t="b">
        <v>0</v>
      </c>
      <c r="AW779" s="6" t="b">
        <v>0</v>
      </c>
      <c r="AX779" s="6" t="b">
        <v>0</v>
      </c>
      <c r="AY779" s="6" t="b">
        <v>0</v>
      </c>
      <c r="AZ779" s="6" t="b">
        <v>0</v>
      </c>
      <c r="BA779" s="6" t="b">
        <v>0</v>
      </c>
      <c r="BB779" s="6" t="b">
        <v>0</v>
      </c>
    </row>
    <row r="780" spans="1:54" ht="15" x14ac:dyDescent="0.25">
      <c r="A780" s="3" t="s">
        <v>1619</v>
      </c>
      <c r="B780" s="3" t="str">
        <f ca="1">IFERROR(__xludf.DUMMYFUNCTION("SPLIT(A780,""/"")"),"OTRF")</f>
        <v>OTRF</v>
      </c>
      <c r="C780" s="3" t="str">
        <f ca="1">IFERROR(__xludf.DUMMYFUNCTION("""COMPUTED_VALUE"""),"mordor")</f>
        <v>mordor</v>
      </c>
      <c r="D780" s="4" t="s">
        <v>1620</v>
      </c>
      <c r="E780" s="5">
        <v>43251.825543981482</v>
      </c>
      <c r="F780" s="5">
        <v>44294.86209490741</v>
      </c>
      <c r="G780" s="13">
        <f t="shared" si="72"/>
        <v>1043.0365509259282</v>
      </c>
      <c r="H780" s="6" t="b">
        <v>0</v>
      </c>
      <c r="I780" s="7" t="b">
        <v>1</v>
      </c>
      <c r="J780" s="8">
        <v>908</v>
      </c>
      <c r="K780" s="8">
        <v>81</v>
      </c>
      <c r="L780" s="8">
        <v>127</v>
      </c>
      <c r="M780" s="8">
        <v>2</v>
      </c>
      <c r="N780" s="8">
        <v>0</v>
      </c>
      <c r="O780" s="8">
        <v>7</v>
      </c>
      <c r="P780" s="8">
        <v>12</v>
      </c>
      <c r="Q780" s="8">
        <v>0</v>
      </c>
      <c r="R780" s="8">
        <v>29</v>
      </c>
      <c r="S780" s="8">
        <v>3</v>
      </c>
      <c r="T780" s="3" t="s">
        <v>49</v>
      </c>
      <c r="U780" s="10">
        <v>562</v>
      </c>
      <c r="V780" s="32">
        <v>17</v>
      </c>
      <c r="W780" s="27">
        <v>3.0249110320284697E-2</v>
      </c>
      <c r="X780" s="34">
        <v>9</v>
      </c>
      <c r="Y780" s="27">
        <v>0.52941176470588236</v>
      </c>
      <c r="Z780" s="27">
        <v>1.601423487544484E-2</v>
      </c>
      <c r="AA780" s="35">
        <v>7</v>
      </c>
      <c r="AB780" s="27">
        <v>0.41176470588235292</v>
      </c>
      <c r="AC780" s="27">
        <f t="shared" si="73"/>
        <v>1.2455516014234875E-2</v>
      </c>
      <c r="AD780" s="36">
        <v>0</v>
      </c>
      <c r="AE780" s="27">
        <v>0</v>
      </c>
      <c r="AF780" s="27">
        <f t="shared" si="74"/>
        <v>0</v>
      </c>
      <c r="AG780" s="37">
        <v>1</v>
      </c>
      <c r="AH780" s="27">
        <v>5.8823529411764705E-2</v>
      </c>
      <c r="AI780" s="27">
        <f t="shared" si="75"/>
        <v>1.7793594306049821E-3</v>
      </c>
      <c r="AJ780" s="38">
        <v>0</v>
      </c>
      <c r="AK780" s="27">
        <v>0</v>
      </c>
      <c r="AL780" s="27">
        <f t="shared" si="76"/>
        <v>0</v>
      </c>
      <c r="AM780" s="40">
        <v>0</v>
      </c>
      <c r="AN780" s="27">
        <v>0</v>
      </c>
      <c r="AO780" s="27">
        <f t="shared" si="77"/>
        <v>0</v>
      </c>
      <c r="AP780" s="7" t="b">
        <v>1</v>
      </c>
      <c r="AQ780" s="6" t="b">
        <v>0</v>
      </c>
      <c r="AR780" s="6" t="b">
        <v>0</v>
      </c>
      <c r="AS780" s="6" t="b">
        <v>0</v>
      </c>
      <c r="AT780" s="7" t="b">
        <v>1</v>
      </c>
      <c r="AU780" s="6" t="b">
        <v>0</v>
      </c>
      <c r="AV780" s="6" t="b">
        <v>0</v>
      </c>
      <c r="AW780" s="6" t="b">
        <v>0</v>
      </c>
      <c r="AX780" s="6" t="b">
        <v>0</v>
      </c>
      <c r="AY780" s="6" t="b">
        <v>0</v>
      </c>
      <c r="AZ780" s="6" t="b">
        <v>0</v>
      </c>
      <c r="BA780" s="6" t="b">
        <v>0</v>
      </c>
      <c r="BB780" s="6" t="b">
        <v>0</v>
      </c>
    </row>
    <row r="781" spans="1:54" ht="15" x14ac:dyDescent="0.25">
      <c r="A781" s="3" t="s">
        <v>1621</v>
      </c>
      <c r="B781" s="3" t="str">
        <f ca="1">IFERROR(__xludf.DUMMYFUNCTION("SPLIT(A781,""/"")"),"OTRF")</f>
        <v>OTRF</v>
      </c>
      <c r="C781" s="3" t="str">
        <f ca="1">IFERROR(__xludf.DUMMYFUNCTION("""COMPUTED_VALUE"""),"OSSEM")</f>
        <v>OSSEM</v>
      </c>
      <c r="D781" s="4" t="s">
        <v>1622</v>
      </c>
      <c r="E781" s="5">
        <v>43158.048090277778</v>
      </c>
      <c r="F781" s="5">
        <v>44293.570787037039</v>
      </c>
      <c r="G781" s="13">
        <f t="shared" si="72"/>
        <v>1135.5226967592607</v>
      </c>
      <c r="H781" s="6" t="b">
        <v>0</v>
      </c>
      <c r="I781" s="7" t="b">
        <v>1</v>
      </c>
      <c r="J781" s="8">
        <v>803</v>
      </c>
      <c r="K781" s="8">
        <v>86</v>
      </c>
      <c r="L781" s="8">
        <v>142</v>
      </c>
      <c r="M781" s="8">
        <v>0</v>
      </c>
      <c r="N781" s="8">
        <v>0</v>
      </c>
      <c r="O781" s="8">
        <v>21</v>
      </c>
      <c r="P781" s="8">
        <v>73</v>
      </c>
      <c r="Q781" s="8">
        <v>1</v>
      </c>
      <c r="R781" s="8">
        <v>35</v>
      </c>
      <c r="S781" s="8">
        <v>17</v>
      </c>
      <c r="T781" s="11" t="s">
        <v>52</v>
      </c>
      <c r="U781" s="10">
        <v>310</v>
      </c>
      <c r="V781" s="32">
        <v>16</v>
      </c>
      <c r="W781" s="27">
        <v>5.1612903225806452E-2</v>
      </c>
      <c r="X781" s="34">
        <v>6</v>
      </c>
      <c r="Y781" s="27">
        <v>0.375</v>
      </c>
      <c r="Z781" s="27">
        <v>1.935483870967742E-2</v>
      </c>
      <c r="AA781" s="35">
        <v>10</v>
      </c>
      <c r="AB781" s="27">
        <v>0.625</v>
      </c>
      <c r="AC781" s="27">
        <f t="shared" si="73"/>
        <v>3.2258064516129031E-2</v>
      </c>
      <c r="AD781" s="36">
        <v>0</v>
      </c>
      <c r="AE781" s="27">
        <v>0</v>
      </c>
      <c r="AF781" s="27">
        <f t="shared" si="74"/>
        <v>0</v>
      </c>
      <c r="AG781" s="37">
        <v>0</v>
      </c>
      <c r="AH781" s="27">
        <v>0</v>
      </c>
      <c r="AI781" s="27">
        <f t="shared" si="75"/>
        <v>0</v>
      </c>
      <c r="AJ781" s="38">
        <v>0</v>
      </c>
      <c r="AK781" s="27">
        <v>0</v>
      </c>
      <c r="AL781" s="27">
        <f t="shared" si="76"/>
        <v>0</v>
      </c>
      <c r="AM781" s="40">
        <v>0</v>
      </c>
      <c r="AN781" s="27">
        <v>0</v>
      </c>
      <c r="AO781" s="27">
        <f t="shared" si="77"/>
        <v>0</v>
      </c>
      <c r="AP781" s="7" t="b">
        <v>1</v>
      </c>
      <c r="AQ781" s="6" t="b">
        <v>0</v>
      </c>
      <c r="AR781" s="6" t="b">
        <v>0</v>
      </c>
      <c r="AS781" s="6" t="b">
        <v>0</v>
      </c>
      <c r="AT781" s="7" t="b">
        <v>1</v>
      </c>
      <c r="AU781" s="6" t="b">
        <v>0</v>
      </c>
      <c r="AV781" s="6" t="b">
        <v>0</v>
      </c>
      <c r="AW781" s="6" t="b">
        <v>0</v>
      </c>
      <c r="AX781" s="6" t="b">
        <v>0</v>
      </c>
      <c r="AY781" s="6" t="b">
        <v>0</v>
      </c>
      <c r="AZ781" s="6" t="b">
        <v>0</v>
      </c>
      <c r="BA781" s="6" t="b">
        <v>0</v>
      </c>
      <c r="BB781" s="6" t="b">
        <v>0</v>
      </c>
    </row>
    <row r="782" spans="1:54" ht="15" x14ac:dyDescent="0.25">
      <c r="A782" s="3" t="s">
        <v>1623</v>
      </c>
      <c r="B782" s="3" t="str">
        <f ca="1">IFERROR(__xludf.DUMMYFUNCTION("SPLIT(A782,""/"")"),"ottogroup")</f>
        <v>ottogroup</v>
      </c>
      <c r="C782" s="3" t="str">
        <f ca="1">IFERROR(__xludf.DUMMYFUNCTION("""COMPUTED_VALUE"""),"palladium")</f>
        <v>palladium</v>
      </c>
      <c r="D782" s="4" t="s">
        <v>1624</v>
      </c>
      <c r="E782" s="5">
        <v>42093.395381944443</v>
      </c>
      <c r="F782" s="5">
        <v>44224.807962962965</v>
      </c>
      <c r="G782" s="13">
        <f t="shared" si="72"/>
        <v>2131.4125810185215</v>
      </c>
      <c r="H782" s="6" t="b">
        <v>0</v>
      </c>
      <c r="I782" s="7" t="b">
        <v>1</v>
      </c>
      <c r="J782" s="8">
        <v>481</v>
      </c>
      <c r="K782" s="8">
        <v>40</v>
      </c>
      <c r="L782" s="8">
        <v>53</v>
      </c>
      <c r="M782" s="8">
        <v>0</v>
      </c>
      <c r="N782" s="8">
        <v>1</v>
      </c>
      <c r="O782" s="8">
        <v>10</v>
      </c>
      <c r="P782" s="8">
        <v>114</v>
      </c>
      <c r="Q782" s="8">
        <v>1</v>
      </c>
      <c r="R782" s="8">
        <v>14</v>
      </c>
      <c r="S782" s="8">
        <v>3</v>
      </c>
      <c r="T782" s="3" t="s">
        <v>69</v>
      </c>
      <c r="U782" s="10">
        <v>4562</v>
      </c>
      <c r="V782" s="32">
        <v>15</v>
      </c>
      <c r="W782" s="27">
        <v>3.288031565103025E-3</v>
      </c>
      <c r="X782" s="34">
        <v>0</v>
      </c>
      <c r="Y782" s="27">
        <v>0</v>
      </c>
      <c r="Z782" s="27">
        <v>0</v>
      </c>
      <c r="AA782" s="35">
        <v>11</v>
      </c>
      <c r="AB782" s="27">
        <v>0.73333333333333328</v>
      </c>
      <c r="AC782" s="27">
        <f t="shared" si="73"/>
        <v>2.4112231477422183E-3</v>
      </c>
      <c r="AD782" s="36">
        <v>0</v>
      </c>
      <c r="AE782" s="27">
        <v>0</v>
      </c>
      <c r="AF782" s="27">
        <f t="shared" si="74"/>
        <v>0</v>
      </c>
      <c r="AG782" s="37">
        <v>4</v>
      </c>
      <c r="AH782" s="27">
        <v>0.26666666666666666</v>
      </c>
      <c r="AI782" s="27">
        <f t="shared" si="75"/>
        <v>8.7680841736080669E-4</v>
      </c>
      <c r="AJ782" s="38">
        <v>0</v>
      </c>
      <c r="AK782" s="27">
        <v>0</v>
      </c>
      <c r="AL782" s="27">
        <f t="shared" si="76"/>
        <v>0</v>
      </c>
      <c r="AM782" s="40">
        <v>0</v>
      </c>
      <c r="AN782" s="27">
        <v>0</v>
      </c>
      <c r="AO782" s="27">
        <f t="shared" si="77"/>
        <v>0</v>
      </c>
      <c r="AP782" s="7" t="b">
        <v>1</v>
      </c>
      <c r="AQ782" s="6" t="b">
        <v>0</v>
      </c>
      <c r="AR782" s="6" t="b">
        <v>0</v>
      </c>
      <c r="AS782" s="6" t="b">
        <v>0</v>
      </c>
      <c r="AT782" s="7" t="b">
        <v>1</v>
      </c>
      <c r="AU782" s="6" t="b">
        <v>0</v>
      </c>
      <c r="AV782" s="6" t="b">
        <v>0</v>
      </c>
      <c r="AW782" s="6" t="b">
        <v>0</v>
      </c>
      <c r="AX782" s="6" t="b">
        <v>0</v>
      </c>
      <c r="AY782" s="6" t="b">
        <v>0</v>
      </c>
      <c r="AZ782" s="6" t="b">
        <v>0</v>
      </c>
      <c r="BA782" s="6" t="b">
        <v>0</v>
      </c>
      <c r="BB782" s="6" t="b">
        <v>0</v>
      </c>
    </row>
    <row r="783" spans="1:54" ht="15" x14ac:dyDescent="0.25">
      <c r="A783" s="3" t="s">
        <v>1625</v>
      </c>
      <c r="B783" s="3" t="str">
        <f ca="1">IFERROR(__xludf.DUMMYFUNCTION("SPLIT(A783,""/"")"),"outflanknl")</f>
        <v>outflanknl</v>
      </c>
      <c r="C783" s="3" t="str">
        <f ca="1">IFERROR(__xludf.DUMMYFUNCTION("""COMPUTED_VALUE"""),"RedELK")</f>
        <v>RedELK</v>
      </c>
      <c r="D783" s="4" t="s">
        <v>1626</v>
      </c>
      <c r="E783" s="5">
        <v>43376.663252314815</v>
      </c>
      <c r="F783" s="5">
        <v>44294.607083333336</v>
      </c>
      <c r="G783" s="13">
        <f t="shared" si="72"/>
        <v>917.94383101852145</v>
      </c>
      <c r="H783" s="6" t="b">
        <v>0</v>
      </c>
      <c r="I783" s="7" t="b">
        <v>1</v>
      </c>
      <c r="J783" s="8">
        <v>1491</v>
      </c>
      <c r="K783" s="8">
        <v>63</v>
      </c>
      <c r="L783" s="8">
        <v>246</v>
      </c>
      <c r="M783" s="8">
        <v>10</v>
      </c>
      <c r="N783" s="8">
        <v>0</v>
      </c>
      <c r="O783" s="8">
        <v>8</v>
      </c>
      <c r="P783" s="8">
        <v>74</v>
      </c>
      <c r="Q783" s="8">
        <v>0</v>
      </c>
      <c r="R783" s="8">
        <v>77</v>
      </c>
      <c r="S783" s="8">
        <v>27</v>
      </c>
      <c r="T783" s="3" t="s">
        <v>57</v>
      </c>
      <c r="U783" s="10">
        <v>1848</v>
      </c>
      <c r="V783" s="32">
        <v>49</v>
      </c>
      <c r="W783" s="27">
        <v>2.6515151515151516E-2</v>
      </c>
      <c r="X783" s="34">
        <v>24</v>
      </c>
      <c r="Y783" s="27">
        <v>0.48979591836734693</v>
      </c>
      <c r="Z783" s="27">
        <v>1.2987012987012988E-2</v>
      </c>
      <c r="AA783" s="35">
        <v>10</v>
      </c>
      <c r="AB783" s="27">
        <v>0.20408163265306123</v>
      </c>
      <c r="AC783" s="27">
        <f t="shared" si="73"/>
        <v>5.411255411255411E-3</v>
      </c>
      <c r="AD783" s="36">
        <v>1</v>
      </c>
      <c r="AE783" s="27">
        <v>2.0408163265306121E-2</v>
      </c>
      <c r="AF783" s="27">
        <f t="shared" si="74"/>
        <v>5.4112554112554113E-4</v>
      </c>
      <c r="AG783" s="37">
        <v>4</v>
      </c>
      <c r="AH783" s="27">
        <v>8.1632653061224483E-2</v>
      </c>
      <c r="AI783" s="27">
        <f t="shared" si="75"/>
        <v>2.1645021645021645E-3</v>
      </c>
      <c r="AJ783" s="38">
        <v>0</v>
      </c>
      <c r="AK783" s="27">
        <v>0</v>
      </c>
      <c r="AL783" s="27">
        <f t="shared" si="76"/>
        <v>0</v>
      </c>
      <c r="AM783" s="40">
        <v>0</v>
      </c>
      <c r="AN783" s="27">
        <v>0</v>
      </c>
      <c r="AO783" s="27">
        <f t="shared" si="77"/>
        <v>0</v>
      </c>
      <c r="AP783" s="7" t="b">
        <v>1</v>
      </c>
      <c r="AQ783" s="6" t="b">
        <v>0</v>
      </c>
      <c r="AR783" s="6" t="b">
        <v>0</v>
      </c>
      <c r="AS783" s="6" t="b">
        <v>0</v>
      </c>
      <c r="AT783" s="7" t="b">
        <v>1</v>
      </c>
      <c r="AU783" s="6" t="b">
        <v>0</v>
      </c>
      <c r="AV783" s="6" t="b">
        <v>0</v>
      </c>
      <c r="AW783" s="6" t="b">
        <v>0</v>
      </c>
      <c r="AX783" s="6" t="b">
        <v>0</v>
      </c>
      <c r="AY783" s="6" t="b">
        <v>0</v>
      </c>
      <c r="AZ783" s="6" t="b">
        <v>0</v>
      </c>
      <c r="BA783" s="6" t="b">
        <v>0</v>
      </c>
      <c r="BB783" s="6" t="b">
        <v>0</v>
      </c>
    </row>
    <row r="784" spans="1:54" ht="15" x14ac:dyDescent="0.25">
      <c r="A784" s="3" t="s">
        <v>1627</v>
      </c>
      <c r="B784" s="3" t="str">
        <f ca="1">IFERROR(__xludf.DUMMYFUNCTION("SPLIT(A784,""/"")"),"overhangio")</f>
        <v>overhangio</v>
      </c>
      <c r="C784" s="3" t="str">
        <f ca="1">IFERROR(__xludf.DUMMYFUNCTION("""COMPUTED_VALUE"""),"tutor")</f>
        <v>tutor</v>
      </c>
      <c r="D784" s="4" t="s">
        <v>1628</v>
      </c>
      <c r="E784" s="5">
        <v>42919.444363425922</v>
      </c>
      <c r="F784" s="5">
        <v>44294.897731481484</v>
      </c>
      <c r="G784" s="13">
        <f t="shared" si="72"/>
        <v>1375.4533680555614</v>
      </c>
      <c r="H784" s="6" t="b">
        <v>0</v>
      </c>
      <c r="I784" s="7" t="b">
        <v>1</v>
      </c>
      <c r="J784" s="8">
        <v>477</v>
      </c>
      <c r="K784" s="8">
        <v>40</v>
      </c>
      <c r="L784" s="8">
        <v>192</v>
      </c>
      <c r="M784" s="8">
        <v>108</v>
      </c>
      <c r="N784" s="8">
        <v>7</v>
      </c>
      <c r="O784" s="8">
        <v>25</v>
      </c>
      <c r="P784" s="8">
        <v>106</v>
      </c>
      <c r="Q784" s="8">
        <v>7</v>
      </c>
      <c r="R784" s="8">
        <v>313</v>
      </c>
      <c r="S784" s="8">
        <v>3</v>
      </c>
      <c r="T784" s="3" t="s">
        <v>366</v>
      </c>
      <c r="U784" s="10">
        <v>2690</v>
      </c>
      <c r="V784" s="32">
        <v>0</v>
      </c>
      <c r="W784" s="27">
        <v>0</v>
      </c>
      <c r="X784" s="34">
        <v>0</v>
      </c>
      <c r="Y784" s="27">
        <v>0</v>
      </c>
      <c r="Z784" s="27">
        <v>0</v>
      </c>
      <c r="AA784" s="35">
        <v>0</v>
      </c>
      <c r="AB784" s="27">
        <v>0</v>
      </c>
      <c r="AC784" s="27">
        <f t="shared" si="73"/>
        <v>0</v>
      </c>
      <c r="AD784" s="36">
        <v>0</v>
      </c>
      <c r="AE784" s="27">
        <v>0</v>
      </c>
      <c r="AF784" s="27">
        <f t="shared" si="74"/>
        <v>0</v>
      </c>
      <c r="AG784" s="37">
        <v>0</v>
      </c>
      <c r="AH784" s="27">
        <v>0</v>
      </c>
      <c r="AI784" s="27">
        <f t="shared" si="75"/>
        <v>0</v>
      </c>
      <c r="AJ784" s="38">
        <v>0</v>
      </c>
      <c r="AK784" s="27">
        <v>0</v>
      </c>
      <c r="AL784" s="27">
        <f t="shared" si="76"/>
        <v>0</v>
      </c>
      <c r="AM784" s="40">
        <v>0</v>
      </c>
      <c r="AN784" s="27">
        <v>0</v>
      </c>
      <c r="AO784" s="27">
        <f t="shared" si="77"/>
        <v>0</v>
      </c>
      <c r="AP784" s="7" t="b">
        <v>1</v>
      </c>
      <c r="AQ784" s="7" t="b">
        <v>1</v>
      </c>
      <c r="AR784" s="6" t="b">
        <v>0</v>
      </c>
      <c r="AS784" s="6" t="b">
        <v>0</v>
      </c>
      <c r="AT784" s="7" t="b">
        <v>1</v>
      </c>
      <c r="AU784" s="6" t="b">
        <v>0</v>
      </c>
      <c r="AV784" s="6" t="b">
        <v>0</v>
      </c>
      <c r="AW784" s="6" t="b">
        <v>0</v>
      </c>
      <c r="AX784" s="6" t="b">
        <v>0</v>
      </c>
      <c r="AY784" s="6" t="b">
        <v>0</v>
      </c>
      <c r="AZ784" s="6" t="b">
        <v>0</v>
      </c>
      <c r="BA784" s="6" t="b">
        <v>0</v>
      </c>
      <c r="BB784" s="6" t="b">
        <v>0</v>
      </c>
    </row>
    <row r="785" spans="1:54" ht="15" x14ac:dyDescent="0.25">
      <c r="A785" s="3" t="s">
        <v>1629</v>
      </c>
      <c r="B785" s="3" t="str">
        <f ca="1">IFERROR(__xludf.DUMMYFUNCTION("SPLIT(A785,""/"")"),"OWASP")</f>
        <v>OWASP</v>
      </c>
      <c r="C785" s="3" t="str">
        <f ca="1">IFERROR(__xludf.DUMMYFUNCTION("""COMPUTED_VALUE"""),"Nettacker")</f>
        <v>Nettacker</v>
      </c>
      <c r="D785" s="4" t="s">
        <v>1630</v>
      </c>
      <c r="E785" s="5">
        <v>42846.510127314818</v>
      </c>
      <c r="F785" s="5">
        <v>44294.982002314813</v>
      </c>
      <c r="G785" s="13">
        <f t="shared" si="72"/>
        <v>1448.4718749999956</v>
      </c>
      <c r="H785" s="6" t="b">
        <v>0</v>
      </c>
      <c r="I785" s="7" t="b">
        <v>1</v>
      </c>
      <c r="J785" s="8">
        <v>998</v>
      </c>
      <c r="K785" s="8">
        <v>65</v>
      </c>
      <c r="L785" s="8">
        <v>323</v>
      </c>
      <c r="M785" s="8">
        <v>1</v>
      </c>
      <c r="N785" s="8">
        <v>8</v>
      </c>
      <c r="O785" s="8">
        <v>29</v>
      </c>
      <c r="P785" s="8">
        <v>248</v>
      </c>
      <c r="Q785" s="8">
        <v>24</v>
      </c>
      <c r="R785" s="8">
        <v>167</v>
      </c>
      <c r="S785" s="8">
        <v>9</v>
      </c>
      <c r="T785" s="3" t="s">
        <v>92</v>
      </c>
      <c r="U785" s="10">
        <v>19441</v>
      </c>
      <c r="V785" s="32">
        <v>21</v>
      </c>
      <c r="W785" s="27">
        <v>1.0801913481816778E-3</v>
      </c>
      <c r="X785" s="34">
        <v>0</v>
      </c>
      <c r="Y785" s="27">
        <v>0</v>
      </c>
      <c r="Z785" s="27">
        <v>0</v>
      </c>
      <c r="AA785" s="35">
        <v>0</v>
      </c>
      <c r="AB785" s="27">
        <v>0</v>
      </c>
      <c r="AC785" s="27">
        <f t="shared" si="73"/>
        <v>0</v>
      </c>
      <c r="AD785" s="36">
        <v>3</v>
      </c>
      <c r="AE785" s="27">
        <v>0.14285714285714285</v>
      </c>
      <c r="AF785" s="27">
        <f t="shared" si="74"/>
        <v>1.543130497402397E-4</v>
      </c>
      <c r="AG785" s="37">
        <v>18</v>
      </c>
      <c r="AH785" s="27">
        <v>0.8571428571428571</v>
      </c>
      <c r="AI785" s="27">
        <f t="shared" si="75"/>
        <v>9.2587829844143822E-4</v>
      </c>
      <c r="AJ785" s="38">
        <v>0</v>
      </c>
      <c r="AK785" s="27">
        <v>0</v>
      </c>
      <c r="AL785" s="27">
        <f t="shared" si="76"/>
        <v>0</v>
      </c>
      <c r="AM785" s="40">
        <v>0</v>
      </c>
      <c r="AN785" s="27">
        <v>0</v>
      </c>
      <c r="AO785" s="27">
        <f t="shared" si="77"/>
        <v>0</v>
      </c>
      <c r="AP785" s="7" t="b">
        <v>1</v>
      </c>
      <c r="AQ785" s="7" t="b">
        <v>1</v>
      </c>
      <c r="AR785" s="6" t="b">
        <v>0</v>
      </c>
      <c r="AS785" s="6" t="b">
        <v>0</v>
      </c>
      <c r="AT785" s="7" t="b">
        <v>1</v>
      </c>
      <c r="AU785" s="6" t="b">
        <v>0</v>
      </c>
      <c r="AV785" s="6" t="b">
        <v>0</v>
      </c>
      <c r="AW785" s="6" t="b">
        <v>0</v>
      </c>
      <c r="AX785" s="6" t="b">
        <v>0</v>
      </c>
      <c r="AY785" s="6" t="b">
        <v>0</v>
      </c>
      <c r="AZ785" s="6" t="b">
        <v>0</v>
      </c>
      <c r="BA785" s="6" t="b">
        <v>0</v>
      </c>
      <c r="BB785" s="6" t="b">
        <v>0</v>
      </c>
    </row>
    <row r="786" spans="1:54" ht="15" x14ac:dyDescent="0.25">
      <c r="A786" s="3" t="s">
        <v>1631</v>
      </c>
      <c r="B786" s="3" t="str">
        <f ca="1">IFERROR(__xludf.DUMMYFUNCTION("SPLIT(A786,""/"")"),"owtf")</f>
        <v>owtf</v>
      </c>
      <c r="C786" s="3" t="str">
        <f ca="1">IFERROR(__xludf.DUMMYFUNCTION("""COMPUTED_VALUE"""),"owtf")</f>
        <v>owtf</v>
      </c>
      <c r="D786" s="4" t="s">
        <v>1632</v>
      </c>
      <c r="E786" s="5">
        <v>40927.279675925929</v>
      </c>
      <c r="F786" s="5">
        <v>44292.378263888888</v>
      </c>
      <c r="G786" s="13">
        <f t="shared" si="72"/>
        <v>3365.0985879629588</v>
      </c>
      <c r="H786" s="6" t="b">
        <v>0</v>
      </c>
      <c r="I786" s="7" t="b">
        <v>1</v>
      </c>
      <c r="J786" s="8">
        <v>1435</v>
      </c>
      <c r="K786" s="8">
        <v>130</v>
      </c>
      <c r="L786" s="8">
        <v>388</v>
      </c>
      <c r="M786" s="8">
        <v>11</v>
      </c>
      <c r="N786" s="8">
        <v>108</v>
      </c>
      <c r="O786" s="8">
        <v>48</v>
      </c>
      <c r="P786" s="8">
        <v>461</v>
      </c>
      <c r="Q786" s="8">
        <v>13</v>
      </c>
      <c r="R786" s="8">
        <v>668</v>
      </c>
      <c r="S786" s="8">
        <v>53</v>
      </c>
      <c r="T786" s="3" t="s">
        <v>57</v>
      </c>
      <c r="U786" s="10">
        <v>9931</v>
      </c>
      <c r="V786" s="32">
        <v>157</v>
      </c>
      <c r="W786" s="27">
        <v>1.5809082670425939E-2</v>
      </c>
      <c r="X786" s="34">
        <v>21</v>
      </c>
      <c r="Y786" s="27">
        <v>0.13375796178343949</v>
      </c>
      <c r="Z786" s="27">
        <v>2.1145906756620684E-3</v>
      </c>
      <c r="AA786" s="35">
        <v>102</v>
      </c>
      <c r="AB786" s="27">
        <v>0.64968152866242035</v>
      </c>
      <c r="AC786" s="27">
        <f t="shared" si="73"/>
        <v>1.0270868996072904E-2</v>
      </c>
      <c r="AD786" s="36">
        <v>20</v>
      </c>
      <c r="AE786" s="27">
        <v>0.12738853503184713</v>
      </c>
      <c r="AF786" s="27">
        <f t="shared" si="74"/>
        <v>2.013895881582922E-3</v>
      </c>
      <c r="AG786" s="37">
        <v>13</v>
      </c>
      <c r="AH786" s="27">
        <v>8.2802547770700632E-2</v>
      </c>
      <c r="AI786" s="27">
        <f t="shared" si="75"/>
        <v>1.3090323230288993E-3</v>
      </c>
      <c r="AJ786" s="38">
        <v>0</v>
      </c>
      <c r="AK786" s="27">
        <v>0</v>
      </c>
      <c r="AL786" s="27">
        <f t="shared" si="76"/>
        <v>0</v>
      </c>
      <c r="AM786" s="40">
        <v>0</v>
      </c>
      <c r="AN786" s="27">
        <v>0</v>
      </c>
      <c r="AO786" s="27">
        <f t="shared" si="77"/>
        <v>0</v>
      </c>
      <c r="AP786" s="7" t="b">
        <v>1</v>
      </c>
      <c r="AQ786" s="7" t="b">
        <v>1</v>
      </c>
      <c r="AR786" s="6" t="b">
        <v>0</v>
      </c>
      <c r="AS786" s="6" t="b">
        <v>0</v>
      </c>
      <c r="AT786" s="7" t="b">
        <v>1</v>
      </c>
      <c r="AU786" s="6" t="b">
        <v>0</v>
      </c>
      <c r="AV786" s="6" t="b">
        <v>0</v>
      </c>
      <c r="AW786" s="6" t="b">
        <v>0</v>
      </c>
      <c r="AX786" s="6" t="b">
        <v>0</v>
      </c>
      <c r="AY786" s="6" t="b">
        <v>0</v>
      </c>
      <c r="AZ786" s="6" t="b">
        <v>0</v>
      </c>
      <c r="BA786" s="6" t="b">
        <v>0</v>
      </c>
      <c r="BB786" s="6" t="b">
        <v>0</v>
      </c>
    </row>
    <row r="787" spans="1:54" ht="15" x14ac:dyDescent="0.25">
      <c r="A787" s="3" t="s">
        <v>1633</v>
      </c>
      <c r="B787" s="3" t="str">
        <f ca="1">IFERROR(__xludf.DUMMYFUNCTION("SPLIT(A787,""/"")"),"oxwhirl")</f>
        <v>oxwhirl</v>
      </c>
      <c r="C787" s="3" t="str">
        <f ca="1">IFERROR(__xludf.DUMMYFUNCTION("""COMPUTED_VALUE"""),"pymarl")</f>
        <v>pymarl</v>
      </c>
      <c r="D787" s="4" t="s">
        <v>1634</v>
      </c>
      <c r="E787" s="5">
        <v>43398.575497685182</v>
      </c>
      <c r="F787" s="5">
        <v>44293.379479166666</v>
      </c>
      <c r="G787" s="13">
        <f t="shared" si="72"/>
        <v>894.80398148148379</v>
      </c>
      <c r="H787" s="6" t="b">
        <v>0</v>
      </c>
      <c r="I787" s="7" t="b">
        <v>1</v>
      </c>
      <c r="J787" s="8">
        <v>730</v>
      </c>
      <c r="K787" s="8">
        <v>28</v>
      </c>
      <c r="L787" s="8">
        <v>210</v>
      </c>
      <c r="M787" s="8">
        <v>0</v>
      </c>
      <c r="N787" s="8">
        <v>0</v>
      </c>
      <c r="O787" s="8">
        <v>6</v>
      </c>
      <c r="P787" s="8">
        <v>17</v>
      </c>
      <c r="Q787" s="8">
        <v>7</v>
      </c>
      <c r="R787" s="8">
        <v>84</v>
      </c>
      <c r="S787" s="8">
        <v>17</v>
      </c>
      <c r="T787" s="3" t="s">
        <v>69</v>
      </c>
      <c r="U787" s="10">
        <v>1520</v>
      </c>
      <c r="V787" s="32">
        <v>15</v>
      </c>
      <c r="W787" s="27">
        <v>9.8684210526315784E-3</v>
      </c>
      <c r="X787" s="34">
        <v>0</v>
      </c>
      <c r="Y787" s="27">
        <v>0</v>
      </c>
      <c r="Z787" s="27">
        <v>0</v>
      </c>
      <c r="AA787" s="35">
        <v>14</v>
      </c>
      <c r="AB787" s="27">
        <v>0.93333333333333335</v>
      </c>
      <c r="AC787" s="27">
        <f t="shared" si="73"/>
        <v>9.2105263157894728E-3</v>
      </c>
      <c r="AD787" s="36">
        <v>1</v>
      </c>
      <c r="AE787" s="27">
        <v>6.6666666666666666E-2</v>
      </c>
      <c r="AF787" s="27">
        <f t="shared" si="74"/>
        <v>6.5789473684210525E-4</v>
      </c>
      <c r="AG787" s="37">
        <v>0</v>
      </c>
      <c r="AH787" s="27">
        <v>0</v>
      </c>
      <c r="AI787" s="27">
        <f t="shared" si="75"/>
        <v>0</v>
      </c>
      <c r="AJ787" s="38">
        <v>0</v>
      </c>
      <c r="AK787" s="27">
        <v>0</v>
      </c>
      <c r="AL787" s="27">
        <f t="shared" si="76"/>
        <v>0</v>
      </c>
      <c r="AM787" s="40">
        <v>0</v>
      </c>
      <c r="AN787" s="27">
        <v>0</v>
      </c>
      <c r="AO787" s="27">
        <f t="shared" si="77"/>
        <v>0</v>
      </c>
      <c r="AP787" s="7" t="b">
        <v>1</v>
      </c>
      <c r="AQ787" s="6" t="b">
        <v>0</v>
      </c>
      <c r="AR787" s="6" t="b">
        <v>0</v>
      </c>
      <c r="AS787" s="6" t="b">
        <v>0</v>
      </c>
      <c r="AT787" s="7" t="b">
        <v>1</v>
      </c>
      <c r="AU787" s="6" t="b">
        <v>0</v>
      </c>
      <c r="AV787" s="6" t="b">
        <v>0</v>
      </c>
      <c r="AW787" s="6" t="b">
        <v>0</v>
      </c>
      <c r="AX787" s="6" t="b">
        <v>0</v>
      </c>
      <c r="AY787" s="6" t="b">
        <v>0</v>
      </c>
      <c r="AZ787" s="6" t="b">
        <v>0</v>
      </c>
      <c r="BA787" s="6" t="b">
        <v>0</v>
      </c>
      <c r="BB787" s="6" t="b">
        <v>0</v>
      </c>
    </row>
    <row r="788" spans="1:54" ht="15" x14ac:dyDescent="0.25">
      <c r="A788" s="3" t="s">
        <v>1635</v>
      </c>
      <c r="B788" s="3" t="str">
        <f ca="1">IFERROR(__xludf.DUMMYFUNCTION("SPLIT(A788,""/"")"),"ozhiwei")</f>
        <v>ozhiwei</v>
      </c>
      <c r="C788" s="3" t="str">
        <f ca="1">IFERROR(__xludf.DUMMYFUNCTION("""COMPUTED_VALUE"""),"SmartProxyPool")</f>
        <v>SmartProxyPool</v>
      </c>
      <c r="D788" s="4" t="s">
        <v>1636</v>
      </c>
      <c r="E788" s="5">
        <v>43416.614074074074</v>
      </c>
      <c r="F788" s="5">
        <v>44292.266145833331</v>
      </c>
      <c r="G788" s="13">
        <f t="shared" si="72"/>
        <v>875.65207175925752</v>
      </c>
      <c r="H788" s="6" t="b">
        <v>0</v>
      </c>
      <c r="I788" s="6" t="b">
        <v>0</v>
      </c>
      <c r="J788" s="8">
        <v>342</v>
      </c>
      <c r="K788" s="8">
        <v>20</v>
      </c>
      <c r="L788" s="8">
        <v>88</v>
      </c>
      <c r="M788" s="8">
        <v>0</v>
      </c>
      <c r="N788" s="8">
        <v>0</v>
      </c>
      <c r="O788" s="8">
        <v>19</v>
      </c>
      <c r="P788" s="8">
        <v>5</v>
      </c>
      <c r="Q788" s="8">
        <v>1</v>
      </c>
      <c r="R788" s="8">
        <v>17</v>
      </c>
      <c r="S788" s="8">
        <v>2</v>
      </c>
      <c r="T788" s="3" t="s">
        <v>72</v>
      </c>
      <c r="U788" s="10">
        <v>2794</v>
      </c>
      <c r="V788" s="32">
        <v>69</v>
      </c>
      <c r="W788" s="27">
        <v>2.4695776664280602E-2</v>
      </c>
      <c r="X788" s="34">
        <v>39</v>
      </c>
      <c r="Y788" s="27">
        <v>0.56521739130434778</v>
      </c>
      <c r="Z788" s="27">
        <v>1.395848246241947E-2</v>
      </c>
      <c r="AA788" s="35">
        <v>24</v>
      </c>
      <c r="AB788" s="27">
        <v>0.34782608695652173</v>
      </c>
      <c r="AC788" s="27">
        <f t="shared" si="73"/>
        <v>8.5898353614889053E-3</v>
      </c>
      <c r="AD788" s="36">
        <v>0</v>
      </c>
      <c r="AE788" s="27">
        <v>0</v>
      </c>
      <c r="AF788" s="27">
        <f t="shared" si="74"/>
        <v>0</v>
      </c>
      <c r="AG788" s="37">
        <v>5</v>
      </c>
      <c r="AH788" s="27">
        <v>7.2463768115942032E-2</v>
      </c>
      <c r="AI788" s="27">
        <f t="shared" si="75"/>
        <v>1.7895490336435219E-3</v>
      </c>
      <c r="AJ788" s="38">
        <v>0</v>
      </c>
      <c r="AK788" s="27">
        <v>0</v>
      </c>
      <c r="AL788" s="27">
        <f t="shared" si="76"/>
        <v>0</v>
      </c>
      <c r="AM788" s="40">
        <v>0</v>
      </c>
      <c r="AN788" s="27">
        <v>0</v>
      </c>
      <c r="AO788" s="27">
        <f t="shared" si="77"/>
        <v>0</v>
      </c>
      <c r="AP788" s="7" t="b">
        <v>1</v>
      </c>
      <c r="AQ788" s="7" t="b">
        <v>1</v>
      </c>
      <c r="AR788" s="6" t="b">
        <v>0</v>
      </c>
      <c r="AS788" s="6" t="b">
        <v>0</v>
      </c>
      <c r="AT788" s="7" t="b">
        <v>1</v>
      </c>
      <c r="AU788" s="6" t="b">
        <v>0</v>
      </c>
      <c r="AV788" s="6" t="b">
        <v>0</v>
      </c>
      <c r="AW788" s="6" t="b">
        <v>0</v>
      </c>
      <c r="AX788" s="6" t="b">
        <v>0</v>
      </c>
      <c r="AY788" s="6" t="b">
        <v>0</v>
      </c>
      <c r="AZ788" s="6" t="b">
        <v>0</v>
      </c>
      <c r="BA788" s="6" t="b">
        <v>0</v>
      </c>
      <c r="BB788" s="6" t="b">
        <v>0</v>
      </c>
    </row>
    <row r="789" spans="1:54" ht="15" x14ac:dyDescent="0.25">
      <c r="A789" s="3" t="s">
        <v>1637</v>
      </c>
      <c r="B789" s="3" t="str">
        <f ca="1">IFERROR(__xludf.DUMMYFUNCTION("SPLIT(A789,""/"")"),"P0cL4bs")</f>
        <v>P0cL4bs</v>
      </c>
      <c r="C789" s="3" t="str">
        <f ca="1">IFERROR(__xludf.DUMMYFUNCTION("""COMPUTED_VALUE"""),"wifipumpkin3")</f>
        <v>wifipumpkin3</v>
      </c>
      <c r="D789" s="4" t="s">
        <v>1638</v>
      </c>
      <c r="E789" s="5">
        <v>43594.677442129629</v>
      </c>
      <c r="F789" s="5">
        <v>44294.994745370372</v>
      </c>
      <c r="G789" s="13">
        <f t="shared" si="72"/>
        <v>700.31730324074306</v>
      </c>
      <c r="H789" s="6" t="b">
        <v>0</v>
      </c>
      <c r="I789" s="7" t="b">
        <v>1</v>
      </c>
      <c r="J789" s="8">
        <v>511</v>
      </c>
      <c r="K789" s="8">
        <v>40</v>
      </c>
      <c r="L789" s="8">
        <v>95</v>
      </c>
      <c r="M789" s="8">
        <v>5</v>
      </c>
      <c r="N789" s="8">
        <v>0</v>
      </c>
      <c r="O789" s="8">
        <v>6</v>
      </c>
      <c r="P789" s="8">
        <v>18</v>
      </c>
      <c r="Q789" s="8">
        <v>0</v>
      </c>
      <c r="R789" s="8">
        <v>118</v>
      </c>
      <c r="S789" s="8">
        <v>12</v>
      </c>
      <c r="T789" s="3" t="s">
        <v>69</v>
      </c>
      <c r="U789" s="10">
        <v>7024</v>
      </c>
      <c r="V789" s="32">
        <v>30</v>
      </c>
      <c r="W789" s="27">
        <v>4.2710706150341686E-3</v>
      </c>
      <c r="X789" s="34">
        <v>12</v>
      </c>
      <c r="Y789" s="27">
        <v>0.4</v>
      </c>
      <c r="Z789" s="27">
        <v>1.7084282460136675E-3</v>
      </c>
      <c r="AA789" s="35">
        <v>16</v>
      </c>
      <c r="AB789" s="27">
        <v>0.53333333333333333</v>
      </c>
      <c r="AC789" s="27">
        <f t="shared" si="73"/>
        <v>2.2779043280182231E-3</v>
      </c>
      <c r="AD789" s="36">
        <v>2</v>
      </c>
      <c r="AE789" s="27">
        <v>6.6666666666666666E-2</v>
      </c>
      <c r="AF789" s="27">
        <f t="shared" si="74"/>
        <v>2.8473804100227789E-4</v>
      </c>
      <c r="AG789" s="37">
        <v>0</v>
      </c>
      <c r="AH789" s="27">
        <v>0</v>
      </c>
      <c r="AI789" s="27">
        <f t="shared" si="75"/>
        <v>0</v>
      </c>
      <c r="AJ789" s="38">
        <v>0</v>
      </c>
      <c r="AK789" s="27">
        <v>0</v>
      </c>
      <c r="AL789" s="27">
        <f t="shared" si="76"/>
        <v>0</v>
      </c>
      <c r="AM789" s="40">
        <v>0</v>
      </c>
      <c r="AN789" s="27">
        <v>0</v>
      </c>
      <c r="AO789" s="27">
        <f t="shared" si="77"/>
        <v>0</v>
      </c>
      <c r="AP789" s="7" t="b">
        <v>1</v>
      </c>
      <c r="AQ789" s="7" t="b">
        <v>1</v>
      </c>
      <c r="AR789" s="6" t="b">
        <v>0</v>
      </c>
      <c r="AS789" s="6" t="b">
        <v>0</v>
      </c>
      <c r="AT789" s="7" t="b">
        <v>1</v>
      </c>
      <c r="AU789" s="6" t="b">
        <v>0</v>
      </c>
      <c r="AV789" s="6" t="b">
        <v>0</v>
      </c>
      <c r="AW789" s="6" t="b">
        <v>0</v>
      </c>
      <c r="AX789" s="7" t="b">
        <v>1</v>
      </c>
      <c r="AY789" s="6" t="b">
        <v>0</v>
      </c>
      <c r="AZ789" s="6" t="b">
        <v>0</v>
      </c>
      <c r="BA789" s="6" t="b">
        <v>0</v>
      </c>
      <c r="BB789" s="6" t="b">
        <v>0</v>
      </c>
    </row>
    <row r="790" spans="1:54" ht="15" x14ac:dyDescent="0.25">
      <c r="A790" s="3" t="s">
        <v>1639</v>
      </c>
      <c r="B790" s="3" t="str">
        <f ca="1">IFERROR(__xludf.DUMMYFUNCTION("SPLIT(A790,""/"")"),"p1r06u3")</f>
        <v>p1r06u3</v>
      </c>
      <c r="C790" s="3" t="str">
        <f ca="1">IFERROR(__xludf.DUMMYFUNCTION("""COMPUTED_VALUE"""),"opencanary_web")</f>
        <v>opencanary_web</v>
      </c>
      <c r="D790" s="4" t="s">
        <v>1640</v>
      </c>
      <c r="E790" s="5">
        <v>43346.560370370367</v>
      </c>
      <c r="F790" s="5">
        <v>44294.142083333332</v>
      </c>
      <c r="G790" s="13">
        <f t="shared" si="72"/>
        <v>947.58171296296496</v>
      </c>
      <c r="H790" s="6" t="b">
        <v>0</v>
      </c>
      <c r="I790" s="6" t="b">
        <v>0</v>
      </c>
      <c r="J790" s="8">
        <v>555</v>
      </c>
      <c r="K790" s="8">
        <v>20</v>
      </c>
      <c r="L790" s="8">
        <v>206</v>
      </c>
      <c r="M790" s="8">
        <v>0</v>
      </c>
      <c r="N790" s="8">
        <v>0</v>
      </c>
      <c r="O790" s="8">
        <v>6</v>
      </c>
      <c r="P790" s="8">
        <v>18</v>
      </c>
      <c r="Q790" s="8">
        <v>0</v>
      </c>
      <c r="R790" s="8">
        <v>41</v>
      </c>
      <c r="S790" s="8">
        <v>11</v>
      </c>
      <c r="T790" s="3" t="s">
        <v>57</v>
      </c>
      <c r="U790" s="10">
        <v>1526</v>
      </c>
      <c r="V790" s="32">
        <v>0</v>
      </c>
      <c r="W790" s="27">
        <v>0</v>
      </c>
      <c r="X790" s="34">
        <v>0</v>
      </c>
      <c r="Y790" s="27">
        <v>0</v>
      </c>
      <c r="Z790" s="27">
        <v>0</v>
      </c>
      <c r="AA790" s="35">
        <v>0</v>
      </c>
      <c r="AB790" s="27">
        <v>0</v>
      </c>
      <c r="AC790" s="27">
        <f t="shared" si="73"/>
        <v>0</v>
      </c>
      <c r="AD790" s="36">
        <v>0</v>
      </c>
      <c r="AE790" s="27">
        <v>0</v>
      </c>
      <c r="AF790" s="27">
        <f t="shared" si="74"/>
        <v>0</v>
      </c>
      <c r="AG790" s="37">
        <v>0</v>
      </c>
      <c r="AH790" s="27">
        <v>0</v>
      </c>
      <c r="AI790" s="27">
        <f t="shared" si="75"/>
        <v>0</v>
      </c>
      <c r="AJ790" s="38">
        <v>0</v>
      </c>
      <c r="AK790" s="27">
        <v>0</v>
      </c>
      <c r="AL790" s="27">
        <f t="shared" si="76"/>
        <v>0</v>
      </c>
      <c r="AM790" s="40">
        <v>0</v>
      </c>
      <c r="AN790" s="27">
        <v>0</v>
      </c>
      <c r="AO790" s="27">
        <f t="shared" si="77"/>
        <v>0</v>
      </c>
      <c r="AP790" s="7" t="b">
        <v>1</v>
      </c>
      <c r="AQ790" s="6" t="b">
        <v>0</v>
      </c>
      <c r="AR790" s="6" t="b">
        <v>0</v>
      </c>
      <c r="AS790" s="6" t="b">
        <v>0</v>
      </c>
      <c r="AT790" s="7" t="b">
        <v>1</v>
      </c>
      <c r="AU790" s="6" t="b">
        <v>0</v>
      </c>
      <c r="AV790" s="6" t="b">
        <v>0</v>
      </c>
      <c r="AW790" s="6" t="b">
        <v>0</v>
      </c>
      <c r="AX790" s="6" t="b">
        <v>0</v>
      </c>
      <c r="AY790" s="6" t="b">
        <v>0</v>
      </c>
      <c r="AZ790" s="6" t="b">
        <v>0</v>
      </c>
      <c r="BA790" s="6" t="b">
        <v>0</v>
      </c>
      <c r="BB790" s="6" t="b">
        <v>0</v>
      </c>
    </row>
    <row r="791" spans="1:54" ht="15" x14ac:dyDescent="0.25">
      <c r="A791" s="3" t="s">
        <v>1641</v>
      </c>
      <c r="B791" s="3" t="str">
        <f ca="1">IFERROR(__xludf.DUMMYFUNCTION("SPLIT(A791,""/"")"),"pact-foundation")</f>
        <v>pact-foundation</v>
      </c>
      <c r="C791" s="3" t="str">
        <f ca="1">IFERROR(__xludf.DUMMYFUNCTION("""COMPUTED_VALUE"""),"pact-python")</f>
        <v>pact-python</v>
      </c>
      <c r="D791" s="4" t="s">
        <v>1642</v>
      </c>
      <c r="E791" s="5">
        <v>42816.373310185183</v>
      </c>
      <c r="F791" s="5">
        <v>44293.665960648148</v>
      </c>
      <c r="G791" s="13">
        <f t="shared" si="72"/>
        <v>1477.292650462965</v>
      </c>
      <c r="H791" s="6" t="b">
        <v>0</v>
      </c>
      <c r="I791" s="7" t="b">
        <v>1</v>
      </c>
      <c r="J791" s="8">
        <v>342</v>
      </c>
      <c r="K791" s="8">
        <v>18</v>
      </c>
      <c r="L791" s="8">
        <v>78</v>
      </c>
      <c r="M791" s="8">
        <v>43</v>
      </c>
      <c r="N791" s="8">
        <v>5</v>
      </c>
      <c r="O791" s="8">
        <v>36</v>
      </c>
      <c r="P791" s="8">
        <v>119</v>
      </c>
      <c r="Q791" s="8">
        <v>4</v>
      </c>
      <c r="R791" s="8">
        <v>101</v>
      </c>
      <c r="S791" s="8">
        <v>19</v>
      </c>
      <c r="T791" s="3" t="s">
        <v>72</v>
      </c>
      <c r="U791" s="10">
        <v>2360</v>
      </c>
      <c r="V791" s="32">
        <v>1</v>
      </c>
      <c r="W791" s="27">
        <v>4.2372881355932202E-4</v>
      </c>
      <c r="X791" s="34">
        <v>1</v>
      </c>
      <c r="Y791" s="27">
        <v>1</v>
      </c>
      <c r="Z791" s="27">
        <v>4.2372881355932202E-4</v>
      </c>
      <c r="AA791" s="35">
        <v>0</v>
      </c>
      <c r="AB791" s="27">
        <v>0</v>
      </c>
      <c r="AC791" s="27">
        <f t="shared" si="73"/>
        <v>0</v>
      </c>
      <c r="AD791" s="36">
        <v>0</v>
      </c>
      <c r="AE791" s="27">
        <v>0</v>
      </c>
      <c r="AF791" s="27">
        <f t="shared" si="74"/>
        <v>0</v>
      </c>
      <c r="AG791" s="37">
        <v>0</v>
      </c>
      <c r="AH791" s="27">
        <v>0</v>
      </c>
      <c r="AI791" s="27">
        <f t="shared" si="75"/>
        <v>0</v>
      </c>
      <c r="AJ791" s="38">
        <v>0</v>
      </c>
      <c r="AK791" s="27">
        <v>0</v>
      </c>
      <c r="AL791" s="27">
        <f t="shared" si="76"/>
        <v>0</v>
      </c>
      <c r="AM791" s="40">
        <v>0</v>
      </c>
      <c r="AN791" s="27">
        <v>0</v>
      </c>
      <c r="AO791" s="27">
        <f t="shared" si="77"/>
        <v>0</v>
      </c>
      <c r="AP791" s="6" t="b">
        <v>0</v>
      </c>
      <c r="AQ791" s="7" t="b">
        <v>1</v>
      </c>
      <c r="AR791" s="6" t="b">
        <v>0</v>
      </c>
      <c r="AS791" s="6" t="b">
        <v>0</v>
      </c>
      <c r="AT791" s="7" t="b">
        <v>1</v>
      </c>
      <c r="AU791" s="6" t="b">
        <v>0</v>
      </c>
      <c r="AV791" s="6" t="b">
        <v>0</v>
      </c>
      <c r="AW791" s="6" t="b">
        <v>0</v>
      </c>
      <c r="AX791" s="6" t="b">
        <v>0</v>
      </c>
      <c r="AY791" s="6" t="b">
        <v>0</v>
      </c>
      <c r="AZ791" s="6" t="b">
        <v>0</v>
      </c>
      <c r="BA791" s="6" t="b">
        <v>0</v>
      </c>
      <c r="BB791" s="6" t="b">
        <v>0</v>
      </c>
    </row>
    <row r="792" spans="1:54" ht="15" x14ac:dyDescent="0.25">
      <c r="A792" s="3" t="s">
        <v>1643</v>
      </c>
      <c r="B792" s="3" t="str">
        <f ca="1">IFERROR(__xludf.DUMMYFUNCTION("SPLIT(A792,""/"")"),"PaddlePaddle")</f>
        <v>PaddlePaddle</v>
      </c>
      <c r="C792" s="3" t="str">
        <f ca="1">IFERROR(__xludf.DUMMYFUNCTION("""COMPUTED_VALUE"""),"Paddle")</f>
        <v>Paddle</v>
      </c>
      <c r="D792" s="4" t="s">
        <v>1644</v>
      </c>
      <c r="E792" s="5">
        <v>42597.291064814817</v>
      </c>
      <c r="F792" s="5">
        <v>44295.152673611112</v>
      </c>
      <c r="G792" s="13">
        <f t="shared" si="72"/>
        <v>1697.8616087962946</v>
      </c>
      <c r="H792" s="6" t="b">
        <v>0</v>
      </c>
      <c r="I792" s="7" t="b">
        <v>1</v>
      </c>
      <c r="J792" s="8">
        <v>14786</v>
      </c>
      <c r="K792" s="8">
        <v>720</v>
      </c>
      <c r="L792" s="8">
        <v>3553</v>
      </c>
      <c r="M792" s="8">
        <v>43</v>
      </c>
      <c r="N792" s="8">
        <v>5530</v>
      </c>
      <c r="O792" s="8">
        <v>388</v>
      </c>
      <c r="P792" s="8">
        <v>19558</v>
      </c>
      <c r="Q792" s="8">
        <v>633</v>
      </c>
      <c r="R792" s="8">
        <v>12527</v>
      </c>
      <c r="S792" s="8">
        <v>1888</v>
      </c>
      <c r="T792" s="3" t="s">
        <v>69</v>
      </c>
      <c r="U792" s="10">
        <v>236183</v>
      </c>
      <c r="V792" s="32">
        <v>607</v>
      </c>
      <c r="W792" s="27">
        <v>2.5700410275083306E-3</v>
      </c>
      <c r="X792" s="34">
        <v>54</v>
      </c>
      <c r="Y792" s="27">
        <v>8.8962108731466233E-2</v>
      </c>
      <c r="Z792" s="27">
        <v>2.2863626933352529E-4</v>
      </c>
      <c r="AA792" s="35">
        <v>280</v>
      </c>
      <c r="AB792" s="27">
        <v>0.46128500823723229</v>
      </c>
      <c r="AC792" s="27">
        <f t="shared" si="73"/>
        <v>1.1855213965442052E-3</v>
      </c>
      <c r="AD792" s="36">
        <v>212</v>
      </c>
      <c r="AE792" s="27">
        <v>0.34925864909390447</v>
      </c>
      <c r="AF792" s="27">
        <f t="shared" si="74"/>
        <v>8.9760905738346956E-4</v>
      </c>
      <c r="AG792" s="37">
        <v>38</v>
      </c>
      <c r="AH792" s="27">
        <v>6.260296540362438E-2</v>
      </c>
      <c r="AI792" s="27">
        <f t="shared" si="75"/>
        <v>1.6089218953099926E-4</v>
      </c>
      <c r="AJ792" s="38">
        <v>3</v>
      </c>
      <c r="AK792" s="27">
        <v>4.9423393739703456E-3</v>
      </c>
      <c r="AL792" s="27">
        <f t="shared" si="76"/>
        <v>1.2702014962973626E-5</v>
      </c>
      <c r="AM792" s="40">
        <v>15</v>
      </c>
      <c r="AN792" s="27">
        <v>2.4711696869851731E-2</v>
      </c>
      <c r="AO792" s="27">
        <f t="shared" si="77"/>
        <v>6.3510074814868134E-5</v>
      </c>
      <c r="AP792" s="7" t="b">
        <v>1</v>
      </c>
      <c r="AQ792" s="6" t="b">
        <v>0</v>
      </c>
      <c r="AR792" s="6" t="b">
        <v>0</v>
      </c>
      <c r="AS792" s="6" t="b">
        <v>0</v>
      </c>
      <c r="AT792" s="7" t="b">
        <v>1</v>
      </c>
      <c r="AU792" s="6" t="b">
        <v>0</v>
      </c>
      <c r="AV792" s="6" t="b">
        <v>0</v>
      </c>
      <c r="AW792" s="6" t="b">
        <v>0</v>
      </c>
      <c r="AX792" s="6" t="b">
        <v>0</v>
      </c>
      <c r="AY792" s="6" t="b">
        <v>0</v>
      </c>
      <c r="AZ792" s="6" t="b">
        <v>0</v>
      </c>
      <c r="BA792" s="6" t="b">
        <v>0</v>
      </c>
      <c r="BB792" s="6" t="b">
        <v>0</v>
      </c>
    </row>
    <row r="793" spans="1:54" ht="15" x14ac:dyDescent="0.25">
      <c r="A793" s="3" t="s">
        <v>1645</v>
      </c>
      <c r="B793" s="3" t="str">
        <f ca="1">IFERROR(__xludf.DUMMYFUNCTION("SPLIT(A793,""/"")"),"PaddlePaddle")</f>
        <v>PaddlePaddle</v>
      </c>
      <c r="C793" s="3" t="str">
        <f ca="1">IFERROR(__xludf.DUMMYFUNCTION("""COMPUTED_VALUE"""),"PaddleOCR")</f>
        <v>PaddleOCR</v>
      </c>
      <c r="D793" s="4" t="s">
        <v>1646</v>
      </c>
      <c r="E793" s="5">
        <v>43959.443240740744</v>
      </c>
      <c r="F793" s="5">
        <v>44295.152280092596</v>
      </c>
      <c r="G793" s="13">
        <f t="shared" si="72"/>
        <v>335.70903935185197</v>
      </c>
      <c r="H793" s="6" t="b">
        <v>0</v>
      </c>
      <c r="I793" s="7" t="b">
        <v>1</v>
      </c>
      <c r="J793" s="8">
        <v>11534</v>
      </c>
      <c r="K793" s="8">
        <v>275</v>
      </c>
      <c r="L793" s="8">
        <v>2288</v>
      </c>
      <c r="M793" s="8">
        <v>2</v>
      </c>
      <c r="N793" s="8">
        <v>4</v>
      </c>
      <c r="O793" s="8">
        <v>39</v>
      </c>
      <c r="P793" s="8">
        <v>779</v>
      </c>
      <c r="Q793" s="8">
        <v>32</v>
      </c>
      <c r="R793" s="8">
        <v>1642</v>
      </c>
      <c r="S793" s="8">
        <v>626</v>
      </c>
      <c r="T793" s="3" t="s">
        <v>69</v>
      </c>
      <c r="U793" s="10">
        <v>12185</v>
      </c>
      <c r="V793" s="32">
        <v>107</v>
      </c>
      <c r="W793" s="27">
        <v>8.7812884694296271E-3</v>
      </c>
      <c r="X793" s="34">
        <v>0</v>
      </c>
      <c r="Y793" s="27">
        <v>0</v>
      </c>
      <c r="Z793" s="27">
        <v>0</v>
      </c>
      <c r="AA793" s="35">
        <v>92</v>
      </c>
      <c r="AB793" s="27">
        <v>0.85981308411214952</v>
      </c>
      <c r="AC793" s="27">
        <f t="shared" si="73"/>
        <v>7.550266721378744E-3</v>
      </c>
      <c r="AD793" s="36">
        <v>6</v>
      </c>
      <c r="AE793" s="27">
        <v>5.6074766355140186E-2</v>
      </c>
      <c r="AF793" s="27">
        <f t="shared" si="74"/>
        <v>4.924086992203529E-4</v>
      </c>
      <c r="AG793" s="37">
        <v>8</v>
      </c>
      <c r="AH793" s="27">
        <v>7.476635514018691E-2</v>
      </c>
      <c r="AI793" s="27">
        <f t="shared" si="75"/>
        <v>6.5654493229380391E-4</v>
      </c>
      <c r="AJ793" s="38">
        <v>0</v>
      </c>
      <c r="AK793" s="27">
        <v>0</v>
      </c>
      <c r="AL793" s="27">
        <f t="shared" si="76"/>
        <v>0</v>
      </c>
      <c r="AM793" s="40">
        <v>0</v>
      </c>
      <c r="AN793" s="27">
        <v>0</v>
      </c>
      <c r="AO793" s="27">
        <f t="shared" si="77"/>
        <v>0</v>
      </c>
      <c r="AP793" s="7" t="b">
        <v>1</v>
      </c>
      <c r="AQ793" s="6" t="b">
        <v>0</v>
      </c>
      <c r="AR793" s="6" t="b">
        <v>0</v>
      </c>
      <c r="AS793" s="6" t="b">
        <v>0</v>
      </c>
      <c r="AT793" s="7" t="b">
        <v>1</v>
      </c>
      <c r="AU793" s="6" t="b">
        <v>0</v>
      </c>
      <c r="AV793" s="6" t="b">
        <v>0</v>
      </c>
      <c r="AW793" s="6" t="b">
        <v>0</v>
      </c>
      <c r="AX793" s="6" t="b">
        <v>0</v>
      </c>
      <c r="AY793" s="6" t="b">
        <v>0</v>
      </c>
      <c r="AZ793" s="6" t="b">
        <v>0</v>
      </c>
      <c r="BA793" s="6" t="b">
        <v>0</v>
      </c>
      <c r="BB793" s="6" t="b">
        <v>0</v>
      </c>
    </row>
    <row r="794" spans="1:54" ht="15" x14ac:dyDescent="0.25">
      <c r="A794" s="3" t="s">
        <v>1647</v>
      </c>
      <c r="B794" s="3" t="str">
        <f ca="1">IFERROR(__xludf.DUMMYFUNCTION("SPLIT(A794,""/"")"),"PaddlePaddle")</f>
        <v>PaddlePaddle</v>
      </c>
      <c r="C794" s="3" t="str">
        <f ca="1">IFERROR(__xludf.DUMMYFUNCTION("""COMPUTED_VALUE"""),"PaddleSeg")</f>
        <v>PaddleSeg</v>
      </c>
      <c r="D794" s="4" t="s">
        <v>1648</v>
      </c>
      <c r="E794" s="5">
        <v>43703.105810185189</v>
      </c>
      <c r="F794" s="5">
        <v>44294.525335648148</v>
      </c>
      <c r="G794" s="13">
        <f t="shared" si="72"/>
        <v>591.41952546295943</v>
      </c>
      <c r="H794" s="6" t="b">
        <v>0</v>
      </c>
      <c r="I794" s="7" t="b">
        <v>1</v>
      </c>
      <c r="J794" s="8">
        <v>1346</v>
      </c>
      <c r="K794" s="8">
        <v>28</v>
      </c>
      <c r="L794" s="8">
        <v>323</v>
      </c>
      <c r="M794" s="8">
        <v>10</v>
      </c>
      <c r="N794" s="8">
        <v>2</v>
      </c>
      <c r="O794" s="8">
        <v>37</v>
      </c>
      <c r="P794" s="8">
        <v>499</v>
      </c>
      <c r="Q794" s="8">
        <v>6</v>
      </c>
      <c r="R794" s="8">
        <v>455</v>
      </c>
      <c r="S794" s="8">
        <v>226</v>
      </c>
      <c r="T794" s="3" t="s">
        <v>69</v>
      </c>
      <c r="U794" s="10">
        <v>30505</v>
      </c>
      <c r="V794" s="32">
        <v>303</v>
      </c>
      <c r="W794" s="27">
        <v>9.9327979019832816E-3</v>
      </c>
      <c r="X794" s="34">
        <v>17</v>
      </c>
      <c r="Y794" s="27">
        <v>5.6105610561056105E-2</v>
      </c>
      <c r="Z794" s="27">
        <v>5.5728569087034913E-4</v>
      </c>
      <c r="AA794" s="35">
        <v>243</v>
      </c>
      <c r="AB794" s="27">
        <v>0.80198019801980203</v>
      </c>
      <c r="AC794" s="27">
        <f t="shared" si="73"/>
        <v>7.9659072283232261E-3</v>
      </c>
      <c r="AD794" s="36">
        <v>26</v>
      </c>
      <c r="AE794" s="27">
        <v>8.5808580858085806E-2</v>
      </c>
      <c r="AF794" s="27">
        <f t="shared" si="74"/>
        <v>8.5231929191935743E-4</v>
      </c>
      <c r="AG794" s="37">
        <v>0</v>
      </c>
      <c r="AH794" s="27">
        <v>0</v>
      </c>
      <c r="AI794" s="27">
        <f t="shared" si="75"/>
        <v>0</v>
      </c>
      <c r="AJ794" s="38">
        <v>0</v>
      </c>
      <c r="AK794" s="27">
        <v>0</v>
      </c>
      <c r="AL794" s="27">
        <f t="shared" si="76"/>
        <v>0</v>
      </c>
      <c r="AM794" s="40">
        <v>0</v>
      </c>
      <c r="AN794" s="27">
        <v>0</v>
      </c>
      <c r="AO794" s="27">
        <f t="shared" si="77"/>
        <v>0</v>
      </c>
      <c r="AP794" s="7" t="b">
        <v>1</v>
      </c>
      <c r="AQ794" s="6" t="b">
        <v>0</v>
      </c>
      <c r="AR794" s="6" t="b">
        <v>0</v>
      </c>
      <c r="AS794" s="6" t="b">
        <v>0</v>
      </c>
      <c r="AT794" s="7" t="b">
        <v>1</v>
      </c>
      <c r="AU794" s="6" t="b">
        <v>0</v>
      </c>
      <c r="AV794" s="6" t="b">
        <v>0</v>
      </c>
      <c r="AW794" s="6" t="b">
        <v>0</v>
      </c>
      <c r="AX794" s="6" t="b">
        <v>0</v>
      </c>
      <c r="AY794" s="6" t="b">
        <v>0</v>
      </c>
      <c r="AZ794" s="6" t="b">
        <v>0</v>
      </c>
      <c r="BA794" s="6" t="b">
        <v>0</v>
      </c>
      <c r="BB794" s="6" t="b">
        <v>0</v>
      </c>
    </row>
    <row r="795" spans="1:54" ht="15" x14ac:dyDescent="0.25">
      <c r="A795" s="3" t="s">
        <v>1649</v>
      </c>
      <c r="B795" s="3" t="str">
        <f ca="1">IFERROR(__xludf.DUMMYFUNCTION("SPLIT(A795,""/"")"),"PaddlePaddle")</f>
        <v>PaddlePaddle</v>
      </c>
      <c r="C795" s="3" t="str">
        <f ca="1">IFERROR(__xludf.DUMMYFUNCTION("""COMPUTED_VALUE"""),"PARL")</f>
        <v>PARL</v>
      </c>
      <c r="D795" s="4" t="s">
        <v>1650</v>
      </c>
      <c r="E795" s="5">
        <v>43215.746087962965</v>
      </c>
      <c r="F795" s="5">
        <v>44295.120173611111</v>
      </c>
      <c r="G795" s="13">
        <f t="shared" si="72"/>
        <v>1079.3740856481454</v>
      </c>
      <c r="H795" s="6" t="b">
        <v>0</v>
      </c>
      <c r="I795" s="7" t="b">
        <v>1</v>
      </c>
      <c r="J795" s="8">
        <v>1929</v>
      </c>
      <c r="K795" s="8">
        <v>50</v>
      </c>
      <c r="L795" s="8">
        <v>454</v>
      </c>
      <c r="M795" s="8">
        <v>6</v>
      </c>
      <c r="N795" s="8">
        <v>1</v>
      </c>
      <c r="O795" s="8">
        <v>20</v>
      </c>
      <c r="P795" s="8">
        <v>392</v>
      </c>
      <c r="Q795" s="8">
        <v>4</v>
      </c>
      <c r="R795" s="8">
        <v>213</v>
      </c>
      <c r="S795" s="8">
        <v>46</v>
      </c>
      <c r="T795" s="3" t="s">
        <v>69</v>
      </c>
      <c r="U795" s="10">
        <v>29016</v>
      </c>
      <c r="V795" s="32">
        <v>295</v>
      </c>
      <c r="W795" s="27">
        <v>1.0166804521643232E-2</v>
      </c>
      <c r="X795" s="34">
        <v>2</v>
      </c>
      <c r="Y795" s="27">
        <v>6.7796610169491523E-3</v>
      </c>
      <c r="Z795" s="27">
        <v>6.8927488282326992E-5</v>
      </c>
      <c r="AA795" s="35">
        <v>222</v>
      </c>
      <c r="AB795" s="27">
        <v>0.75254237288135595</v>
      </c>
      <c r="AC795" s="27">
        <f t="shared" si="73"/>
        <v>7.6509511993382963E-3</v>
      </c>
      <c r="AD795" s="36">
        <v>55</v>
      </c>
      <c r="AE795" s="27">
        <v>0.1864406779661017</v>
      </c>
      <c r="AF795" s="27">
        <f t="shared" si="74"/>
        <v>1.8955059277639924E-3</v>
      </c>
      <c r="AG795" s="37">
        <v>16</v>
      </c>
      <c r="AH795" s="27">
        <v>5.4237288135593219E-2</v>
      </c>
      <c r="AI795" s="27">
        <f t="shared" si="75"/>
        <v>5.5141990625861594E-4</v>
      </c>
      <c r="AJ795" s="38">
        <v>0</v>
      </c>
      <c r="AK795" s="27">
        <v>0</v>
      </c>
      <c r="AL795" s="27">
        <f t="shared" si="76"/>
        <v>0</v>
      </c>
      <c r="AM795" s="40">
        <v>0</v>
      </c>
      <c r="AN795" s="27">
        <v>0</v>
      </c>
      <c r="AO795" s="27">
        <f t="shared" si="77"/>
        <v>0</v>
      </c>
      <c r="AP795" s="7" t="b">
        <v>1</v>
      </c>
      <c r="AQ795" s="6" t="b">
        <v>0</v>
      </c>
      <c r="AR795" s="6" t="b">
        <v>0</v>
      </c>
      <c r="AS795" s="6" t="b">
        <v>0</v>
      </c>
      <c r="AT795" s="7" t="b">
        <v>1</v>
      </c>
      <c r="AU795" s="6" t="b">
        <v>0</v>
      </c>
      <c r="AV795" s="6" t="b">
        <v>0</v>
      </c>
      <c r="AW795" s="6" t="b">
        <v>0</v>
      </c>
      <c r="AX795" s="6" t="b">
        <v>0</v>
      </c>
      <c r="AY795" s="6" t="b">
        <v>0</v>
      </c>
      <c r="AZ795" s="6" t="b">
        <v>0</v>
      </c>
      <c r="BA795" s="6" t="b">
        <v>0</v>
      </c>
      <c r="BB795" s="6" t="b">
        <v>0</v>
      </c>
    </row>
    <row r="796" spans="1:54" ht="15" x14ac:dyDescent="0.25">
      <c r="A796" s="3" t="s">
        <v>1651</v>
      </c>
      <c r="B796" s="3" t="str">
        <f ca="1">IFERROR(__xludf.DUMMYFUNCTION("SPLIT(A796,""/"")"),"pageauc")</f>
        <v>pageauc</v>
      </c>
      <c r="C796" s="3" t="str">
        <f ca="1">IFERROR(__xludf.DUMMYFUNCTION("""COMPUTED_VALUE"""),"speed-camera")</f>
        <v>speed-camera</v>
      </c>
      <c r="D796" s="4" t="s">
        <v>1652</v>
      </c>
      <c r="E796" s="5">
        <v>42654.514027777775</v>
      </c>
      <c r="F796" s="5">
        <v>44291.184953703705</v>
      </c>
      <c r="G796" s="13">
        <f t="shared" si="72"/>
        <v>1636.6709259259296</v>
      </c>
      <c r="H796" s="6" t="b">
        <v>0</v>
      </c>
      <c r="I796" s="6" t="b">
        <v>0</v>
      </c>
      <c r="J796" s="8">
        <v>556</v>
      </c>
      <c r="K796" s="8">
        <v>33</v>
      </c>
      <c r="L796" s="8">
        <v>111</v>
      </c>
      <c r="M796" s="8">
        <v>0</v>
      </c>
      <c r="N796" s="8">
        <v>4</v>
      </c>
      <c r="O796" s="8">
        <v>5</v>
      </c>
      <c r="P796" s="8">
        <v>10</v>
      </c>
      <c r="Q796" s="8">
        <v>0</v>
      </c>
      <c r="R796" s="8">
        <v>70</v>
      </c>
      <c r="S796" s="8">
        <v>17</v>
      </c>
      <c r="T796" s="11" t="s">
        <v>52</v>
      </c>
      <c r="U796" s="10">
        <v>2984</v>
      </c>
      <c r="V796" s="32">
        <v>219</v>
      </c>
      <c r="W796" s="27">
        <v>7.3391420911528144E-2</v>
      </c>
      <c r="X796" s="34">
        <v>0</v>
      </c>
      <c r="Y796" s="27">
        <v>0</v>
      </c>
      <c r="Z796" s="27">
        <v>0</v>
      </c>
      <c r="AA796" s="35">
        <v>119</v>
      </c>
      <c r="AB796" s="27">
        <v>0.54337899543378998</v>
      </c>
      <c r="AC796" s="27">
        <f t="shared" si="73"/>
        <v>3.987935656836461E-2</v>
      </c>
      <c r="AD796" s="36">
        <v>20</v>
      </c>
      <c r="AE796" s="27">
        <v>9.1324200913242004E-2</v>
      </c>
      <c r="AF796" s="27">
        <f t="shared" si="74"/>
        <v>6.7024128686327079E-3</v>
      </c>
      <c r="AG796" s="37">
        <v>80</v>
      </c>
      <c r="AH796" s="27">
        <v>0.36529680365296802</v>
      </c>
      <c r="AI796" s="27">
        <f t="shared" si="75"/>
        <v>2.6809651474530832E-2</v>
      </c>
      <c r="AJ796" s="38">
        <v>0</v>
      </c>
      <c r="AK796" s="27">
        <v>0</v>
      </c>
      <c r="AL796" s="27">
        <f t="shared" si="76"/>
        <v>0</v>
      </c>
      <c r="AM796" s="40">
        <v>0</v>
      </c>
      <c r="AN796" s="27">
        <v>0</v>
      </c>
      <c r="AO796" s="27">
        <f t="shared" si="77"/>
        <v>0</v>
      </c>
      <c r="AP796" s="7" t="b">
        <v>1</v>
      </c>
      <c r="AQ796" s="7" t="b">
        <v>1</v>
      </c>
      <c r="AR796" s="6" t="b">
        <v>0</v>
      </c>
      <c r="AS796" s="6" t="b">
        <v>0</v>
      </c>
      <c r="AT796" s="7" t="b">
        <v>1</v>
      </c>
      <c r="AU796" s="6" t="b">
        <v>0</v>
      </c>
      <c r="AV796" s="6" t="b">
        <v>0</v>
      </c>
      <c r="AW796" s="6" t="b">
        <v>0</v>
      </c>
      <c r="AX796" s="6" t="b">
        <v>0</v>
      </c>
      <c r="AY796" s="6" t="b">
        <v>0</v>
      </c>
      <c r="AZ796" s="6" t="b">
        <v>0</v>
      </c>
      <c r="BA796" s="6" t="b">
        <v>0</v>
      </c>
      <c r="BB796" s="6" t="b">
        <v>0</v>
      </c>
    </row>
    <row r="797" spans="1:54" ht="15" x14ac:dyDescent="0.25">
      <c r="A797" s="3" t="s">
        <v>1653</v>
      </c>
      <c r="B797" s="3" t="str">
        <f ca="1">IFERROR(__xludf.DUMMYFUNCTION("SPLIT(A797,""/"")"),"pahaz")</f>
        <v>pahaz</v>
      </c>
      <c r="C797" s="3" t="str">
        <f ca="1">IFERROR(__xludf.DUMMYFUNCTION("""COMPUTED_VALUE"""),"sshtunnel")</f>
        <v>sshtunnel</v>
      </c>
      <c r="D797" s="4" t="s">
        <v>1654</v>
      </c>
      <c r="E797" s="5">
        <v>41801.884780092594</v>
      </c>
      <c r="F797" s="5">
        <v>44292.727372685185</v>
      </c>
      <c r="G797" s="13">
        <f t="shared" si="72"/>
        <v>2490.8425925925912</v>
      </c>
      <c r="H797" s="6" t="b">
        <v>0</v>
      </c>
      <c r="I797" s="6" t="b">
        <v>0</v>
      </c>
      <c r="J797" s="8">
        <v>805</v>
      </c>
      <c r="K797" s="8">
        <v>27</v>
      </c>
      <c r="L797" s="8">
        <v>131</v>
      </c>
      <c r="M797" s="8">
        <v>9</v>
      </c>
      <c r="N797" s="8">
        <v>0</v>
      </c>
      <c r="O797" s="8">
        <v>20</v>
      </c>
      <c r="P797" s="8">
        <v>79</v>
      </c>
      <c r="Q797" s="8">
        <v>3</v>
      </c>
      <c r="R797" s="8">
        <v>152</v>
      </c>
      <c r="S797" s="8">
        <v>20</v>
      </c>
      <c r="T797" s="3" t="s">
        <v>72</v>
      </c>
      <c r="U797" s="10">
        <v>1684</v>
      </c>
      <c r="V797" s="32">
        <v>125</v>
      </c>
      <c r="W797" s="27">
        <v>7.4228028503562943E-2</v>
      </c>
      <c r="X797" s="34">
        <v>30</v>
      </c>
      <c r="Y797" s="27">
        <v>0.24</v>
      </c>
      <c r="Z797" s="27">
        <v>1.7814726840855107E-2</v>
      </c>
      <c r="AA797" s="35">
        <v>58</v>
      </c>
      <c r="AB797" s="27">
        <v>0.46400000000000002</v>
      </c>
      <c r="AC797" s="27">
        <f t="shared" si="73"/>
        <v>3.4441805225653203E-2</v>
      </c>
      <c r="AD797" s="36">
        <v>17</v>
      </c>
      <c r="AE797" s="27">
        <v>0.13600000000000001</v>
      </c>
      <c r="AF797" s="27">
        <f t="shared" si="74"/>
        <v>1.0095011876484561E-2</v>
      </c>
      <c r="AG797" s="37">
        <v>17</v>
      </c>
      <c r="AH797" s="27">
        <v>0.13600000000000001</v>
      </c>
      <c r="AI797" s="27">
        <f t="shared" si="75"/>
        <v>1.0095011876484561E-2</v>
      </c>
      <c r="AJ797" s="38">
        <v>1</v>
      </c>
      <c r="AK797" s="27">
        <v>8.0000000000000002E-3</v>
      </c>
      <c r="AL797" s="27">
        <f t="shared" si="76"/>
        <v>5.9382422802850359E-4</v>
      </c>
      <c r="AM797" s="40">
        <v>1</v>
      </c>
      <c r="AN797" s="27">
        <v>8.0000000000000002E-3</v>
      </c>
      <c r="AO797" s="27">
        <f t="shared" si="77"/>
        <v>5.9382422802850359E-4</v>
      </c>
      <c r="AP797" s="6" t="b">
        <v>0</v>
      </c>
      <c r="AQ797" s="7" t="b">
        <v>1</v>
      </c>
      <c r="AR797" s="6" t="b">
        <v>0</v>
      </c>
      <c r="AS797" s="6" t="b">
        <v>0</v>
      </c>
      <c r="AT797" s="7" t="b">
        <v>1</v>
      </c>
      <c r="AU797" s="6" t="b">
        <v>0</v>
      </c>
      <c r="AV797" s="6" t="b">
        <v>0</v>
      </c>
      <c r="AW797" s="6" t="b">
        <v>0</v>
      </c>
      <c r="AX797" s="6" t="b">
        <v>0</v>
      </c>
      <c r="AY797" s="6" t="b">
        <v>0</v>
      </c>
      <c r="AZ797" s="6" t="b">
        <v>0</v>
      </c>
      <c r="BA797" s="6" t="b">
        <v>0</v>
      </c>
      <c r="BB797" s="6" t="b">
        <v>0</v>
      </c>
    </row>
    <row r="798" spans="1:54" ht="15" x14ac:dyDescent="0.25">
      <c r="A798" s="3" t="s">
        <v>1655</v>
      </c>
      <c r="B798" s="3" t="str">
        <f ca="1">IFERROR(__xludf.DUMMYFUNCTION("SPLIT(A798,""/"")"),"pandas-dev")</f>
        <v>pandas-dev</v>
      </c>
      <c r="C798" s="3" t="str">
        <f ca="1">IFERROR(__xludf.DUMMYFUNCTION("""COMPUTED_VALUE"""),"pandas")</f>
        <v>pandas</v>
      </c>
      <c r="D798" s="4" t="s">
        <v>1656</v>
      </c>
      <c r="E798" s="5">
        <v>40414.067743055559</v>
      </c>
      <c r="F798" s="5">
        <v>44295.1481712963</v>
      </c>
      <c r="G798" s="13">
        <f t="shared" si="72"/>
        <v>3881.0804282407407</v>
      </c>
      <c r="H798" s="6" t="b">
        <v>0</v>
      </c>
      <c r="I798" s="7" t="b">
        <v>1</v>
      </c>
      <c r="J798" s="8">
        <v>29275</v>
      </c>
      <c r="K798" s="8">
        <v>1115</v>
      </c>
      <c r="L798" s="8">
        <v>11867</v>
      </c>
      <c r="M798" s="8">
        <v>72</v>
      </c>
      <c r="N798" s="8">
        <v>611</v>
      </c>
      <c r="O798" s="8">
        <v>2307</v>
      </c>
      <c r="P798" s="8">
        <v>20511</v>
      </c>
      <c r="Q798" s="8">
        <v>167</v>
      </c>
      <c r="R798" s="8">
        <v>20314</v>
      </c>
      <c r="S798" s="8">
        <v>3571</v>
      </c>
      <c r="T798" s="3" t="s">
        <v>57</v>
      </c>
      <c r="U798" s="10">
        <v>236593</v>
      </c>
      <c r="V798" s="32">
        <v>249</v>
      </c>
      <c r="W798" s="27">
        <v>1.0524402666182008E-3</v>
      </c>
      <c r="X798" s="34">
        <v>0</v>
      </c>
      <c r="Y798" s="27">
        <v>0</v>
      </c>
      <c r="Z798" s="27">
        <v>0</v>
      </c>
      <c r="AA798" s="35">
        <v>44</v>
      </c>
      <c r="AB798" s="27">
        <v>0.17670682730923695</v>
      </c>
      <c r="AC798" s="27">
        <f t="shared" si="73"/>
        <v>1.8597338044658971E-4</v>
      </c>
      <c r="AD798" s="36">
        <v>209</v>
      </c>
      <c r="AE798" s="27">
        <v>0.8393574297188755</v>
      </c>
      <c r="AF798" s="27">
        <f t="shared" si="74"/>
        <v>8.8337355712130115E-4</v>
      </c>
      <c r="AG798" s="37">
        <v>0</v>
      </c>
      <c r="AH798" s="27">
        <v>0</v>
      </c>
      <c r="AI798" s="27">
        <f t="shared" si="75"/>
        <v>0</v>
      </c>
      <c r="AJ798" s="38">
        <v>0</v>
      </c>
      <c r="AK798" s="27">
        <v>0</v>
      </c>
      <c r="AL798" s="27">
        <f t="shared" si="76"/>
        <v>0</v>
      </c>
      <c r="AM798" s="40">
        <v>1</v>
      </c>
      <c r="AN798" s="27">
        <v>4.0160642570281121E-3</v>
      </c>
      <c r="AO798" s="27">
        <f t="shared" si="77"/>
        <v>4.2266677374224931E-6</v>
      </c>
      <c r="AP798" s="7" t="b">
        <v>1</v>
      </c>
      <c r="AQ798" s="6" t="b">
        <v>0</v>
      </c>
      <c r="AR798" s="6" t="b">
        <v>0</v>
      </c>
      <c r="AS798" s="6" t="b">
        <v>0</v>
      </c>
      <c r="AT798" s="7" t="b">
        <v>1</v>
      </c>
      <c r="AU798" s="6" t="b">
        <v>0</v>
      </c>
      <c r="AV798" s="6" t="b">
        <v>0</v>
      </c>
      <c r="AW798" s="6" t="b">
        <v>0</v>
      </c>
      <c r="AX798" s="6" t="b">
        <v>0</v>
      </c>
      <c r="AY798" s="6" t="b">
        <v>0</v>
      </c>
      <c r="AZ798" s="6" t="b">
        <v>0</v>
      </c>
      <c r="BA798" s="6" t="b">
        <v>0</v>
      </c>
      <c r="BB798" s="6" t="b">
        <v>0</v>
      </c>
    </row>
    <row r="799" spans="1:54" ht="15" x14ac:dyDescent="0.25">
      <c r="A799" s="3" t="s">
        <v>1657</v>
      </c>
      <c r="B799" s="3" t="str">
        <f ca="1">IFERROR(__xludf.DUMMYFUNCTION("SPLIT(A799,""/"")"),"pantsbuild")</f>
        <v>pantsbuild</v>
      </c>
      <c r="C799" s="3" t="str">
        <f ca="1">IFERROR(__xludf.DUMMYFUNCTION("""COMPUTED_VALUE"""),"pants")</f>
        <v>pants</v>
      </c>
      <c r="D799" s="4" t="s">
        <v>1658</v>
      </c>
      <c r="E799" s="5">
        <v>41260.735462962963</v>
      </c>
      <c r="F799" s="5">
        <v>44295.110462962963</v>
      </c>
      <c r="G799" s="13">
        <f t="shared" si="72"/>
        <v>3034.375</v>
      </c>
      <c r="H799" s="6" t="b">
        <v>0</v>
      </c>
      <c r="I799" s="7" t="b">
        <v>1</v>
      </c>
      <c r="J799" s="8">
        <v>1539</v>
      </c>
      <c r="K799" s="8">
        <v>60</v>
      </c>
      <c r="L799" s="8">
        <v>343</v>
      </c>
      <c r="M799" s="8">
        <v>145</v>
      </c>
      <c r="N799" s="8">
        <v>118</v>
      </c>
      <c r="O799" s="8">
        <v>191</v>
      </c>
      <c r="P799" s="8">
        <v>8499</v>
      </c>
      <c r="Q799" s="8">
        <v>33</v>
      </c>
      <c r="R799" s="8">
        <v>3369</v>
      </c>
      <c r="S799" s="8">
        <v>299</v>
      </c>
      <c r="T799" s="3" t="s">
        <v>69</v>
      </c>
      <c r="U799" s="10">
        <v>35326</v>
      </c>
      <c r="V799" s="32">
        <v>126</v>
      </c>
      <c r="W799" s="27">
        <v>3.5667780105304876E-3</v>
      </c>
      <c r="X799" s="34">
        <v>40</v>
      </c>
      <c r="Y799" s="27">
        <v>0.31746031746031744</v>
      </c>
      <c r="Z799" s="27">
        <v>1.1323104795334881E-3</v>
      </c>
      <c r="AA799" s="35">
        <v>30</v>
      </c>
      <c r="AB799" s="27">
        <v>0.23809523809523808</v>
      </c>
      <c r="AC799" s="27">
        <f t="shared" si="73"/>
        <v>8.4923285965011607E-4</v>
      </c>
      <c r="AD799" s="36">
        <v>34</v>
      </c>
      <c r="AE799" s="27">
        <v>0.26984126984126983</v>
      </c>
      <c r="AF799" s="27">
        <f t="shared" si="74"/>
        <v>9.6246390760346492E-4</v>
      </c>
      <c r="AG799" s="37">
        <v>13</v>
      </c>
      <c r="AH799" s="27">
        <v>0.10317460317460317</v>
      </c>
      <c r="AI799" s="27">
        <f t="shared" si="75"/>
        <v>3.6800090584838361E-4</v>
      </c>
      <c r="AJ799" s="38">
        <v>5</v>
      </c>
      <c r="AK799" s="27">
        <v>3.968253968253968E-2</v>
      </c>
      <c r="AL799" s="27">
        <f t="shared" si="76"/>
        <v>1.4153880994168601E-4</v>
      </c>
      <c r="AM799" s="40">
        <v>1</v>
      </c>
      <c r="AN799" s="27">
        <v>7.9365079365079361E-3</v>
      </c>
      <c r="AO799" s="27">
        <f t="shared" si="77"/>
        <v>2.8307761988337203E-5</v>
      </c>
      <c r="AP799" s="7" t="b">
        <v>1</v>
      </c>
      <c r="AQ799" s="6" t="b">
        <v>0</v>
      </c>
      <c r="AR799" s="6" t="b">
        <v>0</v>
      </c>
      <c r="AS799" s="6" t="b">
        <v>0</v>
      </c>
      <c r="AT799" s="7" t="b">
        <v>1</v>
      </c>
      <c r="AU799" s="6" t="b">
        <v>0</v>
      </c>
      <c r="AV799" s="6" t="b">
        <v>0</v>
      </c>
      <c r="AW799" s="6" t="b">
        <v>0</v>
      </c>
      <c r="AX799" s="6" t="b">
        <v>0</v>
      </c>
      <c r="AY799" s="6" t="b">
        <v>0</v>
      </c>
      <c r="AZ799" s="6" t="b">
        <v>0</v>
      </c>
      <c r="BA799" s="6" t="b">
        <v>0</v>
      </c>
      <c r="BB799" s="6" t="b">
        <v>0</v>
      </c>
    </row>
    <row r="800" spans="1:54" ht="15" x14ac:dyDescent="0.25">
      <c r="A800" s="3" t="s">
        <v>1659</v>
      </c>
      <c r="B800" s="3" t="str">
        <f ca="1">IFERROR(__xludf.DUMMYFUNCTION("SPLIT(A800,""/"")"),"pantsbuild")</f>
        <v>pantsbuild</v>
      </c>
      <c r="C800" s="3" t="str">
        <f ca="1">IFERROR(__xludf.DUMMYFUNCTION("""COMPUTED_VALUE"""),"pex")</f>
        <v>pex</v>
      </c>
      <c r="D800" s="4" t="s">
        <v>1660</v>
      </c>
      <c r="E800" s="5">
        <v>41841.712638888886</v>
      </c>
      <c r="F800" s="5">
        <v>44294.42728009259</v>
      </c>
      <c r="G800" s="13">
        <f t="shared" si="72"/>
        <v>2452.7146412037036</v>
      </c>
      <c r="H800" s="6" t="b">
        <v>0</v>
      </c>
      <c r="I800" s="7" t="b">
        <v>1</v>
      </c>
      <c r="J800" s="8">
        <v>1845</v>
      </c>
      <c r="K800" s="8">
        <v>52</v>
      </c>
      <c r="L800" s="8">
        <v>189</v>
      </c>
      <c r="M800" s="8">
        <v>120</v>
      </c>
      <c r="N800" s="8">
        <v>9</v>
      </c>
      <c r="O800" s="8">
        <v>83</v>
      </c>
      <c r="P800" s="8">
        <v>656</v>
      </c>
      <c r="Q800" s="8">
        <v>13</v>
      </c>
      <c r="R800" s="8">
        <v>663</v>
      </c>
      <c r="S800" s="8">
        <v>121</v>
      </c>
      <c r="T800" s="3" t="s">
        <v>69</v>
      </c>
      <c r="U800" s="10">
        <v>93220</v>
      </c>
      <c r="V800" s="32">
        <v>930</v>
      </c>
      <c r="W800" s="27">
        <v>9.9763999141815069E-3</v>
      </c>
      <c r="X800" s="34">
        <v>237</v>
      </c>
      <c r="Y800" s="27">
        <v>0.25483870967741934</v>
      </c>
      <c r="Z800" s="27">
        <v>2.542372881355932E-3</v>
      </c>
      <c r="AA800" s="35">
        <v>188</v>
      </c>
      <c r="AB800" s="27">
        <v>0.2021505376344086</v>
      </c>
      <c r="AC800" s="27">
        <f t="shared" si="73"/>
        <v>2.0167346063076591E-3</v>
      </c>
      <c r="AD800" s="36">
        <v>369</v>
      </c>
      <c r="AE800" s="27">
        <v>0.39677419354838711</v>
      </c>
      <c r="AF800" s="27">
        <f t="shared" si="74"/>
        <v>3.9583780304655652E-3</v>
      </c>
      <c r="AG800" s="37">
        <v>49</v>
      </c>
      <c r="AH800" s="27">
        <v>5.2688172043010753E-2</v>
      </c>
      <c r="AI800" s="27">
        <f t="shared" si="75"/>
        <v>5.2563827504827293E-4</v>
      </c>
      <c r="AJ800" s="38">
        <v>15</v>
      </c>
      <c r="AK800" s="27">
        <v>1.6129032258064516E-2</v>
      </c>
      <c r="AL800" s="27">
        <f t="shared" si="76"/>
        <v>1.6090967603518558E-4</v>
      </c>
      <c r="AM800" s="40">
        <v>72</v>
      </c>
      <c r="AN800" s="27">
        <v>7.7419354838709681E-2</v>
      </c>
      <c r="AO800" s="27">
        <f t="shared" si="77"/>
        <v>7.7236644496889075E-4</v>
      </c>
      <c r="AP800" s="7" t="b">
        <v>1</v>
      </c>
      <c r="AQ800" s="6" t="b">
        <v>0</v>
      </c>
      <c r="AR800" s="6" t="b">
        <v>0</v>
      </c>
      <c r="AS800" s="6" t="b">
        <v>0</v>
      </c>
      <c r="AT800" s="7" t="b">
        <v>1</v>
      </c>
      <c r="AU800" s="6" t="b">
        <v>0</v>
      </c>
      <c r="AV800" s="6" t="b">
        <v>0</v>
      </c>
      <c r="AW800" s="6" t="b">
        <v>0</v>
      </c>
      <c r="AX800" s="6" t="b">
        <v>0</v>
      </c>
      <c r="AY800" s="6" t="b">
        <v>0</v>
      </c>
      <c r="AZ800" s="6" t="b">
        <v>0</v>
      </c>
      <c r="BA800" s="6" t="b">
        <v>0</v>
      </c>
      <c r="BB800" s="6" t="b">
        <v>0</v>
      </c>
    </row>
    <row r="801" spans="1:54" ht="15" x14ac:dyDescent="0.25">
      <c r="A801" s="3" t="s">
        <v>1661</v>
      </c>
      <c r="B801" s="3" t="str">
        <f ca="1">IFERROR(__xludf.DUMMYFUNCTION("SPLIT(A801,""/"")"),"paulpierre")</f>
        <v>paulpierre</v>
      </c>
      <c r="C801" s="3" t="str">
        <f ca="1">IFERROR(__xludf.DUMMYFUNCTION("""COMPUTED_VALUE"""),"informer")</f>
        <v>informer</v>
      </c>
      <c r="D801" s="4" t="s">
        <v>1662</v>
      </c>
      <c r="E801" s="5">
        <v>43808.075196759259</v>
      </c>
      <c r="F801" s="5">
        <v>44294.861956018518</v>
      </c>
      <c r="G801" s="13">
        <f t="shared" si="72"/>
        <v>486.78675925925927</v>
      </c>
      <c r="H801" s="6" t="b">
        <v>0</v>
      </c>
      <c r="I801" s="6" t="b">
        <v>0</v>
      </c>
      <c r="J801" s="8">
        <v>752</v>
      </c>
      <c r="K801" s="8">
        <v>28</v>
      </c>
      <c r="L801" s="8">
        <v>122</v>
      </c>
      <c r="M801" s="8">
        <v>0</v>
      </c>
      <c r="N801" s="8">
        <v>0</v>
      </c>
      <c r="O801" s="8">
        <v>2</v>
      </c>
      <c r="P801" s="8">
        <v>3</v>
      </c>
      <c r="Q801" s="8">
        <v>1</v>
      </c>
      <c r="R801" s="8">
        <v>5</v>
      </c>
      <c r="S801" s="8">
        <v>2</v>
      </c>
      <c r="T801" s="3" t="s">
        <v>72</v>
      </c>
      <c r="U801" s="10">
        <v>531</v>
      </c>
      <c r="V801" s="32">
        <v>42</v>
      </c>
      <c r="W801" s="27">
        <v>7.909604519774012E-2</v>
      </c>
      <c r="X801" s="34">
        <v>0</v>
      </c>
      <c r="Y801" s="27">
        <v>0</v>
      </c>
      <c r="Z801" s="27">
        <v>0</v>
      </c>
      <c r="AA801" s="35">
        <v>38</v>
      </c>
      <c r="AB801" s="27">
        <v>0.90476190476190477</v>
      </c>
      <c r="AC801" s="27">
        <f t="shared" si="73"/>
        <v>7.1563088512241052E-2</v>
      </c>
      <c r="AD801" s="36">
        <v>0</v>
      </c>
      <c r="AE801" s="27">
        <v>0</v>
      </c>
      <c r="AF801" s="27">
        <f t="shared" si="74"/>
        <v>0</v>
      </c>
      <c r="AG801" s="37">
        <v>4</v>
      </c>
      <c r="AH801" s="27">
        <v>9.5238095238095233E-2</v>
      </c>
      <c r="AI801" s="27">
        <f t="shared" si="75"/>
        <v>7.5329566854990581E-3</v>
      </c>
      <c r="AJ801" s="38">
        <v>0</v>
      </c>
      <c r="AK801" s="27">
        <v>0</v>
      </c>
      <c r="AL801" s="27">
        <f t="shared" si="76"/>
        <v>0</v>
      </c>
      <c r="AM801" s="40">
        <v>0</v>
      </c>
      <c r="AN801" s="27">
        <v>0</v>
      </c>
      <c r="AO801" s="27">
        <f t="shared" si="77"/>
        <v>0</v>
      </c>
      <c r="AP801" s="7" t="b">
        <v>1</v>
      </c>
      <c r="AQ801" s="6" t="b">
        <v>0</v>
      </c>
      <c r="AR801" s="6" t="b">
        <v>0</v>
      </c>
      <c r="AS801" s="6" t="b">
        <v>0</v>
      </c>
      <c r="AT801" s="7" t="b">
        <v>1</v>
      </c>
      <c r="AU801" s="6" t="b">
        <v>0</v>
      </c>
      <c r="AV801" s="6" t="b">
        <v>0</v>
      </c>
      <c r="AW801" s="6" t="b">
        <v>0</v>
      </c>
      <c r="AX801" s="6" t="b">
        <v>0</v>
      </c>
      <c r="AY801" s="6" t="b">
        <v>0</v>
      </c>
      <c r="AZ801" s="6" t="b">
        <v>0</v>
      </c>
      <c r="BA801" s="6" t="b">
        <v>0</v>
      </c>
      <c r="BB801" s="6" t="b">
        <v>0</v>
      </c>
    </row>
    <row r="802" spans="1:54" ht="15" x14ac:dyDescent="0.25">
      <c r="A802" s="3" t="s">
        <v>1663</v>
      </c>
      <c r="B802" s="3" t="str">
        <f ca="1">IFERROR(__xludf.DUMMYFUNCTION("SPLIT(A802,""/"")"),"paver")</f>
        <v>paver</v>
      </c>
      <c r="C802" s="3" t="str">
        <f ca="1">IFERROR(__xludf.DUMMYFUNCTION("""COMPUTED_VALUE"""),"paver")</f>
        <v>paver</v>
      </c>
      <c r="D802" s="4" t="s">
        <v>1664</v>
      </c>
      <c r="E802" s="5">
        <v>40493.405462962961</v>
      </c>
      <c r="F802" s="5">
        <v>44265.382916666669</v>
      </c>
      <c r="G802" s="13">
        <f t="shared" si="72"/>
        <v>3771.9774537037083</v>
      </c>
      <c r="H802" s="6" t="b">
        <v>0</v>
      </c>
      <c r="I802" s="7" t="b">
        <v>1</v>
      </c>
      <c r="J802" s="8">
        <v>439</v>
      </c>
      <c r="K802" s="8">
        <v>13</v>
      </c>
      <c r="L802" s="8">
        <v>76</v>
      </c>
      <c r="M802" s="8">
        <v>0</v>
      </c>
      <c r="N802" s="8">
        <v>7</v>
      </c>
      <c r="O802" s="8">
        <v>32</v>
      </c>
      <c r="P802" s="8">
        <v>83</v>
      </c>
      <c r="Q802" s="8">
        <v>3</v>
      </c>
      <c r="R802" s="8">
        <v>126</v>
      </c>
      <c r="S802" s="8">
        <v>35</v>
      </c>
      <c r="T802" s="3" t="s">
        <v>92</v>
      </c>
      <c r="U802" s="10">
        <v>5825</v>
      </c>
      <c r="V802" s="32">
        <v>103</v>
      </c>
      <c r="W802" s="27">
        <v>1.7682403433476396E-2</v>
      </c>
      <c r="X802" s="34">
        <v>17</v>
      </c>
      <c r="Y802" s="27">
        <v>0.1650485436893204</v>
      </c>
      <c r="Z802" s="27">
        <v>2.9184549356223175E-3</v>
      </c>
      <c r="AA802" s="35">
        <v>36</v>
      </c>
      <c r="AB802" s="27">
        <v>0.34951456310679613</v>
      </c>
      <c r="AC802" s="27">
        <f t="shared" si="73"/>
        <v>6.1802575107296137E-3</v>
      </c>
      <c r="AD802" s="36">
        <v>26</v>
      </c>
      <c r="AE802" s="27">
        <v>0.25242718446601942</v>
      </c>
      <c r="AF802" s="27">
        <f t="shared" si="74"/>
        <v>4.4635193133047207E-3</v>
      </c>
      <c r="AG802" s="37">
        <v>5</v>
      </c>
      <c r="AH802" s="27">
        <v>4.8543689320388349E-2</v>
      </c>
      <c r="AI802" s="27">
        <f t="shared" si="75"/>
        <v>8.5836909871244631E-4</v>
      </c>
      <c r="AJ802" s="38">
        <v>17</v>
      </c>
      <c r="AK802" s="27">
        <v>0.1650485436893204</v>
      </c>
      <c r="AL802" s="27">
        <f t="shared" si="76"/>
        <v>2.9184549356223175E-3</v>
      </c>
      <c r="AM802" s="40">
        <v>2</v>
      </c>
      <c r="AN802" s="27">
        <v>1.9417475728155338E-2</v>
      </c>
      <c r="AO802" s="27">
        <f t="shared" si="77"/>
        <v>3.4334763948497857E-4</v>
      </c>
      <c r="AP802" s="7" t="b">
        <v>1</v>
      </c>
      <c r="AQ802" s="6" t="b">
        <v>0</v>
      </c>
      <c r="AR802" s="6" t="b">
        <v>0</v>
      </c>
      <c r="AS802" s="6" t="b">
        <v>0</v>
      </c>
      <c r="AT802" s="7" t="b">
        <v>1</v>
      </c>
      <c r="AU802" s="6" t="b">
        <v>0</v>
      </c>
      <c r="AV802" s="6" t="b">
        <v>0</v>
      </c>
      <c r="AW802" s="6" t="b">
        <v>0</v>
      </c>
      <c r="AX802" s="6" t="b">
        <v>0</v>
      </c>
      <c r="AY802" s="6" t="b">
        <v>0</v>
      </c>
      <c r="AZ802" s="6" t="b">
        <v>0</v>
      </c>
      <c r="BA802" s="6" t="b">
        <v>0</v>
      </c>
      <c r="BB802" s="6" t="b">
        <v>0</v>
      </c>
    </row>
    <row r="803" spans="1:54" ht="15" x14ac:dyDescent="0.25">
      <c r="A803" s="3" t="s">
        <v>1665</v>
      </c>
      <c r="B803" s="3" t="str">
        <f ca="1">IFERROR(__xludf.DUMMYFUNCTION("SPLIT(A803,""/"")"),"pdm-project")</f>
        <v>pdm-project</v>
      </c>
      <c r="C803" s="3" t="str">
        <f ca="1">IFERROR(__xludf.DUMMYFUNCTION("""COMPUTED_VALUE"""),"pdm")</f>
        <v>pdm</v>
      </c>
      <c r="D803" s="4" t="s">
        <v>1666</v>
      </c>
      <c r="E803" s="5">
        <v>43826.160381944443</v>
      </c>
      <c r="F803" s="5">
        <v>44295.109085648146</v>
      </c>
      <c r="G803" s="13">
        <f t="shared" si="72"/>
        <v>468.94870370370336</v>
      </c>
      <c r="H803" s="6" t="b">
        <v>0</v>
      </c>
      <c r="I803" s="7" t="b">
        <v>1</v>
      </c>
      <c r="J803" s="8">
        <v>540</v>
      </c>
      <c r="K803" s="8">
        <v>11</v>
      </c>
      <c r="L803" s="8">
        <v>26</v>
      </c>
      <c r="M803" s="8">
        <v>67</v>
      </c>
      <c r="N803" s="8">
        <v>0</v>
      </c>
      <c r="O803" s="8">
        <v>15</v>
      </c>
      <c r="P803" s="8">
        <v>177</v>
      </c>
      <c r="Q803" s="8">
        <v>1</v>
      </c>
      <c r="R803" s="8">
        <v>196</v>
      </c>
      <c r="S803" s="8">
        <v>4</v>
      </c>
      <c r="T803" s="3" t="s">
        <v>72</v>
      </c>
      <c r="U803" s="10">
        <v>8529</v>
      </c>
      <c r="V803" s="32">
        <v>18</v>
      </c>
      <c r="W803" s="27">
        <v>2.1104467112205419E-3</v>
      </c>
      <c r="X803" s="34">
        <v>3</v>
      </c>
      <c r="Y803" s="27">
        <v>0.16666666666666666</v>
      </c>
      <c r="Z803" s="27">
        <v>3.5174111853675694E-4</v>
      </c>
      <c r="AA803" s="35">
        <v>8</v>
      </c>
      <c r="AB803" s="27">
        <v>0.44444444444444442</v>
      </c>
      <c r="AC803" s="27">
        <f t="shared" si="73"/>
        <v>9.3797631609801851E-4</v>
      </c>
      <c r="AD803" s="36">
        <v>5</v>
      </c>
      <c r="AE803" s="27">
        <v>0.27777777777777779</v>
      </c>
      <c r="AF803" s="27">
        <f t="shared" si="74"/>
        <v>5.8623519756126157E-4</v>
      </c>
      <c r="AG803" s="37">
        <v>1</v>
      </c>
      <c r="AH803" s="27">
        <v>5.5555555555555552E-2</v>
      </c>
      <c r="AI803" s="27">
        <f t="shared" si="75"/>
        <v>1.1724703951225231E-4</v>
      </c>
      <c r="AJ803" s="38">
        <v>0</v>
      </c>
      <c r="AK803" s="27">
        <v>0</v>
      </c>
      <c r="AL803" s="27">
        <f t="shared" si="76"/>
        <v>0</v>
      </c>
      <c r="AM803" s="40">
        <v>1</v>
      </c>
      <c r="AN803" s="27">
        <v>5.5555555555555552E-2</v>
      </c>
      <c r="AO803" s="27">
        <f t="shared" si="77"/>
        <v>1.1724703951225231E-4</v>
      </c>
      <c r="AP803" s="7" t="b">
        <v>1</v>
      </c>
      <c r="AQ803" s="6" t="b">
        <v>0</v>
      </c>
      <c r="AR803" s="6" t="b">
        <v>0</v>
      </c>
      <c r="AS803" s="6" t="b">
        <v>0</v>
      </c>
      <c r="AT803" s="7" t="b">
        <v>1</v>
      </c>
      <c r="AU803" s="6" t="b">
        <v>0</v>
      </c>
      <c r="AV803" s="6" t="b">
        <v>0</v>
      </c>
      <c r="AW803" s="6" t="b">
        <v>0</v>
      </c>
      <c r="AX803" s="6" t="b">
        <v>0</v>
      </c>
      <c r="AY803" s="6" t="b">
        <v>0</v>
      </c>
      <c r="AZ803" s="6" t="b">
        <v>0</v>
      </c>
      <c r="BA803" s="6" t="b">
        <v>0</v>
      </c>
      <c r="BB803" s="6" t="b">
        <v>0</v>
      </c>
    </row>
    <row r="804" spans="1:54" ht="15" x14ac:dyDescent="0.25">
      <c r="A804" s="3" t="s">
        <v>1667</v>
      </c>
      <c r="B804" s="3" t="str">
        <f ca="1">IFERROR(__xludf.DUMMYFUNCTION("SPLIT(A804,""/"")"),"PeizeSun")</f>
        <v>PeizeSun</v>
      </c>
      <c r="C804" s="3" t="str">
        <f ca="1">IFERROR(__xludf.DUMMYFUNCTION("""COMPUTED_VALUE"""),"OneNet")</f>
        <v>OneNet</v>
      </c>
      <c r="D804" s="4" t="s">
        <v>1668</v>
      </c>
      <c r="E804" s="5">
        <v>44169.574594907404</v>
      </c>
      <c r="F804" s="5">
        <v>44294.273993055554</v>
      </c>
      <c r="G804" s="13">
        <f t="shared" si="72"/>
        <v>124.69939814815007</v>
      </c>
      <c r="H804" s="6" t="b">
        <v>0</v>
      </c>
      <c r="I804" s="6" t="b">
        <v>0</v>
      </c>
      <c r="J804" s="8">
        <v>509</v>
      </c>
      <c r="K804" s="8">
        <v>21</v>
      </c>
      <c r="L804" s="8">
        <v>52</v>
      </c>
      <c r="M804" s="8">
        <v>0</v>
      </c>
      <c r="N804" s="8">
        <v>0</v>
      </c>
      <c r="O804" s="9">
        <v>0</v>
      </c>
      <c r="P804" s="8">
        <v>2</v>
      </c>
      <c r="Q804" s="8">
        <v>0</v>
      </c>
      <c r="R804" s="8">
        <v>20</v>
      </c>
      <c r="S804" s="8">
        <v>7</v>
      </c>
      <c r="T804" s="3" t="s">
        <v>72</v>
      </c>
      <c r="U804" s="10">
        <v>18372</v>
      </c>
      <c r="V804" s="32">
        <v>170</v>
      </c>
      <c r="W804" s="27">
        <v>9.253211408665361E-3</v>
      </c>
      <c r="X804" s="34">
        <v>0</v>
      </c>
      <c r="Y804" s="27">
        <v>0</v>
      </c>
      <c r="Z804" s="27">
        <v>0</v>
      </c>
      <c r="AA804" s="35">
        <v>128</v>
      </c>
      <c r="AB804" s="27">
        <v>0.75294117647058822</v>
      </c>
      <c r="AC804" s="27">
        <f t="shared" si="73"/>
        <v>6.9671238841715654E-3</v>
      </c>
      <c r="AD804" s="36">
        <v>33</v>
      </c>
      <c r="AE804" s="27">
        <v>0.19411764705882353</v>
      </c>
      <c r="AF804" s="27">
        <f t="shared" si="74"/>
        <v>1.7962116263879817E-3</v>
      </c>
      <c r="AG804" s="37">
        <v>9</v>
      </c>
      <c r="AH804" s="27">
        <v>5.2941176470588235E-2</v>
      </c>
      <c r="AI804" s="27">
        <f t="shared" si="75"/>
        <v>4.8987589810581321E-4</v>
      </c>
      <c r="AJ804" s="38">
        <v>0</v>
      </c>
      <c r="AK804" s="27">
        <v>0</v>
      </c>
      <c r="AL804" s="27">
        <f t="shared" si="76"/>
        <v>0</v>
      </c>
      <c r="AM804" s="40">
        <v>0</v>
      </c>
      <c r="AN804" s="27">
        <v>0</v>
      </c>
      <c r="AO804" s="27">
        <f t="shared" si="77"/>
        <v>0</v>
      </c>
      <c r="AP804" s="7" t="b">
        <v>1</v>
      </c>
      <c r="AQ804" s="7" t="b">
        <v>1</v>
      </c>
      <c r="AR804" s="6" t="b">
        <v>0</v>
      </c>
      <c r="AS804" s="6" t="b">
        <v>0</v>
      </c>
      <c r="AT804" s="7" t="b">
        <v>1</v>
      </c>
      <c r="AU804" s="6" t="b">
        <v>0</v>
      </c>
      <c r="AV804" s="6" t="b">
        <v>0</v>
      </c>
      <c r="AW804" s="6" t="b">
        <v>0</v>
      </c>
      <c r="AX804" s="6" t="b">
        <v>0</v>
      </c>
      <c r="AY804" s="6" t="b">
        <v>0</v>
      </c>
      <c r="AZ804" s="6" t="b">
        <v>0</v>
      </c>
      <c r="BA804" s="6" t="b">
        <v>0</v>
      </c>
      <c r="BB804" s="6" t="b">
        <v>0</v>
      </c>
    </row>
    <row r="805" spans="1:54" ht="15" x14ac:dyDescent="0.25">
      <c r="A805" s="3" t="s">
        <v>1669</v>
      </c>
      <c r="B805" s="3" t="str">
        <f ca="1">IFERROR(__xludf.DUMMYFUNCTION("SPLIT(A805,""/"")"),"PeizeSun")</f>
        <v>PeizeSun</v>
      </c>
      <c r="C805" s="3" t="str">
        <f ca="1">IFERROR(__xludf.DUMMYFUNCTION("""COMPUTED_VALUE"""),"SparseR-CNN")</f>
        <v>SparseR-CNN</v>
      </c>
      <c r="D805" s="4" t="s">
        <v>1670</v>
      </c>
      <c r="E805" s="5">
        <v>44154.317800925928</v>
      </c>
      <c r="F805" s="5">
        <v>44294.583761574075</v>
      </c>
      <c r="G805" s="13">
        <f t="shared" si="72"/>
        <v>140.26596064814657</v>
      </c>
      <c r="H805" s="6" t="b">
        <v>0</v>
      </c>
      <c r="I805" s="6" t="b">
        <v>0</v>
      </c>
      <c r="J805" s="8">
        <v>896</v>
      </c>
      <c r="K805" s="8">
        <v>18</v>
      </c>
      <c r="L805" s="8">
        <v>125</v>
      </c>
      <c r="M805" s="8">
        <v>0</v>
      </c>
      <c r="N805" s="8">
        <v>0</v>
      </c>
      <c r="O805" s="8">
        <v>4</v>
      </c>
      <c r="P805" s="8">
        <v>11</v>
      </c>
      <c r="Q805" s="8">
        <v>1</v>
      </c>
      <c r="R805" s="8">
        <v>69</v>
      </c>
      <c r="S805" s="8">
        <v>18</v>
      </c>
      <c r="T805" s="3" t="s">
        <v>72</v>
      </c>
      <c r="U805" s="10">
        <v>18311</v>
      </c>
      <c r="V805" s="32">
        <v>170</v>
      </c>
      <c r="W805" s="27">
        <v>9.2840369176997433E-3</v>
      </c>
      <c r="X805" s="34">
        <v>0</v>
      </c>
      <c r="Y805" s="27">
        <v>0</v>
      </c>
      <c r="Z805" s="27">
        <v>0</v>
      </c>
      <c r="AA805" s="35">
        <v>128</v>
      </c>
      <c r="AB805" s="27">
        <v>0.75294117647058822</v>
      </c>
      <c r="AC805" s="27">
        <f t="shared" si="73"/>
        <v>6.9903336792092189E-3</v>
      </c>
      <c r="AD805" s="36">
        <v>33</v>
      </c>
      <c r="AE805" s="27">
        <v>0.19411764705882353</v>
      </c>
      <c r="AF805" s="27">
        <f t="shared" si="74"/>
        <v>1.8021954016711266E-3</v>
      </c>
      <c r="AG805" s="37">
        <v>9</v>
      </c>
      <c r="AH805" s="27">
        <v>5.2941176470588235E-2</v>
      </c>
      <c r="AI805" s="27">
        <f t="shared" si="75"/>
        <v>4.9150783681939814E-4</v>
      </c>
      <c r="AJ805" s="38">
        <v>0</v>
      </c>
      <c r="AK805" s="27">
        <v>0</v>
      </c>
      <c r="AL805" s="27">
        <f t="shared" si="76"/>
        <v>0</v>
      </c>
      <c r="AM805" s="40">
        <v>0</v>
      </c>
      <c r="AN805" s="27">
        <v>0</v>
      </c>
      <c r="AO805" s="27">
        <f t="shared" si="77"/>
        <v>0</v>
      </c>
      <c r="AP805" s="7" t="b">
        <v>1</v>
      </c>
      <c r="AQ805" s="7" t="b">
        <v>1</v>
      </c>
      <c r="AR805" s="6" t="b">
        <v>0</v>
      </c>
      <c r="AS805" s="6" t="b">
        <v>0</v>
      </c>
      <c r="AT805" s="7" t="b">
        <v>1</v>
      </c>
      <c r="AU805" s="6" t="b">
        <v>0</v>
      </c>
      <c r="AV805" s="6" t="b">
        <v>0</v>
      </c>
      <c r="AW805" s="6" t="b">
        <v>0</v>
      </c>
      <c r="AX805" s="6" t="b">
        <v>0</v>
      </c>
      <c r="AY805" s="6" t="b">
        <v>0</v>
      </c>
      <c r="AZ805" s="6" t="b">
        <v>0</v>
      </c>
      <c r="BA805" s="6" t="b">
        <v>0</v>
      </c>
      <c r="BB805" s="6" t="b">
        <v>0</v>
      </c>
    </row>
    <row r="806" spans="1:54" ht="15" x14ac:dyDescent="0.25">
      <c r="A806" s="3" t="s">
        <v>1671</v>
      </c>
      <c r="B806" s="3" t="str">
        <f ca="1">IFERROR(__xludf.DUMMYFUNCTION("SPLIT(A806,""/"")"),"pimutils")</f>
        <v>pimutils</v>
      </c>
      <c r="C806" s="3" t="str">
        <f ca="1">IFERROR(__xludf.DUMMYFUNCTION("""COMPUTED_VALUE"""),"vdirsyncer")</f>
        <v>vdirsyncer</v>
      </c>
      <c r="D806" s="4" t="s">
        <v>1672</v>
      </c>
      <c r="E806" s="5">
        <v>41685.6483912037</v>
      </c>
      <c r="F806" s="5">
        <v>44294.898692129631</v>
      </c>
      <c r="G806" s="13">
        <f t="shared" si="72"/>
        <v>2609.2503009259308</v>
      </c>
      <c r="H806" s="6" t="b">
        <v>0</v>
      </c>
      <c r="I806" s="7" t="b">
        <v>1</v>
      </c>
      <c r="J806" s="8">
        <v>889</v>
      </c>
      <c r="K806" s="8">
        <v>36</v>
      </c>
      <c r="L806" s="8">
        <v>92</v>
      </c>
      <c r="M806" s="8">
        <v>1</v>
      </c>
      <c r="N806" s="8">
        <v>71</v>
      </c>
      <c r="O806" s="8">
        <v>39</v>
      </c>
      <c r="P806" s="8">
        <v>308</v>
      </c>
      <c r="Q806" s="8">
        <v>7</v>
      </c>
      <c r="R806" s="8">
        <v>572</v>
      </c>
      <c r="S806" s="8">
        <v>113</v>
      </c>
      <c r="T806" s="3" t="s">
        <v>92</v>
      </c>
      <c r="U806" s="10">
        <v>5658</v>
      </c>
      <c r="V806" s="32">
        <v>85</v>
      </c>
      <c r="W806" s="27">
        <v>1.5022976316719689E-2</v>
      </c>
      <c r="X806" s="34">
        <v>32</v>
      </c>
      <c r="Y806" s="27">
        <v>0.37647058823529411</v>
      </c>
      <c r="Z806" s="27">
        <v>5.6557087310003537E-3</v>
      </c>
      <c r="AA806" s="35">
        <v>17</v>
      </c>
      <c r="AB806" s="27">
        <v>0.2</v>
      </c>
      <c r="AC806" s="27">
        <f t="shared" si="73"/>
        <v>3.0045952633439379E-3</v>
      </c>
      <c r="AD806" s="36">
        <v>21</v>
      </c>
      <c r="AE806" s="27">
        <v>0.24705882352941178</v>
      </c>
      <c r="AF806" s="27">
        <f t="shared" si="74"/>
        <v>3.711558854718982E-3</v>
      </c>
      <c r="AG806" s="37">
        <v>12</v>
      </c>
      <c r="AH806" s="27">
        <v>0.14117647058823529</v>
      </c>
      <c r="AI806" s="27">
        <f t="shared" si="75"/>
        <v>2.1208907741251328E-3</v>
      </c>
      <c r="AJ806" s="38">
        <v>1</v>
      </c>
      <c r="AK806" s="27">
        <v>1.1764705882352941E-2</v>
      </c>
      <c r="AL806" s="27">
        <f t="shared" si="76"/>
        <v>1.7674089784376105E-4</v>
      </c>
      <c r="AM806" s="40">
        <v>0</v>
      </c>
      <c r="AN806" s="27">
        <v>0</v>
      </c>
      <c r="AO806" s="27">
        <f t="shared" si="77"/>
        <v>0</v>
      </c>
      <c r="AP806" s="7" t="b">
        <v>1</v>
      </c>
      <c r="AQ806" s="7" t="b">
        <v>1</v>
      </c>
      <c r="AR806" s="6" t="b">
        <v>0</v>
      </c>
      <c r="AS806" s="6" t="b">
        <v>0</v>
      </c>
      <c r="AT806" s="7" t="b">
        <v>1</v>
      </c>
      <c r="AU806" s="6" t="b">
        <v>0</v>
      </c>
      <c r="AV806" s="6" t="b">
        <v>0</v>
      </c>
      <c r="AW806" s="6" t="b">
        <v>0</v>
      </c>
      <c r="AX806" s="6" t="b">
        <v>0</v>
      </c>
      <c r="AY806" s="6" t="b">
        <v>0</v>
      </c>
      <c r="AZ806" s="6" t="b">
        <v>0</v>
      </c>
      <c r="BA806" s="6" t="b">
        <v>0</v>
      </c>
      <c r="BB806" s="6" t="b">
        <v>0</v>
      </c>
    </row>
    <row r="807" spans="1:54" ht="15" x14ac:dyDescent="0.25">
      <c r="A807" s="3" t="s">
        <v>1673</v>
      </c>
      <c r="B807" s="3" t="str">
        <f ca="1">IFERROR(__xludf.DUMMYFUNCTION("SPLIT(A807,""/"")"),"pinry")</f>
        <v>pinry</v>
      </c>
      <c r="C807" s="3" t="str">
        <f ca="1">IFERROR(__xludf.DUMMYFUNCTION("""COMPUTED_VALUE"""),"pinry")</f>
        <v>pinry</v>
      </c>
      <c r="D807" s="4" t="s">
        <v>1674</v>
      </c>
      <c r="E807" s="5">
        <v>41338.012164351851</v>
      </c>
      <c r="F807" s="5">
        <v>44286.236076388886</v>
      </c>
      <c r="G807" s="13">
        <f t="shared" si="72"/>
        <v>2948.2239120370359</v>
      </c>
      <c r="H807" s="6" t="b">
        <v>0</v>
      </c>
      <c r="I807" s="7" t="b">
        <v>1</v>
      </c>
      <c r="J807" s="8">
        <v>1673</v>
      </c>
      <c r="K807" s="8">
        <v>108</v>
      </c>
      <c r="L807" s="8">
        <v>258</v>
      </c>
      <c r="M807" s="8">
        <v>0</v>
      </c>
      <c r="N807" s="8">
        <v>1</v>
      </c>
      <c r="O807" s="8">
        <v>32</v>
      </c>
      <c r="P807" s="8">
        <v>102</v>
      </c>
      <c r="Q807" s="8">
        <v>5</v>
      </c>
      <c r="R807" s="8">
        <v>164</v>
      </c>
      <c r="S807" s="8">
        <v>33</v>
      </c>
      <c r="T807" s="3" t="s">
        <v>153</v>
      </c>
      <c r="U807" s="10">
        <v>1310</v>
      </c>
      <c r="V807" s="32">
        <v>3</v>
      </c>
      <c r="W807" s="27">
        <v>2.2900763358778627E-3</v>
      </c>
      <c r="X807" s="34">
        <v>0</v>
      </c>
      <c r="Y807" s="27">
        <v>0</v>
      </c>
      <c r="Z807" s="27">
        <v>0</v>
      </c>
      <c r="AA807" s="35">
        <v>0</v>
      </c>
      <c r="AB807" s="27">
        <v>0</v>
      </c>
      <c r="AC807" s="27">
        <f t="shared" si="73"/>
        <v>0</v>
      </c>
      <c r="AD807" s="36">
        <v>1</v>
      </c>
      <c r="AE807" s="27">
        <v>0.33333333333333331</v>
      </c>
      <c r="AF807" s="27">
        <f t="shared" si="74"/>
        <v>7.6335877862595419E-4</v>
      </c>
      <c r="AG807" s="37">
        <v>2</v>
      </c>
      <c r="AH807" s="27">
        <v>0.66666666666666663</v>
      </c>
      <c r="AI807" s="27">
        <f t="shared" si="75"/>
        <v>1.5267175572519084E-3</v>
      </c>
      <c r="AJ807" s="38">
        <v>0</v>
      </c>
      <c r="AK807" s="27">
        <v>0</v>
      </c>
      <c r="AL807" s="27">
        <f t="shared" si="76"/>
        <v>0</v>
      </c>
      <c r="AM807" s="40">
        <v>0</v>
      </c>
      <c r="AN807" s="27">
        <v>0</v>
      </c>
      <c r="AO807" s="27">
        <f t="shared" si="77"/>
        <v>0</v>
      </c>
      <c r="AP807" s="7" t="b">
        <v>1</v>
      </c>
      <c r="AQ807" s="6" t="b">
        <v>0</v>
      </c>
      <c r="AR807" s="6" t="b">
        <v>0</v>
      </c>
      <c r="AS807" s="6" t="b">
        <v>0</v>
      </c>
      <c r="AT807" s="7" t="b">
        <v>1</v>
      </c>
      <c r="AU807" s="6" t="b">
        <v>0</v>
      </c>
      <c r="AV807" s="6" t="b">
        <v>0</v>
      </c>
      <c r="AW807" s="6" t="b">
        <v>0</v>
      </c>
      <c r="AX807" s="6" t="b">
        <v>0</v>
      </c>
      <c r="AY807" s="6" t="b">
        <v>0</v>
      </c>
      <c r="AZ807" s="6" t="b">
        <v>0</v>
      </c>
      <c r="BA807" s="6" t="b">
        <v>0</v>
      </c>
      <c r="BB807" s="6" t="b">
        <v>0</v>
      </c>
    </row>
    <row r="808" spans="1:54" ht="15" x14ac:dyDescent="0.25">
      <c r="A808" s="3" t="s">
        <v>1675</v>
      </c>
      <c r="B808" s="3" t="str">
        <f ca="1">IFERROR(__xludf.DUMMYFUNCTION("SPLIT(A808,""/"")"),"pixie-labs")</f>
        <v>pixie-labs</v>
      </c>
      <c r="C808" s="3" t="str">
        <f ca="1">IFERROR(__xludf.DUMMYFUNCTION("""COMPUTED_VALUE"""),"pixie")</f>
        <v>pixie</v>
      </c>
      <c r="D808" s="4" t="s">
        <v>1676</v>
      </c>
      <c r="E808" s="5">
        <v>43888.015798611108</v>
      </c>
      <c r="F808" s="5">
        <v>44294.315057870372</v>
      </c>
      <c r="G808" s="13">
        <f t="shared" si="72"/>
        <v>406.29925925926364</v>
      </c>
      <c r="H808" s="6" t="b">
        <v>0</v>
      </c>
      <c r="I808" s="7" t="b">
        <v>1</v>
      </c>
      <c r="J808" s="8">
        <v>603</v>
      </c>
      <c r="K808" s="8">
        <v>32</v>
      </c>
      <c r="L808" s="8">
        <v>38</v>
      </c>
      <c r="M808" s="8">
        <v>0</v>
      </c>
      <c r="N808" s="8">
        <v>0</v>
      </c>
      <c r="O808" s="8">
        <v>12</v>
      </c>
      <c r="P808" s="8">
        <v>168</v>
      </c>
      <c r="Q808" s="8">
        <v>1</v>
      </c>
      <c r="R808" s="8">
        <v>64</v>
      </c>
      <c r="S808" s="8">
        <v>20</v>
      </c>
      <c r="T808" s="3" t="s">
        <v>69</v>
      </c>
      <c r="U808" s="10">
        <v>1013</v>
      </c>
      <c r="V808" s="32">
        <v>10</v>
      </c>
      <c r="W808" s="27">
        <v>9.8716683119447184E-3</v>
      </c>
      <c r="X808" s="34">
        <v>3</v>
      </c>
      <c r="Y808" s="27">
        <v>0.3</v>
      </c>
      <c r="Z808" s="27">
        <v>2.9615004935834156E-3</v>
      </c>
      <c r="AA808" s="35">
        <v>2</v>
      </c>
      <c r="AB808" s="27">
        <v>0.2</v>
      </c>
      <c r="AC808" s="27">
        <f t="shared" si="73"/>
        <v>1.9743336623889436E-3</v>
      </c>
      <c r="AD808" s="36">
        <v>0</v>
      </c>
      <c r="AE808" s="27">
        <v>0</v>
      </c>
      <c r="AF808" s="27">
        <f t="shared" si="74"/>
        <v>0</v>
      </c>
      <c r="AG808" s="37">
        <v>5</v>
      </c>
      <c r="AH808" s="27">
        <v>0.5</v>
      </c>
      <c r="AI808" s="27">
        <f t="shared" si="75"/>
        <v>4.9358341559723592E-3</v>
      </c>
      <c r="AJ808" s="38">
        <v>0</v>
      </c>
      <c r="AK808" s="27">
        <v>0</v>
      </c>
      <c r="AL808" s="27">
        <f t="shared" si="76"/>
        <v>0</v>
      </c>
      <c r="AM808" s="40">
        <v>0</v>
      </c>
      <c r="AN808" s="27">
        <v>0</v>
      </c>
      <c r="AO808" s="27">
        <f t="shared" si="77"/>
        <v>0</v>
      </c>
      <c r="AP808" s="7" t="b">
        <v>1</v>
      </c>
      <c r="AQ808" s="6" t="b">
        <v>0</v>
      </c>
      <c r="AR808" s="6" t="b">
        <v>0</v>
      </c>
      <c r="AS808" s="6" t="b">
        <v>0</v>
      </c>
      <c r="AT808" s="7" t="b">
        <v>1</v>
      </c>
      <c r="AU808" s="6" t="b">
        <v>0</v>
      </c>
      <c r="AV808" s="6" t="b">
        <v>0</v>
      </c>
      <c r="AW808" s="6" t="b">
        <v>0</v>
      </c>
      <c r="AX808" s="6" t="b">
        <v>0</v>
      </c>
      <c r="AY808" s="6" t="b">
        <v>0</v>
      </c>
      <c r="AZ808" s="6" t="b">
        <v>0</v>
      </c>
      <c r="BA808" s="6" t="b">
        <v>0</v>
      </c>
      <c r="BB808" s="6" t="b">
        <v>0</v>
      </c>
    </row>
    <row r="809" spans="1:54" ht="15" x14ac:dyDescent="0.25">
      <c r="A809" s="3" t="s">
        <v>1677</v>
      </c>
      <c r="B809" s="3" t="str">
        <f ca="1">IFERROR(__xludf.DUMMYFUNCTION("SPLIT(A809,""/"")"),"pjialin")</f>
        <v>pjialin</v>
      </c>
      <c r="C809" s="3" t="str">
        <f ca="1">IFERROR(__xludf.DUMMYFUNCTION("""COMPUTED_VALUE"""),"py12306")</f>
        <v>py12306</v>
      </c>
      <c r="D809" s="4" t="s">
        <v>1678</v>
      </c>
      <c r="E809" s="5">
        <v>43472.752905092595</v>
      </c>
      <c r="F809" s="5">
        <v>44294.303738425922</v>
      </c>
      <c r="G809" s="13">
        <f t="shared" si="72"/>
        <v>821.55083333332732</v>
      </c>
      <c r="H809" s="6" t="b">
        <v>0</v>
      </c>
      <c r="I809" s="6" t="b">
        <v>0</v>
      </c>
      <c r="J809" s="8">
        <v>11371</v>
      </c>
      <c r="K809" s="8">
        <v>328</v>
      </c>
      <c r="L809" s="8">
        <v>2993</v>
      </c>
      <c r="M809" s="8">
        <v>1</v>
      </c>
      <c r="N809" s="8">
        <v>2</v>
      </c>
      <c r="O809" s="8">
        <v>17</v>
      </c>
      <c r="P809" s="8">
        <v>49</v>
      </c>
      <c r="Q809" s="8">
        <v>3</v>
      </c>
      <c r="R809" s="8">
        <v>351</v>
      </c>
      <c r="S809" s="8">
        <v>115</v>
      </c>
      <c r="T809" s="3" t="s">
        <v>69</v>
      </c>
      <c r="U809" s="10">
        <v>3167</v>
      </c>
      <c r="V809" s="32">
        <v>0</v>
      </c>
      <c r="W809" s="27">
        <v>0</v>
      </c>
      <c r="X809" s="34">
        <v>0</v>
      </c>
      <c r="Y809" s="27">
        <v>0</v>
      </c>
      <c r="Z809" s="27">
        <v>0</v>
      </c>
      <c r="AA809" s="35">
        <v>0</v>
      </c>
      <c r="AB809" s="27">
        <v>0</v>
      </c>
      <c r="AC809" s="27">
        <f t="shared" si="73"/>
        <v>0</v>
      </c>
      <c r="AD809" s="36">
        <v>0</v>
      </c>
      <c r="AE809" s="27">
        <v>0</v>
      </c>
      <c r="AF809" s="27">
        <f t="shared" si="74"/>
        <v>0</v>
      </c>
      <c r="AG809" s="37">
        <v>0</v>
      </c>
      <c r="AH809" s="27">
        <v>0</v>
      </c>
      <c r="AI809" s="27">
        <f t="shared" si="75"/>
        <v>0</v>
      </c>
      <c r="AJ809" s="38">
        <v>0</v>
      </c>
      <c r="AK809" s="27">
        <v>0</v>
      </c>
      <c r="AL809" s="27">
        <f t="shared" si="76"/>
        <v>0</v>
      </c>
      <c r="AM809" s="40">
        <v>0</v>
      </c>
      <c r="AN809" s="27">
        <v>0</v>
      </c>
      <c r="AO809" s="27">
        <f t="shared" si="77"/>
        <v>0</v>
      </c>
      <c r="AP809" s="7" t="b">
        <v>1</v>
      </c>
      <c r="AQ809" s="7" t="b">
        <v>1</v>
      </c>
      <c r="AR809" s="6" t="b">
        <v>0</v>
      </c>
      <c r="AS809" s="6" t="b">
        <v>0</v>
      </c>
      <c r="AT809" s="7" t="b">
        <v>1</v>
      </c>
      <c r="AU809" s="6" t="b">
        <v>0</v>
      </c>
      <c r="AV809" s="6" t="b">
        <v>0</v>
      </c>
      <c r="AW809" s="6" t="b">
        <v>0</v>
      </c>
      <c r="AX809" s="6" t="b">
        <v>0</v>
      </c>
      <c r="AY809" s="6" t="b">
        <v>0</v>
      </c>
      <c r="AZ809" s="6" t="b">
        <v>0</v>
      </c>
      <c r="BA809" s="6" t="b">
        <v>0</v>
      </c>
      <c r="BB809" s="6" t="b">
        <v>0</v>
      </c>
    </row>
    <row r="810" spans="1:54" ht="15" x14ac:dyDescent="0.25">
      <c r="A810" s="3" t="s">
        <v>1679</v>
      </c>
      <c r="B810" s="3" t="str">
        <f ca="1">IFERROR(__xludf.DUMMYFUNCTION("SPLIT(A810,""/"")"),"PKUbahuangliuhe")</f>
        <v>PKUbahuangliuhe</v>
      </c>
      <c r="C810" s="3" t="str">
        <f ca="1">IFERROR(__xludf.DUMMYFUNCTION("""COMPUTED_VALUE"""),"CBNet")</f>
        <v>CBNet</v>
      </c>
      <c r="D810" s="4" t="s">
        <v>1680</v>
      </c>
      <c r="E810" s="5">
        <v>43717.151666666665</v>
      </c>
      <c r="F810" s="5">
        <v>44292.43277777778</v>
      </c>
      <c r="G810" s="13">
        <f t="shared" si="72"/>
        <v>575.28111111111502</v>
      </c>
      <c r="H810" s="6" t="b">
        <v>0</v>
      </c>
      <c r="I810" s="6" t="b">
        <v>0</v>
      </c>
      <c r="J810" s="8">
        <v>408</v>
      </c>
      <c r="K810" s="8">
        <v>15</v>
      </c>
      <c r="L810" s="8">
        <v>88</v>
      </c>
      <c r="M810" s="8">
        <v>0</v>
      </c>
      <c r="N810" s="8">
        <v>0</v>
      </c>
      <c r="O810" s="8">
        <v>2</v>
      </c>
      <c r="P810" s="8">
        <v>1</v>
      </c>
      <c r="Q810" s="8">
        <v>1</v>
      </c>
      <c r="R810" s="8">
        <v>21</v>
      </c>
      <c r="S810" s="8">
        <v>11</v>
      </c>
      <c r="T810" s="3" t="s">
        <v>69</v>
      </c>
      <c r="U810" s="10">
        <v>9686</v>
      </c>
      <c r="V810" s="32">
        <v>177</v>
      </c>
      <c r="W810" s="27">
        <v>1.8273797233119966E-2</v>
      </c>
      <c r="X810" s="34">
        <v>24</v>
      </c>
      <c r="Y810" s="27">
        <v>0.13559322033898305</v>
      </c>
      <c r="Z810" s="27">
        <v>2.4778030146603344E-3</v>
      </c>
      <c r="AA810" s="35">
        <v>128</v>
      </c>
      <c r="AB810" s="27">
        <v>0.7231638418079096</v>
      </c>
      <c r="AC810" s="27">
        <f t="shared" si="73"/>
        <v>1.3214949411521784E-2</v>
      </c>
      <c r="AD810" s="36">
        <v>22</v>
      </c>
      <c r="AE810" s="27">
        <v>0.12429378531073447</v>
      </c>
      <c r="AF810" s="27">
        <f t="shared" si="74"/>
        <v>2.2713194301053068E-3</v>
      </c>
      <c r="AG810" s="37">
        <v>2</v>
      </c>
      <c r="AH810" s="27">
        <v>1.1299435028248588E-2</v>
      </c>
      <c r="AI810" s="27">
        <f t="shared" si="75"/>
        <v>2.0648358455502787E-4</v>
      </c>
      <c r="AJ810" s="38">
        <v>1</v>
      </c>
      <c r="AK810" s="27">
        <v>5.6497175141242938E-3</v>
      </c>
      <c r="AL810" s="27">
        <f t="shared" si="76"/>
        <v>1.0324179227751394E-4</v>
      </c>
      <c r="AM810" s="40">
        <v>0</v>
      </c>
      <c r="AN810" s="27">
        <v>0</v>
      </c>
      <c r="AO810" s="27">
        <f t="shared" si="77"/>
        <v>0</v>
      </c>
      <c r="AP810" s="7" t="b">
        <v>1</v>
      </c>
      <c r="AQ810" s="6" t="b">
        <v>0</v>
      </c>
      <c r="AR810" s="6" t="b">
        <v>0</v>
      </c>
      <c r="AS810" s="6" t="b">
        <v>0</v>
      </c>
      <c r="AT810" s="7" t="b">
        <v>1</v>
      </c>
      <c r="AU810" s="6" t="b">
        <v>0</v>
      </c>
      <c r="AV810" s="6" t="b">
        <v>0</v>
      </c>
      <c r="AW810" s="6" t="b">
        <v>0</v>
      </c>
      <c r="AX810" s="6" t="b">
        <v>0</v>
      </c>
      <c r="AY810" s="6" t="b">
        <v>0</v>
      </c>
      <c r="AZ810" s="6" t="b">
        <v>0</v>
      </c>
      <c r="BA810" s="6" t="b">
        <v>0</v>
      </c>
      <c r="BB810" s="6" t="b">
        <v>0</v>
      </c>
    </row>
    <row r="811" spans="1:54" ht="15" x14ac:dyDescent="0.25">
      <c r="A811" s="3" t="s">
        <v>1681</v>
      </c>
      <c r="B811" s="3" t="str">
        <f ca="1">IFERROR(__xludf.DUMMYFUNCTION("SPLIT(A811,""/"")"),"plajjan")</f>
        <v>plajjan</v>
      </c>
      <c r="C811" s="3" t="str">
        <f ca="1">IFERROR(__xludf.DUMMYFUNCTION("""COMPUTED_VALUE"""),"vrnetlab")</f>
        <v>vrnetlab</v>
      </c>
      <c r="D811" s="4" t="s">
        <v>1682</v>
      </c>
      <c r="E811" s="5">
        <v>42558.591770833336</v>
      </c>
      <c r="F811" s="5">
        <v>44289.590925925928</v>
      </c>
      <c r="G811" s="13">
        <f t="shared" si="72"/>
        <v>1730.9991550925915</v>
      </c>
      <c r="H811" s="6" t="b">
        <v>0</v>
      </c>
      <c r="I811" s="6" t="b">
        <v>0</v>
      </c>
      <c r="J811" s="8">
        <v>740</v>
      </c>
      <c r="K811" s="8">
        <v>82</v>
      </c>
      <c r="L811" s="8">
        <v>183</v>
      </c>
      <c r="M811" s="8">
        <v>0</v>
      </c>
      <c r="N811" s="8">
        <v>1</v>
      </c>
      <c r="O811" s="8">
        <v>20</v>
      </c>
      <c r="P811" s="8">
        <v>98</v>
      </c>
      <c r="Q811" s="8">
        <v>17</v>
      </c>
      <c r="R811" s="8">
        <v>166</v>
      </c>
      <c r="S811" s="8">
        <v>59</v>
      </c>
      <c r="T811" s="3" t="s">
        <v>72</v>
      </c>
      <c r="U811" s="10">
        <v>3311</v>
      </c>
      <c r="V811" s="32">
        <v>155</v>
      </c>
      <c r="W811" s="27">
        <v>4.6813651464814254E-2</v>
      </c>
      <c r="X811" s="34">
        <v>63</v>
      </c>
      <c r="Y811" s="27">
        <v>0.40645161290322579</v>
      </c>
      <c r="Z811" s="27">
        <v>1.9027484143763214E-2</v>
      </c>
      <c r="AA811" s="35">
        <v>62</v>
      </c>
      <c r="AB811" s="27">
        <v>0.4</v>
      </c>
      <c r="AC811" s="27">
        <f t="shared" si="73"/>
        <v>1.8725460585925703E-2</v>
      </c>
      <c r="AD811" s="36">
        <v>22</v>
      </c>
      <c r="AE811" s="27">
        <v>0.14193548387096774</v>
      </c>
      <c r="AF811" s="27">
        <f t="shared" si="74"/>
        <v>6.6445182724252493E-3</v>
      </c>
      <c r="AG811" s="37">
        <v>8</v>
      </c>
      <c r="AH811" s="27">
        <v>5.1612903225806452E-2</v>
      </c>
      <c r="AI811" s="27">
        <f t="shared" si="75"/>
        <v>2.4161884627000906E-3</v>
      </c>
      <c r="AJ811" s="38">
        <v>0</v>
      </c>
      <c r="AK811" s="27">
        <v>0</v>
      </c>
      <c r="AL811" s="27">
        <f t="shared" si="76"/>
        <v>0</v>
      </c>
      <c r="AM811" s="40">
        <v>0</v>
      </c>
      <c r="AN811" s="27">
        <v>0</v>
      </c>
      <c r="AO811" s="27">
        <f t="shared" si="77"/>
        <v>0</v>
      </c>
      <c r="AP811" s="7" t="b">
        <v>1</v>
      </c>
      <c r="AQ811" s="6" t="b">
        <v>0</v>
      </c>
      <c r="AR811" s="6" t="b">
        <v>0</v>
      </c>
      <c r="AS811" s="6" t="b">
        <v>0</v>
      </c>
      <c r="AT811" s="7" t="b">
        <v>1</v>
      </c>
      <c r="AU811" s="6" t="b">
        <v>0</v>
      </c>
      <c r="AV811" s="6" t="b">
        <v>0</v>
      </c>
      <c r="AW811" s="6" t="b">
        <v>0</v>
      </c>
      <c r="AX811" s="6" t="b">
        <v>0</v>
      </c>
      <c r="AY811" s="6" t="b">
        <v>0</v>
      </c>
      <c r="AZ811" s="6" t="b">
        <v>0</v>
      </c>
      <c r="BA811" s="6" t="b">
        <v>0</v>
      </c>
      <c r="BB811" s="6" t="b">
        <v>0</v>
      </c>
    </row>
    <row r="812" spans="1:54" ht="15" x14ac:dyDescent="0.25">
      <c r="A812" s="3" t="s">
        <v>1683</v>
      </c>
      <c r="B812" s="3" t="str">
        <f ca="1">IFERROR(__xludf.DUMMYFUNCTION("SPLIT(A812,""/"")"),"plotly")</f>
        <v>plotly</v>
      </c>
      <c r="C812" s="3" t="str">
        <f ca="1">IFERROR(__xludf.DUMMYFUNCTION("""COMPUTED_VALUE"""),"dash-docs")</f>
        <v>dash-docs</v>
      </c>
      <c r="D812" s="4" t="s">
        <v>1684</v>
      </c>
      <c r="E812" s="5">
        <v>42800.687592592592</v>
      </c>
      <c r="F812" s="5">
        <v>44295.114293981482</v>
      </c>
      <c r="G812" s="13">
        <f t="shared" si="72"/>
        <v>1494.4267013888893</v>
      </c>
      <c r="H812" s="6" t="b">
        <v>0</v>
      </c>
      <c r="I812" s="7" t="b">
        <v>1</v>
      </c>
      <c r="J812" s="8">
        <v>341</v>
      </c>
      <c r="K812" s="8">
        <v>50</v>
      </c>
      <c r="L812" s="8">
        <v>143</v>
      </c>
      <c r="M812" s="8">
        <v>0</v>
      </c>
      <c r="N812" s="8">
        <v>9</v>
      </c>
      <c r="O812" s="8">
        <v>96</v>
      </c>
      <c r="P812" s="8">
        <v>765</v>
      </c>
      <c r="Q812" s="8">
        <v>16</v>
      </c>
      <c r="R812" s="8">
        <v>333</v>
      </c>
      <c r="S812" s="8">
        <v>170</v>
      </c>
      <c r="T812" s="3" t="s">
        <v>72</v>
      </c>
      <c r="U812" s="10">
        <v>6470</v>
      </c>
      <c r="V812" s="32">
        <v>2</v>
      </c>
      <c r="W812" s="27">
        <v>3.0911901081916539E-4</v>
      </c>
      <c r="X812" s="34">
        <v>0</v>
      </c>
      <c r="Y812" s="27">
        <v>0</v>
      </c>
      <c r="Z812" s="27">
        <v>0</v>
      </c>
      <c r="AA812" s="35">
        <v>2</v>
      </c>
      <c r="AB812" s="27">
        <v>1</v>
      </c>
      <c r="AC812" s="27">
        <f t="shared" si="73"/>
        <v>3.0911901081916539E-4</v>
      </c>
      <c r="AD812" s="36">
        <v>0</v>
      </c>
      <c r="AE812" s="27">
        <v>0</v>
      </c>
      <c r="AF812" s="27">
        <f t="shared" si="74"/>
        <v>0</v>
      </c>
      <c r="AG812" s="37">
        <v>0</v>
      </c>
      <c r="AH812" s="27">
        <v>0</v>
      </c>
      <c r="AI812" s="27">
        <f t="shared" si="75"/>
        <v>0</v>
      </c>
      <c r="AJ812" s="38">
        <v>0</v>
      </c>
      <c r="AK812" s="27">
        <v>0</v>
      </c>
      <c r="AL812" s="27">
        <f t="shared" si="76"/>
        <v>0</v>
      </c>
      <c r="AM812" s="40">
        <v>0</v>
      </c>
      <c r="AN812" s="27">
        <v>0</v>
      </c>
      <c r="AO812" s="27">
        <f t="shared" si="77"/>
        <v>0</v>
      </c>
      <c r="AP812" s="7" t="b">
        <v>1</v>
      </c>
      <c r="AQ812" s="6" t="b">
        <v>0</v>
      </c>
      <c r="AR812" s="6" t="b">
        <v>0</v>
      </c>
      <c r="AS812" s="6" t="b">
        <v>0</v>
      </c>
      <c r="AT812" s="7" t="b">
        <v>1</v>
      </c>
      <c r="AU812" s="6" t="b">
        <v>0</v>
      </c>
      <c r="AV812" s="6" t="b">
        <v>0</v>
      </c>
      <c r="AW812" s="6" t="b">
        <v>0</v>
      </c>
      <c r="AX812" s="6" t="b">
        <v>0</v>
      </c>
      <c r="AY812" s="6" t="b">
        <v>0</v>
      </c>
      <c r="AZ812" s="6" t="b">
        <v>0</v>
      </c>
      <c r="BA812" s="6" t="b">
        <v>0</v>
      </c>
      <c r="BB812" s="6" t="b">
        <v>0</v>
      </c>
    </row>
    <row r="813" spans="1:54" ht="15" x14ac:dyDescent="0.25">
      <c r="A813" s="3" t="s">
        <v>1685</v>
      </c>
      <c r="B813" s="3" t="str">
        <f ca="1">IFERROR(__xludf.DUMMYFUNCTION("SPLIT(A813,""/"")"),"pogodevorg")</f>
        <v>pogodevorg</v>
      </c>
      <c r="C813" s="3" t="str">
        <f ca="1">IFERROR(__xludf.DUMMYFUNCTION("""COMPUTED_VALUE"""),"pgoapi")</f>
        <v>pgoapi</v>
      </c>
      <c r="D813" s="4" t="s">
        <v>1686</v>
      </c>
      <c r="E813" s="5">
        <v>42588.757824074077</v>
      </c>
      <c r="F813" s="5">
        <v>44291.985405092593</v>
      </c>
      <c r="G813" s="13">
        <f t="shared" si="72"/>
        <v>1703.2275810185165</v>
      </c>
      <c r="H813" s="6" t="b">
        <v>0</v>
      </c>
      <c r="I813" s="7" t="b">
        <v>1</v>
      </c>
      <c r="J813" s="8">
        <v>873</v>
      </c>
      <c r="K813" s="8">
        <v>133</v>
      </c>
      <c r="L813" s="8">
        <v>433</v>
      </c>
      <c r="M813" s="8">
        <v>2</v>
      </c>
      <c r="N813" s="8">
        <v>7</v>
      </c>
      <c r="O813" s="8">
        <v>64</v>
      </c>
      <c r="P813" s="8">
        <v>108</v>
      </c>
      <c r="Q813" s="8">
        <v>4</v>
      </c>
      <c r="R813" s="8">
        <v>120</v>
      </c>
      <c r="S813" s="8">
        <v>6</v>
      </c>
      <c r="T813" s="3" t="s">
        <v>92</v>
      </c>
      <c r="U813" s="10">
        <v>9694</v>
      </c>
      <c r="V813" s="32">
        <v>86</v>
      </c>
      <c r="W813" s="27">
        <v>8.8714668867340626E-3</v>
      </c>
      <c r="X813" s="34">
        <v>35</v>
      </c>
      <c r="Y813" s="27">
        <v>0.40697674418604651</v>
      </c>
      <c r="Z813" s="27">
        <v>3.610480709717351E-3</v>
      </c>
      <c r="AA813" s="35">
        <v>36</v>
      </c>
      <c r="AB813" s="27">
        <v>0.41860465116279072</v>
      </c>
      <c r="AC813" s="27">
        <f t="shared" si="73"/>
        <v>3.7136373014235611E-3</v>
      </c>
      <c r="AD813" s="36">
        <v>7</v>
      </c>
      <c r="AE813" s="27">
        <v>8.1395348837209308E-2</v>
      </c>
      <c r="AF813" s="27">
        <f t="shared" si="74"/>
        <v>7.2209614194347019E-4</v>
      </c>
      <c r="AG813" s="37">
        <v>8</v>
      </c>
      <c r="AH813" s="27">
        <v>9.3023255813953487E-2</v>
      </c>
      <c r="AI813" s="27">
        <f t="shared" si="75"/>
        <v>8.2525273364968024E-4</v>
      </c>
      <c r="AJ813" s="38">
        <v>0</v>
      </c>
      <c r="AK813" s="27">
        <v>0</v>
      </c>
      <c r="AL813" s="27">
        <f t="shared" si="76"/>
        <v>0</v>
      </c>
      <c r="AM813" s="40">
        <v>0</v>
      </c>
      <c r="AN813" s="27">
        <v>0</v>
      </c>
      <c r="AO813" s="27">
        <f t="shared" si="77"/>
        <v>0</v>
      </c>
      <c r="AP813" s="7" t="b">
        <v>1</v>
      </c>
      <c r="AQ813" s="6" t="b">
        <v>0</v>
      </c>
      <c r="AR813" s="6" t="b">
        <v>0</v>
      </c>
      <c r="AS813" s="6" t="b">
        <v>0</v>
      </c>
      <c r="AT813" s="7" t="b">
        <v>1</v>
      </c>
      <c r="AU813" s="6" t="b">
        <v>0</v>
      </c>
      <c r="AV813" s="6" t="b">
        <v>0</v>
      </c>
      <c r="AW813" s="6" t="b">
        <v>0</v>
      </c>
      <c r="AX813" s="6" t="b">
        <v>0</v>
      </c>
      <c r="AY813" s="6" t="b">
        <v>0</v>
      </c>
      <c r="AZ813" s="6" t="b">
        <v>0</v>
      </c>
      <c r="BA813" s="6" t="b">
        <v>0</v>
      </c>
      <c r="BB813" s="6" t="b">
        <v>0</v>
      </c>
    </row>
    <row r="814" spans="1:54" ht="15" x14ac:dyDescent="0.25">
      <c r="A814" s="3" t="s">
        <v>1687</v>
      </c>
      <c r="B814" s="3" t="str">
        <f ca="1">IFERROR(__xludf.DUMMYFUNCTION("SPLIT(A814,""/"")"),"PokemonGoF")</f>
        <v>PokemonGoF</v>
      </c>
      <c r="C814" s="3" t="str">
        <f ca="1">IFERROR(__xludf.DUMMYFUNCTION("""COMPUTED_VALUE"""),"PokemonGo-Bot")</f>
        <v>PokemonGo-Bot</v>
      </c>
      <c r="D814" s="4" t="s">
        <v>1688</v>
      </c>
      <c r="E814" s="5">
        <v>42571.230474537035</v>
      </c>
      <c r="F814" s="5">
        <v>44295.136840277781</v>
      </c>
      <c r="G814" s="13">
        <f t="shared" si="72"/>
        <v>1723.906365740746</v>
      </c>
      <c r="H814" s="6" t="b">
        <v>0</v>
      </c>
      <c r="I814" s="7" t="b">
        <v>1</v>
      </c>
      <c r="J814" s="8">
        <v>3673</v>
      </c>
      <c r="K814" s="8">
        <v>321</v>
      </c>
      <c r="L814" s="8">
        <v>1523</v>
      </c>
      <c r="M814" s="8">
        <v>7</v>
      </c>
      <c r="N814" s="8">
        <v>441</v>
      </c>
      <c r="O814" s="8">
        <v>337</v>
      </c>
      <c r="P814" s="8">
        <v>2253</v>
      </c>
      <c r="Q814" s="8">
        <v>6</v>
      </c>
      <c r="R814" s="8">
        <v>4001</v>
      </c>
      <c r="S814" s="8">
        <v>145</v>
      </c>
      <c r="T814" s="3" t="s">
        <v>72</v>
      </c>
      <c r="U814" s="10">
        <v>13510</v>
      </c>
      <c r="V814" s="32">
        <v>359</v>
      </c>
      <c r="W814" s="27">
        <v>2.6572908956328644E-2</v>
      </c>
      <c r="X814" s="34">
        <v>2</v>
      </c>
      <c r="Y814" s="27">
        <v>5.5710306406685237E-3</v>
      </c>
      <c r="Z814" s="27">
        <v>1.4803849000740192E-4</v>
      </c>
      <c r="AA814" s="35">
        <v>289</v>
      </c>
      <c r="AB814" s="27">
        <v>0.80501392757660162</v>
      </c>
      <c r="AC814" s="27">
        <f t="shared" si="73"/>
        <v>2.1391561806069579E-2</v>
      </c>
      <c r="AD814" s="36">
        <v>35</v>
      </c>
      <c r="AE814" s="27">
        <v>9.7493036211699163E-2</v>
      </c>
      <c r="AF814" s="27">
        <f t="shared" si="74"/>
        <v>2.5906735751295338E-3</v>
      </c>
      <c r="AG814" s="37">
        <v>28</v>
      </c>
      <c r="AH814" s="27">
        <v>7.7994428969359333E-2</v>
      </c>
      <c r="AI814" s="27">
        <f t="shared" si="75"/>
        <v>2.0725388601036268E-3</v>
      </c>
      <c r="AJ814" s="38">
        <v>1</v>
      </c>
      <c r="AK814" s="27">
        <v>2.7855153203342618E-3</v>
      </c>
      <c r="AL814" s="27">
        <f t="shared" si="76"/>
        <v>7.4019245003700959E-5</v>
      </c>
      <c r="AM814" s="40">
        <v>3</v>
      </c>
      <c r="AN814" s="27">
        <v>8.356545961002786E-3</v>
      </c>
      <c r="AO814" s="27">
        <f t="shared" si="77"/>
        <v>2.2205773501110288E-4</v>
      </c>
      <c r="AP814" s="7" t="b">
        <v>1</v>
      </c>
      <c r="AQ814" s="7" t="b">
        <v>1</v>
      </c>
      <c r="AR814" s="6" t="b">
        <v>0</v>
      </c>
      <c r="AS814" s="6" t="b">
        <v>0</v>
      </c>
      <c r="AT814" s="7" t="b">
        <v>1</v>
      </c>
      <c r="AU814" s="6" t="b">
        <v>0</v>
      </c>
      <c r="AV814" s="6" t="b">
        <v>0</v>
      </c>
      <c r="AW814" s="6" t="b">
        <v>0</v>
      </c>
      <c r="AX814" s="6" t="b">
        <v>0</v>
      </c>
      <c r="AY814" s="6" t="b">
        <v>0</v>
      </c>
      <c r="AZ814" s="6" t="b">
        <v>0</v>
      </c>
      <c r="BA814" s="6" t="b">
        <v>0</v>
      </c>
      <c r="BB814" s="6" t="b">
        <v>0</v>
      </c>
    </row>
    <row r="815" spans="1:54" ht="15" x14ac:dyDescent="0.25">
      <c r="A815" s="3" t="s">
        <v>1689</v>
      </c>
      <c r="B815" s="3" t="str">
        <f ca="1">IFERROR(__xludf.DUMMYFUNCTION("SPLIT(A815,""/"")"),"polakowo")</f>
        <v>polakowo</v>
      </c>
      <c r="C815" s="3" t="str">
        <f ca="1">IFERROR(__xludf.DUMMYFUNCTION("""COMPUTED_VALUE"""),"vectorbt")</f>
        <v>vectorbt</v>
      </c>
      <c r="D815" s="4" t="s">
        <v>1690</v>
      </c>
      <c r="E815" s="5">
        <v>43053.49759259259</v>
      </c>
      <c r="F815" s="5">
        <v>44294.495798611111</v>
      </c>
      <c r="G815" s="13">
        <f t="shared" si="72"/>
        <v>1240.9982060185212</v>
      </c>
      <c r="H815" s="6" t="b">
        <v>0</v>
      </c>
      <c r="I815" s="6" t="b">
        <v>0</v>
      </c>
      <c r="J815" s="8">
        <v>901</v>
      </c>
      <c r="K815" s="8">
        <v>51</v>
      </c>
      <c r="L815" s="8">
        <v>107</v>
      </c>
      <c r="M815" s="8">
        <v>0</v>
      </c>
      <c r="N815" s="8">
        <v>0</v>
      </c>
      <c r="O815" s="8">
        <v>6</v>
      </c>
      <c r="P815" s="8">
        <v>30</v>
      </c>
      <c r="Q815" s="8">
        <v>1</v>
      </c>
      <c r="R815" s="8">
        <v>93</v>
      </c>
      <c r="S815" s="8">
        <v>25</v>
      </c>
      <c r="T815" s="3" t="s">
        <v>69</v>
      </c>
      <c r="U815" s="10">
        <v>21380</v>
      </c>
      <c r="V815" s="32">
        <v>36</v>
      </c>
      <c r="W815" s="27">
        <v>1.6838166510757717E-3</v>
      </c>
      <c r="X815" s="34">
        <v>0</v>
      </c>
      <c r="Y815" s="27">
        <v>0</v>
      </c>
      <c r="Z815" s="27">
        <v>0</v>
      </c>
      <c r="AA815" s="35">
        <v>20</v>
      </c>
      <c r="AB815" s="27">
        <v>0.55555555555555558</v>
      </c>
      <c r="AC815" s="27">
        <f t="shared" si="73"/>
        <v>9.3545369504209543E-4</v>
      </c>
      <c r="AD815" s="36">
        <v>15</v>
      </c>
      <c r="AE815" s="27">
        <v>0.41666666666666669</v>
      </c>
      <c r="AF815" s="27">
        <f t="shared" si="74"/>
        <v>7.0159027128157152E-4</v>
      </c>
      <c r="AG815" s="37">
        <v>1</v>
      </c>
      <c r="AH815" s="27">
        <v>2.7777777777777776E-2</v>
      </c>
      <c r="AI815" s="27">
        <f t="shared" si="75"/>
        <v>4.6772684752104769E-5</v>
      </c>
      <c r="AJ815" s="38">
        <v>0</v>
      </c>
      <c r="AK815" s="27">
        <v>0</v>
      </c>
      <c r="AL815" s="27">
        <f t="shared" si="76"/>
        <v>0</v>
      </c>
      <c r="AM815" s="40">
        <v>0</v>
      </c>
      <c r="AN815" s="27">
        <v>0</v>
      </c>
      <c r="AO815" s="27">
        <f t="shared" si="77"/>
        <v>0</v>
      </c>
      <c r="AP815" s="7" t="b">
        <v>1</v>
      </c>
      <c r="AQ815" s="6" t="b">
        <v>0</v>
      </c>
      <c r="AR815" s="6" t="b">
        <v>0</v>
      </c>
      <c r="AS815" s="6" t="b">
        <v>0</v>
      </c>
      <c r="AT815" s="7" t="b">
        <v>1</v>
      </c>
      <c r="AU815" s="6" t="b">
        <v>0</v>
      </c>
      <c r="AV815" s="6" t="b">
        <v>0</v>
      </c>
      <c r="AW815" s="6" t="b">
        <v>0</v>
      </c>
      <c r="AX815" s="6" t="b">
        <v>0</v>
      </c>
      <c r="AY815" s="6" t="b">
        <v>0</v>
      </c>
      <c r="AZ815" s="6" t="b">
        <v>0</v>
      </c>
      <c r="BA815" s="6" t="b">
        <v>0</v>
      </c>
      <c r="BB815" s="6" t="b">
        <v>0</v>
      </c>
    </row>
    <row r="816" spans="1:54" ht="15" x14ac:dyDescent="0.25">
      <c r="A816" s="3" t="s">
        <v>1691</v>
      </c>
      <c r="B816" s="3" t="str">
        <f ca="1">IFERROR(__xludf.DUMMYFUNCTION("SPLIT(A816,""/"")"),"poljar")</f>
        <v>poljar</v>
      </c>
      <c r="C816" s="3" t="str">
        <f ca="1">IFERROR(__xludf.DUMMYFUNCTION("""COMPUTED_VALUE"""),"weechat-matrix")</f>
        <v>weechat-matrix</v>
      </c>
      <c r="D816" s="4" t="s">
        <v>1692</v>
      </c>
      <c r="E816" s="5">
        <v>43125.55232638889</v>
      </c>
      <c r="F816" s="5">
        <v>44294.217893518522</v>
      </c>
      <c r="G816" s="13">
        <f t="shared" si="72"/>
        <v>1168.6655671296321</v>
      </c>
      <c r="H816" s="6" t="b">
        <v>0</v>
      </c>
      <c r="I816" s="6" t="b">
        <v>0</v>
      </c>
      <c r="J816" s="8">
        <v>501</v>
      </c>
      <c r="K816" s="8">
        <v>25</v>
      </c>
      <c r="L816" s="8">
        <v>67</v>
      </c>
      <c r="M816" s="8">
        <v>0</v>
      </c>
      <c r="N816" s="8">
        <v>3</v>
      </c>
      <c r="O816" s="8">
        <v>38</v>
      </c>
      <c r="P816" s="8">
        <v>86</v>
      </c>
      <c r="Q816" s="8">
        <v>3</v>
      </c>
      <c r="R816" s="8">
        <v>178</v>
      </c>
      <c r="S816" s="8">
        <v>79</v>
      </c>
      <c r="T816" s="3" t="s">
        <v>92</v>
      </c>
      <c r="U816" s="10">
        <v>5297</v>
      </c>
      <c r="V816" s="32">
        <v>58</v>
      </c>
      <c r="W816" s="27">
        <v>1.0949594109873513E-2</v>
      </c>
      <c r="X816" s="34">
        <v>0</v>
      </c>
      <c r="Y816" s="27">
        <v>0</v>
      </c>
      <c r="Z816" s="27">
        <v>0</v>
      </c>
      <c r="AA816" s="35">
        <v>10</v>
      </c>
      <c r="AB816" s="27">
        <v>0.17241379310344829</v>
      </c>
      <c r="AC816" s="27">
        <f t="shared" si="73"/>
        <v>1.8878610534264679E-3</v>
      </c>
      <c r="AD816" s="36">
        <v>0</v>
      </c>
      <c r="AE816" s="27">
        <v>0</v>
      </c>
      <c r="AF816" s="27">
        <f t="shared" si="74"/>
        <v>0</v>
      </c>
      <c r="AG816" s="37">
        <v>47</v>
      </c>
      <c r="AH816" s="27">
        <v>0.81034482758620685</v>
      </c>
      <c r="AI816" s="27">
        <f t="shared" si="75"/>
        <v>8.872946951104398E-3</v>
      </c>
      <c r="AJ816" s="38">
        <v>0</v>
      </c>
      <c r="AK816" s="27">
        <v>0</v>
      </c>
      <c r="AL816" s="27">
        <f t="shared" si="76"/>
        <v>0</v>
      </c>
      <c r="AM816" s="40">
        <v>0</v>
      </c>
      <c r="AN816" s="27">
        <v>0</v>
      </c>
      <c r="AO816" s="27">
        <f t="shared" si="77"/>
        <v>0</v>
      </c>
      <c r="AP816" s="7" t="b">
        <v>1</v>
      </c>
      <c r="AQ816" s="6" t="b">
        <v>0</v>
      </c>
      <c r="AR816" s="6" t="b">
        <v>0</v>
      </c>
      <c r="AS816" s="6" t="b">
        <v>0</v>
      </c>
      <c r="AT816" s="6" t="b">
        <v>0</v>
      </c>
      <c r="AU816" s="6" t="b">
        <v>0</v>
      </c>
      <c r="AV816" s="6" t="b">
        <v>0</v>
      </c>
      <c r="AW816" s="7" t="b">
        <v>1</v>
      </c>
      <c r="AX816" s="6" t="b">
        <v>0</v>
      </c>
      <c r="AY816" s="6" t="b">
        <v>0</v>
      </c>
      <c r="AZ816" s="6" t="b">
        <v>0</v>
      </c>
      <c r="BA816" s="6" t="b">
        <v>0</v>
      </c>
      <c r="BB816" s="6" t="b">
        <v>0</v>
      </c>
    </row>
    <row r="817" spans="1:54" ht="15" x14ac:dyDescent="0.25">
      <c r="A817" s="3" t="s">
        <v>1693</v>
      </c>
      <c r="B817" s="3" t="str">
        <f ca="1">IFERROR(__xludf.DUMMYFUNCTION("SPLIT(A817,""/"")"),"polyaxon")</f>
        <v>polyaxon</v>
      </c>
      <c r="C817" s="3" t="str">
        <f ca="1">IFERROR(__xludf.DUMMYFUNCTION("""COMPUTED_VALUE"""),"polyaxon")</f>
        <v>polyaxon</v>
      </c>
      <c r="D817" s="4" t="s">
        <v>1694</v>
      </c>
      <c r="E817" s="5">
        <v>42730.533877314818</v>
      </c>
      <c r="F817" s="5">
        <v>44295.178483796299</v>
      </c>
      <c r="G817" s="13">
        <f t="shared" si="72"/>
        <v>1564.6446064814809</v>
      </c>
      <c r="H817" s="6" t="b">
        <v>0</v>
      </c>
      <c r="I817" s="7" t="b">
        <v>1</v>
      </c>
      <c r="J817" s="8">
        <v>2784</v>
      </c>
      <c r="K817" s="8">
        <v>79</v>
      </c>
      <c r="L817" s="8">
        <v>259</v>
      </c>
      <c r="M817" s="8">
        <v>114</v>
      </c>
      <c r="N817" s="8">
        <v>2</v>
      </c>
      <c r="O817" s="8">
        <v>80</v>
      </c>
      <c r="P817" s="8">
        <v>339</v>
      </c>
      <c r="Q817" s="8">
        <v>6</v>
      </c>
      <c r="R817" s="8">
        <v>930</v>
      </c>
      <c r="S817" s="8">
        <v>109</v>
      </c>
      <c r="T817" s="3" t="s">
        <v>69</v>
      </c>
      <c r="U817" s="10">
        <v>85955</v>
      </c>
      <c r="V817" s="32">
        <v>263</v>
      </c>
      <c r="W817" s="27">
        <v>3.0597405619219361E-3</v>
      </c>
      <c r="X817" s="34">
        <v>75</v>
      </c>
      <c r="Y817" s="27">
        <v>0.28517110266159695</v>
      </c>
      <c r="Z817" s="27">
        <v>8.7254958990169273E-4</v>
      </c>
      <c r="AA817" s="35">
        <v>87</v>
      </c>
      <c r="AB817" s="27">
        <v>0.33079847908745247</v>
      </c>
      <c r="AC817" s="27">
        <f t="shared" si="73"/>
        <v>1.0121575242859637E-3</v>
      </c>
      <c r="AD817" s="36">
        <v>70</v>
      </c>
      <c r="AE817" s="27">
        <v>0.26615969581749049</v>
      </c>
      <c r="AF817" s="27">
        <f t="shared" si="74"/>
        <v>8.1437961724157985E-4</v>
      </c>
      <c r="AG817" s="37">
        <v>27</v>
      </c>
      <c r="AH817" s="27">
        <v>0.10266159695817491</v>
      </c>
      <c r="AI817" s="27">
        <f t="shared" si="75"/>
        <v>3.1411785236460938E-4</v>
      </c>
      <c r="AJ817" s="38">
        <v>0</v>
      </c>
      <c r="AK817" s="27">
        <v>0</v>
      </c>
      <c r="AL817" s="27">
        <f t="shared" si="76"/>
        <v>0</v>
      </c>
      <c r="AM817" s="40">
        <v>1</v>
      </c>
      <c r="AN817" s="27">
        <v>3.8022813688212928E-3</v>
      </c>
      <c r="AO817" s="27">
        <f t="shared" si="77"/>
        <v>1.1633994532022569E-5</v>
      </c>
      <c r="AP817" s="7" t="b">
        <v>1</v>
      </c>
      <c r="AQ817" s="7" t="b">
        <v>1</v>
      </c>
      <c r="AR817" s="6" t="b">
        <v>0</v>
      </c>
      <c r="AS817" s="6" t="b">
        <v>0</v>
      </c>
      <c r="AT817" s="7" t="b">
        <v>1</v>
      </c>
      <c r="AU817" s="6" t="b">
        <v>0</v>
      </c>
      <c r="AV817" s="6" t="b">
        <v>0</v>
      </c>
      <c r="AW817" s="6" t="b">
        <v>0</v>
      </c>
      <c r="AX817" s="6" t="b">
        <v>0</v>
      </c>
      <c r="AY817" s="6" t="b">
        <v>0</v>
      </c>
      <c r="AZ817" s="6" t="b">
        <v>0</v>
      </c>
      <c r="BA817" s="6" t="b">
        <v>0</v>
      </c>
      <c r="BB817" s="6" t="b">
        <v>0</v>
      </c>
    </row>
    <row r="818" spans="1:54" ht="15" x14ac:dyDescent="0.25">
      <c r="A818" s="3" t="s">
        <v>1695</v>
      </c>
      <c r="B818" s="3" t="str">
        <f ca="1">IFERROR(__xludf.DUMMYFUNCTION("SPLIT(A818,""/"")"),"polygamma")</f>
        <v>polygamma</v>
      </c>
      <c r="C818" s="3" t="str">
        <f ca="1">IFERROR(__xludf.DUMMYFUNCTION("""COMPUTED_VALUE"""),"aurman")</f>
        <v>aurman</v>
      </c>
      <c r="D818" s="4" t="s">
        <v>1696</v>
      </c>
      <c r="E818" s="5">
        <v>43131.233206018522</v>
      </c>
      <c r="F818" s="5">
        <v>44287.202974537038</v>
      </c>
      <c r="G818" s="13">
        <f t="shared" si="72"/>
        <v>1155.9697685185165</v>
      </c>
      <c r="H818" s="6" t="b">
        <v>0</v>
      </c>
      <c r="I818" s="6" t="b">
        <v>0</v>
      </c>
      <c r="J818" s="8">
        <v>556</v>
      </c>
      <c r="K818" s="8">
        <v>24</v>
      </c>
      <c r="L818" s="8">
        <v>36</v>
      </c>
      <c r="M818" s="8">
        <v>0</v>
      </c>
      <c r="N818" s="8">
        <v>9</v>
      </c>
      <c r="O818" s="8">
        <v>12</v>
      </c>
      <c r="P818" s="8">
        <v>35</v>
      </c>
      <c r="Q818" s="8">
        <v>0</v>
      </c>
      <c r="R818" s="8">
        <v>237</v>
      </c>
      <c r="S818" s="8">
        <v>3</v>
      </c>
      <c r="T818" s="3" t="s">
        <v>72</v>
      </c>
      <c r="U818" s="10">
        <v>3132</v>
      </c>
      <c r="V818" s="32">
        <v>47</v>
      </c>
      <c r="W818" s="27">
        <v>1.5006385696040868E-2</v>
      </c>
      <c r="X818" s="34">
        <v>5</v>
      </c>
      <c r="Y818" s="27">
        <v>0.10638297872340426</v>
      </c>
      <c r="Z818" s="27">
        <v>1.5964240102171138E-3</v>
      </c>
      <c r="AA818" s="35">
        <v>1</v>
      </c>
      <c r="AB818" s="27">
        <v>2.1276595744680851E-2</v>
      </c>
      <c r="AC818" s="27">
        <f t="shared" si="73"/>
        <v>3.1928480204342275E-4</v>
      </c>
      <c r="AD818" s="36">
        <v>0</v>
      </c>
      <c r="AE818" s="27">
        <v>0</v>
      </c>
      <c r="AF818" s="27">
        <f t="shared" si="74"/>
        <v>0</v>
      </c>
      <c r="AG818" s="37">
        <v>41</v>
      </c>
      <c r="AH818" s="27">
        <v>0.87234042553191493</v>
      </c>
      <c r="AI818" s="27">
        <f t="shared" si="75"/>
        <v>1.3090676883780333E-2</v>
      </c>
      <c r="AJ818" s="38">
        <v>0</v>
      </c>
      <c r="AK818" s="27">
        <v>0</v>
      </c>
      <c r="AL818" s="27">
        <f t="shared" si="76"/>
        <v>0</v>
      </c>
      <c r="AM818" s="40">
        <v>0</v>
      </c>
      <c r="AN818" s="27">
        <v>0</v>
      </c>
      <c r="AO818" s="27">
        <f t="shared" si="77"/>
        <v>0</v>
      </c>
      <c r="AP818" s="7" t="b">
        <v>1</v>
      </c>
      <c r="AQ818" s="6" t="b">
        <v>0</v>
      </c>
      <c r="AR818" s="6" t="b">
        <v>0</v>
      </c>
      <c r="AS818" s="6" t="b">
        <v>0</v>
      </c>
      <c r="AT818" s="7" t="b">
        <v>1</v>
      </c>
      <c r="AU818" s="6" t="b">
        <v>0</v>
      </c>
      <c r="AV818" s="6" t="b">
        <v>0</v>
      </c>
      <c r="AW818" s="6" t="b">
        <v>0</v>
      </c>
      <c r="AX818" s="6" t="b">
        <v>0</v>
      </c>
      <c r="AY818" s="6" t="b">
        <v>0</v>
      </c>
      <c r="AZ818" s="6" t="b">
        <v>0</v>
      </c>
      <c r="BA818" s="6" t="b">
        <v>0</v>
      </c>
      <c r="BB818" s="6" t="b">
        <v>0</v>
      </c>
    </row>
    <row r="819" spans="1:54" ht="15" x14ac:dyDescent="0.25">
      <c r="A819" s="3" t="s">
        <v>1697</v>
      </c>
      <c r="B819" s="3" t="str">
        <f ca="1">IFERROR(__xludf.DUMMYFUNCTION("SPLIT(A819,""/"")"),"posativ")</f>
        <v>posativ</v>
      </c>
      <c r="C819" s="3" t="str">
        <f ca="1">IFERROR(__xludf.DUMMYFUNCTION("""COMPUTED_VALUE"""),"isso")</f>
        <v>isso</v>
      </c>
      <c r="D819" s="4" t="s">
        <v>1698</v>
      </c>
      <c r="E819" s="5">
        <v>41199.865798611114</v>
      </c>
      <c r="F819" s="5">
        <v>44295.129965277774</v>
      </c>
      <c r="G819" s="13">
        <f t="shared" si="72"/>
        <v>3095.2641666666605</v>
      </c>
      <c r="H819" s="6" t="b">
        <v>0</v>
      </c>
      <c r="I819" s="6" t="b">
        <v>0</v>
      </c>
      <c r="J819" s="8">
        <v>4341</v>
      </c>
      <c r="K819" s="8">
        <v>102</v>
      </c>
      <c r="L819" s="8">
        <v>370</v>
      </c>
      <c r="M819" s="8">
        <v>22</v>
      </c>
      <c r="N819" s="8">
        <v>20</v>
      </c>
      <c r="O819" s="8">
        <v>94</v>
      </c>
      <c r="P819" s="8">
        <v>271</v>
      </c>
      <c r="Q819" s="8">
        <v>21</v>
      </c>
      <c r="R819" s="8">
        <v>447</v>
      </c>
      <c r="S819" s="8">
        <v>151</v>
      </c>
      <c r="T819" s="3" t="s">
        <v>72</v>
      </c>
      <c r="U819" s="10">
        <v>3193</v>
      </c>
      <c r="V819" s="32">
        <v>27</v>
      </c>
      <c r="W819" s="27">
        <v>8.4559974945192604E-3</v>
      </c>
      <c r="X819" s="34">
        <v>2</v>
      </c>
      <c r="Y819" s="27">
        <v>7.407407407407407E-2</v>
      </c>
      <c r="Z819" s="27">
        <v>6.2637018477920453E-4</v>
      </c>
      <c r="AA819" s="35">
        <v>13</v>
      </c>
      <c r="AB819" s="27">
        <v>0.48148148148148145</v>
      </c>
      <c r="AC819" s="27">
        <f t="shared" si="73"/>
        <v>4.0714062010648294E-3</v>
      </c>
      <c r="AD819" s="36">
        <v>7</v>
      </c>
      <c r="AE819" s="27">
        <v>0.25925925925925924</v>
      </c>
      <c r="AF819" s="27">
        <f t="shared" si="74"/>
        <v>2.192295646727216E-3</v>
      </c>
      <c r="AG819" s="37">
        <v>3</v>
      </c>
      <c r="AH819" s="27">
        <v>0.1111111111111111</v>
      </c>
      <c r="AI819" s="27">
        <f t="shared" si="75"/>
        <v>9.395552771688068E-4</v>
      </c>
      <c r="AJ819" s="38">
        <v>2</v>
      </c>
      <c r="AK819" s="27">
        <v>7.407407407407407E-2</v>
      </c>
      <c r="AL819" s="27">
        <f t="shared" si="76"/>
        <v>6.2637018477920453E-4</v>
      </c>
      <c r="AM819" s="40">
        <v>0</v>
      </c>
      <c r="AN819" s="27">
        <v>0</v>
      </c>
      <c r="AO819" s="27">
        <f t="shared" si="77"/>
        <v>0</v>
      </c>
      <c r="AP819" s="7" t="b">
        <v>1</v>
      </c>
      <c r="AQ819" s="6" t="b">
        <v>0</v>
      </c>
      <c r="AR819" s="6" t="b">
        <v>0</v>
      </c>
      <c r="AS819" s="6" t="b">
        <v>0</v>
      </c>
      <c r="AT819" s="7" t="b">
        <v>1</v>
      </c>
      <c r="AU819" s="6" t="b">
        <v>0</v>
      </c>
      <c r="AV819" s="6" t="b">
        <v>0</v>
      </c>
      <c r="AW819" s="6" t="b">
        <v>0</v>
      </c>
      <c r="AX819" s="6" t="b">
        <v>0</v>
      </c>
      <c r="AY819" s="6" t="b">
        <v>0</v>
      </c>
      <c r="AZ819" s="6" t="b">
        <v>0</v>
      </c>
      <c r="BA819" s="6" t="b">
        <v>0</v>
      </c>
      <c r="BB819" s="6" t="b">
        <v>0</v>
      </c>
    </row>
    <row r="820" spans="1:54" ht="15" x14ac:dyDescent="0.25">
      <c r="A820" s="3" t="s">
        <v>1699</v>
      </c>
      <c r="B820" s="3" t="str">
        <f ca="1">IFERROR(__xludf.DUMMYFUNCTION("SPLIT(A820,""/"")"),"postgres")</f>
        <v>postgres</v>
      </c>
      <c r="C820" s="3" t="str">
        <f ca="1">IFERROR(__xludf.DUMMYFUNCTION("""COMPUTED_VALUE"""),"pgadmin4")</f>
        <v>pgadmin4</v>
      </c>
      <c r="D820" s="4" t="s">
        <v>1700</v>
      </c>
      <c r="E820" s="5">
        <v>42786.495983796296</v>
      </c>
      <c r="F820" s="5">
        <v>44294.556238425925</v>
      </c>
      <c r="G820" s="13">
        <f t="shared" si="72"/>
        <v>1508.0602546296286</v>
      </c>
      <c r="H820" s="6" t="b">
        <v>0</v>
      </c>
      <c r="I820" s="7" t="b">
        <v>1</v>
      </c>
      <c r="J820" s="8">
        <v>609</v>
      </c>
      <c r="K820" s="8">
        <v>26</v>
      </c>
      <c r="L820" s="8">
        <v>233</v>
      </c>
      <c r="M820" s="8">
        <v>0</v>
      </c>
      <c r="N820" s="8">
        <v>2</v>
      </c>
      <c r="O820" s="8">
        <v>80</v>
      </c>
      <c r="P820" s="8">
        <v>35</v>
      </c>
      <c r="Q820" s="8">
        <v>0</v>
      </c>
      <c r="R820" s="8">
        <v>0</v>
      </c>
      <c r="S820" s="8">
        <v>0</v>
      </c>
      <c r="T820" s="3" t="s">
        <v>92</v>
      </c>
      <c r="U820" s="10">
        <v>70519</v>
      </c>
      <c r="V820" s="32">
        <v>243</v>
      </c>
      <c r="W820" s="27">
        <v>3.4458798338036557E-3</v>
      </c>
      <c r="X820" s="34">
        <v>29</v>
      </c>
      <c r="Y820" s="27">
        <v>0.11934156378600823</v>
      </c>
      <c r="Z820" s="27">
        <v>4.1123668798479841E-4</v>
      </c>
      <c r="AA820" s="35">
        <v>18</v>
      </c>
      <c r="AB820" s="27">
        <v>7.407407407407407E-2</v>
      </c>
      <c r="AC820" s="27">
        <f t="shared" si="73"/>
        <v>2.5525035805953005E-4</v>
      </c>
      <c r="AD820" s="36">
        <v>11</v>
      </c>
      <c r="AE820" s="27">
        <v>4.5267489711934158E-2</v>
      </c>
      <c r="AF820" s="27">
        <f t="shared" si="74"/>
        <v>1.5598632992526836E-4</v>
      </c>
      <c r="AG820" s="37">
        <v>80</v>
      </c>
      <c r="AH820" s="27">
        <v>0.32921810699588477</v>
      </c>
      <c r="AI820" s="27">
        <f t="shared" si="75"/>
        <v>1.1344460358201336E-3</v>
      </c>
      <c r="AJ820" s="38">
        <v>0</v>
      </c>
      <c r="AK820" s="27">
        <v>0</v>
      </c>
      <c r="AL820" s="27">
        <f t="shared" si="76"/>
        <v>0</v>
      </c>
      <c r="AM820" s="40">
        <v>12</v>
      </c>
      <c r="AN820" s="27">
        <v>4.9382716049382713E-2</v>
      </c>
      <c r="AO820" s="27">
        <f t="shared" si="77"/>
        <v>1.7016690537302004E-4</v>
      </c>
      <c r="AP820" s="7" t="b">
        <v>1</v>
      </c>
      <c r="AQ820" s="6" t="b">
        <v>0</v>
      </c>
      <c r="AR820" s="6" t="b">
        <v>0</v>
      </c>
      <c r="AS820" s="6" t="b">
        <v>0</v>
      </c>
      <c r="AT820" s="7" t="b">
        <v>1</v>
      </c>
      <c r="AU820" s="6" t="b">
        <v>0</v>
      </c>
      <c r="AV820" s="6" t="b">
        <v>0</v>
      </c>
      <c r="AW820" s="6" t="b">
        <v>0</v>
      </c>
      <c r="AX820" s="6" t="b">
        <v>0</v>
      </c>
      <c r="AY820" s="6" t="b">
        <v>0</v>
      </c>
      <c r="AZ820" s="6" t="b">
        <v>0</v>
      </c>
      <c r="BA820" s="6" t="b">
        <v>0</v>
      </c>
      <c r="BB820" s="6" t="b">
        <v>0</v>
      </c>
    </row>
    <row r="821" spans="1:54" ht="15" x14ac:dyDescent="0.25">
      <c r="A821" s="3" t="s">
        <v>1701</v>
      </c>
      <c r="B821" s="3" t="str">
        <f ca="1">IFERROR(__xludf.DUMMYFUNCTION("SPLIT(A821,""/"")"),"PostHog")</f>
        <v>PostHog</v>
      </c>
      <c r="C821" s="3" t="str">
        <f ca="1">IFERROR(__xludf.DUMMYFUNCTION("""COMPUTED_VALUE"""),"posthog")</f>
        <v>posthog</v>
      </c>
      <c r="D821" s="4" t="s">
        <v>1702</v>
      </c>
      <c r="E821" s="5">
        <v>43853.949282407404</v>
      </c>
      <c r="F821" s="5">
        <v>44295.051018518519</v>
      </c>
      <c r="G821" s="13">
        <f t="shared" si="72"/>
        <v>441.10173611111531</v>
      </c>
      <c r="H821" s="6" t="b">
        <v>0</v>
      </c>
      <c r="I821" s="7" t="b">
        <v>1</v>
      </c>
      <c r="J821" s="8">
        <v>3989</v>
      </c>
      <c r="K821" s="8">
        <v>57</v>
      </c>
      <c r="L821" s="8">
        <v>293</v>
      </c>
      <c r="M821" s="8">
        <v>0</v>
      </c>
      <c r="N821" s="8">
        <v>6</v>
      </c>
      <c r="O821" s="8">
        <v>85</v>
      </c>
      <c r="P821" s="8">
        <v>2522</v>
      </c>
      <c r="Q821" s="8">
        <v>28</v>
      </c>
      <c r="R821" s="8">
        <v>1390</v>
      </c>
      <c r="S821" s="8">
        <v>493</v>
      </c>
      <c r="T821" s="3" t="s">
        <v>92</v>
      </c>
      <c r="U821" s="10">
        <v>24196</v>
      </c>
      <c r="V821" s="32">
        <v>9</v>
      </c>
      <c r="W821" s="27">
        <v>3.7196230781947427E-4</v>
      </c>
      <c r="X821" s="34">
        <v>0</v>
      </c>
      <c r="Y821" s="27">
        <v>0</v>
      </c>
      <c r="Z821" s="27">
        <v>0</v>
      </c>
      <c r="AA821" s="35">
        <v>7</v>
      </c>
      <c r="AB821" s="27">
        <v>0.77777777777777779</v>
      </c>
      <c r="AC821" s="27">
        <f t="shared" si="73"/>
        <v>2.8930401719292443E-4</v>
      </c>
      <c r="AD821" s="36">
        <v>2</v>
      </c>
      <c r="AE821" s="27">
        <v>0.22222222222222221</v>
      </c>
      <c r="AF821" s="27">
        <f t="shared" si="74"/>
        <v>8.2658290626549838E-5</v>
      </c>
      <c r="AG821" s="37">
        <v>0</v>
      </c>
      <c r="AH821" s="27">
        <v>0</v>
      </c>
      <c r="AI821" s="27">
        <f t="shared" si="75"/>
        <v>0</v>
      </c>
      <c r="AJ821" s="38">
        <v>0</v>
      </c>
      <c r="AK821" s="27">
        <v>0</v>
      </c>
      <c r="AL821" s="27">
        <f t="shared" si="76"/>
        <v>0</v>
      </c>
      <c r="AM821" s="40">
        <v>0</v>
      </c>
      <c r="AN821" s="27">
        <v>0</v>
      </c>
      <c r="AO821" s="27">
        <f t="shared" si="77"/>
        <v>0</v>
      </c>
      <c r="AP821" s="6" t="b">
        <v>0</v>
      </c>
      <c r="AQ821" s="7" t="b">
        <v>1</v>
      </c>
      <c r="AR821" s="6" t="b">
        <v>0</v>
      </c>
      <c r="AS821" s="6" t="b">
        <v>0</v>
      </c>
      <c r="AT821" s="7" t="b">
        <v>1</v>
      </c>
      <c r="AU821" s="6" t="b">
        <v>0</v>
      </c>
      <c r="AV821" s="6" t="b">
        <v>0</v>
      </c>
      <c r="AW821" s="6" t="b">
        <v>0</v>
      </c>
      <c r="AX821" s="6" t="b">
        <v>0</v>
      </c>
      <c r="AY821" s="6" t="b">
        <v>0</v>
      </c>
      <c r="AZ821" s="6" t="b">
        <v>0</v>
      </c>
      <c r="BA821" s="6" t="b">
        <v>0</v>
      </c>
      <c r="BB821" s="6" t="b">
        <v>0</v>
      </c>
    </row>
    <row r="822" spans="1:54" ht="15" x14ac:dyDescent="0.25">
      <c r="A822" s="3" t="s">
        <v>1703</v>
      </c>
      <c r="B822" s="3" t="str">
        <f ca="1">IFERROR(__xludf.DUMMYFUNCTION("SPLIT(A822,""/"")"),"powerfulseal")</f>
        <v>powerfulseal</v>
      </c>
      <c r="C822" s="3" t="str">
        <f ca="1">IFERROR(__xludf.DUMMYFUNCTION("""COMPUTED_VALUE"""),"powerfulseal")</f>
        <v>powerfulseal</v>
      </c>
      <c r="D822" s="4" t="s">
        <v>1704</v>
      </c>
      <c r="E822" s="5">
        <v>43074.780381944445</v>
      </c>
      <c r="F822" s="5">
        <v>44295.037835648145</v>
      </c>
      <c r="G822" s="13">
        <f t="shared" si="72"/>
        <v>1220.2574537036999</v>
      </c>
      <c r="H822" s="6" t="b">
        <v>0</v>
      </c>
      <c r="I822" s="7" t="b">
        <v>1</v>
      </c>
      <c r="J822" s="8">
        <v>1583</v>
      </c>
      <c r="K822" s="8">
        <v>47</v>
      </c>
      <c r="L822" s="8">
        <v>151</v>
      </c>
      <c r="M822" s="8">
        <v>35</v>
      </c>
      <c r="N822" s="8">
        <v>2</v>
      </c>
      <c r="O822" s="8">
        <v>29</v>
      </c>
      <c r="P822" s="8">
        <v>179</v>
      </c>
      <c r="Q822" s="8">
        <v>2</v>
      </c>
      <c r="R822" s="8">
        <v>147</v>
      </c>
      <c r="S822" s="8">
        <v>35</v>
      </c>
      <c r="T822" s="3" t="s">
        <v>69</v>
      </c>
      <c r="U822" s="10">
        <v>4212</v>
      </c>
      <c r="V822" s="32">
        <v>177</v>
      </c>
      <c r="W822" s="27">
        <v>4.2022792022792022E-2</v>
      </c>
      <c r="X822" s="34">
        <v>49</v>
      </c>
      <c r="Y822" s="27">
        <v>0.2768361581920904</v>
      </c>
      <c r="Z822" s="27">
        <v>1.1633428300094967E-2</v>
      </c>
      <c r="AA822" s="35">
        <v>67</v>
      </c>
      <c r="AB822" s="27">
        <v>0.37853107344632769</v>
      </c>
      <c r="AC822" s="27">
        <f t="shared" si="73"/>
        <v>1.590693257359924E-2</v>
      </c>
      <c r="AD822" s="36">
        <v>14</v>
      </c>
      <c r="AE822" s="27">
        <v>7.909604519774012E-2</v>
      </c>
      <c r="AF822" s="27">
        <f t="shared" si="74"/>
        <v>3.3238366571699905E-3</v>
      </c>
      <c r="AG822" s="37">
        <v>33</v>
      </c>
      <c r="AH822" s="27">
        <v>0.1864406779661017</v>
      </c>
      <c r="AI822" s="27">
        <f t="shared" si="75"/>
        <v>7.8347578347578353E-3</v>
      </c>
      <c r="AJ822" s="38">
        <v>0</v>
      </c>
      <c r="AK822" s="27">
        <v>0</v>
      </c>
      <c r="AL822" s="27">
        <f t="shared" si="76"/>
        <v>0</v>
      </c>
      <c r="AM822" s="40">
        <v>0</v>
      </c>
      <c r="AN822" s="27">
        <v>0</v>
      </c>
      <c r="AO822" s="27">
        <f t="shared" si="77"/>
        <v>0</v>
      </c>
      <c r="AP822" s="7" t="b">
        <v>1</v>
      </c>
      <c r="AQ822" s="6" t="b">
        <v>0</v>
      </c>
      <c r="AR822" s="6" t="b">
        <v>0</v>
      </c>
      <c r="AS822" s="6" t="b">
        <v>0</v>
      </c>
      <c r="AT822" s="7" t="b">
        <v>1</v>
      </c>
      <c r="AU822" s="6" t="b">
        <v>0</v>
      </c>
      <c r="AV822" s="6" t="b">
        <v>0</v>
      </c>
      <c r="AW822" s="6" t="b">
        <v>0</v>
      </c>
      <c r="AX822" s="6" t="b">
        <v>0</v>
      </c>
      <c r="AY822" s="6" t="b">
        <v>0</v>
      </c>
      <c r="AZ822" s="6" t="b">
        <v>0</v>
      </c>
      <c r="BA822" s="6" t="b">
        <v>0</v>
      </c>
      <c r="BB822" s="6" t="b">
        <v>0</v>
      </c>
    </row>
    <row r="823" spans="1:54" ht="15" x14ac:dyDescent="0.25">
      <c r="A823" s="3" t="s">
        <v>1705</v>
      </c>
      <c r="B823" s="3" t="str">
        <f ca="1">IFERROR(__xludf.DUMMYFUNCTION("SPLIT(A823,""/"")"),"pprp")</f>
        <v>pprp</v>
      </c>
      <c r="C823" s="3" t="str">
        <f ca="1">IFERROR(__xludf.DUMMYFUNCTION("""COMPUTED_VALUE"""),"SimpleCVReproduction")</f>
        <v>SimpleCVReproduction</v>
      </c>
      <c r="D823" s="4" t="s">
        <v>1706</v>
      </c>
      <c r="E823" s="5">
        <v>43810.517430555556</v>
      </c>
      <c r="F823" s="5">
        <v>44295.019224537034</v>
      </c>
      <c r="G823" s="13">
        <f t="shared" si="72"/>
        <v>484.50179398147884</v>
      </c>
      <c r="H823" s="6" t="b">
        <v>0</v>
      </c>
      <c r="I823" s="6" t="b">
        <v>0</v>
      </c>
      <c r="J823" s="8">
        <v>617</v>
      </c>
      <c r="K823" s="8">
        <v>21</v>
      </c>
      <c r="L823" s="8">
        <v>176</v>
      </c>
      <c r="M823" s="8">
        <v>0</v>
      </c>
      <c r="N823" s="8">
        <v>0</v>
      </c>
      <c r="O823" s="9">
        <v>0</v>
      </c>
      <c r="P823" s="8">
        <v>3</v>
      </c>
      <c r="Q823" s="8">
        <v>0</v>
      </c>
      <c r="R823" s="8">
        <v>14</v>
      </c>
      <c r="S823" s="8">
        <v>5</v>
      </c>
      <c r="T823" s="3" t="s">
        <v>69</v>
      </c>
      <c r="U823" s="10">
        <v>118860</v>
      </c>
      <c r="V823" s="32">
        <v>1648</v>
      </c>
      <c r="W823" s="27">
        <v>1.386505132088171E-2</v>
      </c>
      <c r="X823" s="34">
        <v>325</v>
      </c>
      <c r="Y823" s="27">
        <v>0.19720873786407767</v>
      </c>
      <c r="Z823" s="27">
        <v>2.7343092714117449E-3</v>
      </c>
      <c r="AA823" s="35">
        <v>689</v>
      </c>
      <c r="AB823" s="27">
        <v>0.41808252427184467</v>
      </c>
      <c r="AC823" s="27">
        <f t="shared" si="73"/>
        <v>5.7967356553928996E-3</v>
      </c>
      <c r="AD823" s="36">
        <v>83</v>
      </c>
      <c r="AE823" s="27">
        <v>5.0364077669902911E-2</v>
      </c>
      <c r="AF823" s="27">
        <f t="shared" si="74"/>
        <v>6.9830052162207638E-4</v>
      </c>
      <c r="AG823" s="37">
        <v>66</v>
      </c>
      <c r="AH823" s="27">
        <v>4.0048543689320391E-2</v>
      </c>
      <c r="AI823" s="27">
        <f t="shared" si="75"/>
        <v>5.5527511357900052E-4</v>
      </c>
      <c r="AJ823" s="38">
        <v>20</v>
      </c>
      <c r="AK823" s="27">
        <v>1.2135922330097087E-2</v>
      </c>
      <c r="AL823" s="27">
        <f t="shared" si="76"/>
        <v>1.6826518593303046E-4</v>
      </c>
      <c r="AM823" s="40">
        <v>463</v>
      </c>
      <c r="AN823" s="27">
        <v>0.28094660194174759</v>
      </c>
      <c r="AO823" s="27">
        <f t="shared" si="77"/>
        <v>3.8953390543496553E-3</v>
      </c>
      <c r="AP823" s="7" t="b">
        <v>1</v>
      </c>
      <c r="AQ823" s="6" t="b">
        <v>0</v>
      </c>
      <c r="AR823" s="6" t="b">
        <v>0</v>
      </c>
      <c r="AS823" s="6" t="b">
        <v>0</v>
      </c>
      <c r="AT823" s="7" t="b">
        <v>1</v>
      </c>
      <c r="AU823" s="6" t="b">
        <v>0</v>
      </c>
      <c r="AV823" s="6" t="b">
        <v>0</v>
      </c>
      <c r="AW823" s="6" t="b">
        <v>0</v>
      </c>
      <c r="AX823" s="6" t="b">
        <v>0</v>
      </c>
      <c r="AY823" s="6" t="b">
        <v>0</v>
      </c>
      <c r="AZ823" s="6" t="b">
        <v>0</v>
      </c>
      <c r="BA823" s="6" t="b">
        <v>0</v>
      </c>
      <c r="BB823" s="6" t="b">
        <v>0</v>
      </c>
    </row>
    <row r="824" spans="1:54" ht="15" x14ac:dyDescent="0.25">
      <c r="A824" s="3" t="s">
        <v>1707</v>
      </c>
      <c r="B824" s="3" t="str">
        <f ca="1">IFERROR(__xludf.DUMMYFUNCTION("SPLIT(A824,""/"")"),"praekeltfoundation")</f>
        <v>praekeltfoundation</v>
      </c>
      <c r="C824" s="3" t="str">
        <f ca="1">IFERROR(__xludf.DUMMYFUNCTION("""COMPUTED_VALUE"""),"vumi")</f>
        <v>vumi</v>
      </c>
      <c r="D824" s="4" t="s">
        <v>1708</v>
      </c>
      <c r="E824" s="5">
        <v>40497.481979166667</v>
      </c>
      <c r="F824" s="5">
        <v>44291.724722222221</v>
      </c>
      <c r="G824" s="13">
        <f t="shared" si="72"/>
        <v>3794.2427430555545</v>
      </c>
      <c r="H824" s="6" t="b">
        <v>0</v>
      </c>
      <c r="I824" s="7" t="b">
        <v>1</v>
      </c>
      <c r="J824" s="8">
        <v>374</v>
      </c>
      <c r="K824" s="8">
        <v>66</v>
      </c>
      <c r="L824" s="8">
        <v>117</v>
      </c>
      <c r="M824" s="8">
        <v>1</v>
      </c>
      <c r="N824" s="8">
        <v>134</v>
      </c>
      <c r="O824" s="8">
        <v>27</v>
      </c>
      <c r="P824" s="8">
        <v>834</v>
      </c>
      <c r="Q824" s="8">
        <v>13</v>
      </c>
      <c r="R824" s="8">
        <v>242</v>
      </c>
      <c r="S824" s="8">
        <v>88</v>
      </c>
      <c r="T824" s="3" t="s">
        <v>92</v>
      </c>
      <c r="U824" s="10">
        <v>49385</v>
      </c>
      <c r="V824" s="32">
        <v>125</v>
      </c>
      <c r="W824" s="27">
        <v>2.5311329351017514E-3</v>
      </c>
      <c r="X824" s="34">
        <v>26</v>
      </c>
      <c r="Y824" s="27">
        <v>0.20799999999999999</v>
      </c>
      <c r="Z824" s="27">
        <v>5.2647565050116432E-4</v>
      </c>
      <c r="AA824" s="35">
        <v>17</v>
      </c>
      <c r="AB824" s="27">
        <v>0.13600000000000001</v>
      </c>
      <c r="AC824" s="27">
        <f t="shared" si="73"/>
        <v>3.4423407917383823E-4</v>
      </c>
      <c r="AD824" s="36">
        <v>60</v>
      </c>
      <c r="AE824" s="27">
        <v>0.48</v>
      </c>
      <c r="AF824" s="27">
        <f t="shared" si="74"/>
        <v>1.2149438088488408E-3</v>
      </c>
      <c r="AG824" s="37">
        <v>23</v>
      </c>
      <c r="AH824" s="27">
        <v>0.184</v>
      </c>
      <c r="AI824" s="27">
        <f t="shared" si="75"/>
        <v>4.6572846005872229E-4</v>
      </c>
      <c r="AJ824" s="38">
        <v>0</v>
      </c>
      <c r="AK824" s="27">
        <v>0</v>
      </c>
      <c r="AL824" s="27">
        <f t="shared" si="76"/>
        <v>0</v>
      </c>
      <c r="AM824" s="40">
        <v>0</v>
      </c>
      <c r="AN824" s="27">
        <v>0</v>
      </c>
      <c r="AO824" s="27">
        <f t="shared" si="77"/>
        <v>0</v>
      </c>
      <c r="AP824" s="7" t="b">
        <v>1</v>
      </c>
      <c r="AQ824" s="6" t="b">
        <v>0</v>
      </c>
      <c r="AR824" s="6" t="b">
        <v>0</v>
      </c>
      <c r="AS824" s="6" t="b">
        <v>0</v>
      </c>
      <c r="AT824" s="7" t="b">
        <v>1</v>
      </c>
      <c r="AU824" s="6" t="b">
        <v>0</v>
      </c>
      <c r="AV824" s="6" t="b">
        <v>0</v>
      </c>
      <c r="AW824" s="6" t="b">
        <v>0</v>
      </c>
      <c r="AX824" s="6" t="b">
        <v>0</v>
      </c>
      <c r="AY824" s="6" t="b">
        <v>0</v>
      </c>
      <c r="AZ824" s="6" t="b">
        <v>0</v>
      </c>
      <c r="BA824" s="6" t="b">
        <v>0</v>
      </c>
      <c r="BB824" s="6" t="b">
        <v>0</v>
      </c>
    </row>
    <row r="825" spans="1:54" ht="15" x14ac:dyDescent="0.25">
      <c r="A825" s="3" t="s">
        <v>1709</v>
      </c>
      <c r="B825" s="3" t="str">
        <f ca="1">IFERROR(__xludf.DUMMYFUNCTION("SPLIT(A825,""/"")"),"praveendath92")</f>
        <v>praveendath92</v>
      </c>
      <c r="C825" s="3" t="str">
        <f ca="1">IFERROR(__xludf.DUMMYFUNCTION("""COMPUTED_VALUE"""),"fitbit-googlefit")</f>
        <v>fitbit-googlefit</v>
      </c>
      <c r="D825" s="4" t="s">
        <v>1710</v>
      </c>
      <c r="E825" s="5">
        <v>42595.531087962961</v>
      </c>
      <c r="F825" s="5">
        <v>44294.623865740738</v>
      </c>
      <c r="G825" s="13">
        <f t="shared" si="72"/>
        <v>1699.0927777777761</v>
      </c>
      <c r="H825" s="6" t="b">
        <v>0</v>
      </c>
      <c r="I825" s="6" t="b">
        <v>0</v>
      </c>
      <c r="J825" s="8">
        <v>412</v>
      </c>
      <c r="K825" s="8">
        <v>25</v>
      </c>
      <c r="L825" s="8">
        <v>61</v>
      </c>
      <c r="M825" s="8">
        <v>0</v>
      </c>
      <c r="N825" s="8">
        <v>2</v>
      </c>
      <c r="O825" s="8">
        <v>10</v>
      </c>
      <c r="P825" s="8">
        <v>25</v>
      </c>
      <c r="Q825" s="8">
        <v>1</v>
      </c>
      <c r="R825" s="8">
        <v>55</v>
      </c>
      <c r="S825" s="8">
        <v>15</v>
      </c>
      <c r="T825" s="3" t="s">
        <v>49</v>
      </c>
      <c r="U825" s="10">
        <v>567</v>
      </c>
      <c r="V825" s="32">
        <v>4</v>
      </c>
      <c r="W825" s="27">
        <v>7.0546737213403876E-3</v>
      </c>
      <c r="X825" s="34">
        <v>4</v>
      </c>
      <c r="Y825" s="27">
        <v>1</v>
      </c>
      <c r="Z825" s="27">
        <v>7.0546737213403876E-3</v>
      </c>
      <c r="AA825" s="35">
        <v>0</v>
      </c>
      <c r="AB825" s="27">
        <v>0</v>
      </c>
      <c r="AC825" s="27">
        <f t="shared" si="73"/>
        <v>0</v>
      </c>
      <c r="AD825" s="36">
        <v>0</v>
      </c>
      <c r="AE825" s="27">
        <v>0</v>
      </c>
      <c r="AF825" s="27">
        <f t="shared" si="74"/>
        <v>0</v>
      </c>
      <c r="AG825" s="37">
        <v>0</v>
      </c>
      <c r="AH825" s="27">
        <v>0</v>
      </c>
      <c r="AI825" s="27">
        <f t="shared" si="75"/>
        <v>0</v>
      </c>
      <c r="AJ825" s="38">
        <v>0</v>
      </c>
      <c r="AK825" s="27">
        <v>0</v>
      </c>
      <c r="AL825" s="27">
        <f t="shared" si="76"/>
        <v>0</v>
      </c>
      <c r="AM825" s="40">
        <v>0</v>
      </c>
      <c r="AN825" s="27">
        <v>0</v>
      </c>
      <c r="AO825" s="27">
        <f t="shared" si="77"/>
        <v>0</v>
      </c>
      <c r="AP825" s="7" t="b">
        <v>1</v>
      </c>
      <c r="AQ825" s="6" t="b">
        <v>0</v>
      </c>
      <c r="AR825" s="6" t="b">
        <v>0</v>
      </c>
      <c r="AS825" s="6" t="b">
        <v>0</v>
      </c>
      <c r="AT825" s="7" t="b">
        <v>1</v>
      </c>
      <c r="AU825" s="6" t="b">
        <v>0</v>
      </c>
      <c r="AV825" s="6" t="b">
        <v>0</v>
      </c>
      <c r="AW825" s="6" t="b">
        <v>0</v>
      </c>
      <c r="AX825" s="6" t="b">
        <v>0</v>
      </c>
      <c r="AY825" s="6" t="b">
        <v>0</v>
      </c>
      <c r="AZ825" s="6" t="b">
        <v>0</v>
      </c>
      <c r="BA825" s="6" t="b">
        <v>0</v>
      </c>
      <c r="BB825" s="6" t="b">
        <v>0</v>
      </c>
    </row>
    <row r="826" spans="1:54" ht="15" x14ac:dyDescent="0.25">
      <c r="A826" s="3" t="s">
        <v>1711</v>
      </c>
      <c r="B826" s="3" t="str">
        <f ca="1">IFERROR(__xludf.DUMMYFUNCTION("SPLIT(A826,""/"")"),"pre-commit")</f>
        <v>pre-commit</v>
      </c>
      <c r="C826" s="3" t="str">
        <f ca="1">IFERROR(__xludf.DUMMYFUNCTION("""COMPUTED_VALUE"""),"pre-commit")</f>
        <v>pre-commit</v>
      </c>
      <c r="D826" s="4" t="s">
        <v>1712</v>
      </c>
      <c r="E826" s="5">
        <v>41711.02752314815</v>
      </c>
      <c r="F826" s="5">
        <v>44295.131249999999</v>
      </c>
      <c r="G826" s="13">
        <f t="shared" si="72"/>
        <v>2584.1037268518485</v>
      </c>
      <c r="H826" s="6" t="b">
        <v>0</v>
      </c>
      <c r="I826" s="7" t="b">
        <v>1</v>
      </c>
      <c r="J826" s="8">
        <v>5775</v>
      </c>
      <c r="K826" s="8">
        <v>70</v>
      </c>
      <c r="L826" s="8">
        <v>389</v>
      </c>
      <c r="M826" s="8">
        <v>74</v>
      </c>
      <c r="N826" s="8">
        <v>19</v>
      </c>
      <c r="O826" s="8">
        <v>99</v>
      </c>
      <c r="P826" s="8">
        <v>754</v>
      </c>
      <c r="Q826" s="8">
        <v>5</v>
      </c>
      <c r="R826" s="8">
        <v>1093</v>
      </c>
      <c r="S826" s="8">
        <v>20</v>
      </c>
      <c r="T826" s="3" t="s">
        <v>72</v>
      </c>
      <c r="U826" s="10">
        <v>7961</v>
      </c>
      <c r="V826" s="32">
        <v>31</v>
      </c>
      <c r="W826" s="27">
        <v>3.8939831679437255E-3</v>
      </c>
      <c r="X826" s="34">
        <v>0</v>
      </c>
      <c r="Y826" s="27">
        <v>0</v>
      </c>
      <c r="Z826" s="27">
        <v>0</v>
      </c>
      <c r="AA826" s="35">
        <v>8</v>
      </c>
      <c r="AB826" s="27">
        <v>0.25806451612903225</v>
      </c>
      <c r="AC826" s="27">
        <f t="shared" si="73"/>
        <v>1.0048988820499938E-3</v>
      </c>
      <c r="AD826" s="36">
        <v>14</v>
      </c>
      <c r="AE826" s="27">
        <v>0.45161290322580644</v>
      </c>
      <c r="AF826" s="27">
        <f t="shared" si="74"/>
        <v>1.7585730435874889E-3</v>
      </c>
      <c r="AG826" s="37">
        <v>9</v>
      </c>
      <c r="AH826" s="27">
        <v>0.29032258064516131</v>
      </c>
      <c r="AI826" s="27">
        <f t="shared" si="75"/>
        <v>1.1305112423062428E-3</v>
      </c>
      <c r="AJ826" s="38">
        <v>0</v>
      </c>
      <c r="AK826" s="27">
        <v>0</v>
      </c>
      <c r="AL826" s="27">
        <f t="shared" si="76"/>
        <v>0</v>
      </c>
      <c r="AM826" s="40">
        <v>0</v>
      </c>
      <c r="AN826" s="27">
        <v>0</v>
      </c>
      <c r="AO826" s="27">
        <f t="shared" si="77"/>
        <v>0</v>
      </c>
      <c r="AP826" s="7" t="b">
        <v>1</v>
      </c>
      <c r="AQ826" s="6" t="b">
        <v>0</v>
      </c>
      <c r="AR826" s="6" t="b">
        <v>0</v>
      </c>
      <c r="AS826" s="6" t="b">
        <v>0</v>
      </c>
      <c r="AT826" s="7" t="b">
        <v>1</v>
      </c>
      <c r="AU826" s="6" t="b">
        <v>0</v>
      </c>
      <c r="AV826" s="6" t="b">
        <v>0</v>
      </c>
      <c r="AW826" s="6" t="b">
        <v>0</v>
      </c>
      <c r="AX826" s="6" t="b">
        <v>0</v>
      </c>
      <c r="AY826" s="6" t="b">
        <v>0</v>
      </c>
      <c r="AZ826" s="6" t="b">
        <v>0</v>
      </c>
      <c r="BA826" s="6" t="b">
        <v>0</v>
      </c>
      <c r="BB826" s="6" t="b">
        <v>0</v>
      </c>
    </row>
    <row r="827" spans="1:54" ht="15" x14ac:dyDescent="0.25">
      <c r="A827" s="3" t="s">
        <v>1713</v>
      </c>
      <c r="B827" s="3" t="str">
        <f ca="1">IFERROR(__xludf.DUMMYFUNCTION("SPLIT(A827,""/"")"),"PrefectHQ")</f>
        <v>PrefectHQ</v>
      </c>
      <c r="C827" s="3" t="str">
        <f ca="1">IFERROR(__xludf.DUMMYFUNCTION("""COMPUTED_VALUE"""),"prefect")</f>
        <v>prefect</v>
      </c>
      <c r="D827" s="4" t="s">
        <v>1714</v>
      </c>
      <c r="E827" s="5">
        <v>43280.916273148148</v>
      </c>
      <c r="F827" s="5">
        <v>44294.926608796297</v>
      </c>
      <c r="G827" s="13">
        <f t="shared" si="72"/>
        <v>1014.0103356481486</v>
      </c>
      <c r="H827" s="6" t="b">
        <v>0</v>
      </c>
      <c r="I827" s="7" t="b">
        <v>1</v>
      </c>
      <c r="J827" s="8">
        <v>6089</v>
      </c>
      <c r="K827" s="8">
        <v>137</v>
      </c>
      <c r="L827" s="8">
        <v>541</v>
      </c>
      <c r="M827" s="8">
        <v>92</v>
      </c>
      <c r="N827" s="8">
        <v>11</v>
      </c>
      <c r="O827" s="8">
        <v>173</v>
      </c>
      <c r="P827" s="8">
        <v>2497</v>
      </c>
      <c r="Q827" s="8">
        <v>31</v>
      </c>
      <c r="R827" s="8">
        <v>1649</v>
      </c>
      <c r="S827" s="8">
        <v>254</v>
      </c>
      <c r="T827" s="3" t="s">
        <v>69</v>
      </c>
      <c r="U827" s="10">
        <v>48849</v>
      </c>
      <c r="V827" s="32">
        <v>456</v>
      </c>
      <c r="W827" s="27">
        <v>9.3348891481913644E-3</v>
      </c>
      <c r="X827" s="34">
        <v>201</v>
      </c>
      <c r="Y827" s="27">
        <v>0.44078947368421051</v>
      </c>
      <c r="Z827" s="27">
        <v>4.1147208745317201E-3</v>
      </c>
      <c r="AA827" s="35">
        <v>104</v>
      </c>
      <c r="AB827" s="27">
        <v>0.22807017543859648</v>
      </c>
      <c r="AC827" s="27">
        <f t="shared" si="73"/>
        <v>2.1290098057278554E-3</v>
      </c>
      <c r="AD827" s="36">
        <v>67</v>
      </c>
      <c r="AE827" s="27">
        <v>0.14692982456140352</v>
      </c>
      <c r="AF827" s="27">
        <f t="shared" si="74"/>
        <v>1.3715736248439067E-3</v>
      </c>
      <c r="AG827" s="37">
        <v>73</v>
      </c>
      <c r="AH827" s="27">
        <v>0.16008771929824561</v>
      </c>
      <c r="AI827" s="27">
        <f t="shared" si="75"/>
        <v>1.4944011136358985E-3</v>
      </c>
      <c r="AJ827" s="38">
        <v>10</v>
      </c>
      <c r="AK827" s="27">
        <v>2.1929824561403508E-2</v>
      </c>
      <c r="AL827" s="27">
        <f t="shared" si="76"/>
        <v>2.0471248131998608E-4</v>
      </c>
      <c r="AM827" s="40">
        <v>0</v>
      </c>
      <c r="AN827" s="27">
        <v>0</v>
      </c>
      <c r="AO827" s="27">
        <f t="shared" si="77"/>
        <v>0</v>
      </c>
      <c r="AP827" s="7" t="b">
        <v>1</v>
      </c>
      <c r="AQ827" s="7" t="b">
        <v>1</v>
      </c>
      <c r="AR827" s="6" t="b">
        <v>0</v>
      </c>
      <c r="AS827" s="6" t="b">
        <v>0</v>
      </c>
      <c r="AT827" s="7" t="b">
        <v>1</v>
      </c>
      <c r="AU827" s="6" t="b">
        <v>0</v>
      </c>
      <c r="AV827" s="6" t="b">
        <v>0</v>
      </c>
      <c r="AW827" s="6" t="b">
        <v>0</v>
      </c>
      <c r="AX827" s="6" t="b">
        <v>0</v>
      </c>
      <c r="AY827" s="6" t="b">
        <v>0</v>
      </c>
      <c r="AZ827" s="6" t="b">
        <v>0</v>
      </c>
      <c r="BA827" s="6" t="b">
        <v>0</v>
      </c>
      <c r="BB827" s="6" t="b">
        <v>0</v>
      </c>
    </row>
    <row r="828" spans="1:54" ht="15" x14ac:dyDescent="0.25">
      <c r="A828" s="3" t="s">
        <v>1715</v>
      </c>
      <c r="B828" s="3" t="str">
        <f ca="1">IFERROR(__xludf.DUMMYFUNCTION("SPLIT(A828,""/"")"),"pretix")</f>
        <v>pretix</v>
      </c>
      <c r="C828" s="3" t="str">
        <f ca="1">IFERROR(__xludf.DUMMYFUNCTION("""COMPUTED_VALUE"""),"pretix")</f>
        <v>pretix</v>
      </c>
      <c r="D828" s="4" t="s">
        <v>1716</v>
      </c>
      <c r="E828" s="5">
        <v>41890.549050925925</v>
      </c>
      <c r="F828" s="5">
        <v>44294.837418981479</v>
      </c>
      <c r="G828" s="13">
        <f t="shared" si="72"/>
        <v>2404.2883680555533</v>
      </c>
      <c r="H828" s="6" t="b">
        <v>0</v>
      </c>
      <c r="I828" s="7" t="b">
        <v>1</v>
      </c>
      <c r="J828" s="8">
        <v>1043</v>
      </c>
      <c r="K828" s="8">
        <v>42</v>
      </c>
      <c r="L828" s="8">
        <v>295</v>
      </c>
      <c r="M828" s="8">
        <v>0</v>
      </c>
      <c r="N828" s="8">
        <v>40</v>
      </c>
      <c r="O828" s="8">
        <v>163</v>
      </c>
      <c r="P828" s="8">
        <v>978</v>
      </c>
      <c r="Q828" s="8">
        <v>14</v>
      </c>
      <c r="R828" s="8">
        <v>992</v>
      </c>
      <c r="S828" s="8">
        <v>112</v>
      </c>
      <c r="T828" s="3" t="s">
        <v>92</v>
      </c>
      <c r="U828" s="10">
        <v>80156</v>
      </c>
      <c r="V828" s="32">
        <v>437</v>
      </c>
      <c r="W828" s="27">
        <v>5.4518688557313238E-3</v>
      </c>
      <c r="X828" s="34">
        <v>1</v>
      </c>
      <c r="Y828" s="27">
        <v>2.2883295194508009E-3</v>
      </c>
      <c r="Z828" s="27">
        <v>1.2475672438744449E-5</v>
      </c>
      <c r="AA828" s="35">
        <v>15</v>
      </c>
      <c r="AB828" s="27">
        <v>3.4324942791762014E-2</v>
      </c>
      <c r="AC828" s="27">
        <f t="shared" si="73"/>
        <v>1.8713508658116672E-4</v>
      </c>
      <c r="AD828" s="36">
        <v>40</v>
      </c>
      <c r="AE828" s="27">
        <v>9.1533180778032033E-2</v>
      </c>
      <c r="AF828" s="27">
        <f t="shared" si="74"/>
        <v>4.9902689754977795E-4</v>
      </c>
      <c r="AG828" s="37">
        <v>381</v>
      </c>
      <c r="AH828" s="27">
        <v>0.87185354691075512</v>
      </c>
      <c r="AI828" s="27">
        <f t="shared" si="75"/>
        <v>4.7532311991616352E-3</v>
      </c>
      <c r="AJ828" s="38">
        <v>0</v>
      </c>
      <c r="AK828" s="27">
        <v>0</v>
      </c>
      <c r="AL828" s="27">
        <f t="shared" si="76"/>
        <v>0</v>
      </c>
      <c r="AM828" s="40">
        <v>0</v>
      </c>
      <c r="AN828" s="27">
        <v>0</v>
      </c>
      <c r="AO828" s="27">
        <f t="shared" si="77"/>
        <v>0</v>
      </c>
      <c r="AP828" s="7" t="b">
        <v>1</v>
      </c>
      <c r="AQ828" s="6" t="b">
        <v>0</v>
      </c>
      <c r="AR828" s="6" t="b">
        <v>0</v>
      </c>
      <c r="AS828" s="6" t="b">
        <v>0</v>
      </c>
      <c r="AT828" s="7" t="b">
        <v>1</v>
      </c>
      <c r="AU828" s="6" t="b">
        <v>0</v>
      </c>
      <c r="AV828" s="6" t="b">
        <v>0</v>
      </c>
      <c r="AW828" s="6" t="b">
        <v>0</v>
      </c>
      <c r="AX828" s="6" t="b">
        <v>0</v>
      </c>
      <c r="AY828" s="6" t="b">
        <v>0</v>
      </c>
      <c r="AZ828" s="6" t="b">
        <v>0</v>
      </c>
      <c r="BA828" s="6" t="b">
        <v>0</v>
      </c>
      <c r="BB828" s="6" t="b">
        <v>0</v>
      </c>
    </row>
    <row r="829" spans="1:54" ht="15" x14ac:dyDescent="0.25">
      <c r="A829" s="3" t="s">
        <v>1717</v>
      </c>
      <c r="B829" s="3" t="str">
        <f ca="1">IFERROR(__xludf.DUMMYFUNCTION("SPLIT(A829,""/"")"),"pricingassistant")</f>
        <v>pricingassistant</v>
      </c>
      <c r="C829" s="3" t="str">
        <f ca="1">IFERROR(__xludf.DUMMYFUNCTION("""COMPUTED_VALUE"""),"mrq")</f>
        <v>mrq</v>
      </c>
      <c r="D829" s="4" t="s">
        <v>1718</v>
      </c>
      <c r="E829" s="5">
        <v>41683.397685185184</v>
      </c>
      <c r="F829" s="5">
        <v>44283.62395833333</v>
      </c>
      <c r="G829" s="13">
        <f t="shared" si="72"/>
        <v>2600.226273148146</v>
      </c>
      <c r="H829" s="6" t="b">
        <v>0</v>
      </c>
      <c r="I829" s="7" t="b">
        <v>1</v>
      </c>
      <c r="J829" s="8">
        <v>840</v>
      </c>
      <c r="K829" s="8">
        <v>66</v>
      </c>
      <c r="L829" s="8">
        <v>111</v>
      </c>
      <c r="M829" s="8">
        <v>5</v>
      </c>
      <c r="N829" s="8">
        <v>19</v>
      </c>
      <c r="O829" s="8">
        <v>33</v>
      </c>
      <c r="P829" s="8">
        <v>63</v>
      </c>
      <c r="Q829" s="8">
        <v>7</v>
      </c>
      <c r="R829" s="8">
        <v>171</v>
      </c>
      <c r="S829" s="8">
        <v>52</v>
      </c>
      <c r="T829" s="3" t="s">
        <v>72</v>
      </c>
      <c r="U829" s="10">
        <v>106224</v>
      </c>
      <c r="V829" s="32">
        <v>70</v>
      </c>
      <c r="W829" s="27">
        <v>6.5898478686549175E-4</v>
      </c>
      <c r="X829" s="34">
        <v>25</v>
      </c>
      <c r="Y829" s="27">
        <v>0.35714285714285715</v>
      </c>
      <c r="Z829" s="27">
        <v>2.353517095948185E-4</v>
      </c>
      <c r="AA829" s="35">
        <v>24</v>
      </c>
      <c r="AB829" s="27">
        <v>0.34285714285714286</v>
      </c>
      <c r="AC829" s="27">
        <f t="shared" si="73"/>
        <v>2.2593764121102577E-4</v>
      </c>
      <c r="AD829" s="36">
        <v>5</v>
      </c>
      <c r="AE829" s="27">
        <v>7.1428571428571425E-2</v>
      </c>
      <c r="AF829" s="27">
        <f t="shared" si="74"/>
        <v>4.7070341918963698E-5</v>
      </c>
      <c r="AG829" s="37">
        <v>16</v>
      </c>
      <c r="AH829" s="27">
        <v>0.22857142857142856</v>
      </c>
      <c r="AI829" s="27">
        <f t="shared" si="75"/>
        <v>1.5062509414068384E-4</v>
      </c>
      <c r="AJ829" s="38">
        <v>0</v>
      </c>
      <c r="AK829" s="27">
        <v>0</v>
      </c>
      <c r="AL829" s="27">
        <f t="shared" si="76"/>
        <v>0</v>
      </c>
      <c r="AM829" s="40">
        <v>0</v>
      </c>
      <c r="AN829" s="27">
        <v>0</v>
      </c>
      <c r="AO829" s="27">
        <f t="shared" si="77"/>
        <v>0</v>
      </c>
      <c r="AP829" s="7" t="b">
        <v>1</v>
      </c>
      <c r="AQ829" s="6" t="b">
        <v>0</v>
      </c>
      <c r="AR829" s="6" t="b">
        <v>0</v>
      </c>
      <c r="AS829" s="6" t="b">
        <v>0</v>
      </c>
      <c r="AT829" s="7" t="b">
        <v>1</v>
      </c>
      <c r="AU829" s="6" t="b">
        <v>0</v>
      </c>
      <c r="AV829" s="6" t="b">
        <v>0</v>
      </c>
      <c r="AW829" s="6" t="b">
        <v>0</v>
      </c>
      <c r="AX829" s="6" t="b">
        <v>0</v>
      </c>
      <c r="AY829" s="6" t="b">
        <v>0</v>
      </c>
      <c r="AZ829" s="6" t="b">
        <v>0</v>
      </c>
      <c r="BA829" s="6" t="b">
        <v>0</v>
      </c>
      <c r="BB829" s="6" t="b">
        <v>0</v>
      </c>
    </row>
    <row r="830" spans="1:54" ht="15" x14ac:dyDescent="0.25">
      <c r="A830" s="3" t="s">
        <v>1719</v>
      </c>
      <c r="B830" s="3" t="str">
        <f ca="1">IFERROR(__xludf.DUMMYFUNCTION("SPLIT(A830,""/"")"),"pritunl")</f>
        <v>pritunl</v>
      </c>
      <c r="C830" s="3" t="str">
        <f ca="1">IFERROR(__xludf.DUMMYFUNCTION("""COMPUTED_VALUE"""),"pritunl")</f>
        <v>pritunl</v>
      </c>
      <c r="D830" s="4" t="s">
        <v>1720</v>
      </c>
      <c r="E830" s="5">
        <v>41530.02144675926</v>
      </c>
      <c r="F830" s="5">
        <v>44294.386331018519</v>
      </c>
      <c r="G830" s="13">
        <f t="shared" si="72"/>
        <v>2764.3648842592593</v>
      </c>
      <c r="H830" s="6" t="b">
        <v>0</v>
      </c>
      <c r="I830" s="7" t="b">
        <v>1</v>
      </c>
      <c r="J830" s="8">
        <v>3065</v>
      </c>
      <c r="K830" s="8">
        <v>139</v>
      </c>
      <c r="L830" s="8">
        <v>434</v>
      </c>
      <c r="M830" s="8">
        <v>453</v>
      </c>
      <c r="N830" s="8">
        <v>5</v>
      </c>
      <c r="O830" s="8">
        <v>20</v>
      </c>
      <c r="P830" s="8">
        <v>65</v>
      </c>
      <c r="Q830" s="8">
        <v>1</v>
      </c>
      <c r="R830" s="8">
        <v>0</v>
      </c>
      <c r="S830" s="8">
        <v>0</v>
      </c>
      <c r="T830" s="3" t="s">
        <v>92</v>
      </c>
      <c r="U830" s="10">
        <v>27265</v>
      </c>
      <c r="V830" s="32">
        <v>378</v>
      </c>
      <c r="W830" s="27">
        <v>1.386392811296534E-2</v>
      </c>
      <c r="X830" s="34">
        <v>0</v>
      </c>
      <c r="Y830" s="27">
        <v>0</v>
      </c>
      <c r="Z830" s="27">
        <v>0</v>
      </c>
      <c r="AA830" s="35">
        <v>69</v>
      </c>
      <c r="AB830" s="27">
        <v>0.18253968253968253</v>
      </c>
      <c r="AC830" s="27">
        <f t="shared" si="73"/>
        <v>2.5307170364936731E-3</v>
      </c>
      <c r="AD830" s="36">
        <v>46</v>
      </c>
      <c r="AE830" s="27">
        <v>0.12169312169312169</v>
      </c>
      <c r="AF830" s="27">
        <f t="shared" si="74"/>
        <v>1.6871446909957821E-3</v>
      </c>
      <c r="AG830" s="37">
        <v>263</v>
      </c>
      <c r="AH830" s="27">
        <v>0.69576719576719581</v>
      </c>
      <c r="AI830" s="27">
        <f t="shared" si="75"/>
        <v>9.6460663854758856E-3</v>
      </c>
      <c r="AJ830" s="38">
        <v>0</v>
      </c>
      <c r="AK830" s="27">
        <v>0</v>
      </c>
      <c r="AL830" s="27">
        <f t="shared" si="76"/>
        <v>0</v>
      </c>
      <c r="AM830" s="40">
        <v>0</v>
      </c>
      <c r="AN830" s="27">
        <v>0</v>
      </c>
      <c r="AO830" s="27">
        <f t="shared" si="77"/>
        <v>0</v>
      </c>
      <c r="AP830" s="7" t="b">
        <v>1</v>
      </c>
      <c r="AQ830" s="6" t="b">
        <v>0</v>
      </c>
      <c r="AR830" s="6" t="b">
        <v>0</v>
      </c>
      <c r="AS830" s="6" t="b">
        <v>0</v>
      </c>
      <c r="AT830" s="7" t="b">
        <v>1</v>
      </c>
      <c r="AU830" s="6" t="b">
        <v>0</v>
      </c>
      <c r="AV830" s="6" t="b">
        <v>0</v>
      </c>
      <c r="AW830" s="6" t="b">
        <v>0</v>
      </c>
      <c r="AX830" s="6" t="b">
        <v>0</v>
      </c>
      <c r="AY830" s="6" t="b">
        <v>0</v>
      </c>
      <c r="AZ830" s="6" t="b">
        <v>0</v>
      </c>
      <c r="BA830" s="6" t="b">
        <v>0</v>
      </c>
      <c r="BB830" s="6" t="b">
        <v>0</v>
      </c>
    </row>
    <row r="831" spans="1:54" ht="15" x14ac:dyDescent="0.25">
      <c r="A831" s="3" t="s">
        <v>1721</v>
      </c>
      <c r="B831" s="3" t="str">
        <f ca="1">IFERROR(__xludf.DUMMYFUNCTION("SPLIT(A831,""/"")"),"programa-stic")</f>
        <v>programa-stic</v>
      </c>
      <c r="C831" s="3" t="str">
        <f ca="1">IFERROR(__xludf.DUMMYFUNCTION("""COMPUTED_VALUE"""),"barf-project")</f>
        <v>barf-project</v>
      </c>
      <c r="D831" s="4" t="s">
        <v>1722</v>
      </c>
      <c r="E831" s="5">
        <v>41935.606527777774</v>
      </c>
      <c r="F831" s="5">
        <v>44292.441458333335</v>
      </c>
      <c r="G831" s="13">
        <f t="shared" si="72"/>
        <v>2356.8349305555603</v>
      </c>
      <c r="H831" s="6" t="b">
        <v>0</v>
      </c>
      <c r="I831" s="7" t="b">
        <v>1</v>
      </c>
      <c r="J831" s="8">
        <v>1281</v>
      </c>
      <c r="K831" s="8">
        <v>76</v>
      </c>
      <c r="L831" s="8">
        <v>157</v>
      </c>
      <c r="M831" s="8">
        <v>0</v>
      </c>
      <c r="N831" s="8">
        <v>0</v>
      </c>
      <c r="O831" s="8">
        <v>7</v>
      </c>
      <c r="P831" s="8">
        <v>11</v>
      </c>
      <c r="Q831" s="8">
        <v>0</v>
      </c>
      <c r="R831" s="8">
        <v>45</v>
      </c>
      <c r="S831" s="8">
        <v>16</v>
      </c>
      <c r="T831" s="3" t="s">
        <v>153</v>
      </c>
      <c r="U831" s="10">
        <v>15754</v>
      </c>
      <c r="V831" s="32">
        <v>61</v>
      </c>
      <c r="W831" s="27">
        <v>3.8720324996826204E-3</v>
      </c>
      <c r="X831" s="34">
        <v>32</v>
      </c>
      <c r="Y831" s="27">
        <v>0.52459016393442626</v>
      </c>
      <c r="Z831" s="27">
        <v>2.0312301637679321E-3</v>
      </c>
      <c r="AA831" s="35">
        <v>11</v>
      </c>
      <c r="AB831" s="27">
        <v>0.18032786885245902</v>
      </c>
      <c r="AC831" s="27">
        <f t="shared" si="73"/>
        <v>6.9823536879522663E-4</v>
      </c>
      <c r="AD831" s="36">
        <v>7</v>
      </c>
      <c r="AE831" s="27">
        <v>0.11475409836065574</v>
      </c>
      <c r="AF831" s="27">
        <f t="shared" si="74"/>
        <v>4.4433159832423511E-4</v>
      </c>
      <c r="AG831" s="37">
        <v>11</v>
      </c>
      <c r="AH831" s="27">
        <v>0.18032786885245902</v>
      </c>
      <c r="AI831" s="27">
        <f t="shared" si="75"/>
        <v>6.9823536879522663E-4</v>
      </c>
      <c r="AJ831" s="38">
        <v>0</v>
      </c>
      <c r="AK831" s="27">
        <v>0</v>
      </c>
      <c r="AL831" s="27">
        <f t="shared" si="76"/>
        <v>0</v>
      </c>
      <c r="AM831" s="40">
        <v>0</v>
      </c>
      <c r="AN831" s="27">
        <v>0</v>
      </c>
      <c r="AO831" s="27">
        <f t="shared" si="77"/>
        <v>0</v>
      </c>
      <c r="AP831" s="7" t="b">
        <v>1</v>
      </c>
      <c r="AQ831" s="6" t="b">
        <v>0</v>
      </c>
      <c r="AR831" s="6" t="b">
        <v>0</v>
      </c>
      <c r="AS831" s="6" t="b">
        <v>0</v>
      </c>
      <c r="AT831" s="7" t="b">
        <v>1</v>
      </c>
      <c r="AU831" s="6" t="b">
        <v>0</v>
      </c>
      <c r="AV831" s="6" t="b">
        <v>0</v>
      </c>
      <c r="AW831" s="6" t="b">
        <v>0</v>
      </c>
      <c r="AX831" s="6" t="b">
        <v>0</v>
      </c>
      <c r="AY831" s="6" t="b">
        <v>0</v>
      </c>
      <c r="AZ831" s="6" t="b">
        <v>0</v>
      </c>
      <c r="BA831" s="6" t="b">
        <v>0</v>
      </c>
      <c r="BB831" s="6" t="b">
        <v>0</v>
      </c>
    </row>
    <row r="832" spans="1:54" ht="15" x14ac:dyDescent="0.25">
      <c r="A832" s="3" t="s">
        <v>1723</v>
      </c>
      <c r="B832" s="3" t="str">
        <f ca="1">IFERROR(__xludf.DUMMYFUNCTION("SPLIT(A832,""/"")"),"Project-MONAI")</f>
        <v>Project-MONAI</v>
      </c>
      <c r="C832" s="3" t="str">
        <f ca="1">IFERROR(__xludf.DUMMYFUNCTION("""COMPUTED_VALUE"""),"MONAI")</f>
        <v>MONAI</v>
      </c>
      <c r="D832" s="4" t="s">
        <v>1724</v>
      </c>
      <c r="E832" s="5">
        <v>43749.6955787037</v>
      </c>
      <c r="F832" s="5">
        <v>44294.709710648145</v>
      </c>
      <c r="G832" s="13">
        <f t="shared" si="72"/>
        <v>545.01413194444467</v>
      </c>
      <c r="H832" s="6" t="b">
        <v>0</v>
      </c>
      <c r="I832" s="7" t="b">
        <v>1</v>
      </c>
      <c r="J832" s="8">
        <v>1889</v>
      </c>
      <c r="K832" s="8">
        <v>73</v>
      </c>
      <c r="L832" s="8">
        <v>340</v>
      </c>
      <c r="M832" s="8">
        <v>4</v>
      </c>
      <c r="N832" s="8">
        <v>4</v>
      </c>
      <c r="O832" s="8">
        <v>57</v>
      </c>
      <c r="P832" s="8">
        <v>1032</v>
      </c>
      <c r="Q832" s="8">
        <v>18</v>
      </c>
      <c r="R832" s="8">
        <v>805</v>
      </c>
      <c r="S832" s="8">
        <v>78</v>
      </c>
      <c r="T832" s="3" t="s">
        <v>69</v>
      </c>
      <c r="U832" s="10">
        <v>30383</v>
      </c>
      <c r="V832" s="32">
        <v>68</v>
      </c>
      <c r="W832" s="27">
        <v>2.2380936708027515E-3</v>
      </c>
      <c r="X832" s="34">
        <v>0</v>
      </c>
      <c r="Y832" s="27">
        <v>0</v>
      </c>
      <c r="Z832" s="27">
        <v>0</v>
      </c>
      <c r="AA832" s="35">
        <v>18</v>
      </c>
      <c r="AB832" s="27">
        <v>0.26470588235294118</v>
      </c>
      <c r="AC832" s="27">
        <f t="shared" si="73"/>
        <v>5.9243655991837545E-4</v>
      </c>
      <c r="AD832" s="36">
        <v>49</v>
      </c>
      <c r="AE832" s="27">
        <v>0.72058823529411764</v>
      </c>
      <c r="AF832" s="27">
        <f t="shared" si="74"/>
        <v>1.6127439686666886E-3</v>
      </c>
      <c r="AG832" s="37">
        <v>1</v>
      </c>
      <c r="AH832" s="27">
        <v>1.4705882352941176E-2</v>
      </c>
      <c r="AI832" s="27">
        <f t="shared" si="75"/>
        <v>3.2913142217687525E-5</v>
      </c>
      <c r="AJ832" s="38">
        <v>0</v>
      </c>
      <c r="AK832" s="27">
        <v>0</v>
      </c>
      <c r="AL832" s="27">
        <f t="shared" si="76"/>
        <v>0</v>
      </c>
      <c r="AM832" s="40">
        <v>0</v>
      </c>
      <c r="AN832" s="27">
        <v>0</v>
      </c>
      <c r="AO832" s="27">
        <f t="shared" si="77"/>
        <v>0</v>
      </c>
      <c r="AP832" s="7" t="b">
        <v>1</v>
      </c>
      <c r="AQ832" s="6" t="b">
        <v>0</v>
      </c>
      <c r="AR832" s="6" t="b">
        <v>0</v>
      </c>
      <c r="AS832" s="6" t="b">
        <v>0</v>
      </c>
      <c r="AT832" s="7" t="b">
        <v>1</v>
      </c>
      <c r="AU832" s="6" t="b">
        <v>0</v>
      </c>
      <c r="AV832" s="6" t="b">
        <v>0</v>
      </c>
      <c r="AW832" s="6" t="b">
        <v>0</v>
      </c>
      <c r="AX832" s="6" t="b">
        <v>0</v>
      </c>
      <c r="AY832" s="6" t="b">
        <v>0</v>
      </c>
      <c r="AZ832" s="6" t="b">
        <v>0</v>
      </c>
      <c r="BA832" s="6" t="b">
        <v>0</v>
      </c>
      <c r="BB832" s="6" t="b">
        <v>0</v>
      </c>
    </row>
    <row r="833" spans="1:54" ht="15" x14ac:dyDescent="0.25">
      <c r="A833" s="3" t="s">
        <v>1725</v>
      </c>
      <c r="B833" s="3" t="str">
        <f ca="1">IFERROR(__xludf.DUMMYFUNCTION("SPLIT(A833,""/"")"),"psf")</f>
        <v>psf</v>
      </c>
      <c r="C833" s="3" t="str">
        <f ca="1">IFERROR(__xludf.DUMMYFUNCTION("""COMPUTED_VALUE"""),"black")</f>
        <v>black</v>
      </c>
      <c r="D833" s="4" t="s">
        <v>1726</v>
      </c>
      <c r="E833" s="5">
        <v>43173.829687500001</v>
      </c>
      <c r="F833" s="5">
        <v>44295.136759259258</v>
      </c>
      <c r="G833" s="13">
        <f t="shared" si="72"/>
        <v>1121.3070717592564</v>
      </c>
      <c r="H833" s="6" t="b">
        <v>0</v>
      </c>
      <c r="I833" s="7" t="b">
        <v>1</v>
      </c>
      <c r="J833" s="8">
        <v>20213</v>
      </c>
      <c r="K833" s="8">
        <v>183</v>
      </c>
      <c r="L833" s="8">
        <v>1245</v>
      </c>
      <c r="M833" s="8">
        <v>5</v>
      </c>
      <c r="N833" s="8">
        <v>23</v>
      </c>
      <c r="O833" s="8">
        <v>236</v>
      </c>
      <c r="P833" s="8">
        <v>651</v>
      </c>
      <c r="Q833" s="8">
        <v>21</v>
      </c>
      <c r="R833" s="8">
        <v>1434</v>
      </c>
      <c r="S833" s="8">
        <v>423</v>
      </c>
      <c r="T833" s="3" t="s">
        <v>72</v>
      </c>
      <c r="U833" s="10">
        <v>11408</v>
      </c>
      <c r="V833" s="32">
        <v>29</v>
      </c>
      <c r="W833" s="27">
        <v>2.5420757363253856E-3</v>
      </c>
      <c r="X833" s="34">
        <v>13</v>
      </c>
      <c r="Y833" s="27">
        <v>0.44827586206896552</v>
      </c>
      <c r="Z833" s="27">
        <v>1.1395511921458625E-3</v>
      </c>
      <c r="AA833" s="35">
        <v>8</v>
      </c>
      <c r="AB833" s="27">
        <v>0.27586206896551724</v>
      </c>
      <c r="AC833" s="27">
        <f t="shared" si="73"/>
        <v>7.0126227208976155E-4</v>
      </c>
      <c r="AD833" s="36">
        <v>2</v>
      </c>
      <c r="AE833" s="27">
        <v>6.8965517241379309E-2</v>
      </c>
      <c r="AF833" s="27">
        <f t="shared" si="74"/>
        <v>1.7531556802244039E-4</v>
      </c>
      <c r="AG833" s="37">
        <v>6</v>
      </c>
      <c r="AH833" s="27">
        <v>0.20689655172413793</v>
      </c>
      <c r="AI833" s="27">
        <f t="shared" si="75"/>
        <v>5.2594670406732116E-4</v>
      </c>
      <c r="AJ833" s="38">
        <v>0</v>
      </c>
      <c r="AK833" s="27">
        <v>0</v>
      </c>
      <c r="AL833" s="27">
        <f t="shared" si="76"/>
        <v>0</v>
      </c>
      <c r="AM833" s="40">
        <v>0</v>
      </c>
      <c r="AN833" s="27">
        <v>0</v>
      </c>
      <c r="AO833" s="27">
        <f t="shared" si="77"/>
        <v>0</v>
      </c>
      <c r="AP833" s="7" t="b">
        <v>1</v>
      </c>
      <c r="AQ833" s="6" t="b">
        <v>0</v>
      </c>
      <c r="AR833" s="6" t="b">
        <v>0</v>
      </c>
      <c r="AS833" s="6" t="b">
        <v>0</v>
      </c>
      <c r="AT833" s="7" t="b">
        <v>1</v>
      </c>
      <c r="AU833" s="6" t="b">
        <v>0</v>
      </c>
      <c r="AV833" s="6" t="b">
        <v>0</v>
      </c>
      <c r="AW833" s="6" t="b">
        <v>0</v>
      </c>
      <c r="AX833" s="6" t="b">
        <v>0</v>
      </c>
      <c r="AY833" s="6" t="b">
        <v>0</v>
      </c>
      <c r="AZ833" s="6" t="b">
        <v>0</v>
      </c>
      <c r="BA833" s="6" t="b">
        <v>0</v>
      </c>
      <c r="BB833" s="6" t="b">
        <v>0</v>
      </c>
    </row>
    <row r="834" spans="1:54" ht="15" x14ac:dyDescent="0.25">
      <c r="A834" s="3" t="s">
        <v>1727</v>
      </c>
      <c r="B834" s="3" t="str">
        <f ca="1">IFERROR(__xludf.DUMMYFUNCTION("SPLIT(A834,""/"")"),"psincraian")</f>
        <v>psincraian</v>
      </c>
      <c r="C834" s="3" t="str">
        <f ca="1">IFERROR(__xludf.DUMMYFUNCTION("""COMPUTED_VALUE"""),"pepy")</f>
        <v>pepy</v>
      </c>
      <c r="D834" s="4" t="s">
        <v>1728</v>
      </c>
      <c r="E834" s="5">
        <v>43247.8200462963</v>
      </c>
      <c r="F834" s="5">
        <v>44291.744710648149</v>
      </c>
      <c r="G834" s="13">
        <f t="shared" si="72"/>
        <v>1043.9246643518491</v>
      </c>
      <c r="H834" s="6" t="b">
        <v>0</v>
      </c>
      <c r="I834" s="6" t="b">
        <v>0</v>
      </c>
      <c r="J834" s="8">
        <v>377</v>
      </c>
      <c r="K834" s="8">
        <v>4</v>
      </c>
      <c r="L834" s="8">
        <v>20</v>
      </c>
      <c r="M834" s="8">
        <v>0</v>
      </c>
      <c r="N834" s="8">
        <v>0</v>
      </c>
      <c r="O834" s="8">
        <v>7</v>
      </c>
      <c r="P834" s="8">
        <v>256</v>
      </c>
      <c r="Q834" s="8">
        <v>0</v>
      </c>
      <c r="R834" s="8">
        <v>42</v>
      </c>
      <c r="S834" s="8">
        <v>6</v>
      </c>
      <c r="T834" s="3" t="s">
        <v>72</v>
      </c>
      <c r="U834" s="10">
        <v>1149</v>
      </c>
      <c r="V834" s="32">
        <v>8</v>
      </c>
      <c r="W834" s="27">
        <v>6.9625761531766752E-3</v>
      </c>
      <c r="X834" s="34">
        <v>0</v>
      </c>
      <c r="Y834" s="27">
        <v>0</v>
      </c>
      <c r="Z834" s="27">
        <v>0</v>
      </c>
      <c r="AA834" s="35">
        <v>7</v>
      </c>
      <c r="AB834" s="27">
        <v>0.875</v>
      </c>
      <c r="AC834" s="27">
        <f t="shared" si="73"/>
        <v>6.0922541340295913E-3</v>
      </c>
      <c r="AD834" s="36">
        <v>0</v>
      </c>
      <c r="AE834" s="27">
        <v>0</v>
      </c>
      <c r="AF834" s="27">
        <f t="shared" si="74"/>
        <v>0</v>
      </c>
      <c r="AG834" s="37">
        <v>0</v>
      </c>
      <c r="AH834" s="27">
        <v>0</v>
      </c>
      <c r="AI834" s="27">
        <f t="shared" si="75"/>
        <v>0</v>
      </c>
      <c r="AJ834" s="38">
        <v>1</v>
      </c>
      <c r="AK834" s="27">
        <v>0.125</v>
      </c>
      <c r="AL834" s="27">
        <f t="shared" si="76"/>
        <v>8.703220191470844E-4</v>
      </c>
      <c r="AM834" s="40">
        <v>0</v>
      </c>
      <c r="AN834" s="27">
        <v>0</v>
      </c>
      <c r="AO834" s="27">
        <f t="shared" si="77"/>
        <v>0</v>
      </c>
      <c r="AP834" s="6" t="b">
        <v>0</v>
      </c>
      <c r="AQ834" s="7" t="b">
        <v>1</v>
      </c>
      <c r="AR834" s="6" t="b">
        <v>0</v>
      </c>
      <c r="AS834" s="6" t="b">
        <v>0</v>
      </c>
      <c r="AT834" s="7" t="b">
        <v>1</v>
      </c>
      <c r="AU834" s="6" t="b">
        <v>0</v>
      </c>
      <c r="AV834" s="6" t="b">
        <v>0</v>
      </c>
      <c r="AW834" s="6" t="b">
        <v>0</v>
      </c>
      <c r="AX834" s="6" t="b">
        <v>0</v>
      </c>
      <c r="AY834" s="6" t="b">
        <v>0</v>
      </c>
      <c r="AZ834" s="6" t="b">
        <v>0</v>
      </c>
      <c r="BA834" s="6" t="b">
        <v>0</v>
      </c>
      <c r="BB834" s="6" t="b">
        <v>0</v>
      </c>
    </row>
    <row r="835" spans="1:54" ht="15" x14ac:dyDescent="0.25">
      <c r="A835" s="3" t="s">
        <v>1729</v>
      </c>
      <c r="B835" s="3" t="str">
        <f ca="1">IFERROR(__xludf.DUMMYFUNCTION("SPLIT(A835,""/"")"),"ptpb")</f>
        <v>ptpb</v>
      </c>
      <c r="C835" s="3" t="str">
        <f ca="1">IFERROR(__xludf.DUMMYFUNCTION("""COMPUTED_VALUE"""),"pb")</f>
        <v>pb</v>
      </c>
      <c r="D835" s="4" t="s">
        <v>1730</v>
      </c>
      <c r="E835" s="5">
        <v>41973.012002314812</v>
      </c>
      <c r="F835" s="5">
        <v>44293.948483796295</v>
      </c>
      <c r="G835" s="13">
        <f t="shared" ref="G835:G898" si="78">F835-E835</f>
        <v>2320.9364814814835</v>
      </c>
      <c r="H835" s="6" t="b">
        <v>0</v>
      </c>
      <c r="I835" s="7" t="b">
        <v>1</v>
      </c>
      <c r="J835" s="8">
        <v>450</v>
      </c>
      <c r="K835" s="8">
        <v>13</v>
      </c>
      <c r="L835" s="8">
        <v>35</v>
      </c>
      <c r="M835" s="8">
        <v>1</v>
      </c>
      <c r="N835" s="8">
        <v>3</v>
      </c>
      <c r="O835" s="8">
        <v>6</v>
      </c>
      <c r="P835" s="8">
        <v>93</v>
      </c>
      <c r="Q835" s="8">
        <v>1</v>
      </c>
      <c r="R835" s="8">
        <v>161</v>
      </c>
      <c r="S835" s="8">
        <v>25</v>
      </c>
      <c r="T835" s="3" t="s">
        <v>92</v>
      </c>
      <c r="U835" s="10">
        <v>1287</v>
      </c>
      <c r="V835" s="32">
        <v>0</v>
      </c>
      <c r="W835" s="27">
        <v>0</v>
      </c>
      <c r="X835" s="34">
        <v>0</v>
      </c>
      <c r="Y835" s="27">
        <v>0</v>
      </c>
      <c r="Z835" s="27">
        <v>0</v>
      </c>
      <c r="AA835" s="35">
        <v>0</v>
      </c>
      <c r="AB835" s="27">
        <v>0</v>
      </c>
      <c r="AC835" s="27">
        <f t="shared" ref="AC835:AC898" si="79">AA835/U835</f>
        <v>0</v>
      </c>
      <c r="AD835" s="36">
        <v>0</v>
      </c>
      <c r="AE835" s="27">
        <v>0</v>
      </c>
      <c r="AF835" s="27">
        <f t="shared" ref="AF835:AF898" si="80">AD835/U835</f>
        <v>0</v>
      </c>
      <c r="AG835" s="37">
        <v>0</v>
      </c>
      <c r="AH835" s="27">
        <v>0</v>
      </c>
      <c r="AI835" s="27">
        <f t="shared" ref="AI835:AI898" si="81">AG835/U835</f>
        <v>0</v>
      </c>
      <c r="AJ835" s="38">
        <v>0</v>
      </c>
      <c r="AK835" s="27">
        <v>0</v>
      </c>
      <c r="AL835" s="27">
        <f t="shared" ref="AL835:AL898" si="82">AJ835/U835</f>
        <v>0</v>
      </c>
      <c r="AM835" s="40">
        <v>0</v>
      </c>
      <c r="AN835" s="27">
        <v>0</v>
      </c>
      <c r="AO835" s="27">
        <f t="shared" ref="AO835:AO898" si="83">AM835/U835</f>
        <v>0</v>
      </c>
      <c r="AP835" s="7" t="b">
        <v>1</v>
      </c>
      <c r="AQ835" s="7" t="b">
        <v>1</v>
      </c>
      <c r="AR835" s="6" t="b">
        <v>0</v>
      </c>
      <c r="AS835" s="6" t="b">
        <v>0</v>
      </c>
      <c r="AT835" s="7" t="b">
        <v>1</v>
      </c>
      <c r="AU835" s="6" t="b">
        <v>0</v>
      </c>
      <c r="AV835" s="6" t="b">
        <v>0</v>
      </c>
      <c r="AW835" s="6" t="b">
        <v>0</v>
      </c>
      <c r="AX835" s="6" t="b">
        <v>0</v>
      </c>
      <c r="AY835" s="6" t="b">
        <v>0</v>
      </c>
      <c r="AZ835" s="6" t="b">
        <v>0</v>
      </c>
      <c r="BA835" s="6" t="b">
        <v>0</v>
      </c>
      <c r="BB835" s="6" t="b">
        <v>0</v>
      </c>
    </row>
    <row r="836" spans="1:54" ht="15" x14ac:dyDescent="0.25">
      <c r="A836" s="3" t="s">
        <v>1731</v>
      </c>
      <c r="B836" s="3" t="str">
        <f ca="1">IFERROR(__xludf.DUMMYFUNCTION("SPLIT(A836,""/"")"),"pulp")</f>
        <v>pulp</v>
      </c>
      <c r="C836" s="3" t="str">
        <f ca="1">IFERROR(__xludf.DUMMYFUNCTION("""COMPUTED_VALUE"""),"pulp")</f>
        <v>pulp</v>
      </c>
      <c r="D836" s="4" t="s">
        <v>1732</v>
      </c>
      <c r="E836" s="5">
        <v>41127.575925925928</v>
      </c>
      <c r="F836" s="5">
        <v>44279.863206018519</v>
      </c>
      <c r="G836" s="13">
        <f t="shared" si="78"/>
        <v>3152.2872800925907</v>
      </c>
      <c r="H836" s="6" t="b">
        <v>0</v>
      </c>
      <c r="I836" s="7" t="b">
        <v>1</v>
      </c>
      <c r="J836" s="8">
        <v>507</v>
      </c>
      <c r="K836" s="8">
        <v>38</v>
      </c>
      <c r="L836" s="8">
        <v>165</v>
      </c>
      <c r="M836" s="8">
        <v>6</v>
      </c>
      <c r="N836" s="8">
        <v>111</v>
      </c>
      <c r="O836" s="8">
        <v>83</v>
      </c>
      <c r="P836" s="8">
        <v>4012</v>
      </c>
      <c r="Q836" s="8">
        <v>0</v>
      </c>
      <c r="R836" s="8">
        <v>0</v>
      </c>
      <c r="S836" s="8">
        <v>0</v>
      </c>
      <c r="T836" s="3" t="s">
        <v>92</v>
      </c>
      <c r="U836" s="10">
        <v>81841</v>
      </c>
      <c r="V836" s="32">
        <v>455</v>
      </c>
      <c r="W836" s="27">
        <v>5.5595606114294789E-3</v>
      </c>
      <c r="X836" s="34">
        <v>111</v>
      </c>
      <c r="Y836" s="27">
        <v>0.24395604395604395</v>
      </c>
      <c r="Z836" s="27">
        <v>1.3562884128981807E-3</v>
      </c>
      <c r="AA836" s="35">
        <v>133</v>
      </c>
      <c r="AB836" s="27">
        <v>0.29230769230769232</v>
      </c>
      <c r="AC836" s="27">
        <f t="shared" si="79"/>
        <v>1.6251023325716939E-3</v>
      </c>
      <c r="AD836" s="36">
        <v>27</v>
      </c>
      <c r="AE836" s="27">
        <v>5.9340659340659338E-2</v>
      </c>
      <c r="AF836" s="27">
        <f t="shared" si="80"/>
        <v>3.2990799232658445E-4</v>
      </c>
      <c r="AG836" s="37">
        <v>153</v>
      </c>
      <c r="AH836" s="27">
        <v>0.33626373626373629</v>
      </c>
      <c r="AI836" s="27">
        <f t="shared" si="81"/>
        <v>1.8694786231839788E-3</v>
      </c>
      <c r="AJ836" s="38">
        <v>15</v>
      </c>
      <c r="AK836" s="27">
        <v>3.2967032967032968E-2</v>
      </c>
      <c r="AL836" s="27">
        <f t="shared" si="82"/>
        <v>1.8328221795921361E-4</v>
      </c>
      <c r="AM836" s="40">
        <v>0</v>
      </c>
      <c r="AN836" s="27">
        <v>0</v>
      </c>
      <c r="AO836" s="27">
        <f t="shared" si="83"/>
        <v>0</v>
      </c>
      <c r="AP836" s="7" t="b">
        <v>1</v>
      </c>
      <c r="AQ836" s="6" t="b">
        <v>0</v>
      </c>
      <c r="AR836" s="6" t="b">
        <v>0</v>
      </c>
      <c r="AS836" s="6" t="b">
        <v>0</v>
      </c>
      <c r="AT836" s="7" t="b">
        <v>1</v>
      </c>
      <c r="AU836" s="6" t="b">
        <v>0</v>
      </c>
      <c r="AV836" s="6" t="b">
        <v>0</v>
      </c>
      <c r="AW836" s="6" t="b">
        <v>0</v>
      </c>
      <c r="AX836" s="6" t="b">
        <v>0</v>
      </c>
      <c r="AY836" s="6" t="b">
        <v>0</v>
      </c>
      <c r="AZ836" s="6" t="b">
        <v>0</v>
      </c>
      <c r="BA836" s="6" t="b">
        <v>0</v>
      </c>
      <c r="BB836" s="6" t="b">
        <v>0</v>
      </c>
    </row>
    <row r="837" spans="1:54" ht="15" x14ac:dyDescent="0.25">
      <c r="A837" s="3" t="s">
        <v>1733</v>
      </c>
      <c r="B837" s="3" t="str">
        <f ca="1">IFERROR(__xludf.DUMMYFUNCTION("SPLIT(A837,""/"")"),"PUNCH-Cyber")</f>
        <v>PUNCH-Cyber</v>
      </c>
      <c r="C837" s="3" t="str">
        <f ca="1">IFERROR(__xludf.DUMMYFUNCTION("""COMPUTED_VALUE"""),"stoq")</f>
        <v>stoq</v>
      </c>
      <c r="D837" s="4" t="s">
        <v>1734</v>
      </c>
      <c r="E837" s="5">
        <v>42327.068703703706</v>
      </c>
      <c r="F837" s="5">
        <v>44287.828981481478</v>
      </c>
      <c r="G837" s="13">
        <f t="shared" si="78"/>
        <v>1960.760277777772</v>
      </c>
      <c r="H837" s="6" t="b">
        <v>0</v>
      </c>
      <c r="I837" s="7" t="b">
        <v>1</v>
      </c>
      <c r="J837" s="8">
        <v>361</v>
      </c>
      <c r="K837" s="8">
        <v>39</v>
      </c>
      <c r="L837" s="8">
        <v>47</v>
      </c>
      <c r="M837" s="8">
        <v>46</v>
      </c>
      <c r="N837" s="8">
        <v>7</v>
      </c>
      <c r="O837" s="8">
        <v>12</v>
      </c>
      <c r="P837" s="8">
        <v>90</v>
      </c>
      <c r="Q837" s="8">
        <v>1</v>
      </c>
      <c r="R837" s="8">
        <v>67</v>
      </c>
      <c r="S837" s="8">
        <v>1</v>
      </c>
      <c r="T837" s="3" t="s">
        <v>69</v>
      </c>
      <c r="U837" s="10">
        <v>1998</v>
      </c>
      <c r="V837" s="32">
        <v>33</v>
      </c>
      <c r="W837" s="27">
        <v>1.6516516516516516E-2</v>
      </c>
      <c r="X837" s="34">
        <v>18</v>
      </c>
      <c r="Y837" s="27">
        <v>0.54545454545454541</v>
      </c>
      <c r="Z837" s="27">
        <v>9.0090090090090089E-3</v>
      </c>
      <c r="AA837" s="35">
        <v>1</v>
      </c>
      <c r="AB837" s="27">
        <v>3.0303030303030304E-2</v>
      </c>
      <c r="AC837" s="27">
        <f t="shared" si="79"/>
        <v>5.005005005005005E-4</v>
      </c>
      <c r="AD837" s="36">
        <v>5</v>
      </c>
      <c r="AE837" s="27">
        <v>0.15151515151515152</v>
      </c>
      <c r="AF837" s="27">
        <f t="shared" si="80"/>
        <v>2.5025025025025025E-3</v>
      </c>
      <c r="AG837" s="37">
        <v>8</v>
      </c>
      <c r="AH837" s="27">
        <v>0.24242424242424243</v>
      </c>
      <c r="AI837" s="27">
        <f t="shared" si="81"/>
        <v>4.004004004004004E-3</v>
      </c>
      <c r="AJ837" s="38">
        <v>0</v>
      </c>
      <c r="AK837" s="27">
        <v>0</v>
      </c>
      <c r="AL837" s="27">
        <f t="shared" si="82"/>
        <v>0</v>
      </c>
      <c r="AM837" s="40">
        <v>0</v>
      </c>
      <c r="AN837" s="27">
        <v>0</v>
      </c>
      <c r="AO837" s="27">
        <f t="shared" si="83"/>
        <v>0</v>
      </c>
      <c r="AP837" s="7" t="b">
        <v>1</v>
      </c>
      <c r="AQ837" s="6" t="b">
        <v>0</v>
      </c>
      <c r="AR837" s="6" t="b">
        <v>0</v>
      </c>
      <c r="AS837" s="6" t="b">
        <v>0</v>
      </c>
      <c r="AT837" s="7" t="b">
        <v>1</v>
      </c>
      <c r="AU837" s="6" t="b">
        <v>0</v>
      </c>
      <c r="AV837" s="6" t="b">
        <v>0</v>
      </c>
      <c r="AW837" s="6" t="b">
        <v>0</v>
      </c>
      <c r="AX837" s="6" t="b">
        <v>0</v>
      </c>
      <c r="AY837" s="6" t="b">
        <v>0</v>
      </c>
      <c r="AZ837" s="6" t="b">
        <v>0</v>
      </c>
      <c r="BA837" s="6" t="b">
        <v>0</v>
      </c>
      <c r="BB837" s="6" t="b">
        <v>0</v>
      </c>
    </row>
    <row r="838" spans="1:54" ht="15" x14ac:dyDescent="0.25">
      <c r="A838" s="3" t="s">
        <v>1735</v>
      </c>
      <c r="B838" s="3" t="str">
        <f ca="1">IFERROR(__xludf.DUMMYFUNCTION("SPLIT(A838,""/"")"),"pwnlandia")</f>
        <v>pwnlandia</v>
      </c>
      <c r="C838" s="3" t="str">
        <f ca="1">IFERROR(__xludf.DUMMYFUNCTION("""COMPUTED_VALUE"""),"mhn")</f>
        <v>mhn</v>
      </c>
      <c r="D838" s="4" t="s">
        <v>1736</v>
      </c>
      <c r="E838" s="5">
        <v>41787.983217592591</v>
      </c>
      <c r="F838" s="5">
        <v>44292.126215277778</v>
      </c>
      <c r="G838" s="13">
        <f t="shared" si="78"/>
        <v>2504.1429976851869</v>
      </c>
      <c r="H838" s="6" t="b">
        <v>0</v>
      </c>
      <c r="I838" s="7" t="b">
        <v>1</v>
      </c>
      <c r="J838" s="8">
        <v>2081</v>
      </c>
      <c r="K838" s="8">
        <v>256</v>
      </c>
      <c r="L838" s="8">
        <v>555</v>
      </c>
      <c r="M838" s="8">
        <v>0</v>
      </c>
      <c r="N838" s="8">
        <v>8</v>
      </c>
      <c r="O838" s="8">
        <v>41</v>
      </c>
      <c r="P838" s="8">
        <v>232</v>
      </c>
      <c r="Q838" s="8">
        <v>35</v>
      </c>
      <c r="R838" s="8">
        <v>573</v>
      </c>
      <c r="S838" s="8">
        <v>145</v>
      </c>
      <c r="T838" s="3" t="s">
        <v>92</v>
      </c>
      <c r="U838" s="10">
        <v>2391</v>
      </c>
      <c r="V838" s="32">
        <v>58</v>
      </c>
      <c r="W838" s="27">
        <v>2.4257632789627771E-2</v>
      </c>
      <c r="X838" s="34">
        <v>16</v>
      </c>
      <c r="Y838" s="27">
        <v>0.27586206896551724</v>
      </c>
      <c r="Z838" s="27">
        <v>6.6917607695524883E-3</v>
      </c>
      <c r="AA838" s="35">
        <v>20</v>
      </c>
      <c r="AB838" s="27">
        <v>0.34482758620689657</v>
      </c>
      <c r="AC838" s="27">
        <f t="shared" si="79"/>
        <v>8.3647009619406115E-3</v>
      </c>
      <c r="AD838" s="36">
        <v>12</v>
      </c>
      <c r="AE838" s="27">
        <v>0.20689655172413793</v>
      </c>
      <c r="AF838" s="27">
        <f t="shared" si="80"/>
        <v>5.018820577164366E-3</v>
      </c>
      <c r="AG838" s="37">
        <v>7</v>
      </c>
      <c r="AH838" s="27">
        <v>0.1206896551724138</v>
      </c>
      <c r="AI838" s="27">
        <f t="shared" si="81"/>
        <v>2.9276453366792136E-3</v>
      </c>
      <c r="AJ838" s="38">
        <v>1</v>
      </c>
      <c r="AK838" s="27">
        <v>1.7241379310344827E-2</v>
      </c>
      <c r="AL838" s="27">
        <f t="shared" si="82"/>
        <v>4.1823504809703052E-4</v>
      </c>
      <c r="AM838" s="40">
        <v>0</v>
      </c>
      <c r="AN838" s="27">
        <v>0</v>
      </c>
      <c r="AO838" s="27">
        <f t="shared" si="83"/>
        <v>0</v>
      </c>
      <c r="AP838" s="7" t="b">
        <v>1</v>
      </c>
      <c r="AQ838" s="6" t="b">
        <v>0</v>
      </c>
      <c r="AR838" s="6" t="b">
        <v>0</v>
      </c>
      <c r="AS838" s="6" t="b">
        <v>0</v>
      </c>
      <c r="AT838" s="7" t="b">
        <v>1</v>
      </c>
      <c r="AU838" s="6" t="b">
        <v>0</v>
      </c>
      <c r="AV838" s="6" t="b">
        <v>0</v>
      </c>
      <c r="AW838" s="6" t="b">
        <v>0</v>
      </c>
      <c r="AX838" s="6" t="b">
        <v>0</v>
      </c>
      <c r="AY838" s="6" t="b">
        <v>0</v>
      </c>
      <c r="AZ838" s="6" t="b">
        <v>0</v>
      </c>
      <c r="BA838" s="6" t="b">
        <v>0</v>
      </c>
      <c r="BB838" s="6" t="b">
        <v>0</v>
      </c>
    </row>
    <row r="839" spans="1:54" ht="15" x14ac:dyDescent="0.25">
      <c r="A839" s="3" t="s">
        <v>1737</v>
      </c>
      <c r="B839" s="3" t="str">
        <f ca="1">IFERROR(__xludf.DUMMYFUNCTION("SPLIT(A839,""/"")"),"pycook")</f>
        <v>pycook</v>
      </c>
      <c r="C839" s="3" t="str">
        <f ca="1">IFERROR(__xludf.DUMMYFUNCTION("""COMPUTED_VALUE"""),"cmdb")</f>
        <v>cmdb</v>
      </c>
      <c r="D839" s="4" t="s">
        <v>1738</v>
      </c>
      <c r="E839" s="5">
        <v>42367.106122685182</v>
      </c>
      <c r="F839" s="5">
        <v>44288.644409722219</v>
      </c>
      <c r="G839" s="13">
        <f t="shared" si="78"/>
        <v>1921.5382870370377</v>
      </c>
      <c r="H839" s="6" t="b">
        <v>0</v>
      </c>
      <c r="I839" s="6" t="b">
        <v>0</v>
      </c>
      <c r="J839" s="8">
        <v>344</v>
      </c>
      <c r="K839" s="8">
        <v>25</v>
      </c>
      <c r="L839" s="8">
        <v>143</v>
      </c>
      <c r="M839" s="8">
        <v>4</v>
      </c>
      <c r="N839" s="8">
        <v>0</v>
      </c>
      <c r="O839" s="8">
        <v>8</v>
      </c>
      <c r="P839" s="8">
        <v>46</v>
      </c>
      <c r="Q839" s="8">
        <v>4</v>
      </c>
      <c r="R839" s="8">
        <v>25</v>
      </c>
      <c r="S839" s="8">
        <v>15</v>
      </c>
      <c r="T839" s="3" t="s">
        <v>64</v>
      </c>
      <c r="U839" s="10">
        <v>5551</v>
      </c>
      <c r="V839" s="32">
        <v>61</v>
      </c>
      <c r="W839" s="27">
        <v>1.098901098901099E-2</v>
      </c>
      <c r="X839" s="34">
        <v>27</v>
      </c>
      <c r="Y839" s="27">
        <v>0.44262295081967212</v>
      </c>
      <c r="Z839" s="27">
        <v>4.8639884705458476E-3</v>
      </c>
      <c r="AA839" s="35">
        <v>15</v>
      </c>
      <c r="AB839" s="27">
        <v>0.24590163934426229</v>
      </c>
      <c r="AC839" s="27">
        <f t="shared" si="79"/>
        <v>2.7022158169699153E-3</v>
      </c>
      <c r="AD839" s="36">
        <v>8</v>
      </c>
      <c r="AE839" s="27">
        <v>0.13114754098360656</v>
      </c>
      <c r="AF839" s="27">
        <f t="shared" si="80"/>
        <v>1.4411817690506215E-3</v>
      </c>
      <c r="AG839" s="37">
        <v>10</v>
      </c>
      <c r="AH839" s="27">
        <v>0.16393442622950818</v>
      </c>
      <c r="AI839" s="27">
        <f t="shared" si="81"/>
        <v>1.8014772113132769E-3</v>
      </c>
      <c r="AJ839" s="38">
        <v>0</v>
      </c>
      <c r="AK839" s="27">
        <v>0</v>
      </c>
      <c r="AL839" s="27">
        <f t="shared" si="82"/>
        <v>0</v>
      </c>
      <c r="AM839" s="40">
        <v>0</v>
      </c>
      <c r="AN839" s="27">
        <v>0</v>
      </c>
      <c r="AO839" s="27">
        <f t="shared" si="83"/>
        <v>0</v>
      </c>
      <c r="AP839" s="7" t="b">
        <v>1</v>
      </c>
      <c r="AQ839" s="7" t="b">
        <v>1</v>
      </c>
      <c r="AR839" s="6" t="b">
        <v>0</v>
      </c>
      <c r="AS839" s="6" t="b">
        <v>0</v>
      </c>
      <c r="AT839" s="7" t="b">
        <v>1</v>
      </c>
      <c r="AU839" s="6" t="b">
        <v>0</v>
      </c>
      <c r="AV839" s="6" t="b">
        <v>0</v>
      </c>
      <c r="AW839" s="6" t="b">
        <v>0</v>
      </c>
      <c r="AX839" s="6" t="b">
        <v>0</v>
      </c>
      <c r="AY839" s="6" t="b">
        <v>0</v>
      </c>
      <c r="AZ839" s="6" t="b">
        <v>0</v>
      </c>
      <c r="BA839" s="6" t="b">
        <v>0</v>
      </c>
      <c r="BB839" s="6" t="b">
        <v>0</v>
      </c>
    </row>
    <row r="840" spans="1:54" ht="15" x14ac:dyDescent="0.25">
      <c r="A840" s="3" t="s">
        <v>1739</v>
      </c>
      <c r="B840" s="3" t="str">
        <f ca="1">IFERROR(__xludf.DUMMYFUNCTION("SPLIT(A840,""/"")"),"PyCQA")</f>
        <v>PyCQA</v>
      </c>
      <c r="C840" s="3" t="str">
        <f ca="1">IFERROR(__xludf.DUMMYFUNCTION("""COMPUTED_VALUE"""),"isort")</f>
        <v>isort</v>
      </c>
      <c r="D840" s="4" t="s">
        <v>1740</v>
      </c>
      <c r="E840" s="5">
        <v>41519.932557870372</v>
      </c>
      <c r="F840" s="5">
        <v>44295.082430555558</v>
      </c>
      <c r="G840" s="13">
        <f t="shared" si="78"/>
        <v>2775.149872685186</v>
      </c>
      <c r="H840" s="6" t="b">
        <v>0</v>
      </c>
      <c r="I840" s="7" t="b">
        <v>1</v>
      </c>
      <c r="J840" s="8">
        <v>3786</v>
      </c>
      <c r="K840" s="8">
        <v>35</v>
      </c>
      <c r="L840" s="8">
        <v>385</v>
      </c>
      <c r="M840" s="8">
        <v>92</v>
      </c>
      <c r="N840" s="8">
        <v>29</v>
      </c>
      <c r="O840" s="8">
        <v>206</v>
      </c>
      <c r="P840" s="8">
        <v>772</v>
      </c>
      <c r="Q840" s="8">
        <v>1</v>
      </c>
      <c r="R840" s="8">
        <v>931</v>
      </c>
      <c r="S840" s="8">
        <v>23</v>
      </c>
      <c r="T840" s="3" t="s">
        <v>72</v>
      </c>
      <c r="U840" s="10">
        <v>8796</v>
      </c>
      <c r="V840" s="32">
        <v>8</v>
      </c>
      <c r="W840" s="27">
        <v>9.0950432014552066E-4</v>
      </c>
      <c r="X840" s="34">
        <v>0</v>
      </c>
      <c r="Y840" s="27">
        <v>0</v>
      </c>
      <c r="Z840" s="27">
        <v>0</v>
      </c>
      <c r="AA840" s="35">
        <v>0</v>
      </c>
      <c r="AB840" s="27">
        <v>0</v>
      </c>
      <c r="AC840" s="27">
        <f t="shared" si="79"/>
        <v>0</v>
      </c>
      <c r="AD840" s="36">
        <v>0</v>
      </c>
      <c r="AE840" s="27">
        <v>0</v>
      </c>
      <c r="AF840" s="27">
        <f t="shared" si="80"/>
        <v>0</v>
      </c>
      <c r="AG840" s="37">
        <v>8</v>
      </c>
      <c r="AH840" s="27">
        <v>1</v>
      </c>
      <c r="AI840" s="27">
        <f t="shared" si="81"/>
        <v>9.0950432014552066E-4</v>
      </c>
      <c r="AJ840" s="38">
        <v>0</v>
      </c>
      <c r="AK840" s="27">
        <v>0</v>
      </c>
      <c r="AL840" s="27">
        <f t="shared" si="82"/>
        <v>0</v>
      </c>
      <c r="AM840" s="40">
        <v>0</v>
      </c>
      <c r="AN840" s="27">
        <v>0</v>
      </c>
      <c r="AO840" s="27">
        <f t="shared" si="83"/>
        <v>0</v>
      </c>
      <c r="AP840" s="7" t="b">
        <v>1</v>
      </c>
      <c r="AQ840" s="6" t="b">
        <v>0</v>
      </c>
      <c r="AR840" s="6" t="b">
        <v>0</v>
      </c>
      <c r="AS840" s="6" t="b">
        <v>0</v>
      </c>
      <c r="AT840" s="7" t="b">
        <v>1</v>
      </c>
      <c r="AU840" s="6" t="b">
        <v>0</v>
      </c>
      <c r="AV840" s="6" t="b">
        <v>0</v>
      </c>
      <c r="AW840" s="6" t="b">
        <v>0</v>
      </c>
      <c r="AX840" s="6" t="b">
        <v>0</v>
      </c>
      <c r="AY840" s="6" t="b">
        <v>0</v>
      </c>
      <c r="AZ840" s="6" t="b">
        <v>0</v>
      </c>
      <c r="BA840" s="6" t="b">
        <v>0</v>
      </c>
      <c r="BB840" s="6" t="b">
        <v>0</v>
      </c>
    </row>
    <row r="841" spans="1:54" ht="15" x14ac:dyDescent="0.25">
      <c r="A841" s="3" t="s">
        <v>1741</v>
      </c>
      <c r="B841" s="3" t="str">
        <f ca="1">IFERROR(__xludf.DUMMYFUNCTION("SPLIT(A841,""/"")"),"PyCQA")</f>
        <v>PyCQA</v>
      </c>
      <c r="C841" s="3" t="str">
        <f ca="1">IFERROR(__xludf.DUMMYFUNCTION("""COMPUTED_VALUE"""),"prospector")</f>
        <v>prospector</v>
      </c>
      <c r="D841" s="4" t="s">
        <v>1742</v>
      </c>
      <c r="E841" s="5">
        <v>41491.310069444444</v>
      </c>
      <c r="F841" s="5">
        <v>44293.780624999999</v>
      </c>
      <c r="G841" s="13">
        <f t="shared" si="78"/>
        <v>2802.4705555555556</v>
      </c>
      <c r="H841" s="6" t="b">
        <v>0</v>
      </c>
      <c r="I841" s="7" t="b">
        <v>1</v>
      </c>
      <c r="J841" s="8">
        <v>1410</v>
      </c>
      <c r="K841" s="8">
        <v>35</v>
      </c>
      <c r="L841" s="8">
        <v>120</v>
      </c>
      <c r="M841" s="8">
        <v>21</v>
      </c>
      <c r="N841" s="8">
        <v>13</v>
      </c>
      <c r="O841" s="8">
        <v>58</v>
      </c>
      <c r="P841" s="8">
        <v>159</v>
      </c>
      <c r="Q841" s="8">
        <v>8</v>
      </c>
      <c r="R841" s="8">
        <v>255</v>
      </c>
      <c r="S841" s="8">
        <v>44</v>
      </c>
      <c r="T841" s="3" t="s">
        <v>64</v>
      </c>
      <c r="U841" s="10">
        <v>2726</v>
      </c>
      <c r="V841" s="32">
        <v>2</v>
      </c>
      <c r="W841" s="27">
        <v>7.3367571533382249E-4</v>
      </c>
      <c r="X841" s="34">
        <v>0</v>
      </c>
      <c r="Y841" s="27">
        <v>0</v>
      </c>
      <c r="Z841" s="27">
        <v>0</v>
      </c>
      <c r="AA841" s="35">
        <v>0</v>
      </c>
      <c r="AB841" s="27">
        <v>0</v>
      </c>
      <c r="AC841" s="27">
        <f t="shared" si="79"/>
        <v>0</v>
      </c>
      <c r="AD841" s="36">
        <v>2</v>
      </c>
      <c r="AE841" s="27">
        <v>1</v>
      </c>
      <c r="AF841" s="27">
        <f t="shared" si="80"/>
        <v>7.3367571533382249E-4</v>
      </c>
      <c r="AG841" s="37">
        <v>0</v>
      </c>
      <c r="AH841" s="27">
        <v>0</v>
      </c>
      <c r="AI841" s="27">
        <f t="shared" si="81"/>
        <v>0</v>
      </c>
      <c r="AJ841" s="38">
        <v>0</v>
      </c>
      <c r="AK841" s="27">
        <v>0</v>
      </c>
      <c r="AL841" s="27">
        <f t="shared" si="82"/>
        <v>0</v>
      </c>
      <c r="AM841" s="40">
        <v>0</v>
      </c>
      <c r="AN841" s="27">
        <v>0</v>
      </c>
      <c r="AO841" s="27">
        <f t="shared" si="83"/>
        <v>0</v>
      </c>
      <c r="AP841" s="7" t="b">
        <v>1</v>
      </c>
      <c r="AQ841" s="6" t="b">
        <v>0</v>
      </c>
      <c r="AR841" s="6" t="b">
        <v>0</v>
      </c>
      <c r="AS841" s="6" t="b">
        <v>0</v>
      </c>
      <c r="AT841" s="7" t="b">
        <v>1</v>
      </c>
      <c r="AU841" s="6" t="b">
        <v>0</v>
      </c>
      <c r="AV841" s="6" t="b">
        <v>0</v>
      </c>
      <c r="AW841" s="6" t="b">
        <v>0</v>
      </c>
      <c r="AX841" s="6" t="b">
        <v>0</v>
      </c>
      <c r="AY841" s="6" t="b">
        <v>0</v>
      </c>
      <c r="AZ841" s="6" t="b">
        <v>0</v>
      </c>
      <c r="BA841" s="6" t="b">
        <v>0</v>
      </c>
      <c r="BB841" s="6" t="b">
        <v>0</v>
      </c>
    </row>
    <row r="842" spans="1:54" ht="15" x14ac:dyDescent="0.25">
      <c r="A842" s="3" t="s">
        <v>1743</v>
      </c>
      <c r="B842" s="3" t="str">
        <f ca="1">IFERROR(__xludf.DUMMYFUNCTION("SPLIT(A842,""/"")"),"PyCQA")</f>
        <v>PyCQA</v>
      </c>
      <c r="C842" s="3" t="str">
        <f ca="1">IFERROR(__xludf.DUMMYFUNCTION("""COMPUTED_VALUE"""),"pylint")</f>
        <v>pylint</v>
      </c>
      <c r="D842" s="4" t="s">
        <v>1744</v>
      </c>
      <c r="E842" s="5">
        <v>42347.236134259256</v>
      </c>
      <c r="F842" s="5">
        <v>44294.699155092596</v>
      </c>
      <c r="G842" s="13">
        <f t="shared" si="78"/>
        <v>1947.4630208333401</v>
      </c>
      <c r="H842" s="6" t="b">
        <v>0</v>
      </c>
      <c r="I842" s="7" t="b">
        <v>1</v>
      </c>
      <c r="J842" s="8">
        <v>3274</v>
      </c>
      <c r="K842" s="8">
        <v>71</v>
      </c>
      <c r="L842" s="8">
        <v>667</v>
      </c>
      <c r="M842" s="8">
        <v>12</v>
      </c>
      <c r="N842" s="8">
        <v>39</v>
      </c>
      <c r="O842" s="8">
        <v>325</v>
      </c>
      <c r="P842" s="8">
        <v>1003</v>
      </c>
      <c r="Q842" s="8">
        <v>21</v>
      </c>
      <c r="R842" s="8">
        <v>3322</v>
      </c>
      <c r="S842" s="8">
        <v>680</v>
      </c>
      <c r="T842" s="3" t="s">
        <v>64</v>
      </c>
      <c r="U842" s="10">
        <v>33715</v>
      </c>
      <c r="V842" s="32">
        <v>34</v>
      </c>
      <c r="W842" s="27">
        <v>1.0084532107370607E-3</v>
      </c>
      <c r="X842" s="34">
        <v>7</v>
      </c>
      <c r="Y842" s="27">
        <v>0.20588235294117646</v>
      </c>
      <c r="Z842" s="27">
        <v>2.0762271985763013E-4</v>
      </c>
      <c r="AA842" s="35">
        <v>13</v>
      </c>
      <c r="AB842" s="27">
        <v>0.38235294117647056</v>
      </c>
      <c r="AC842" s="27">
        <f t="shared" si="79"/>
        <v>3.8558505116417026E-4</v>
      </c>
      <c r="AD842" s="36">
        <v>12</v>
      </c>
      <c r="AE842" s="27">
        <v>0.35294117647058826</v>
      </c>
      <c r="AF842" s="27">
        <f t="shared" si="80"/>
        <v>3.5592466261308021E-4</v>
      </c>
      <c r="AG842" s="37">
        <v>1</v>
      </c>
      <c r="AH842" s="27">
        <v>2.9411764705882353E-2</v>
      </c>
      <c r="AI842" s="27">
        <f t="shared" si="81"/>
        <v>2.9660388551090019E-5</v>
      </c>
      <c r="AJ842" s="38">
        <v>0</v>
      </c>
      <c r="AK842" s="27">
        <v>0</v>
      </c>
      <c r="AL842" s="27">
        <f t="shared" si="82"/>
        <v>0</v>
      </c>
      <c r="AM842" s="40">
        <v>1</v>
      </c>
      <c r="AN842" s="27">
        <v>2.9411764705882353E-2</v>
      </c>
      <c r="AO842" s="27">
        <f t="shared" si="83"/>
        <v>2.9660388551090019E-5</v>
      </c>
      <c r="AP842" s="7" t="b">
        <v>1</v>
      </c>
      <c r="AQ842" s="6" t="b">
        <v>0</v>
      </c>
      <c r="AR842" s="6" t="b">
        <v>0</v>
      </c>
      <c r="AS842" s="6" t="b">
        <v>0</v>
      </c>
      <c r="AT842" s="7" t="b">
        <v>1</v>
      </c>
      <c r="AU842" s="6" t="b">
        <v>0</v>
      </c>
      <c r="AV842" s="6" t="b">
        <v>0</v>
      </c>
      <c r="AW842" s="6" t="b">
        <v>0</v>
      </c>
      <c r="AX842" s="6" t="b">
        <v>0</v>
      </c>
      <c r="AY842" s="6" t="b">
        <v>0</v>
      </c>
      <c r="AZ842" s="6" t="b">
        <v>0</v>
      </c>
      <c r="BA842" s="6" t="b">
        <v>0</v>
      </c>
      <c r="BB842" s="6" t="b">
        <v>0</v>
      </c>
    </row>
    <row r="843" spans="1:54" ht="15" x14ac:dyDescent="0.25">
      <c r="A843" s="3" t="s">
        <v>1745</v>
      </c>
      <c r="B843" s="3" t="str">
        <f ca="1">IFERROR(__xludf.DUMMYFUNCTION("SPLIT(A843,""/"")"),"pydanny")</f>
        <v>pydanny</v>
      </c>
      <c r="C843" s="3" t="str">
        <f ca="1">IFERROR(__xludf.DUMMYFUNCTION("""COMPUTED_VALUE"""),"cookiecutter-django")</f>
        <v>cookiecutter-django</v>
      </c>
      <c r="D843" s="4" t="s">
        <v>1746</v>
      </c>
      <c r="E843" s="5">
        <v>41500.738553240742</v>
      </c>
      <c r="F843" s="5">
        <v>44295.099791666667</v>
      </c>
      <c r="G843" s="13">
        <f t="shared" si="78"/>
        <v>2794.361238425925</v>
      </c>
      <c r="H843" s="6" t="b">
        <v>0</v>
      </c>
      <c r="I843" s="6" t="b">
        <v>0</v>
      </c>
      <c r="J843" s="8">
        <v>7949</v>
      </c>
      <c r="K843" s="8">
        <v>206</v>
      </c>
      <c r="L843" s="8">
        <v>1996</v>
      </c>
      <c r="M843" s="8">
        <v>21</v>
      </c>
      <c r="N843" s="8">
        <v>120</v>
      </c>
      <c r="O843" s="8">
        <v>295</v>
      </c>
      <c r="P843" s="8">
        <v>2181</v>
      </c>
      <c r="Q843" s="8">
        <v>28</v>
      </c>
      <c r="R843" s="8">
        <v>938</v>
      </c>
      <c r="S843" s="8">
        <v>105</v>
      </c>
      <c r="T843" s="3" t="s">
        <v>57</v>
      </c>
      <c r="U843" s="10">
        <v>1361</v>
      </c>
      <c r="V843" s="32">
        <v>0</v>
      </c>
      <c r="W843" s="27">
        <v>0</v>
      </c>
      <c r="X843" s="34">
        <v>0</v>
      </c>
      <c r="Y843" s="27">
        <v>0</v>
      </c>
      <c r="Z843" s="27">
        <v>0</v>
      </c>
      <c r="AA843" s="35">
        <v>0</v>
      </c>
      <c r="AB843" s="27">
        <v>0</v>
      </c>
      <c r="AC843" s="27">
        <f t="shared" si="79"/>
        <v>0</v>
      </c>
      <c r="AD843" s="36">
        <v>0</v>
      </c>
      <c r="AE843" s="27">
        <v>0</v>
      </c>
      <c r="AF843" s="27">
        <f t="shared" si="80"/>
        <v>0</v>
      </c>
      <c r="AG843" s="37">
        <v>0</v>
      </c>
      <c r="AH843" s="27">
        <v>0</v>
      </c>
      <c r="AI843" s="27">
        <f t="shared" si="81"/>
        <v>0</v>
      </c>
      <c r="AJ843" s="38">
        <v>0</v>
      </c>
      <c r="AK843" s="27">
        <v>0</v>
      </c>
      <c r="AL843" s="27">
        <f t="shared" si="82"/>
        <v>0</v>
      </c>
      <c r="AM843" s="40">
        <v>0</v>
      </c>
      <c r="AN843" s="27">
        <v>0</v>
      </c>
      <c r="AO843" s="27">
        <f t="shared" si="83"/>
        <v>0</v>
      </c>
      <c r="AP843" s="7" t="b">
        <v>1</v>
      </c>
      <c r="AQ843" s="6" t="b">
        <v>0</v>
      </c>
      <c r="AR843" s="6" t="b">
        <v>0</v>
      </c>
      <c r="AS843" s="6" t="b">
        <v>0</v>
      </c>
      <c r="AT843" s="7" t="b">
        <v>1</v>
      </c>
      <c r="AU843" s="6" t="b">
        <v>0</v>
      </c>
      <c r="AV843" s="6" t="b">
        <v>0</v>
      </c>
      <c r="AW843" s="6" t="b">
        <v>0</v>
      </c>
      <c r="AX843" s="6" t="b">
        <v>0</v>
      </c>
      <c r="AY843" s="6" t="b">
        <v>0</v>
      </c>
      <c r="AZ843" s="6" t="b">
        <v>0</v>
      </c>
      <c r="BA843" s="6" t="b">
        <v>0</v>
      </c>
      <c r="BB843" s="6" t="b">
        <v>0</v>
      </c>
    </row>
    <row r="844" spans="1:54" ht="15" x14ac:dyDescent="0.25">
      <c r="A844" s="3" t="s">
        <v>1747</v>
      </c>
      <c r="B844" s="3" t="str">
        <f ca="1">IFERROR(__xludf.DUMMYFUNCTION("SPLIT(A844,""/"")"),"pyinstaller")</f>
        <v>pyinstaller</v>
      </c>
      <c r="C844" s="3" t="str">
        <f ca="1">IFERROR(__xludf.DUMMYFUNCTION("""COMPUTED_VALUE"""),"pyinstaller")</f>
        <v>pyinstaller</v>
      </c>
      <c r="D844" s="4" t="s">
        <v>1748</v>
      </c>
      <c r="E844" s="5">
        <v>40870.462453703702</v>
      </c>
      <c r="F844" s="5">
        <v>44294.6250462963</v>
      </c>
      <c r="G844" s="13">
        <f t="shared" si="78"/>
        <v>3424.1625925925982</v>
      </c>
      <c r="H844" s="6" t="b">
        <v>0</v>
      </c>
      <c r="I844" s="7" t="b">
        <v>1</v>
      </c>
      <c r="J844" s="8">
        <v>7882</v>
      </c>
      <c r="K844" s="8">
        <v>235</v>
      </c>
      <c r="L844" s="8">
        <v>1520</v>
      </c>
      <c r="M844" s="8">
        <v>27</v>
      </c>
      <c r="N844" s="8">
        <v>513</v>
      </c>
      <c r="O844" s="8">
        <v>349</v>
      </c>
      <c r="P844" s="8">
        <v>1616</v>
      </c>
      <c r="Q844" s="8">
        <v>25</v>
      </c>
      <c r="R844" s="8">
        <v>4052</v>
      </c>
      <c r="S844" s="8">
        <v>344</v>
      </c>
      <c r="T844" s="3" t="s">
        <v>92</v>
      </c>
      <c r="U844" s="10">
        <v>19241</v>
      </c>
      <c r="V844" s="32">
        <v>275</v>
      </c>
      <c r="W844" s="27">
        <v>1.4292396445091211E-2</v>
      </c>
      <c r="X844" s="34">
        <v>66</v>
      </c>
      <c r="Y844" s="27">
        <v>0.24</v>
      </c>
      <c r="Z844" s="27">
        <v>3.4301751468218907E-3</v>
      </c>
      <c r="AA844" s="35">
        <v>109</v>
      </c>
      <c r="AB844" s="27">
        <v>0.39636363636363636</v>
      </c>
      <c r="AC844" s="27">
        <f t="shared" si="79"/>
        <v>5.664986227327062E-3</v>
      </c>
      <c r="AD844" s="36">
        <v>63</v>
      </c>
      <c r="AE844" s="27">
        <v>0.2290909090909091</v>
      </c>
      <c r="AF844" s="27">
        <f t="shared" si="80"/>
        <v>3.2742580946936231E-3</v>
      </c>
      <c r="AG844" s="37">
        <v>37</v>
      </c>
      <c r="AH844" s="27">
        <v>0.13454545454545455</v>
      </c>
      <c r="AI844" s="27">
        <f t="shared" si="81"/>
        <v>1.9229769762486358E-3</v>
      </c>
      <c r="AJ844" s="38">
        <v>0</v>
      </c>
      <c r="AK844" s="27">
        <v>0</v>
      </c>
      <c r="AL844" s="27">
        <f t="shared" si="82"/>
        <v>0</v>
      </c>
      <c r="AM844" s="40">
        <v>0</v>
      </c>
      <c r="AN844" s="27">
        <v>0</v>
      </c>
      <c r="AO844" s="27">
        <f t="shared" si="83"/>
        <v>0</v>
      </c>
      <c r="AP844" s="7" t="b">
        <v>1</v>
      </c>
      <c r="AQ844" s="6" t="b">
        <v>0</v>
      </c>
      <c r="AR844" s="6" t="b">
        <v>0</v>
      </c>
      <c r="AS844" s="6" t="b">
        <v>0</v>
      </c>
      <c r="AT844" s="7" t="b">
        <v>1</v>
      </c>
      <c r="AU844" s="6" t="b">
        <v>0</v>
      </c>
      <c r="AV844" s="6" t="b">
        <v>0</v>
      </c>
      <c r="AW844" s="6" t="b">
        <v>0</v>
      </c>
      <c r="AX844" s="6" t="b">
        <v>0</v>
      </c>
      <c r="AY844" s="6" t="b">
        <v>0</v>
      </c>
      <c r="AZ844" s="6" t="b">
        <v>0</v>
      </c>
      <c r="BA844" s="6" t="b">
        <v>0</v>
      </c>
      <c r="BB844" s="6" t="b">
        <v>0</v>
      </c>
    </row>
    <row r="845" spans="1:54" ht="15" x14ac:dyDescent="0.25">
      <c r="A845" s="3" t="s">
        <v>1749</v>
      </c>
      <c r="B845" s="3" t="str">
        <f ca="1">IFERROR(__xludf.DUMMYFUNCTION("SPLIT(A845,""/"")"),"pykaldi")</f>
        <v>pykaldi</v>
      </c>
      <c r="C845" s="3" t="str">
        <f ca="1">IFERROR(__xludf.DUMMYFUNCTION("""COMPUTED_VALUE"""),"pykaldi")</f>
        <v>pykaldi</v>
      </c>
      <c r="D845" s="4" t="s">
        <v>1750</v>
      </c>
      <c r="E845" s="5">
        <v>42905.753692129627</v>
      </c>
      <c r="F845" s="5">
        <v>44293.600624999999</v>
      </c>
      <c r="G845" s="13">
        <f t="shared" si="78"/>
        <v>1387.8469328703723</v>
      </c>
      <c r="H845" s="6" t="b">
        <v>0</v>
      </c>
      <c r="I845" s="7" t="b">
        <v>1</v>
      </c>
      <c r="J845" s="8">
        <v>766</v>
      </c>
      <c r="K845" s="8">
        <v>42</v>
      </c>
      <c r="L845" s="8">
        <v>204</v>
      </c>
      <c r="M845" s="8">
        <v>0</v>
      </c>
      <c r="N845" s="8">
        <v>36</v>
      </c>
      <c r="O845" s="8">
        <v>13</v>
      </c>
      <c r="P845" s="8">
        <v>35</v>
      </c>
      <c r="Q845" s="8">
        <v>5</v>
      </c>
      <c r="R845" s="8">
        <v>229</v>
      </c>
      <c r="S845" s="8">
        <v>69</v>
      </c>
      <c r="T845" s="3" t="s">
        <v>69</v>
      </c>
      <c r="U845" s="10">
        <v>8543</v>
      </c>
      <c r="V845" s="32">
        <v>31</v>
      </c>
      <c r="W845" s="27">
        <v>3.6287018611728902E-3</v>
      </c>
      <c r="X845" s="34">
        <v>1</v>
      </c>
      <c r="Y845" s="27">
        <v>3.2258064516129031E-2</v>
      </c>
      <c r="Z845" s="27">
        <v>1.1705489874751258E-4</v>
      </c>
      <c r="AA845" s="35">
        <v>7</v>
      </c>
      <c r="AB845" s="27">
        <v>0.22580645161290322</v>
      </c>
      <c r="AC845" s="27">
        <f t="shared" si="79"/>
        <v>8.1938429123258811E-4</v>
      </c>
      <c r="AD845" s="36">
        <v>16</v>
      </c>
      <c r="AE845" s="27">
        <v>0.5161290322580645</v>
      </c>
      <c r="AF845" s="27">
        <f t="shared" si="80"/>
        <v>1.8728783799602012E-3</v>
      </c>
      <c r="AG845" s="37">
        <v>5</v>
      </c>
      <c r="AH845" s="27">
        <v>0.16129032258064516</v>
      </c>
      <c r="AI845" s="27">
        <f t="shared" si="81"/>
        <v>5.8527449373756287E-4</v>
      </c>
      <c r="AJ845" s="38">
        <v>0</v>
      </c>
      <c r="AK845" s="27">
        <v>0</v>
      </c>
      <c r="AL845" s="27">
        <f t="shared" si="82"/>
        <v>0</v>
      </c>
      <c r="AM845" s="40">
        <v>2</v>
      </c>
      <c r="AN845" s="27">
        <v>6.4516129032258063E-2</v>
      </c>
      <c r="AO845" s="27">
        <f t="shared" si="83"/>
        <v>2.3410979749502515E-4</v>
      </c>
      <c r="AP845" s="7" t="b">
        <v>1</v>
      </c>
      <c r="AQ845" s="6" t="b">
        <v>0</v>
      </c>
      <c r="AR845" s="6" t="b">
        <v>0</v>
      </c>
      <c r="AS845" s="6" t="b">
        <v>0</v>
      </c>
      <c r="AT845" s="7" t="b">
        <v>1</v>
      </c>
      <c r="AU845" s="6" t="b">
        <v>0</v>
      </c>
      <c r="AV845" s="6" t="b">
        <v>0</v>
      </c>
      <c r="AW845" s="6" t="b">
        <v>0</v>
      </c>
      <c r="AX845" s="6" t="b">
        <v>0</v>
      </c>
      <c r="AY845" s="6" t="b">
        <v>0</v>
      </c>
      <c r="AZ845" s="6" t="b">
        <v>0</v>
      </c>
      <c r="BA845" s="6" t="b">
        <v>0</v>
      </c>
      <c r="BB845" s="6" t="b">
        <v>0</v>
      </c>
    </row>
    <row r="846" spans="1:54" ht="15" x14ac:dyDescent="0.25">
      <c r="A846" s="3" t="s">
        <v>1751</v>
      </c>
      <c r="B846" s="3" t="str">
        <f ca="1">IFERROR(__xludf.DUMMYFUNCTION("SPLIT(A846,""/"")"),"pyload")</f>
        <v>pyload</v>
      </c>
      <c r="C846" s="3" t="str">
        <f ca="1">IFERROR(__xludf.DUMMYFUNCTION("""COMPUTED_VALUE"""),"pyload")</f>
        <v>pyload</v>
      </c>
      <c r="D846" s="4" t="s">
        <v>1752</v>
      </c>
      <c r="E846" s="5">
        <v>41315.550023148149</v>
      </c>
      <c r="F846" s="5">
        <v>44294.802465277775</v>
      </c>
      <c r="G846" s="13">
        <f t="shared" si="78"/>
        <v>2979.2524421296257</v>
      </c>
      <c r="H846" s="6" t="b">
        <v>0</v>
      </c>
      <c r="I846" s="7" t="b">
        <v>1</v>
      </c>
      <c r="J846" s="8">
        <v>2153</v>
      </c>
      <c r="K846" s="8">
        <v>138</v>
      </c>
      <c r="L846" s="8">
        <v>593</v>
      </c>
      <c r="M846" s="8">
        <v>17</v>
      </c>
      <c r="N846" s="8">
        <v>214</v>
      </c>
      <c r="O846" s="8">
        <v>150</v>
      </c>
      <c r="P846" s="8">
        <v>1151</v>
      </c>
      <c r="Q846" s="8">
        <v>25</v>
      </c>
      <c r="R846" s="8">
        <v>2758</v>
      </c>
      <c r="S846" s="8">
        <v>133</v>
      </c>
      <c r="T846" s="3" t="s">
        <v>92</v>
      </c>
      <c r="U846" s="10">
        <v>30836</v>
      </c>
      <c r="V846" s="32">
        <v>240</v>
      </c>
      <c r="W846" s="27">
        <v>7.7831106498897394E-3</v>
      </c>
      <c r="X846" s="34">
        <v>45</v>
      </c>
      <c r="Y846" s="27">
        <v>0.1875</v>
      </c>
      <c r="Z846" s="27">
        <v>1.4593332468543262E-3</v>
      </c>
      <c r="AA846" s="35">
        <v>34</v>
      </c>
      <c r="AB846" s="27">
        <v>0.14166666666666666</v>
      </c>
      <c r="AC846" s="27">
        <f t="shared" si="79"/>
        <v>1.1026073420677132E-3</v>
      </c>
      <c r="AD846" s="36">
        <v>31</v>
      </c>
      <c r="AE846" s="27">
        <v>0.12916666666666668</v>
      </c>
      <c r="AF846" s="27">
        <f t="shared" si="80"/>
        <v>1.0053184589440913E-3</v>
      </c>
      <c r="AG846" s="37">
        <v>127</v>
      </c>
      <c r="AH846" s="27">
        <v>0.52916666666666667</v>
      </c>
      <c r="AI846" s="27">
        <f t="shared" si="81"/>
        <v>4.1185627188999874E-3</v>
      </c>
      <c r="AJ846" s="38">
        <v>3</v>
      </c>
      <c r="AK846" s="27">
        <v>1.2500000000000001E-2</v>
      </c>
      <c r="AL846" s="27">
        <f t="shared" si="82"/>
        <v>9.7288883123621738E-5</v>
      </c>
      <c r="AM846" s="40">
        <v>0</v>
      </c>
      <c r="AN846" s="27">
        <v>0</v>
      </c>
      <c r="AO846" s="27">
        <f t="shared" si="83"/>
        <v>0</v>
      </c>
      <c r="AP846" s="7" t="b">
        <v>1</v>
      </c>
      <c r="AQ846" s="6" t="b">
        <v>0</v>
      </c>
      <c r="AR846" s="6" t="b">
        <v>0</v>
      </c>
      <c r="AS846" s="6" t="b">
        <v>0</v>
      </c>
      <c r="AT846" s="7" t="b">
        <v>1</v>
      </c>
      <c r="AU846" s="6" t="b">
        <v>0</v>
      </c>
      <c r="AV846" s="6" t="b">
        <v>0</v>
      </c>
      <c r="AW846" s="6" t="b">
        <v>0</v>
      </c>
      <c r="AX846" s="6" t="b">
        <v>0</v>
      </c>
      <c r="AY846" s="6" t="b">
        <v>0</v>
      </c>
      <c r="AZ846" s="6" t="b">
        <v>0</v>
      </c>
      <c r="BA846" s="6" t="b">
        <v>0</v>
      </c>
      <c r="BB846" s="6" t="b">
        <v>0</v>
      </c>
    </row>
    <row r="847" spans="1:54" ht="15" x14ac:dyDescent="0.25">
      <c r="A847" s="3" t="s">
        <v>1753</v>
      </c>
      <c r="B847" s="3" t="str">
        <f ca="1">IFERROR(__xludf.DUMMYFUNCTION("SPLIT(A847,""/"")"),"pymc-devs")</f>
        <v>pymc-devs</v>
      </c>
      <c r="C847" s="3" t="str">
        <f ca="1">IFERROR(__xludf.DUMMYFUNCTION("""COMPUTED_VALUE"""),"pymc3")</f>
        <v>pymc3</v>
      </c>
      <c r="D847" s="4" t="s">
        <v>1754</v>
      </c>
      <c r="E847" s="5">
        <v>39938.405439814815</v>
      </c>
      <c r="F847" s="5">
        <v>44294.884594907409</v>
      </c>
      <c r="G847" s="13">
        <f t="shared" si="78"/>
        <v>4356.4791550925947</v>
      </c>
      <c r="H847" s="6" t="b">
        <v>0</v>
      </c>
      <c r="I847" s="7" t="b">
        <v>1</v>
      </c>
      <c r="J847" s="8">
        <v>5674</v>
      </c>
      <c r="K847" s="8">
        <v>251</v>
      </c>
      <c r="L847" s="8">
        <v>1302</v>
      </c>
      <c r="M847" s="8">
        <v>26</v>
      </c>
      <c r="N847" s="8">
        <v>203</v>
      </c>
      <c r="O847" s="8">
        <v>279</v>
      </c>
      <c r="P847" s="8">
        <v>2413</v>
      </c>
      <c r="Q847" s="8">
        <v>23</v>
      </c>
      <c r="R847" s="8">
        <v>2203</v>
      </c>
      <c r="S847" s="8">
        <v>170</v>
      </c>
      <c r="T847" s="3" t="s">
        <v>92</v>
      </c>
      <c r="U847" s="10">
        <v>27287</v>
      </c>
      <c r="V847" s="32">
        <v>120</v>
      </c>
      <c r="W847" s="27">
        <v>4.3976985377652362E-3</v>
      </c>
      <c r="X847" s="34">
        <v>8</v>
      </c>
      <c r="Y847" s="27">
        <v>6.6666666666666666E-2</v>
      </c>
      <c r="Z847" s="27">
        <v>2.9317990251768241E-4</v>
      </c>
      <c r="AA847" s="35">
        <v>25</v>
      </c>
      <c r="AB847" s="27">
        <v>0.20833333333333334</v>
      </c>
      <c r="AC847" s="27">
        <f t="shared" si="79"/>
        <v>9.1618719536775751E-4</v>
      </c>
      <c r="AD847" s="36">
        <v>51</v>
      </c>
      <c r="AE847" s="27">
        <v>0.42499999999999999</v>
      </c>
      <c r="AF847" s="27">
        <f t="shared" si="80"/>
        <v>1.8690218785502254E-3</v>
      </c>
      <c r="AG847" s="37">
        <v>2</v>
      </c>
      <c r="AH847" s="27">
        <v>1.6666666666666666E-2</v>
      </c>
      <c r="AI847" s="27">
        <f t="shared" si="81"/>
        <v>7.3294975629420602E-5</v>
      </c>
      <c r="AJ847" s="38">
        <v>0</v>
      </c>
      <c r="AK847" s="27">
        <v>0</v>
      </c>
      <c r="AL847" s="27">
        <f t="shared" si="82"/>
        <v>0</v>
      </c>
      <c r="AM847" s="40">
        <v>28</v>
      </c>
      <c r="AN847" s="27">
        <v>0.23333333333333334</v>
      </c>
      <c r="AO847" s="27">
        <f t="shared" si="83"/>
        <v>1.0261296588118885E-3</v>
      </c>
      <c r="AP847" s="7" t="b">
        <v>1</v>
      </c>
      <c r="AQ847" s="6" t="b">
        <v>0</v>
      </c>
      <c r="AR847" s="6" t="b">
        <v>0</v>
      </c>
      <c r="AS847" s="6" t="b">
        <v>0</v>
      </c>
      <c r="AT847" s="7" t="b">
        <v>1</v>
      </c>
      <c r="AU847" s="6" t="b">
        <v>0</v>
      </c>
      <c r="AV847" s="6" t="b">
        <v>0</v>
      </c>
      <c r="AW847" s="6" t="b">
        <v>0</v>
      </c>
      <c r="AX847" s="6" t="b">
        <v>0</v>
      </c>
      <c r="AY847" s="6" t="b">
        <v>0</v>
      </c>
      <c r="AZ847" s="6" t="b">
        <v>0</v>
      </c>
      <c r="BA847" s="6" t="b">
        <v>0</v>
      </c>
      <c r="BB847" s="6" t="b">
        <v>0</v>
      </c>
    </row>
    <row r="848" spans="1:54" ht="15" x14ac:dyDescent="0.25">
      <c r="A848" s="3" t="s">
        <v>1755</v>
      </c>
      <c r="B848" s="3" t="str">
        <f ca="1">IFERROR(__xludf.DUMMYFUNCTION("SPLIT(A848,""/"")"),"pymedusa")</f>
        <v>pymedusa</v>
      </c>
      <c r="C848" s="3" t="str">
        <f ca="1">IFERROR(__xludf.DUMMYFUNCTION("""COMPUTED_VALUE"""),"Medusa")</f>
        <v>Medusa</v>
      </c>
      <c r="D848" s="4" t="s">
        <v>1756</v>
      </c>
      <c r="E848" s="5">
        <v>42423.251516203702</v>
      </c>
      <c r="F848" s="5">
        <v>44294.282824074071</v>
      </c>
      <c r="G848" s="13">
        <f t="shared" si="78"/>
        <v>1871.0313078703693</v>
      </c>
      <c r="H848" s="6" t="b">
        <v>0</v>
      </c>
      <c r="I848" s="7" t="b">
        <v>1</v>
      </c>
      <c r="J848" s="8">
        <v>1277</v>
      </c>
      <c r="K848" s="8">
        <v>61</v>
      </c>
      <c r="L848" s="8">
        <v>209</v>
      </c>
      <c r="M848" s="8">
        <v>83</v>
      </c>
      <c r="N848" s="8">
        <v>457</v>
      </c>
      <c r="O848" s="8">
        <v>274</v>
      </c>
      <c r="P848" s="8">
        <v>4744</v>
      </c>
      <c r="Q848" s="8">
        <v>30</v>
      </c>
      <c r="R848" s="8">
        <v>4472</v>
      </c>
      <c r="S848" s="8">
        <v>133</v>
      </c>
      <c r="T848" s="3" t="s">
        <v>49</v>
      </c>
      <c r="U848" s="10">
        <v>241671</v>
      </c>
      <c r="V848" s="32">
        <v>3565</v>
      </c>
      <c r="W848" s="27">
        <v>1.4751459628999757E-2</v>
      </c>
      <c r="X848" s="34">
        <v>1710</v>
      </c>
      <c r="Y848" s="27">
        <v>0.4796633941093969</v>
      </c>
      <c r="Z848" s="27">
        <v>7.0757351937137678E-3</v>
      </c>
      <c r="AA848" s="35">
        <v>603</v>
      </c>
      <c r="AB848" s="27">
        <v>0.1691444600280505</v>
      </c>
      <c r="AC848" s="27">
        <f t="shared" si="79"/>
        <v>2.4951276735727499E-3</v>
      </c>
      <c r="AD848" s="36">
        <v>754</v>
      </c>
      <c r="AE848" s="27">
        <v>0.21150070126227208</v>
      </c>
      <c r="AF848" s="27">
        <f t="shared" si="80"/>
        <v>3.1199440561755446E-3</v>
      </c>
      <c r="AG848" s="37">
        <v>438</v>
      </c>
      <c r="AH848" s="27">
        <v>0.12286115007012623</v>
      </c>
      <c r="AI848" s="27">
        <f t="shared" si="81"/>
        <v>1.8123812952319475E-3</v>
      </c>
      <c r="AJ848" s="38">
        <v>1</v>
      </c>
      <c r="AK848" s="27">
        <v>2.8050490883590464E-4</v>
      </c>
      <c r="AL848" s="27">
        <f t="shared" si="82"/>
        <v>4.1378568384291036E-6</v>
      </c>
      <c r="AM848" s="40">
        <v>60</v>
      </c>
      <c r="AN848" s="27">
        <v>1.6830294530154277E-2</v>
      </c>
      <c r="AO848" s="27">
        <f t="shared" si="83"/>
        <v>2.4827141030574624E-4</v>
      </c>
      <c r="AP848" s="7" t="b">
        <v>1</v>
      </c>
      <c r="AQ848" s="6" t="b">
        <v>0</v>
      </c>
      <c r="AR848" s="6" t="b">
        <v>0</v>
      </c>
      <c r="AS848" s="6" t="b">
        <v>0</v>
      </c>
      <c r="AT848" s="7" t="b">
        <v>1</v>
      </c>
      <c r="AU848" s="6" t="b">
        <v>0</v>
      </c>
      <c r="AV848" s="6" t="b">
        <v>0</v>
      </c>
      <c r="AW848" s="6" t="b">
        <v>0</v>
      </c>
      <c r="AX848" s="6" t="b">
        <v>0</v>
      </c>
      <c r="AY848" s="6" t="b">
        <v>0</v>
      </c>
      <c r="AZ848" s="6" t="b">
        <v>0</v>
      </c>
      <c r="BA848" s="6" t="b">
        <v>0</v>
      </c>
      <c r="BB848" s="6" t="b">
        <v>0</v>
      </c>
    </row>
    <row r="849" spans="1:54" ht="15" x14ac:dyDescent="0.25">
      <c r="A849" s="3" t="s">
        <v>1757</v>
      </c>
      <c r="B849" s="3" t="str">
        <f ca="1">IFERROR(__xludf.DUMMYFUNCTION("SPLIT(A849,""/"")"),"pymssql")</f>
        <v>pymssql</v>
      </c>
      <c r="C849" s="3" t="str">
        <f ca="1">IFERROR(__xludf.DUMMYFUNCTION("""COMPUTED_VALUE"""),"pymssql")</f>
        <v>pymssql</v>
      </c>
      <c r="D849" s="4" t="s">
        <v>1758</v>
      </c>
      <c r="E849" s="5">
        <v>41526.632152777776</v>
      </c>
      <c r="F849" s="5">
        <v>44295.117812500001</v>
      </c>
      <c r="G849" s="13">
        <f t="shared" si="78"/>
        <v>2768.4856597222242</v>
      </c>
      <c r="H849" s="6" t="b">
        <v>0</v>
      </c>
      <c r="I849" s="7" t="b">
        <v>1</v>
      </c>
      <c r="J849" s="8">
        <v>566</v>
      </c>
      <c r="K849" s="8">
        <v>47</v>
      </c>
      <c r="L849" s="8">
        <v>246</v>
      </c>
      <c r="M849" s="8">
        <v>17</v>
      </c>
      <c r="N849" s="8">
        <v>8</v>
      </c>
      <c r="O849" s="8">
        <v>24</v>
      </c>
      <c r="P849" s="8">
        <v>245</v>
      </c>
      <c r="Q849" s="8">
        <v>25</v>
      </c>
      <c r="R849" s="8">
        <v>457</v>
      </c>
      <c r="S849" s="8">
        <v>106</v>
      </c>
      <c r="T849" s="3" t="s">
        <v>1410</v>
      </c>
      <c r="U849" s="10">
        <v>2498</v>
      </c>
      <c r="V849" s="32">
        <v>6</v>
      </c>
      <c r="W849" s="27">
        <v>2.4019215372297837E-3</v>
      </c>
      <c r="X849" s="34">
        <v>5</v>
      </c>
      <c r="Y849" s="27">
        <v>0.83333333333333337</v>
      </c>
      <c r="Z849" s="27">
        <v>2.0016012810248197E-3</v>
      </c>
      <c r="AA849" s="35">
        <v>1</v>
      </c>
      <c r="AB849" s="27">
        <v>0.16666666666666666</v>
      </c>
      <c r="AC849" s="27">
        <f t="shared" si="79"/>
        <v>4.0032025620496394E-4</v>
      </c>
      <c r="AD849" s="36">
        <v>0</v>
      </c>
      <c r="AE849" s="27">
        <v>0</v>
      </c>
      <c r="AF849" s="27">
        <f t="shared" si="80"/>
        <v>0</v>
      </c>
      <c r="AG849" s="37">
        <v>0</v>
      </c>
      <c r="AH849" s="27">
        <v>0</v>
      </c>
      <c r="AI849" s="27">
        <f t="shared" si="81"/>
        <v>0</v>
      </c>
      <c r="AJ849" s="38">
        <v>0</v>
      </c>
      <c r="AK849" s="27">
        <v>0</v>
      </c>
      <c r="AL849" s="27">
        <f t="shared" si="82"/>
        <v>0</v>
      </c>
      <c r="AM849" s="40">
        <v>0</v>
      </c>
      <c r="AN849" s="27">
        <v>0</v>
      </c>
      <c r="AO849" s="27">
        <f t="shared" si="83"/>
        <v>0</v>
      </c>
      <c r="AP849" s="7" t="b">
        <v>1</v>
      </c>
      <c r="AQ849" s="7" t="b">
        <v>1</v>
      </c>
      <c r="AR849" s="6" t="b">
        <v>0</v>
      </c>
      <c r="AS849" s="6" t="b">
        <v>0</v>
      </c>
      <c r="AT849" s="7" t="b">
        <v>1</v>
      </c>
      <c r="AU849" s="6" t="b">
        <v>0</v>
      </c>
      <c r="AV849" s="6" t="b">
        <v>0</v>
      </c>
      <c r="AW849" s="6" t="b">
        <v>0</v>
      </c>
      <c r="AX849" s="6" t="b">
        <v>0</v>
      </c>
      <c r="AY849" s="6" t="b">
        <v>0</v>
      </c>
      <c r="AZ849" s="6" t="b">
        <v>0</v>
      </c>
      <c r="BA849" s="6" t="b">
        <v>0</v>
      </c>
      <c r="BB849" s="6" t="b">
        <v>0</v>
      </c>
    </row>
    <row r="850" spans="1:54" ht="15" x14ac:dyDescent="0.25">
      <c r="A850" s="3" t="s">
        <v>1759</v>
      </c>
      <c r="B850" s="3" t="str">
        <f ca="1">IFERROR(__xludf.DUMMYFUNCTION("SPLIT(A850,""/"")"),"pyouroboros")</f>
        <v>pyouroboros</v>
      </c>
      <c r="C850" s="3" t="str">
        <f ca="1">IFERROR(__xludf.DUMMYFUNCTION("""COMPUTED_VALUE"""),"ouroboros")</f>
        <v>ouroboros</v>
      </c>
      <c r="D850" s="4" t="s">
        <v>1760</v>
      </c>
      <c r="E850" s="5">
        <v>43360.965914351851</v>
      </c>
      <c r="F850" s="5">
        <v>44294.69699074074</v>
      </c>
      <c r="G850" s="13">
        <f t="shared" si="78"/>
        <v>933.73107638888905</v>
      </c>
      <c r="H850" s="6" t="b">
        <v>0</v>
      </c>
      <c r="I850" s="7" t="b">
        <v>1</v>
      </c>
      <c r="J850" s="8">
        <v>1412</v>
      </c>
      <c r="K850" s="8">
        <v>24</v>
      </c>
      <c r="L850" s="8">
        <v>148</v>
      </c>
      <c r="M850" s="8">
        <v>33</v>
      </c>
      <c r="N850" s="8">
        <v>2</v>
      </c>
      <c r="O850" s="8">
        <v>13</v>
      </c>
      <c r="P850" s="8">
        <v>211</v>
      </c>
      <c r="Q850" s="8">
        <v>7</v>
      </c>
      <c r="R850" s="8">
        <v>0</v>
      </c>
      <c r="S850" s="8">
        <v>0</v>
      </c>
      <c r="T850" s="3" t="s">
        <v>72</v>
      </c>
      <c r="U850" s="10">
        <v>728</v>
      </c>
      <c r="V850" s="32">
        <v>55</v>
      </c>
      <c r="W850" s="27">
        <v>7.5549450549450545E-2</v>
      </c>
      <c r="X850" s="34">
        <v>19</v>
      </c>
      <c r="Y850" s="27">
        <v>0.34545454545454546</v>
      </c>
      <c r="Z850" s="27">
        <v>2.60989010989011E-2</v>
      </c>
      <c r="AA850" s="35">
        <v>8</v>
      </c>
      <c r="AB850" s="27">
        <v>0.14545454545454545</v>
      </c>
      <c r="AC850" s="27">
        <f t="shared" si="79"/>
        <v>1.098901098901099E-2</v>
      </c>
      <c r="AD850" s="36">
        <v>3</v>
      </c>
      <c r="AE850" s="27">
        <v>5.4545454545454543E-2</v>
      </c>
      <c r="AF850" s="27">
        <f t="shared" si="80"/>
        <v>4.120879120879121E-3</v>
      </c>
      <c r="AG850" s="37">
        <v>20</v>
      </c>
      <c r="AH850" s="27">
        <v>0.36363636363636365</v>
      </c>
      <c r="AI850" s="27">
        <f t="shared" si="81"/>
        <v>2.7472527472527472E-2</v>
      </c>
      <c r="AJ850" s="38">
        <v>4</v>
      </c>
      <c r="AK850" s="27">
        <v>7.2727272727272724E-2</v>
      </c>
      <c r="AL850" s="27">
        <f t="shared" si="82"/>
        <v>5.4945054945054949E-3</v>
      </c>
      <c r="AM850" s="40">
        <v>0</v>
      </c>
      <c r="AN850" s="27">
        <v>0</v>
      </c>
      <c r="AO850" s="27">
        <f t="shared" si="83"/>
        <v>0</v>
      </c>
      <c r="AP850" s="7" t="b">
        <v>1</v>
      </c>
      <c r="AQ850" s="7" t="b">
        <v>1</v>
      </c>
      <c r="AR850" s="6" t="b">
        <v>0</v>
      </c>
      <c r="AS850" s="6" t="b">
        <v>0</v>
      </c>
      <c r="AT850" s="7" t="b">
        <v>1</v>
      </c>
      <c r="AU850" s="6" t="b">
        <v>0</v>
      </c>
      <c r="AV850" s="6" t="b">
        <v>0</v>
      </c>
      <c r="AW850" s="6" t="b">
        <v>0</v>
      </c>
      <c r="AX850" s="6" t="b">
        <v>0</v>
      </c>
      <c r="AY850" s="6" t="b">
        <v>0</v>
      </c>
      <c r="AZ850" s="6" t="b">
        <v>0</v>
      </c>
      <c r="BA850" s="6" t="b">
        <v>0</v>
      </c>
      <c r="BB850" s="6" t="b">
        <v>0</v>
      </c>
    </row>
    <row r="851" spans="1:54" ht="15" x14ac:dyDescent="0.25">
      <c r="A851" s="3" t="s">
        <v>1761</v>
      </c>
      <c r="B851" s="3" t="str">
        <f ca="1">IFERROR(__xludf.DUMMYFUNCTION("SPLIT(A851,""/"")"),"pypa")</f>
        <v>pypa</v>
      </c>
      <c r="C851" s="3" t="str">
        <f ca="1">IFERROR(__xludf.DUMMYFUNCTION("""COMPUTED_VALUE"""),"warehouse")</f>
        <v>warehouse</v>
      </c>
      <c r="D851" s="4" t="s">
        <v>1762</v>
      </c>
      <c r="E851" s="5">
        <v>41363.794363425928</v>
      </c>
      <c r="F851" s="5">
        <v>44294.775914351849</v>
      </c>
      <c r="G851" s="13">
        <f t="shared" si="78"/>
        <v>2930.9815509259206</v>
      </c>
      <c r="H851" s="6" t="b">
        <v>0</v>
      </c>
      <c r="I851" s="7" t="b">
        <v>1</v>
      </c>
      <c r="J851" s="8">
        <v>2628</v>
      </c>
      <c r="K851" s="8">
        <v>104</v>
      </c>
      <c r="L851" s="8">
        <v>678</v>
      </c>
      <c r="M851" s="8">
        <v>0</v>
      </c>
      <c r="N851" s="8">
        <v>36</v>
      </c>
      <c r="O851" s="8">
        <v>330</v>
      </c>
      <c r="P851" s="8">
        <v>6913</v>
      </c>
      <c r="Q851" s="8">
        <v>71</v>
      </c>
      <c r="R851" s="8">
        <v>2290</v>
      </c>
      <c r="S851" s="8">
        <v>310</v>
      </c>
      <c r="T851" s="3" t="s">
        <v>69</v>
      </c>
      <c r="U851" s="10">
        <v>28413</v>
      </c>
      <c r="V851" s="32">
        <v>27</v>
      </c>
      <c r="W851" s="27">
        <v>9.5026924295216978E-4</v>
      </c>
      <c r="X851" s="34">
        <v>2</v>
      </c>
      <c r="Y851" s="27">
        <v>7.407407407407407E-2</v>
      </c>
      <c r="Z851" s="27">
        <v>7.0390314292753317E-5</v>
      </c>
      <c r="AA851" s="35">
        <v>11</v>
      </c>
      <c r="AB851" s="27">
        <v>0.40740740740740738</v>
      </c>
      <c r="AC851" s="27">
        <f t="shared" si="79"/>
        <v>3.8714672861014324E-4</v>
      </c>
      <c r="AD851" s="36">
        <v>8</v>
      </c>
      <c r="AE851" s="27">
        <v>0.29629629629629628</v>
      </c>
      <c r="AF851" s="27">
        <f t="shared" si="80"/>
        <v>2.8156125717101327E-4</v>
      </c>
      <c r="AG851" s="37">
        <v>6</v>
      </c>
      <c r="AH851" s="27">
        <v>0.22222222222222221</v>
      </c>
      <c r="AI851" s="27">
        <f t="shared" si="81"/>
        <v>2.1117094287825995E-4</v>
      </c>
      <c r="AJ851" s="38">
        <v>0</v>
      </c>
      <c r="AK851" s="27">
        <v>0</v>
      </c>
      <c r="AL851" s="27">
        <f t="shared" si="82"/>
        <v>0</v>
      </c>
      <c r="AM851" s="40">
        <v>0</v>
      </c>
      <c r="AN851" s="27">
        <v>0</v>
      </c>
      <c r="AO851" s="27">
        <f t="shared" si="83"/>
        <v>0</v>
      </c>
      <c r="AP851" s="7" t="b">
        <v>1</v>
      </c>
      <c r="AQ851" s="7" t="b">
        <v>1</v>
      </c>
      <c r="AR851" s="6" t="b">
        <v>0</v>
      </c>
      <c r="AS851" s="6" t="b">
        <v>0</v>
      </c>
      <c r="AT851" s="7" t="b">
        <v>1</v>
      </c>
      <c r="AU851" s="6" t="b">
        <v>0</v>
      </c>
      <c r="AV851" s="6" t="b">
        <v>0</v>
      </c>
      <c r="AW851" s="6" t="b">
        <v>0</v>
      </c>
      <c r="AX851" s="6" t="b">
        <v>0</v>
      </c>
      <c r="AY851" s="6" t="b">
        <v>0</v>
      </c>
      <c r="AZ851" s="6" t="b">
        <v>0</v>
      </c>
      <c r="BA851" s="7" t="b">
        <v>1</v>
      </c>
      <c r="BB851" s="6" t="b">
        <v>0</v>
      </c>
    </row>
    <row r="852" spans="1:54" ht="15" x14ac:dyDescent="0.25">
      <c r="A852" s="3" t="s">
        <v>1763</v>
      </c>
      <c r="B852" s="3" t="str">
        <f ca="1">IFERROR(__xludf.DUMMYFUNCTION("SPLIT(A852,""/"")"),"pypiserver")</f>
        <v>pypiserver</v>
      </c>
      <c r="C852" s="3" t="str">
        <f ca="1">IFERROR(__xludf.DUMMYFUNCTION("""COMPUTED_VALUE"""),"pypiserver")</f>
        <v>pypiserver</v>
      </c>
      <c r="D852" s="4" t="s">
        <v>1764</v>
      </c>
      <c r="E852" s="5">
        <v>40753.001793981479</v>
      </c>
      <c r="F852" s="5">
        <v>44291.816782407404</v>
      </c>
      <c r="G852" s="13">
        <f t="shared" si="78"/>
        <v>3538.8149884259255</v>
      </c>
      <c r="H852" s="6" t="b">
        <v>0</v>
      </c>
      <c r="I852" s="7" t="b">
        <v>1</v>
      </c>
      <c r="J852" s="8">
        <v>1139</v>
      </c>
      <c r="K852" s="8">
        <v>31</v>
      </c>
      <c r="L852" s="8">
        <v>205</v>
      </c>
      <c r="M852" s="8">
        <v>19</v>
      </c>
      <c r="N852" s="8">
        <v>0</v>
      </c>
      <c r="O852" s="8">
        <v>60</v>
      </c>
      <c r="P852" s="8">
        <v>182</v>
      </c>
      <c r="Q852" s="8">
        <v>10</v>
      </c>
      <c r="R852" s="8">
        <v>202</v>
      </c>
      <c r="S852" s="8">
        <v>49</v>
      </c>
      <c r="T852" s="3" t="s">
        <v>92</v>
      </c>
      <c r="U852" s="10">
        <v>5528</v>
      </c>
      <c r="V852" s="32">
        <v>18</v>
      </c>
      <c r="W852" s="27">
        <v>3.256150506512301E-3</v>
      </c>
      <c r="X852" s="34">
        <v>5</v>
      </c>
      <c r="Y852" s="27">
        <v>0.27777777777777779</v>
      </c>
      <c r="Z852" s="27">
        <v>9.0448625180897246E-4</v>
      </c>
      <c r="AA852" s="35">
        <v>5</v>
      </c>
      <c r="AB852" s="27">
        <v>0.27777777777777779</v>
      </c>
      <c r="AC852" s="27">
        <f t="shared" si="79"/>
        <v>9.0448625180897246E-4</v>
      </c>
      <c r="AD852" s="36">
        <v>6</v>
      </c>
      <c r="AE852" s="27">
        <v>0.33333333333333331</v>
      </c>
      <c r="AF852" s="27">
        <f t="shared" si="80"/>
        <v>1.0853835021707671E-3</v>
      </c>
      <c r="AG852" s="37">
        <v>1</v>
      </c>
      <c r="AH852" s="27">
        <v>5.5555555555555552E-2</v>
      </c>
      <c r="AI852" s="27">
        <f t="shared" si="81"/>
        <v>1.8089725036179449E-4</v>
      </c>
      <c r="AJ852" s="38">
        <v>0</v>
      </c>
      <c r="AK852" s="27">
        <v>0</v>
      </c>
      <c r="AL852" s="27">
        <f t="shared" si="82"/>
        <v>0</v>
      </c>
      <c r="AM852" s="40">
        <v>1</v>
      </c>
      <c r="AN852" s="27">
        <v>5.5555555555555552E-2</v>
      </c>
      <c r="AO852" s="27">
        <f t="shared" si="83"/>
        <v>1.8089725036179449E-4</v>
      </c>
      <c r="AP852" s="7" t="b">
        <v>1</v>
      </c>
      <c r="AQ852" s="7" t="b">
        <v>1</v>
      </c>
      <c r="AR852" s="6" t="b">
        <v>0</v>
      </c>
      <c r="AS852" s="6" t="b">
        <v>0</v>
      </c>
      <c r="AT852" s="7" t="b">
        <v>1</v>
      </c>
      <c r="AU852" s="6" t="b">
        <v>0</v>
      </c>
      <c r="AV852" s="6" t="b">
        <v>0</v>
      </c>
      <c r="AW852" s="6" t="b">
        <v>0</v>
      </c>
      <c r="AX852" s="6" t="b">
        <v>0</v>
      </c>
      <c r="AY852" s="6" t="b">
        <v>0</v>
      </c>
      <c r="AZ852" s="6" t="b">
        <v>0</v>
      </c>
      <c r="BA852" s="6" t="b">
        <v>0</v>
      </c>
      <c r="BB852" s="6" t="b">
        <v>0</v>
      </c>
    </row>
    <row r="853" spans="1:54" ht="15" x14ac:dyDescent="0.25">
      <c r="A853" s="3" t="s">
        <v>1765</v>
      </c>
      <c r="B853" s="3" t="str">
        <f ca="1">IFERROR(__xludf.DUMMYFUNCTION("SPLIT(A853,""/"")"),"pyro-ppl")</f>
        <v>pyro-ppl</v>
      </c>
      <c r="C853" s="3" t="str">
        <f ca="1">IFERROR(__xludf.DUMMYFUNCTION("""COMPUTED_VALUE"""),"pyro")</f>
        <v>pyro</v>
      </c>
      <c r="D853" s="4" t="s">
        <v>1766</v>
      </c>
      <c r="E853" s="5">
        <v>42902.210960648146</v>
      </c>
      <c r="F853" s="5">
        <v>44295.156435185185</v>
      </c>
      <c r="G853" s="13">
        <f t="shared" si="78"/>
        <v>1392.9454745370385</v>
      </c>
      <c r="H853" s="6" t="b">
        <v>0</v>
      </c>
      <c r="I853" s="7" t="b">
        <v>1</v>
      </c>
      <c r="J853" s="8">
        <v>6846</v>
      </c>
      <c r="K853" s="8">
        <v>208</v>
      </c>
      <c r="L853" s="8">
        <v>805</v>
      </c>
      <c r="M853" s="8">
        <v>25</v>
      </c>
      <c r="N853" s="8">
        <v>2</v>
      </c>
      <c r="O853" s="8">
        <v>104</v>
      </c>
      <c r="P853" s="8">
        <v>1984</v>
      </c>
      <c r="Q853" s="8">
        <v>14</v>
      </c>
      <c r="R853" s="8">
        <v>815</v>
      </c>
      <c r="S853" s="8">
        <v>126</v>
      </c>
      <c r="T853" s="3" t="s">
        <v>69</v>
      </c>
      <c r="U853" s="10">
        <v>57823</v>
      </c>
      <c r="V853" s="32">
        <v>362</v>
      </c>
      <c r="W853" s="27">
        <v>6.2604845822596547E-3</v>
      </c>
      <c r="X853" s="34">
        <v>102</v>
      </c>
      <c r="Y853" s="27">
        <v>0.28176795580110497</v>
      </c>
      <c r="Z853" s="27">
        <v>1.7640039430676375E-3</v>
      </c>
      <c r="AA853" s="35">
        <v>187</v>
      </c>
      <c r="AB853" s="27">
        <v>0.51657458563535907</v>
      </c>
      <c r="AC853" s="27">
        <f t="shared" si="79"/>
        <v>3.2340072289573354E-3</v>
      </c>
      <c r="AD853" s="36">
        <v>68</v>
      </c>
      <c r="AE853" s="27">
        <v>0.18784530386740331</v>
      </c>
      <c r="AF853" s="27">
        <f t="shared" si="80"/>
        <v>1.1760026287117582E-3</v>
      </c>
      <c r="AG853" s="37">
        <v>0</v>
      </c>
      <c r="AH853" s="27">
        <v>0</v>
      </c>
      <c r="AI853" s="27">
        <f t="shared" si="81"/>
        <v>0</v>
      </c>
      <c r="AJ853" s="38">
        <v>0</v>
      </c>
      <c r="AK853" s="27">
        <v>0</v>
      </c>
      <c r="AL853" s="27">
        <f t="shared" si="82"/>
        <v>0</v>
      </c>
      <c r="AM853" s="40">
        <v>5</v>
      </c>
      <c r="AN853" s="27">
        <v>1.3812154696132596E-2</v>
      </c>
      <c r="AO853" s="27">
        <f t="shared" si="83"/>
        <v>8.6470781522923407E-5</v>
      </c>
      <c r="AP853" s="7" t="b">
        <v>1</v>
      </c>
      <c r="AQ853" s="6" t="b">
        <v>0</v>
      </c>
      <c r="AR853" s="6" t="b">
        <v>0</v>
      </c>
      <c r="AS853" s="6" t="b">
        <v>0</v>
      </c>
      <c r="AT853" s="7" t="b">
        <v>1</v>
      </c>
      <c r="AU853" s="6" t="b">
        <v>0</v>
      </c>
      <c r="AV853" s="6" t="b">
        <v>0</v>
      </c>
      <c r="AW853" s="6" t="b">
        <v>0</v>
      </c>
      <c r="AX853" s="6" t="b">
        <v>0</v>
      </c>
      <c r="AY853" s="6" t="b">
        <v>0</v>
      </c>
      <c r="AZ853" s="6" t="b">
        <v>0</v>
      </c>
      <c r="BA853" s="6" t="b">
        <v>0</v>
      </c>
      <c r="BB853" s="6" t="b">
        <v>0</v>
      </c>
    </row>
    <row r="854" spans="1:54" ht="15" x14ac:dyDescent="0.25">
      <c r="A854" s="3" t="s">
        <v>1767</v>
      </c>
      <c r="B854" s="3" t="str">
        <f ca="1">IFERROR(__xludf.DUMMYFUNCTION("SPLIT(A854,""/"")"),"pytest-dev")</f>
        <v>pytest-dev</v>
      </c>
      <c r="C854" s="3" t="str">
        <f ca="1">IFERROR(__xludf.DUMMYFUNCTION("""COMPUTED_VALUE"""),"pytest-testinfra")</f>
        <v>pytest-testinfra</v>
      </c>
      <c r="D854" s="4" t="s">
        <v>1768</v>
      </c>
      <c r="E854" s="5">
        <v>42078.867962962962</v>
      </c>
      <c r="F854" s="5">
        <v>44294.250474537039</v>
      </c>
      <c r="G854" s="13">
        <f t="shared" si="78"/>
        <v>2215.3825115740765</v>
      </c>
      <c r="H854" s="6" t="b">
        <v>0</v>
      </c>
      <c r="I854" s="7" t="b">
        <v>1</v>
      </c>
      <c r="J854" s="8">
        <v>1875</v>
      </c>
      <c r="K854" s="8">
        <v>88</v>
      </c>
      <c r="L854" s="8">
        <v>265</v>
      </c>
      <c r="M854" s="8">
        <v>2</v>
      </c>
      <c r="N854" s="8">
        <v>11</v>
      </c>
      <c r="O854" s="8">
        <v>94</v>
      </c>
      <c r="P854" s="8">
        <v>318</v>
      </c>
      <c r="Q854" s="8">
        <v>16</v>
      </c>
      <c r="R854" s="8">
        <v>291</v>
      </c>
      <c r="S854" s="8">
        <v>96</v>
      </c>
      <c r="T854" s="3" t="s">
        <v>69</v>
      </c>
      <c r="U854" s="10">
        <v>3546</v>
      </c>
      <c r="V854" s="32">
        <v>4</v>
      </c>
      <c r="W854" s="27">
        <v>1.1280315848843769E-3</v>
      </c>
      <c r="X854" s="34">
        <v>1</v>
      </c>
      <c r="Y854" s="27">
        <v>0.25</v>
      </c>
      <c r="Z854" s="27">
        <v>2.8200789622109422E-4</v>
      </c>
      <c r="AA854" s="35">
        <v>1</v>
      </c>
      <c r="AB854" s="27">
        <v>0.25</v>
      </c>
      <c r="AC854" s="27">
        <f t="shared" si="79"/>
        <v>2.8200789622109422E-4</v>
      </c>
      <c r="AD854" s="36">
        <v>2</v>
      </c>
      <c r="AE854" s="27">
        <v>0.5</v>
      </c>
      <c r="AF854" s="27">
        <f t="shared" si="80"/>
        <v>5.6401579244218843E-4</v>
      </c>
      <c r="AG854" s="37">
        <v>0</v>
      </c>
      <c r="AH854" s="27">
        <v>0</v>
      </c>
      <c r="AI854" s="27">
        <f t="shared" si="81"/>
        <v>0</v>
      </c>
      <c r="AJ854" s="38">
        <v>0</v>
      </c>
      <c r="AK854" s="27">
        <v>0</v>
      </c>
      <c r="AL854" s="27">
        <f t="shared" si="82"/>
        <v>0</v>
      </c>
      <c r="AM854" s="40">
        <v>0</v>
      </c>
      <c r="AN854" s="27">
        <v>0</v>
      </c>
      <c r="AO854" s="27">
        <f t="shared" si="83"/>
        <v>0</v>
      </c>
      <c r="AP854" s="7" t="b">
        <v>1</v>
      </c>
      <c r="AQ854" s="6" t="b">
        <v>0</v>
      </c>
      <c r="AR854" s="6" t="b">
        <v>0</v>
      </c>
      <c r="AS854" s="6" t="b">
        <v>0</v>
      </c>
      <c r="AT854" s="7" t="b">
        <v>1</v>
      </c>
      <c r="AU854" s="6" t="b">
        <v>0</v>
      </c>
      <c r="AV854" s="6" t="b">
        <v>0</v>
      </c>
      <c r="AW854" s="6" t="b">
        <v>0</v>
      </c>
      <c r="AX854" s="6" t="b">
        <v>0</v>
      </c>
      <c r="AY854" s="6" t="b">
        <v>0</v>
      </c>
      <c r="AZ854" s="6" t="b">
        <v>0</v>
      </c>
      <c r="BA854" s="6" t="b">
        <v>0</v>
      </c>
      <c r="BB854" s="6" t="b">
        <v>0</v>
      </c>
    </row>
    <row r="855" spans="1:54" ht="15" x14ac:dyDescent="0.25">
      <c r="A855" s="3" t="s">
        <v>1769</v>
      </c>
      <c r="B855" s="3" t="str">
        <f ca="1">IFERROR(__xludf.DUMMYFUNCTION("SPLIT(A855,""/"")"),"python-discord")</f>
        <v>python-discord</v>
      </c>
      <c r="C855" s="3" t="str">
        <f ca="1">IFERROR(__xludf.DUMMYFUNCTION("""COMPUTED_VALUE"""),"bot")</f>
        <v>bot</v>
      </c>
      <c r="D855" s="4" t="s">
        <v>1770</v>
      </c>
      <c r="E855" s="5">
        <v>43134.514178240737</v>
      </c>
      <c r="F855" s="5">
        <v>44294.628194444442</v>
      </c>
      <c r="G855" s="13">
        <f t="shared" si="78"/>
        <v>1160.1140162037045</v>
      </c>
      <c r="H855" s="6" t="b">
        <v>0</v>
      </c>
      <c r="I855" s="7" t="b">
        <v>1</v>
      </c>
      <c r="J855" s="8">
        <v>488</v>
      </c>
      <c r="K855" s="8">
        <v>52</v>
      </c>
      <c r="L855" s="8">
        <v>262</v>
      </c>
      <c r="M855" s="8">
        <v>0</v>
      </c>
      <c r="N855" s="8">
        <v>13</v>
      </c>
      <c r="O855" s="8">
        <v>89</v>
      </c>
      <c r="P855" s="8">
        <v>781</v>
      </c>
      <c r="Q855" s="8">
        <v>19</v>
      </c>
      <c r="R855" s="8">
        <v>698</v>
      </c>
      <c r="S855" s="8">
        <v>113</v>
      </c>
      <c r="T855" s="3" t="s">
        <v>92</v>
      </c>
      <c r="U855" s="10">
        <v>15374</v>
      </c>
      <c r="V855" s="32">
        <v>284</v>
      </c>
      <c r="W855" s="27">
        <v>1.8472746194874462E-2</v>
      </c>
      <c r="X855" s="34">
        <v>103</v>
      </c>
      <c r="Y855" s="27">
        <v>0.36267605633802819</v>
      </c>
      <c r="Z855" s="27">
        <v>6.6996227396903868E-3</v>
      </c>
      <c r="AA855" s="35">
        <v>92</v>
      </c>
      <c r="AB855" s="27">
        <v>0.323943661971831</v>
      </c>
      <c r="AC855" s="27">
        <f t="shared" si="79"/>
        <v>5.9841290490438405E-3</v>
      </c>
      <c r="AD855" s="36">
        <v>27</v>
      </c>
      <c r="AE855" s="27">
        <v>9.5070422535211266E-2</v>
      </c>
      <c r="AF855" s="27">
        <f t="shared" si="80"/>
        <v>1.7562117861324314E-3</v>
      </c>
      <c r="AG855" s="37">
        <v>58</v>
      </c>
      <c r="AH855" s="27">
        <v>0.20422535211267606</v>
      </c>
      <c r="AI855" s="27">
        <f t="shared" si="81"/>
        <v>3.7726030961363339E-3</v>
      </c>
      <c r="AJ855" s="38">
        <v>4</v>
      </c>
      <c r="AK855" s="27">
        <v>1.4084507042253521E-2</v>
      </c>
      <c r="AL855" s="27">
        <f t="shared" si="82"/>
        <v>2.601795238714713E-4</v>
      </c>
      <c r="AM855" s="40">
        <v>0</v>
      </c>
      <c r="AN855" s="27">
        <v>0</v>
      </c>
      <c r="AO855" s="27">
        <f t="shared" si="83"/>
        <v>0</v>
      </c>
      <c r="AP855" s="7" t="b">
        <v>1</v>
      </c>
      <c r="AQ855" s="7" t="b">
        <v>1</v>
      </c>
      <c r="AR855" s="6" t="b">
        <v>0</v>
      </c>
      <c r="AS855" s="6" t="b">
        <v>0</v>
      </c>
      <c r="AT855" s="7" t="b">
        <v>1</v>
      </c>
      <c r="AU855" s="6" t="b">
        <v>0</v>
      </c>
      <c r="AV855" s="6" t="b">
        <v>0</v>
      </c>
      <c r="AW855" s="6" t="b">
        <v>0</v>
      </c>
      <c r="AX855" s="6" t="b">
        <v>0</v>
      </c>
      <c r="AY855" s="6" t="b">
        <v>0</v>
      </c>
      <c r="AZ855" s="6" t="b">
        <v>0</v>
      </c>
      <c r="BA855" s="6" t="b">
        <v>0</v>
      </c>
      <c r="BB855" s="6" t="b">
        <v>0</v>
      </c>
    </row>
    <row r="856" spans="1:54" ht="15" x14ac:dyDescent="0.25">
      <c r="A856" s="3" t="s">
        <v>1771</v>
      </c>
      <c r="B856" s="3" t="str">
        <f ca="1">IFERROR(__xludf.DUMMYFUNCTION("SPLIT(A856,""/"")"),"python-discord")</f>
        <v>python-discord</v>
      </c>
      <c r="C856" s="3" t="str">
        <f ca="1">IFERROR(__xludf.DUMMYFUNCTION("""COMPUTED_VALUE"""),"site")</f>
        <v>site</v>
      </c>
      <c r="D856" s="4" t="s">
        <v>1772</v>
      </c>
      <c r="E856" s="5">
        <v>43136.938240740739</v>
      </c>
      <c r="F856" s="5">
        <v>44291.650543981479</v>
      </c>
      <c r="G856" s="13">
        <f t="shared" si="78"/>
        <v>1154.7123032407399</v>
      </c>
      <c r="H856" s="6" t="b">
        <v>0</v>
      </c>
      <c r="I856" s="7" t="b">
        <v>1</v>
      </c>
      <c r="J856" s="8">
        <v>580</v>
      </c>
      <c r="K856" s="8">
        <v>33</v>
      </c>
      <c r="L856" s="8">
        <v>83</v>
      </c>
      <c r="M856" s="8">
        <v>0</v>
      </c>
      <c r="N856" s="8">
        <v>5</v>
      </c>
      <c r="O856" s="8">
        <v>43</v>
      </c>
      <c r="P856" s="8">
        <v>278</v>
      </c>
      <c r="Q856" s="8">
        <v>9</v>
      </c>
      <c r="R856" s="8">
        <v>173</v>
      </c>
      <c r="S856" s="8">
        <v>26</v>
      </c>
      <c r="T856" s="3" t="s">
        <v>72</v>
      </c>
      <c r="U856" s="10">
        <v>5362</v>
      </c>
      <c r="V856" s="32">
        <v>5</v>
      </c>
      <c r="W856" s="27">
        <v>9.3248787765759045E-4</v>
      </c>
      <c r="X856" s="34">
        <v>0</v>
      </c>
      <c r="Y856" s="27">
        <v>0</v>
      </c>
      <c r="Z856" s="27">
        <v>0</v>
      </c>
      <c r="AA856" s="35">
        <v>1</v>
      </c>
      <c r="AB856" s="27">
        <v>0.2</v>
      </c>
      <c r="AC856" s="27">
        <f t="shared" si="79"/>
        <v>1.864975755315181E-4</v>
      </c>
      <c r="AD856" s="36">
        <v>0</v>
      </c>
      <c r="AE856" s="27">
        <v>0</v>
      </c>
      <c r="AF856" s="27">
        <f t="shared" si="80"/>
        <v>0</v>
      </c>
      <c r="AG856" s="37">
        <v>4</v>
      </c>
      <c r="AH856" s="27">
        <v>0.8</v>
      </c>
      <c r="AI856" s="27">
        <f t="shared" si="81"/>
        <v>7.459903021260724E-4</v>
      </c>
      <c r="AJ856" s="38">
        <v>0</v>
      </c>
      <c r="AK856" s="27">
        <v>0</v>
      </c>
      <c r="AL856" s="27">
        <f t="shared" si="82"/>
        <v>0</v>
      </c>
      <c r="AM856" s="40">
        <v>0</v>
      </c>
      <c r="AN856" s="27">
        <v>0</v>
      </c>
      <c r="AO856" s="27">
        <f t="shared" si="83"/>
        <v>0</v>
      </c>
      <c r="AP856" s="7" t="b">
        <v>1</v>
      </c>
      <c r="AQ856" s="7" t="b">
        <v>1</v>
      </c>
      <c r="AR856" s="6" t="b">
        <v>0</v>
      </c>
      <c r="AS856" s="6" t="b">
        <v>0</v>
      </c>
      <c r="AT856" s="7" t="b">
        <v>1</v>
      </c>
      <c r="AU856" s="6" t="b">
        <v>0</v>
      </c>
      <c r="AV856" s="6" t="b">
        <v>0</v>
      </c>
      <c r="AW856" s="6" t="b">
        <v>0</v>
      </c>
      <c r="AX856" s="6" t="b">
        <v>0</v>
      </c>
      <c r="AY856" s="6" t="b">
        <v>0</v>
      </c>
      <c r="AZ856" s="6" t="b">
        <v>0</v>
      </c>
      <c r="BA856" s="6" t="b">
        <v>0</v>
      </c>
      <c r="BB856" s="6" t="b">
        <v>0</v>
      </c>
    </row>
    <row r="857" spans="1:54" ht="15" x14ac:dyDescent="0.25">
      <c r="A857" s="3" t="s">
        <v>1773</v>
      </c>
      <c r="B857" s="3" t="str">
        <f ca="1">IFERROR(__xludf.DUMMYFUNCTION("SPLIT(A857,""/"")"),"python-social-auth")</f>
        <v>python-social-auth</v>
      </c>
      <c r="C857" s="3" t="str">
        <f ca="1">IFERROR(__xludf.DUMMYFUNCTION("""COMPUTED_VALUE"""),"social-app-django")</f>
        <v>social-app-django</v>
      </c>
      <c r="D857" s="4" t="s">
        <v>1774</v>
      </c>
      <c r="E857" s="5">
        <v>42637.754629629628</v>
      </c>
      <c r="F857" s="5">
        <v>44295.008888888886</v>
      </c>
      <c r="G857" s="13">
        <f t="shared" si="78"/>
        <v>1657.2542592592581</v>
      </c>
      <c r="H857" s="6" t="b">
        <v>0</v>
      </c>
      <c r="I857" s="7" t="b">
        <v>1</v>
      </c>
      <c r="J857" s="8">
        <v>1484</v>
      </c>
      <c r="K857" s="8">
        <v>36</v>
      </c>
      <c r="L857" s="8">
        <v>268</v>
      </c>
      <c r="M857" s="8">
        <v>0</v>
      </c>
      <c r="N857" s="8">
        <v>6</v>
      </c>
      <c r="O857" s="8">
        <v>278</v>
      </c>
      <c r="P857" s="8">
        <v>78</v>
      </c>
      <c r="Q857" s="8">
        <v>3</v>
      </c>
      <c r="R857" s="8">
        <v>228</v>
      </c>
      <c r="S857" s="8">
        <v>110</v>
      </c>
      <c r="T857" s="3" t="s">
        <v>92</v>
      </c>
      <c r="U857" s="10">
        <v>1203</v>
      </c>
      <c r="V857" s="32">
        <v>4</v>
      </c>
      <c r="W857" s="27">
        <v>3.3250207813798837E-3</v>
      </c>
      <c r="X857" s="34">
        <v>0</v>
      </c>
      <c r="Y857" s="27">
        <v>0</v>
      </c>
      <c r="Z857" s="27">
        <v>0</v>
      </c>
      <c r="AA857" s="35">
        <v>1</v>
      </c>
      <c r="AB857" s="27">
        <v>0.25</v>
      </c>
      <c r="AC857" s="27">
        <f t="shared" si="79"/>
        <v>8.3125519534497092E-4</v>
      </c>
      <c r="AD857" s="36">
        <v>1</v>
      </c>
      <c r="AE857" s="27">
        <v>0.25</v>
      </c>
      <c r="AF857" s="27">
        <f t="shared" si="80"/>
        <v>8.3125519534497092E-4</v>
      </c>
      <c r="AG857" s="37">
        <v>2</v>
      </c>
      <c r="AH857" s="27">
        <v>0.5</v>
      </c>
      <c r="AI857" s="27">
        <f t="shared" si="81"/>
        <v>1.6625103906899418E-3</v>
      </c>
      <c r="AJ857" s="38">
        <v>0</v>
      </c>
      <c r="AK857" s="27">
        <v>0</v>
      </c>
      <c r="AL857" s="27">
        <f t="shared" si="82"/>
        <v>0</v>
      </c>
      <c r="AM857" s="40">
        <v>0</v>
      </c>
      <c r="AN857" s="27">
        <v>0</v>
      </c>
      <c r="AO857" s="27">
        <f t="shared" si="83"/>
        <v>0</v>
      </c>
      <c r="AP857" s="7" t="b">
        <v>1</v>
      </c>
      <c r="AQ857" s="7" t="b">
        <v>1</v>
      </c>
      <c r="AR857" s="6" t="b">
        <v>0</v>
      </c>
      <c r="AS857" s="6" t="b">
        <v>0</v>
      </c>
      <c r="AT857" s="7" t="b">
        <v>1</v>
      </c>
      <c r="AU857" s="6" t="b">
        <v>0</v>
      </c>
      <c r="AV857" s="6" t="b">
        <v>0</v>
      </c>
      <c r="AW857" s="6" t="b">
        <v>0</v>
      </c>
      <c r="AX857" s="6" t="b">
        <v>0</v>
      </c>
      <c r="AY857" s="6" t="b">
        <v>0</v>
      </c>
      <c r="AZ857" s="6" t="b">
        <v>0</v>
      </c>
      <c r="BA857" s="6" t="b">
        <v>0</v>
      </c>
      <c r="BB857" s="6" t="b">
        <v>0</v>
      </c>
    </row>
    <row r="858" spans="1:54" ht="15" x14ac:dyDescent="0.25">
      <c r="A858" s="3" t="s">
        <v>1775</v>
      </c>
      <c r="B858" s="3" t="str">
        <f ca="1">IFERROR(__xludf.DUMMYFUNCTION("SPLIT(A858,""/"")"),"python-social-auth")</f>
        <v>python-social-auth</v>
      </c>
      <c r="C858" s="3" t="str">
        <f ca="1">IFERROR(__xludf.DUMMYFUNCTION("""COMPUTED_VALUE"""),"social-core")</f>
        <v>social-core</v>
      </c>
      <c r="D858" s="4" t="s">
        <v>1776</v>
      </c>
      <c r="E858" s="5">
        <v>42610.651365740741</v>
      </c>
      <c r="F858" s="5">
        <v>44287.886284722219</v>
      </c>
      <c r="G858" s="13">
        <f t="shared" si="78"/>
        <v>1677.2349189814777</v>
      </c>
      <c r="H858" s="6" t="b">
        <v>0</v>
      </c>
      <c r="I858" s="7" t="b">
        <v>1</v>
      </c>
      <c r="J858" s="8">
        <v>626</v>
      </c>
      <c r="K858" s="8">
        <v>26</v>
      </c>
      <c r="L858" s="8">
        <v>403</v>
      </c>
      <c r="M858" s="8">
        <v>5</v>
      </c>
      <c r="N858" s="8">
        <v>8</v>
      </c>
      <c r="O858" s="8">
        <v>389</v>
      </c>
      <c r="P858" s="8">
        <v>267</v>
      </c>
      <c r="Q858" s="8">
        <v>11</v>
      </c>
      <c r="R858" s="8">
        <v>315</v>
      </c>
      <c r="S858" s="8">
        <v>7</v>
      </c>
      <c r="T858" s="3" t="s">
        <v>92</v>
      </c>
      <c r="U858" s="10">
        <v>11152</v>
      </c>
      <c r="V858" s="32">
        <v>1</v>
      </c>
      <c r="W858" s="27">
        <v>8.96700143472023E-5</v>
      </c>
      <c r="X858" s="34">
        <v>0</v>
      </c>
      <c r="Y858" s="27">
        <v>0</v>
      </c>
      <c r="Z858" s="27">
        <v>0</v>
      </c>
      <c r="AA858" s="35">
        <v>0</v>
      </c>
      <c r="AB858" s="27">
        <v>0</v>
      </c>
      <c r="AC858" s="27">
        <f t="shared" si="79"/>
        <v>0</v>
      </c>
      <c r="AD858" s="36">
        <v>1</v>
      </c>
      <c r="AE858" s="27">
        <v>1</v>
      </c>
      <c r="AF858" s="27">
        <f t="shared" si="80"/>
        <v>8.96700143472023E-5</v>
      </c>
      <c r="AG858" s="37">
        <v>0</v>
      </c>
      <c r="AH858" s="27">
        <v>0</v>
      </c>
      <c r="AI858" s="27">
        <f t="shared" si="81"/>
        <v>0</v>
      </c>
      <c r="AJ858" s="38">
        <v>0</v>
      </c>
      <c r="AK858" s="27">
        <v>0</v>
      </c>
      <c r="AL858" s="27">
        <f t="shared" si="82"/>
        <v>0</v>
      </c>
      <c r="AM858" s="40">
        <v>0</v>
      </c>
      <c r="AN858" s="27">
        <v>0</v>
      </c>
      <c r="AO858" s="27">
        <f t="shared" si="83"/>
        <v>0</v>
      </c>
      <c r="AP858" s="7" t="b">
        <v>1</v>
      </c>
      <c r="AQ858" s="7" t="b">
        <v>1</v>
      </c>
      <c r="AR858" s="6" t="b">
        <v>0</v>
      </c>
      <c r="AS858" s="6" t="b">
        <v>0</v>
      </c>
      <c r="AT858" s="7" t="b">
        <v>1</v>
      </c>
      <c r="AU858" s="6" t="b">
        <v>0</v>
      </c>
      <c r="AV858" s="6" t="b">
        <v>0</v>
      </c>
      <c r="AW858" s="6" t="b">
        <v>0</v>
      </c>
      <c r="AX858" s="6" t="b">
        <v>0</v>
      </c>
      <c r="AY858" s="6" t="b">
        <v>0</v>
      </c>
      <c r="AZ858" s="6" t="b">
        <v>0</v>
      </c>
      <c r="BA858" s="6" t="b">
        <v>0</v>
      </c>
      <c r="BB858" s="6" t="b">
        <v>0</v>
      </c>
    </row>
    <row r="859" spans="1:54" ht="15" x14ac:dyDescent="0.25">
      <c r="A859" s="3" t="s">
        <v>1777</v>
      </c>
      <c r="B859" s="3" t="str">
        <f ca="1">IFERROR(__xludf.DUMMYFUNCTION("SPLIT(A859,""/"")"),"python-streamz")</f>
        <v>python-streamz</v>
      </c>
      <c r="C859" s="3" t="str">
        <f ca="1">IFERROR(__xludf.DUMMYFUNCTION("""COMPUTED_VALUE"""),"streamz")</f>
        <v>streamz</v>
      </c>
      <c r="D859" s="4" t="s">
        <v>1778</v>
      </c>
      <c r="E859" s="5">
        <v>42829.906817129631</v>
      </c>
      <c r="F859" s="5">
        <v>44293.722175925926</v>
      </c>
      <c r="G859" s="13">
        <f t="shared" si="78"/>
        <v>1463.8153587962952</v>
      </c>
      <c r="H859" s="6" t="b">
        <v>0</v>
      </c>
      <c r="I859" s="7" t="b">
        <v>1</v>
      </c>
      <c r="J859" s="8">
        <v>930</v>
      </c>
      <c r="K859" s="8">
        <v>29</v>
      </c>
      <c r="L859" s="8">
        <v>116</v>
      </c>
      <c r="M859" s="8">
        <v>0</v>
      </c>
      <c r="N859" s="8">
        <v>10</v>
      </c>
      <c r="O859" s="8">
        <v>33</v>
      </c>
      <c r="P859" s="8">
        <v>196</v>
      </c>
      <c r="Q859" s="8">
        <v>4</v>
      </c>
      <c r="R859" s="8">
        <v>217</v>
      </c>
      <c r="S859" s="8">
        <v>86</v>
      </c>
      <c r="T859" s="3" t="s">
        <v>92</v>
      </c>
      <c r="U859" s="10">
        <v>6254</v>
      </c>
      <c r="V859" s="32">
        <v>4</v>
      </c>
      <c r="W859" s="27">
        <v>6.3959066197633518E-4</v>
      </c>
      <c r="X859" s="34">
        <v>0</v>
      </c>
      <c r="Y859" s="27">
        <v>0</v>
      </c>
      <c r="Z859" s="27">
        <v>0</v>
      </c>
      <c r="AA859" s="35">
        <v>0</v>
      </c>
      <c r="AB859" s="27">
        <v>0</v>
      </c>
      <c r="AC859" s="27">
        <f t="shared" si="79"/>
        <v>0</v>
      </c>
      <c r="AD859" s="36">
        <v>1</v>
      </c>
      <c r="AE859" s="27">
        <v>0.25</v>
      </c>
      <c r="AF859" s="27">
        <f t="shared" si="80"/>
        <v>1.5989766549408379E-4</v>
      </c>
      <c r="AG859" s="37">
        <v>0</v>
      </c>
      <c r="AH859" s="27">
        <v>0</v>
      </c>
      <c r="AI859" s="27">
        <f t="shared" si="81"/>
        <v>0</v>
      </c>
      <c r="AJ859" s="38">
        <v>0</v>
      </c>
      <c r="AK859" s="27">
        <v>0</v>
      </c>
      <c r="AL859" s="27">
        <f t="shared" si="82"/>
        <v>0</v>
      </c>
      <c r="AM859" s="40">
        <v>0</v>
      </c>
      <c r="AN859" s="27">
        <v>0</v>
      </c>
      <c r="AO859" s="27">
        <f t="shared" si="83"/>
        <v>0</v>
      </c>
      <c r="AP859" s="7" t="b">
        <v>1</v>
      </c>
      <c r="AQ859" s="6" t="b">
        <v>0</v>
      </c>
      <c r="AR859" s="6" t="b">
        <v>0</v>
      </c>
      <c r="AS859" s="6" t="b">
        <v>0</v>
      </c>
      <c r="AT859" s="7" t="b">
        <v>1</v>
      </c>
      <c r="AU859" s="6" t="b">
        <v>0</v>
      </c>
      <c r="AV859" s="6" t="b">
        <v>0</v>
      </c>
      <c r="AW859" s="6" t="b">
        <v>0</v>
      </c>
      <c r="AX859" s="6" t="b">
        <v>0</v>
      </c>
      <c r="AY859" s="6" t="b">
        <v>0</v>
      </c>
      <c r="AZ859" s="6" t="b">
        <v>0</v>
      </c>
      <c r="BA859" s="6" t="b">
        <v>0</v>
      </c>
      <c r="BB859" s="6" t="b">
        <v>0</v>
      </c>
    </row>
    <row r="860" spans="1:54" ht="15" x14ac:dyDescent="0.25">
      <c r="A860" s="3" t="s">
        <v>1779</v>
      </c>
      <c r="B860" s="3" t="str">
        <f ca="1">IFERROR(__xludf.DUMMYFUNCTION("SPLIT(A860,""/"")"),"Python3WebSpider")</f>
        <v>Python3WebSpider</v>
      </c>
      <c r="C860" s="3" t="str">
        <f ca="1">IFERROR(__xludf.DUMMYFUNCTION("""COMPUTED_VALUE"""),"ProxyPool")</f>
        <v>ProxyPool</v>
      </c>
      <c r="D860" s="4" t="s">
        <v>1780</v>
      </c>
      <c r="E860" s="5">
        <v>42925.704710648148</v>
      </c>
      <c r="F860" s="5">
        <v>44295.153078703705</v>
      </c>
      <c r="G860" s="13">
        <f t="shared" si="78"/>
        <v>1369.4483680555568</v>
      </c>
      <c r="H860" s="6" t="b">
        <v>0</v>
      </c>
      <c r="I860" s="7" t="b">
        <v>1</v>
      </c>
      <c r="J860" s="8">
        <v>2357</v>
      </c>
      <c r="K860" s="8">
        <v>81</v>
      </c>
      <c r="L860" s="8">
        <v>960</v>
      </c>
      <c r="M860" s="8">
        <v>0</v>
      </c>
      <c r="N860" s="8">
        <v>1</v>
      </c>
      <c r="O860" s="8">
        <v>14</v>
      </c>
      <c r="P860" s="8">
        <v>33</v>
      </c>
      <c r="Q860" s="8">
        <v>4</v>
      </c>
      <c r="R860" s="8">
        <v>83</v>
      </c>
      <c r="S860" s="8">
        <v>12</v>
      </c>
      <c r="T860" s="3" t="s">
        <v>72</v>
      </c>
      <c r="U860" s="10">
        <v>866</v>
      </c>
      <c r="V860" s="32">
        <v>34</v>
      </c>
      <c r="W860" s="27">
        <v>3.9260969976905313E-2</v>
      </c>
      <c r="X860" s="34">
        <v>8</v>
      </c>
      <c r="Y860" s="27">
        <v>0.23529411764705882</v>
      </c>
      <c r="Z860" s="27">
        <v>9.2378752886836026E-3</v>
      </c>
      <c r="AA860" s="35">
        <v>26</v>
      </c>
      <c r="AB860" s="27">
        <v>0.76470588235294112</v>
      </c>
      <c r="AC860" s="27">
        <f t="shared" si="79"/>
        <v>3.0023094688221709E-2</v>
      </c>
      <c r="AD860" s="36">
        <v>0</v>
      </c>
      <c r="AE860" s="27">
        <v>0</v>
      </c>
      <c r="AF860" s="27">
        <f t="shared" si="80"/>
        <v>0</v>
      </c>
      <c r="AG860" s="37">
        <v>0</v>
      </c>
      <c r="AH860" s="27">
        <v>0</v>
      </c>
      <c r="AI860" s="27">
        <f t="shared" si="81"/>
        <v>0</v>
      </c>
      <c r="AJ860" s="38">
        <v>0</v>
      </c>
      <c r="AK860" s="27">
        <v>0</v>
      </c>
      <c r="AL860" s="27">
        <f t="shared" si="82"/>
        <v>0</v>
      </c>
      <c r="AM860" s="40">
        <v>0</v>
      </c>
      <c r="AN860" s="27">
        <v>0</v>
      </c>
      <c r="AO860" s="27">
        <f t="shared" si="83"/>
        <v>0</v>
      </c>
      <c r="AP860" s="7" t="b">
        <v>1</v>
      </c>
      <c r="AQ860" s="7" t="b">
        <v>1</v>
      </c>
      <c r="AR860" s="6" t="b">
        <v>0</v>
      </c>
      <c r="AS860" s="6" t="b">
        <v>0</v>
      </c>
      <c r="AT860" s="6" t="b">
        <v>0</v>
      </c>
      <c r="AU860" s="6" t="b">
        <v>0</v>
      </c>
      <c r="AV860" s="6" t="b">
        <v>0</v>
      </c>
      <c r="AW860" s="6" t="b">
        <v>0</v>
      </c>
      <c r="AX860" s="7" t="b">
        <v>1</v>
      </c>
      <c r="AY860" s="6" t="b">
        <v>0</v>
      </c>
      <c r="AZ860" s="6" t="b">
        <v>0</v>
      </c>
      <c r="BA860" s="6" t="b">
        <v>0</v>
      </c>
      <c r="BB860" s="6" t="b">
        <v>0</v>
      </c>
    </row>
    <row r="861" spans="1:54" ht="15" x14ac:dyDescent="0.25">
      <c r="A861" s="3" t="s">
        <v>1781</v>
      </c>
      <c r="B861" s="3" t="str">
        <f ca="1">IFERROR(__xludf.DUMMYFUNCTION("SPLIT(A861,""/"")"),"pythonstock")</f>
        <v>pythonstock</v>
      </c>
      <c r="C861" s="3" t="str">
        <f ca="1">IFERROR(__xludf.DUMMYFUNCTION("""COMPUTED_VALUE"""),"stock")</f>
        <v>stock</v>
      </c>
      <c r="D861" s="4" t="s">
        <v>1782</v>
      </c>
      <c r="E861" s="5">
        <v>42933.141701388886</v>
      </c>
      <c r="F861" s="5">
        <v>44294.561608796299</v>
      </c>
      <c r="G861" s="13">
        <f t="shared" si="78"/>
        <v>1361.4199074074131</v>
      </c>
      <c r="H861" s="6" t="b">
        <v>0</v>
      </c>
      <c r="I861" s="7" t="b">
        <v>1</v>
      </c>
      <c r="J861" s="8">
        <v>4149</v>
      </c>
      <c r="K861" s="8">
        <v>250</v>
      </c>
      <c r="L861" s="8">
        <v>1255</v>
      </c>
      <c r="M861" s="8">
        <v>2</v>
      </c>
      <c r="N861" s="8">
        <v>0</v>
      </c>
      <c r="O861" s="8">
        <v>5</v>
      </c>
      <c r="P861" s="8">
        <v>9</v>
      </c>
      <c r="Q861" s="8">
        <v>2</v>
      </c>
      <c r="R861" s="8">
        <v>48</v>
      </c>
      <c r="S861" s="8">
        <v>29</v>
      </c>
      <c r="T861" s="3" t="s">
        <v>69</v>
      </c>
      <c r="U861" s="10">
        <v>1545</v>
      </c>
      <c r="V861" s="32">
        <v>33</v>
      </c>
      <c r="W861" s="27">
        <v>2.1359223300970873E-2</v>
      </c>
      <c r="X861" s="34">
        <v>0</v>
      </c>
      <c r="Y861" s="27">
        <v>0</v>
      </c>
      <c r="Z861" s="27">
        <v>0</v>
      </c>
      <c r="AA861" s="35">
        <v>33</v>
      </c>
      <c r="AB861" s="27">
        <v>1</v>
      </c>
      <c r="AC861" s="27">
        <f t="shared" si="79"/>
        <v>2.1359223300970873E-2</v>
      </c>
      <c r="AD861" s="36">
        <v>0</v>
      </c>
      <c r="AE861" s="27">
        <v>0</v>
      </c>
      <c r="AF861" s="27">
        <f t="shared" si="80"/>
        <v>0</v>
      </c>
      <c r="AG861" s="37">
        <v>0</v>
      </c>
      <c r="AH861" s="27">
        <v>0</v>
      </c>
      <c r="AI861" s="27">
        <f t="shared" si="81"/>
        <v>0</v>
      </c>
      <c r="AJ861" s="38">
        <v>0</v>
      </c>
      <c r="AK861" s="27">
        <v>0</v>
      </c>
      <c r="AL861" s="27">
        <f t="shared" si="82"/>
        <v>0</v>
      </c>
      <c r="AM861" s="40">
        <v>0</v>
      </c>
      <c r="AN861" s="27">
        <v>0</v>
      </c>
      <c r="AO861" s="27">
        <f t="shared" si="83"/>
        <v>0</v>
      </c>
      <c r="AP861" s="7" t="b">
        <v>1</v>
      </c>
      <c r="AQ861" s="7" t="b">
        <v>1</v>
      </c>
      <c r="AR861" s="6" t="b">
        <v>0</v>
      </c>
      <c r="AS861" s="6" t="b">
        <v>0</v>
      </c>
      <c r="AT861" s="7" t="b">
        <v>1</v>
      </c>
      <c r="AU861" s="6" t="b">
        <v>0</v>
      </c>
      <c r="AV861" s="6" t="b">
        <v>0</v>
      </c>
      <c r="AW861" s="6" t="b">
        <v>0</v>
      </c>
      <c r="AX861" s="6" t="b">
        <v>0</v>
      </c>
      <c r="AY861" s="6" t="b">
        <v>0</v>
      </c>
      <c r="AZ861" s="6" t="b">
        <v>0</v>
      </c>
      <c r="BA861" s="6" t="b">
        <v>0</v>
      </c>
      <c r="BB861" s="6" t="b">
        <v>0</v>
      </c>
    </row>
    <row r="862" spans="1:54" ht="15" x14ac:dyDescent="0.25">
      <c r="A862" s="3" t="s">
        <v>1783</v>
      </c>
      <c r="B862" s="3" t="str">
        <f ca="1">IFERROR(__xludf.DUMMYFUNCTION("SPLIT(A862,""/"")"),"pytorch")</f>
        <v>pytorch</v>
      </c>
      <c r="C862" s="3" t="str">
        <f ca="1">IFERROR(__xludf.DUMMYFUNCTION("""COMPUTED_VALUE"""),"audio")</f>
        <v>audio</v>
      </c>
      <c r="D862" s="4" t="s">
        <v>1784</v>
      </c>
      <c r="E862" s="5">
        <v>42860.026446759257</v>
      </c>
      <c r="F862" s="5">
        <v>44294.876817129632</v>
      </c>
      <c r="G862" s="13">
        <f t="shared" si="78"/>
        <v>1434.8503703703755</v>
      </c>
      <c r="H862" s="6" t="b">
        <v>0</v>
      </c>
      <c r="I862" s="7" t="b">
        <v>1</v>
      </c>
      <c r="J862" s="8">
        <v>1286</v>
      </c>
      <c r="K862" s="8">
        <v>53</v>
      </c>
      <c r="L862" s="8">
        <v>291</v>
      </c>
      <c r="M862" s="8">
        <v>12</v>
      </c>
      <c r="N862" s="8">
        <v>13</v>
      </c>
      <c r="O862" s="8">
        <v>118</v>
      </c>
      <c r="P862" s="8">
        <v>1024</v>
      </c>
      <c r="Q862" s="8">
        <v>33</v>
      </c>
      <c r="R862" s="8">
        <v>416</v>
      </c>
      <c r="S862" s="8">
        <v>112</v>
      </c>
      <c r="T862" s="3" t="s">
        <v>153</v>
      </c>
      <c r="U862" s="10">
        <v>10476</v>
      </c>
      <c r="V862" s="32">
        <v>61</v>
      </c>
      <c r="W862" s="27">
        <v>5.8228331424207717E-3</v>
      </c>
      <c r="X862" s="34">
        <v>0</v>
      </c>
      <c r="Y862" s="27">
        <v>0</v>
      </c>
      <c r="Z862" s="27">
        <v>0</v>
      </c>
      <c r="AA862" s="35">
        <v>51</v>
      </c>
      <c r="AB862" s="27">
        <v>0.83606557377049184</v>
      </c>
      <c r="AC862" s="27">
        <f t="shared" si="79"/>
        <v>4.868270332187858E-3</v>
      </c>
      <c r="AD862" s="36">
        <v>10</v>
      </c>
      <c r="AE862" s="27">
        <v>0.16393442622950818</v>
      </c>
      <c r="AF862" s="27">
        <f t="shared" si="80"/>
        <v>9.5456281023291337E-4</v>
      </c>
      <c r="AG862" s="37">
        <v>0</v>
      </c>
      <c r="AH862" s="27">
        <v>0</v>
      </c>
      <c r="AI862" s="27">
        <f t="shared" si="81"/>
        <v>0</v>
      </c>
      <c r="AJ862" s="38">
        <v>0</v>
      </c>
      <c r="AK862" s="27">
        <v>0</v>
      </c>
      <c r="AL862" s="27">
        <f t="shared" si="82"/>
        <v>0</v>
      </c>
      <c r="AM862" s="40">
        <v>1</v>
      </c>
      <c r="AN862" s="27">
        <v>1.6393442622950821E-2</v>
      </c>
      <c r="AO862" s="27">
        <f t="shared" si="83"/>
        <v>9.5456281023291337E-5</v>
      </c>
      <c r="AP862" s="7" t="b">
        <v>1</v>
      </c>
      <c r="AQ862" s="6" t="b">
        <v>0</v>
      </c>
      <c r="AR862" s="6" t="b">
        <v>0</v>
      </c>
      <c r="AS862" s="6" t="b">
        <v>0</v>
      </c>
      <c r="AT862" s="7" t="b">
        <v>1</v>
      </c>
      <c r="AU862" s="6" t="b">
        <v>0</v>
      </c>
      <c r="AV862" s="6" t="b">
        <v>0</v>
      </c>
      <c r="AW862" s="6" t="b">
        <v>0</v>
      </c>
      <c r="AX862" s="6" t="b">
        <v>0</v>
      </c>
      <c r="AY862" s="6" t="b">
        <v>0</v>
      </c>
      <c r="AZ862" s="6" t="b">
        <v>0</v>
      </c>
      <c r="BA862" s="6" t="b">
        <v>0</v>
      </c>
      <c r="BB862" s="6" t="b">
        <v>0</v>
      </c>
    </row>
    <row r="863" spans="1:54" ht="15" x14ac:dyDescent="0.25">
      <c r="A863" s="3" t="s">
        <v>1785</v>
      </c>
      <c r="B863" s="3" t="str">
        <f ca="1">IFERROR(__xludf.DUMMYFUNCTION("SPLIT(A863,""/"")"),"pytorch")</f>
        <v>pytorch</v>
      </c>
      <c r="C863" s="3" t="str">
        <f ca="1">IFERROR(__xludf.DUMMYFUNCTION("""COMPUTED_VALUE"""),"elastic")</f>
        <v>elastic</v>
      </c>
      <c r="D863" s="4" t="s">
        <v>1786</v>
      </c>
      <c r="E863" s="5">
        <v>43739.908506944441</v>
      </c>
      <c r="F863" s="5">
        <v>44294.812789351854</v>
      </c>
      <c r="G863" s="13">
        <f t="shared" si="78"/>
        <v>554.90428240741312</v>
      </c>
      <c r="H863" s="6" t="b">
        <v>0</v>
      </c>
      <c r="I863" s="7" t="b">
        <v>1</v>
      </c>
      <c r="J863" s="8">
        <v>632</v>
      </c>
      <c r="K863" s="8">
        <v>34</v>
      </c>
      <c r="L863" s="8">
        <v>70</v>
      </c>
      <c r="M863" s="8">
        <v>8</v>
      </c>
      <c r="N863" s="8">
        <v>0</v>
      </c>
      <c r="O863" s="8">
        <v>31</v>
      </c>
      <c r="P863" s="8">
        <v>98</v>
      </c>
      <c r="Q863" s="8">
        <v>1</v>
      </c>
      <c r="R863" s="8">
        <v>48</v>
      </c>
      <c r="S863" s="8">
        <v>7</v>
      </c>
      <c r="T863" s="3" t="s">
        <v>57</v>
      </c>
      <c r="U863" s="10">
        <v>3996</v>
      </c>
      <c r="V863" s="32">
        <v>42</v>
      </c>
      <c r="W863" s="27">
        <v>1.0510510510510511E-2</v>
      </c>
      <c r="X863" s="34">
        <v>2</v>
      </c>
      <c r="Y863" s="27">
        <v>4.7619047619047616E-2</v>
      </c>
      <c r="Z863" s="27">
        <v>5.005005005005005E-4</v>
      </c>
      <c r="AA863" s="35">
        <v>38</v>
      </c>
      <c r="AB863" s="27">
        <v>0.90476190476190477</v>
      </c>
      <c r="AC863" s="27">
        <f t="shared" si="79"/>
        <v>9.5095095095095103E-3</v>
      </c>
      <c r="AD863" s="36">
        <v>2</v>
      </c>
      <c r="AE863" s="27">
        <v>4.7619047619047616E-2</v>
      </c>
      <c r="AF863" s="27">
        <f t="shared" si="80"/>
        <v>5.005005005005005E-4</v>
      </c>
      <c r="AG863" s="37">
        <v>0</v>
      </c>
      <c r="AH863" s="27">
        <v>0</v>
      </c>
      <c r="AI863" s="27">
        <f t="shared" si="81"/>
        <v>0</v>
      </c>
      <c r="AJ863" s="38">
        <v>0</v>
      </c>
      <c r="AK863" s="27">
        <v>0</v>
      </c>
      <c r="AL863" s="27">
        <f t="shared" si="82"/>
        <v>0</v>
      </c>
      <c r="AM863" s="40">
        <v>0</v>
      </c>
      <c r="AN863" s="27">
        <v>0</v>
      </c>
      <c r="AO863" s="27">
        <f t="shared" si="83"/>
        <v>0</v>
      </c>
      <c r="AP863" s="7" t="b">
        <v>1</v>
      </c>
      <c r="AQ863" s="7" t="b">
        <v>1</v>
      </c>
      <c r="AR863" s="6" t="b">
        <v>0</v>
      </c>
      <c r="AS863" s="6" t="b">
        <v>0</v>
      </c>
      <c r="AT863" s="7" t="b">
        <v>1</v>
      </c>
      <c r="AU863" s="6" t="b">
        <v>0</v>
      </c>
      <c r="AV863" s="6" t="b">
        <v>0</v>
      </c>
      <c r="AW863" s="6" t="b">
        <v>0</v>
      </c>
      <c r="AX863" s="6" t="b">
        <v>0</v>
      </c>
      <c r="AY863" s="6" t="b">
        <v>0</v>
      </c>
      <c r="AZ863" s="6" t="b">
        <v>0</v>
      </c>
      <c r="BA863" s="6" t="b">
        <v>0</v>
      </c>
      <c r="BB863" s="6" t="b">
        <v>0</v>
      </c>
    </row>
    <row r="864" spans="1:54" ht="15" x14ac:dyDescent="0.25">
      <c r="A864" s="3" t="s">
        <v>1787</v>
      </c>
      <c r="B864" s="3" t="str">
        <f ca="1">IFERROR(__xludf.DUMMYFUNCTION("SPLIT(A864,""/"")"),"pytorch")</f>
        <v>pytorch</v>
      </c>
      <c r="C864" s="3" t="str">
        <f ca="1">IFERROR(__xludf.DUMMYFUNCTION("""COMPUTED_VALUE"""),"text")</f>
        <v>text</v>
      </c>
      <c r="D864" s="4" t="s">
        <v>1788</v>
      </c>
      <c r="E864" s="5">
        <v>42716.038923611108</v>
      </c>
      <c r="F864" s="5">
        <v>44294.373182870368</v>
      </c>
      <c r="G864" s="13">
        <f t="shared" si="78"/>
        <v>1578.3342592592599</v>
      </c>
      <c r="H864" s="6" t="b">
        <v>0</v>
      </c>
      <c r="I864" s="7" t="b">
        <v>1</v>
      </c>
      <c r="J864" s="8">
        <v>2715</v>
      </c>
      <c r="K864" s="8">
        <v>210</v>
      </c>
      <c r="L864" s="8">
        <v>599</v>
      </c>
      <c r="M864" s="8">
        <v>13</v>
      </c>
      <c r="N864" s="8">
        <v>4</v>
      </c>
      <c r="O864" s="8">
        <v>104</v>
      </c>
      <c r="P864" s="8">
        <v>730</v>
      </c>
      <c r="Q864" s="8">
        <v>73</v>
      </c>
      <c r="R864" s="8">
        <v>547</v>
      </c>
      <c r="S864" s="8">
        <v>224</v>
      </c>
      <c r="T864" s="3" t="s">
        <v>57</v>
      </c>
      <c r="U864" s="10">
        <v>9402</v>
      </c>
      <c r="V864" s="32">
        <v>63</v>
      </c>
      <c r="W864" s="27">
        <v>6.7007019783024892E-3</v>
      </c>
      <c r="X864" s="34">
        <v>0</v>
      </c>
      <c r="Y864" s="27">
        <v>0</v>
      </c>
      <c r="Z864" s="27">
        <v>0</v>
      </c>
      <c r="AA864" s="35">
        <v>59</v>
      </c>
      <c r="AB864" s="27">
        <v>0.93650793650793651</v>
      </c>
      <c r="AC864" s="27">
        <f t="shared" si="79"/>
        <v>6.2752605828547119E-3</v>
      </c>
      <c r="AD864" s="36">
        <v>4</v>
      </c>
      <c r="AE864" s="27">
        <v>6.3492063492063489E-2</v>
      </c>
      <c r="AF864" s="27">
        <f t="shared" si="80"/>
        <v>4.2544139544777704E-4</v>
      </c>
      <c r="AG864" s="37">
        <v>0</v>
      </c>
      <c r="AH864" s="27">
        <v>0</v>
      </c>
      <c r="AI864" s="27">
        <f t="shared" si="81"/>
        <v>0</v>
      </c>
      <c r="AJ864" s="38">
        <v>0</v>
      </c>
      <c r="AK864" s="27">
        <v>0</v>
      </c>
      <c r="AL864" s="27">
        <f t="shared" si="82"/>
        <v>0</v>
      </c>
      <c r="AM864" s="40">
        <v>0</v>
      </c>
      <c r="AN864" s="27">
        <v>0</v>
      </c>
      <c r="AO864" s="27">
        <f t="shared" si="83"/>
        <v>0</v>
      </c>
      <c r="AP864" s="7" t="b">
        <v>1</v>
      </c>
      <c r="AQ864" s="6" t="b">
        <v>0</v>
      </c>
      <c r="AR864" s="6" t="b">
        <v>0</v>
      </c>
      <c r="AS864" s="6" t="b">
        <v>0</v>
      </c>
      <c r="AT864" s="7" t="b">
        <v>1</v>
      </c>
      <c r="AU864" s="6" t="b">
        <v>0</v>
      </c>
      <c r="AV864" s="6" t="b">
        <v>0</v>
      </c>
      <c r="AW864" s="6" t="b">
        <v>0</v>
      </c>
      <c r="AX864" s="6" t="b">
        <v>0</v>
      </c>
      <c r="AY864" s="6" t="b">
        <v>0</v>
      </c>
      <c r="AZ864" s="6" t="b">
        <v>0</v>
      </c>
      <c r="BA864" s="6" t="b">
        <v>0</v>
      </c>
      <c r="BB864" s="6" t="b">
        <v>0</v>
      </c>
    </row>
    <row r="865" spans="1:54" ht="15" x14ac:dyDescent="0.25">
      <c r="A865" s="3" t="s">
        <v>1789</v>
      </c>
      <c r="B865" s="3" t="str">
        <f ca="1">IFERROR(__xludf.DUMMYFUNCTION("SPLIT(A865,""/"")"),"pytorch")</f>
        <v>pytorch</v>
      </c>
      <c r="C865" s="3" t="str">
        <f ca="1">IFERROR(__xludf.DUMMYFUNCTION("""COMPUTED_VALUE"""),"translate")</f>
        <v>translate</v>
      </c>
      <c r="D865" s="4" t="s">
        <v>1790</v>
      </c>
      <c r="E865" s="5">
        <v>43214.697268518517</v>
      </c>
      <c r="F865" s="5">
        <v>44291.289548611108</v>
      </c>
      <c r="G865" s="13">
        <f t="shared" si="78"/>
        <v>1076.592280092591</v>
      </c>
      <c r="H865" s="6" t="b">
        <v>0</v>
      </c>
      <c r="I865" s="7" t="b">
        <v>1</v>
      </c>
      <c r="J865" s="8">
        <v>685</v>
      </c>
      <c r="K865" s="8">
        <v>43</v>
      </c>
      <c r="L865" s="8">
        <v>162</v>
      </c>
      <c r="M865" s="8">
        <v>0</v>
      </c>
      <c r="N865" s="8">
        <v>2</v>
      </c>
      <c r="O865" s="8">
        <v>54</v>
      </c>
      <c r="P865" s="8">
        <v>666</v>
      </c>
      <c r="Q865" s="8">
        <v>16</v>
      </c>
      <c r="R865" s="8">
        <v>38</v>
      </c>
      <c r="S865" s="8">
        <v>11</v>
      </c>
      <c r="T865" s="3" t="s">
        <v>57</v>
      </c>
      <c r="U865" s="10">
        <v>11692</v>
      </c>
      <c r="V865" s="32">
        <v>6</v>
      </c>
      <c r="W865" s="27">
        <v>5.131713992473486E-4</v>
      </c>
      <c r="X865" s="34">
        <v>0</v>
      </c>
      <c r="Y865" s="27">
        <v>0</v>
      </c>
      <c r="Z865" s="27">
        <v>0</v>
      </c>
      <c r="AA865" s="35">
        <v>2</v>
      </c>
      <c r="AB865" s="27">
        <v>0.33333333333333331</v>
      </c>
      <c r="AC865" s="27">
        <f t="shared" si="79"/>
        <v>1.7105713308244953E-4</v>
      </c>
      <c r="AD865" s="36">
        <v>1</v>
      </c>
      <c r="AE865" s="27">
        <v>0.16666666666666666</v>
      </c>
      <c r="AF865" s="27">
        <f t="shared" si="80"/>
        <v>8.5528566541224766E-5</v>
      </c>
      <c r="AG865" s="37">
        <v>0</v>
      </c>
      <c r="AH865" s="27">
        <v>0</v>
      </c>
      <c r="AI865" s="27">
        <f t="shared" si="81"/>
        <v>0</v>
      </c>
      <c r="AJ865" s="38">
        <v>0</v>
      </c>
      <c r="AK865" s="27">
        <v>0</v>
      </c>
      <c r="AL865" s="27">
        <f t="shared" si="82"/>
        <v>0</v>
      </c>
      <c r="AM865" s="40">
        <v>3</v>
      </c>
      <c r="AN865" s="27">
        <v>0.5</v>
      </c>
      <c r="AO865" s="27">
        <f t="shared" si="83"/>
        <v>2.565856996236743E-4</v>
      </c>
      <c r="AP865" s="7" t="b">
        <v>1</v>
      </c>
      <c r="AQ865" s="6" t="b">
        <v>0</v>
      </c>
      <c r="AR865" s="6" t="b">
        <v>0</v>
      </c>
      <c r="AS865" s="6" t="b">
        <v>0</v>
      </c>
      <c r="AT865" s="7" t="b">
        <v>1</v>
      </c>
      <c r="AU865" s="6" t="b">
        <v>0</v>
      </c>
      <c r="AV865" s="6" t="b">
        <v>0</v>
      </c>
      <c r="AW865" s="6" t="b">
        <v>0</v>
      </c>
      <c r="AX865" s="6" t="b">
        <v>0</v>
      </c>
      <c r="AY865" s="6" t="b">
        <v>0</v>
      </c>
      <c r="AZ865" s="6" t="b">
        <v>0</v>
      </c>
      <c r="BA865" s="6" t="b">
        <v>0</v>
      </c>
      <c r="BB865" s="6" t="b">
        <v>0</v>
      </c>
    </row>
    <row r="866" spans="1:54" ht="15" x14ac:dyDescent="0.25">
      <c r="A866" s="3" t="s">
        <v>1791</v>
      </c>
      <c r="B866" s="3" t="str">
        <f ca="1">IFERROR(__xludf.DUMMYFUNCTION("SPLIT(A866,""/"")"),"PyTorchLightning")</f>
        <v>PyTorchLightning</v>
      </c>
      <c r="C866" s="3" t="str">
        <f ca="1">IFERROR(__xludf.DUMMYFUNCTION("""COMPUTED_VALUE"""),"pytorch-lightning")</f>
        <v>pytorch-lightning</v>
      </c>
      <c r="D866" s="4" t="s">
        <v>1792</v>
      </c>
      <c r="E866" s="5">
        <v>43555.031909722224</v>
      </c>
      <c r="F866" s="5">
        <v>44295.13853009259</v>
      </c>
      <c r="G866" s="13">
        <f t="shared" si="78"/>
        <v>740.10662037036673</v>
      </c>
      <c r="H866" s="6" t="b">
        <v>0</v>
      </c>
      <c r="I866" s="7" t="b">
        <v>1</v>
      </c>
      <c r="J866" s="8">
        <v>12898</v>
      </c>
      <c r="K866" s="8">
        <v>212</v>
      </c>
      <c r="L866" s="8">
        <v>1483</v>
      </c>
      <c r="M866" s="8">
        <v>50</v>
      </c>
      <c r="N866" s="8">
        <v>34</v>
      </c>
      <c r="O866" s="8">
        <v>432</v>
      </c>
      <c r="P866" s="8">
        <v>3384</v>
      </c>
      <c r="Q866" s="8">
        <v>61</v>
      </c>
      <c r="R866" s="8">
        <v>3102</v>
      </c>
      <c r="S866" s="8">
        <v>252</v>
      </c>
      <c r="T866" s="3" t="s">
        <v>69</v>
      </c>
      <c r="U866" s="10">
        <v>33017</v>
      </c>
      <c r="V866" s="32">
        <v>279</v>
      </c>
      <c r="W866" s="27">
        <v>8.4501923251658236E-3</v>
      </c>
      <c r="X866" s="34">
        <v>8</v>
      </c>
      <c r="Y866" s="27">
        <v>2.8673835125448029E-2</v>
      </c>
      <c r="Z866" s="27">
        <v>2.4229942151013115E-4</v>
      </c>
      <c r="AA866" s="35">
        <v>41</v>
      </c>
      <c r="AB866" s="27">
        <v>0.14695340501792115</v>
      </c>
      <c r="AC866" s="27">
        <f t="shared" si="79"/>
        <v>1.2417845352394221E-3</v>
      </c>
      <c r="AD866" s="36">
        <v>19</v>
      </c>
      <c r="AE866" s="27">
        <v>6.8100358422939072E-2</v>
      </c>
      <c r="AF866" s="27">
        <f t="shared" si="80"/>
        <v>5.7546112608656142E-4</v>
      </c>
      <c r="AG866" s="37">
        <v>1</v>
      </c>
      <c r="AH866" s="27">
        <v>3.5842293906810036E-3</v>
      </c>
      <c r="AI866" s="27">
        <f t="shared" si="81"/>
        <v>3.0287427688766394E-5</v>
      </c>
      <c r="AJ866" s="38">
        <v>1</v>
      </c>
      <c r="AK866" s="27">
        <v>3.5842293906810036E-3</v>
      </c>
      <c r="AL866" s="27">
        <f t="shared" si="82"/>
        <v>3.0287427688766394E-5</v>
      </c>
      <c r="AM866" s="40">
        <v>209</v>
      </c>
      <c r="AN866" s="27">
        <v>0.74910394265232971</v>
      </c>
      <c r="AO866" s="27">
        <f t="shared" si="83"/>
        <v>6.330072386952176E-3</v>
      </c>
      <c r="AP866" s="7" t="b">
        <v>1</v>
      </c>
      <c r="AQ866" s="6" t="b">
        <v>0</v>
      </c>
      <c r="AR866" s="6" t="b">
        <v>0</v>
      </c>
      <c r="AS866" s="6" t="b">
        <v>0</v>
      </c>
      <c r="AT866" s="7" t="b">
        <v>1</v>
      </c>
      <c r="AU866" s="6" t="b">
        <v>0</v>
      </c>
      <c r="AV866" s="6" t="b">
        <v>0</v>
      </c>
      <c r="AW866" s="6" t="b">
        <v>0</v>
      </c>
      <c r="AX866" s="6" t="b">
        <v>0</v>
      </c>
      <c r="AY866" s="6" t="b">
        <v>0</v>
      </c>
      <c r="AZ866" s="6" t="b">
        <v>0</v>
      </c>
      <c r="BA866" s="6" t="b">
        <v>0</v>
      </c>
      <c r="BB866" s="6" t="b">
        <v>0</v>
      </c>
    </row>
    <row r="867" spans="1:54" ht="15" x14ac:dyDescent="0.25">
      <c r="A867" s="3" t="s">
        <v>1793</v>
      </c>
      <c r="B867" s="3" t="str">
        <f ca="1">IFERROR(__xludf.DUMMYFUNCTION("SPLIT(A867,""/"")"),"pyvista")</f>
        <v>pyvista</v>
      </c>
      <c r="C867" s="3" t="str">
        <f ca="1">IFERROR(__xludf.DUMMYFUNCTION("""COMPUTED_VALUE"""),"pyvista")</f>
        <v>pyvista</v>
      </c>
      <c r="D867" s="4" t="s">
        <v>1794</v>
      </c>
      <c r="E867" s="5">
        <v>42886.751180555555</v>
      </c>
      <c r="F867" s="5">
        <v>44294.607777777775</v>
      </c>
      <c r="G867" s="13">
        <f t="shared" si="78"/>
        <v>1407.8565972222204</v>
      </c>
      <c r="H867" s="6" t="b">
        <v>0</v>
      </c>
      <c r="I867" s="7" t="b">
        <v>1</v>
      </c>
      <c r="J867" s="8">
        <v>761</v>
      </c>
      <c r="K867" s="8">
        <v>29</v>
      </c>
      <c r="L867" s="8">
        <v>147</v>
      </c>
      <c r="M867" s="8">
        <v>33</v>
      </c>
      <c r="N867" s="8">
        <v>32</v>
      </c>
      <c r="O867" s="8">
        <v>56</v>
      </c>
      <c r="P867" s="8">
        <v>782</v>
      </c>
      <c r="Q867" s="8">
        <v>6</v>
      </c>
      <c r="R867" s="8">
        <v>428</v>
      </c>
      <c r="S867" s="8">
        <v>128</v>
      </c>
      <c r="T867" s="3" t="s">
        <v>72</v>
      </c>
      <c r="U867" s="10">
        <v>22273</v>
      </c>
      <c r="V867" s="32">
        <v>31</v>
      </c>
      <c r="W867" s="27">
        <v>1.3918196920037714E-3</v>
      </c>
      <c r="X867" s="34">
        <v>10</v>
      </c>
      <c r="Y867" s="27">
        <v>0.32258064516129031</v>
      </c>
      <c r="Z867" s="27">
        <v>4.4897409419476499E-4</v>
      </c>
      <c r="AA867" s="35">
        <v>0</v>
      </c>
      <c r="AB867" s="27">
        <v>0</v>
      </c>
      <c r="AC867" s="27">
        <f t="shared" si="79"/>
        <v>0</v>
      </c>
      <c r="AD867" s="36">
        <v>20</v>
      </c>
      <c r="AE867" s="27">
        <v>0.64516129032258063</v>
      </c>
      <c r="AF867" s="27">
        <f t="shared" si="80"/>
        <v>8.9794818838952997E-4</v>
      </c>
      <c r="AG867" s="37">
        <v>1</v>
      </c>
      <c r="AH867" s="27">
        <v>3.2258064516129031E-2</v>
      </c>
      <c r="AI867" s="27">
        <f t="shared" si="81"/>
        <v>4.4897409419476499E-5</v>
      </c>
      <c r="AJ867" s="38">
        <v>0</v>
      </c>
      <c r="AK867" s="27">
        <v>0</v>
      </c>
      <c r="AL867" s="27">
        <f t="shared" si="82"/>
        <v>0</v>
      </c>
      <c r="AM867" s="40">
        <v>0</v>
      </c>
      <c r="AN867" s="27">
        <v>0</v>
      </c>
      <c r="AO867" s="27">
        <f t="shared" si="83"/>
        <v>0</v>
      </c>
      <c r="AP867" s="7" t="b">
        <v>1</v>
      </c>
      <c r="AQ867" s="6" t="b">
        <v>0</v>
      </c>
      <c r="AR867" s="6" t="b">
        <v>0</v>
      </c>
      <c r="AS867" s="6" t="b">
        <v>0</v>
      </c>
      <c r="AT867" s="7" t="b">
        <v>1</v>
      </c>
      <c r="AU867" s="6" t="b">
        <v>0</v>
      </c>
      <c r="AV867" s="6" t="b">
        <v>0</v>
      </c>
      <c r="AW867" s="6" t="b">
        <v>0</v>
      </c>
      <c r="AX867" s="6" t="b">
        <v>0</v>
      </c>
      <c r="AY867" s="6" t="b">
        <v>0</v>
      </c>
      <c r="AZ867" s="6" t="b">
        <v>0</v>
      </c>
      <c r="BA867" s="6" t="b">
        <v>0</v>
      </c>
      <c r="BB867" s="6" t="b">
        <v>0</v>
      </c>
    </row>
    <row r="868" spans="1:54" ht="15" x14ac:dyDescent="0.25">
      <c r="A868" s="3" t="s">
        <v>1795</v>
      </c>
      <c r="B868" s="3" t="str">
        <f ca="1">IFERROR(__xludf.DUMMYFUNCTION("SPLIT(A868,""/"")"),"qilingframework")</f>
        <v>qilingframework</v>
      </c>
      <c r="C868" s="3" t="str">
        <f ca="1">IFERROR(__xludf.DUMMYFUNCTION("""COMPUTED_VALUE"""),"qiling")</f>
        <v>qiling</v>
      </c>
      <c r="D868" s="4" t="s">
        <v>1796</v>
      </c>
      <c r="E868" s="5">
        <v>43699.557118055556</v>
      </c>
      <c r="F868" s="5">
        <v>44294.565127314818</v>
      </c>
      <c r="G868" s="13">
        <f t="shared" si="78"/>
        <v>595.0080092592616</v>
      </c>
      <c r="H868" s="6" t="b">
        <v>0</v>
      </c>
      <c r="I868" s="7" t="b">
        <v>1</v>
      </c>
      <c r="J868" s="8">
        <v>2236</v>
      </c>
      <c r="K868" s="8">
        <v>81</v>
      </c>
      <c r="L868" s="8">
        <v>337</v>
      </c>
      <c r="M868" s="8">
        <v>14</v>
      </c>
      <c r="N868" s="8">
        <v>12</v>
      </c>
      <c r="O868" s="8">
        <v>74</v>
      </c>
      <c r="P868" s="8">
        <v>519</v>
      </c>
      <c r="Q868" s="8">
        <v>13</v>
      </c>
      <c r="R868" s="8">
        <v>244</v>
      </c>
      <c r="S868" s="8">
        <v>44</v>
      </c>
      <c r="T868" s="3" t="s">
        <v>64</v>
      </c>
      <c r="U868" s="10">
        <v>34124</v>
      </c>
      <c r="V868" s="32">
        <v>718</v>
      </c>
      <c r="W868" s="27">
        <v>2.1040909623725238E-2</v>
      </c>
      <c r="X868" s="34">
        <v>403</v>
      </c>
      <c r="Y868" s="27">
        <v>0.56128133704735372</v>
      </c>
      <c r="Z868" s="27">
        <v>1.1809869886297035E-2</v>
      </c>
      <c r="AA868" s="35">
        <v>217</v>
      </c>
      <c r="AB868" s="27">
        <v>0.3022284122562674</v>
      </c>
      <c r="AC868" s="27">
        <f t="shared" si="79"/>
        <v>6.3591607080060956E-3</v>
      </c>
      <c r="AD868" s="36">
        <v>30</v>
      </c>
      <c r="AE868" s="27">
        <v>4.1782729805013928E-2</v>
      </c>
      <c r="AF868" s="27">
        <f t="shared" si="80"/>
        <v>8.7914664165982882E-4</v>
      </c>
      <c r="AG868" s="37">
        <v>60</v>
      </c>
      <c r="AH868" s="27">
        <v>8.3565459610027856E-2</v>
      </c>
      <c r="AI868" s="27">
        <f t="shared" si="81"/>
        <v>1.7582932833196576E-3</v>
      </c>
      <c r="AJ868" s="38">
        <v>2</v>
      </c>
      <c r="AK868" s="27">
        <v>2.7855153203342618E-3</v>
      </c>
      <c r="AL868" s="27">
        <f t="shared" si="82"/>
        <v>5.8609776110655256E-5</v>
      </c>
      <c r="AM868" s="40">
        <v>1</v>
      </c>
      <c r="AN868" s="27">
        <v>1.3927576601671309E-3</v>
      </c>
      <c r="AO868" s="27">
        <f t="shared" si="83"/>
        <v>2.9304888055327628E-5</v>
      </c>
      <c r="AP868" s="7" t="b">
        <v>1</v>
      </c>
      <c r="AQ868" s="6" t="b">
        <v>0</v>
      </c>
      <c r="AR868" s="6" t="b">
        <v>0</v>
      </c>
      <c r="AS868" s="6" t="b">
        <v>0</v>
      </c>
      <c r="AT868" s="7" t="b">
        <v>1</v>
      </c>
      <c r="AU868" s="6" t="b">
        <v>0</v>
      </c>
      <c r="AV868" s="6" t="b">
        <v>0</v>
      </c>
      <c r="AW868" s="6" t="b">
        <v>0</v>
      </c>
      <c r="AX868" s="6" t="b">
        <v>0</v>
      </c>
      <c r="AY868" s="6" t="b">
        <v>0</v>
      </c>
      <c r="AZ868" s="6" t="b">
        <v>0</v>
      </c>
      <c r="BA868" s="6" t="b">
        <v>0</v>
      </c>
      <c r="BB868" s="6" t="b">
        <v>0</v>
      </c>
    </row>
    <row r="869" spans="1:54" ht="15" x14ac:dyDescent="0.25">
      <c r="A869" s="3" t="s">
        <v>1797</v>
      </c>
      <c r="B869" s="3" t="str">
        <f ca="1">IFERROR(__xludf.DUMMYFUNCTION("SPLIT(A869,""/"")"),"QingdaoU")</f>
        <v>QingdaoU</v>
      </c>
      <c r="C869" s="3" t="str">
        <f ca="1">IFERROR(__xludf.DUMMYFUNCTION("""COMPUTED_VALUE"""),"OnlineJudge")</f>
        <v>OnlineJudge</v>
      </c>
      <c r="D869" s="4" t="s">
        <v>1798</v>
      </c>
      <c r="E869" s="5">
        <v>42231.53806712963</v>
      </c>
      <c r="F869" s="5">
        <v>44294.441284722219</v>
      </c>
      <c r="G869" s="13">
        <f t="shared" si="78"/>
        <v>2062.9032175925895</v>
      </c>
      <c r="H869" s="6" t="b">
        <v>0</v>
      </c>
      <c r="I869" s="7" t="b">
        <v>1</v>
      </c>
      <c r="J869" s="8">
        <v>3757</v>
      </c>
      <c r="K869" s="8">
        <v>180</v>
      </c>
      <c r="L869" s="8">
        <v>982</v>
      </c>
      <c r="M869" s="8">
        <v>6</v>
      </c>
      <c r="N869" s="8">
        <v>68</v>
      </c>
      <c r="O869" s="8">
        <v>15</v>
      </c>
      <c r="P869" s="8">
        <v>76</v>
      </c>
      <c r="Q869" s="8">
        <v>10</v>
      </c>
      <c r="R869" s="8">
        <v>289</v>
      </c>
      <c r="S869" s="8">
        <v>78</v>
      </c>
      <c r="T869" s="3" t="s">
        <v>72</v>
      </c>
      <c r="U869" s="10">
        <v>6060</v>
      </c>
      <c r="V869" s="32">
        <v>8</v>
      </c>
      <c r="W869" s="27">
        <v>1.3201320132013201E-3</v>
      </c>
      <c r="X869" s="34">
        <v>0</v>
      </c>
      <c r="Y869" s="27">
        <v>0</v>
      </c>
      <c r="Z869" s="27">
        <v>0</v>
      </c>
      <c r="AA869" s="35">
        <v>1</v>
      </c>
      <c r="AB869" s="27">
        <v>0.125</v>
      </c>
      <c r="AC869" s="27">
        <f t="shared" si="79"/>
        <v>1.6501650165016502E-4</v>
      </c>
      <c r="AD869" s="36">
        <v>0</v>
      </c>
      <c r="AE869" s="27">
        <v>0</v>
      </c>
      <c r="AF869" s="27">
        <f t="shared" si="80"/>
        <v>0</v>
      </c>
      <c r="AG869" s="37">
        <v>2</v>
      </c>
      <c r="AH869" s="27">
        <v>0.25</v>
      </c>
      <c r="AI869" s="27">
        <f t="shared" si="81"/>
        <v>3.3003300330033004E-4</v>
      </c>
      <c r="AJ869" s="38">
        <v>0</v>
      </c>
      <c r="AK869" s="27">
        <v>0</v>
      </c>
      <c r="AL869" s="27">
        <f t="shared" si="82"/>
        <v>0</v>
      </c>
      <c r="AM869" s="40">
        <v>0</v>
      </c>
      <c r="AN869" s="27">
        <v>0</v>
      </c>
      <c r="AO869" s="27">
        <f t="shared" si="83"/>
        <v>0</v>
      </c>
      <c r="AP869" s="7" t="b">
        <v>1</v>
      </c>
      <c r="AQ869" s="7" t="b">
        <v>1</v>
      </c>
      <c r="AR869" s="6" t="b">
        <v>0</v>
      </c>
      <c r="AS869" s="6" t="b">
        <v>0</v>
      </c>
      <c r="AT869" s="7" t="b">
        <v>1</v>
      </c>
      <c r="AU869" s="6" t="b">
        <v>0</v>
      </c>
      <c r="AV869" s="6" t="b">
        <v>0</v>
      </c>
      <c r="AW869" s="6" t="b">
        <v>0</v>
      </c>
      <c r="AX869" s="6" t="b">
        <v>0</v>
      </c>
      <c r="AY869" s="6" t="b">
        <v>0</v>
      </c>
      <c r="AZ869" s="6" t="b">
        <v>0</v>
      </c>
      <c r="BA869" s="6" t="b">
        <v>0</v>
      </c>
      <c r="BB869" s="6" t="b">
        <v>0</v>
      </c>
    </row>
    <row r="870" spans="1:54" ht="15" x14ac:dyDescent="0.25">
      <c r="A870" s="3" t="s">
        <v>1799</v>
      </c>
      <c r="B870" s="3" t="str">
        <f ca="1">IFERROR(__xludf.DUMMYFUNCTION("SPLIT(A870,""/"")"),"QUANTAXIS")</f>
        <v>QUANTAXIS</v>
      </c>
      <c r="C870" s="3" t="str">
        <f ca="1">IFERROR(__xludf.DUMMYFUNCTION("""COMPUTED_VALUE"""),"QUANTAXIS")</f>
        <v>QUANTAXIS</v>
      </c>
      <c r="D870" s="4" t="s">
        <v>1800</v>
      </c>
      <c r="E870" s="5">
        <v>42458.5078587963</v>
      </c>
      <c r="F870" s="5">
        <v>44295.070208333331</v>
      </c>
      <c r="G870" s="13">
        <f t="shared" si="78"/>
        <v>1836.562349537031</v>
      </c>
      <c r="H870" s="6" t="b">
        <v>0</v>
      </c>
      <c r="I870" s="7" t="b">
        <v>1</v>
      </c>
      <c r="J870" s="8">
        <v>5364</v>
      </c>
      <c r="K870" s="8">
        <v>550</v>
      </c>
      <c r="L870" s="8">
        <v>1915</v>
      </c>
      <c r="M870" s="8">
        <v>61</v>
      </c>
      <c r="N870" s="8">
        <v>9</v>
      </c>
      <c r="O870" s="8">
        <v>56</v>
      </c>
      <c r="P870" s="8">
        <v>1264</v>
      </c>
      <c r="Q870" s="8">
        <v>1</v>
      </c>
      <c r="R870" s="8">
        <v>421</v>
      </c>
      <c r="S870" s="8">
        <v>161</v>
      </c>
      <c r="T870" s="3" t="s">
        <v>72</v>
      </c>
      <c r="U870" s="10">
        <v>27588</v>
      </c>
      <c r="V870" s="32">
        <v>30</v>
      </c>
      <c r="W870" s="27">
        <v>1.0874293170943889E-3</v>
      </c>
      <c r="X870" s="34">
        <v>9</v>
      </c>
      <c r="Y870" s="27">
        <v>0.3</v>
      </c>
      <c r="Z870" s="27">
        <v>3.2622879512831667E-4</v>
      </c>
      <c r="AA870" s="35">
        <v>7</v>
      </c>
      <c r="AB870" s="27">
        <v>0.23333333333333334</v>
      </c>
      <c r="AC870" s="27">
        <f t="shared" si="79"/>
        <v>2.5373350732202409E-4</v>
      </c>
      <c r="AD870" s="36">
        <v>10</v>
      </c>
      <c r="AE870" s="27">
        <v>0.33333333333333331</v>
      </c>
      <c r="AF870" s="27">
        <f t="shared" si="80"/>
        <v>3.6247643903146296E-4</v>
      </c>
      <c r="AG870" s="37">
        <v>4</v>
      </c>
      <c r="AH870" s="27">
        <v>0.13333333333333333</v>
      </c>
      <c r="AI870" s="27">
        <f t="shared" si="81"/>
        <v>1.4499057561258519E-4</v>
      </c>
      <c r="AJ870" s="38">
        <v>0</v>
      </c>
      <c r="AK870" s="27">
        <v>0</v>
      </c>
      <c r="AL870" s="27">
        <f t="shared" si="82"/>
        <v>0</v>
      </c>
      <c r="AM870" s="40">
        <v>0</v>
      </c>
      <c r="AN870" s="27">
        <v>0</v>
      </c>
      <c r="AO870" s="27">
        <f t="shared" si="83"/>
        <v>0</v>
      </c>
      <c r="AP870" s="7" t="b">
        <v>1</v>
      </c>
      <c r="AQ870" s="7" t="b">
        <v>1</v>
      </c>
      <c r="AR870" s="6" t="b">
        <v>0</v>
      </c>
      <c r="AS870" s="6" t="b">
        <v>0</v>
      </c>
      <c r="AT870" s="7" t="b">
        <v>1</v>
      </c>
      <c r="AU870" s="6" t="b">
        <v>0</v>
      </c>
      <c r="AV870" s="6" t="b">
        <v>0</v>
      </c>
      <c r="AW870" s="6" t="b">
        <v>0</v>
      </c>
      <c r="AX870" s="6" t="b">
        <v>0</v>
      </c>
      <c r="AY870" s="6" t="b">
        <v>0</v>
      </c>
      <c r="AZ870" s="6" t="b">
        <v>0</v>
      </c>
      <c r="BA870" s="6" t="b">
        <v>0</v>
      </c>
      <c r="BB870" s="6" t="b">
        <v>0</v>
      </c>
    </row>
    <row r="871" spans="1:54" ht="15" x14ac:dyDescent="0.25">
      <c r="A871" s="3" t="s">
        <v>1801</v>
      </c>
      <c r="B871" s="3" t="str">
        <f ca="1">IFERROR(__xludf.DUMMYFUNCTION("SPLIT(A871,""/"")"),"quantopian")</f>
        <v>quantopian</v>
      </c>
      <c r="C871" s="3" t="str">
        <f ca="1">IFERROR(__xludf.DUMMYFUNCTION("""COMPUTED_VALUE"""),"zipline")</f>
        <v>zipline</v>
      </c>
      <c r="D871" s="4" t="s">
        <v>1802</v>
      </c>
      <c r="E871" s="5">
        <v>41201.660057870373</v>
      </c>
      <c r="F871" s="5">
        <v>44295.110590277778</v>
      </c>
      <c r="G871" s="13">
        <f t="shared" si="78"/>
        <v>3093.4505324074053</v>
      </c>
      <c r="H871" s="6" t="b">
        <v>0</v>
      </c>
      <c r="I871" s="7" t="b">
        <v>1</v>
      </c>
      <c r="J871" s="8">
        <v>13690</v>
      </c>
      <c r="K871" s="8">
        <v>1005</v>
      </c>
      <c r="L871" s="8">
        <v>3670</v>
      </c>
      <c r="M871" s="8">
        <v>13</v>
      </c>
      <c r="N871" s="8">
        <v>510</v>
      </c>
      <c r="O871" s="8">
        <v>120</v>
      </c>
      <c r="P871" s="8">
        <v>1860</v>
      </c>
      <c r="Q871" s="8">
        <v>36</v>
      </c>
      <c r="R871" s="8">
        <v>951</v>
      </c>
      <c r="S871" s="8">
        <v>304</v>
      </c>
      <c r="T871" s="3" t="s">
        <v>69</v>
      </c>
      <c r="U871" s="10">
        <v>40057</v>
      </c>
      <c r="V871" s="32">
        <v>54</v>
      </c>
      <c r="W871" s="27">
        <v>1.3480789874428939E-3</v>
      </c>
      <c r="X871" s="34">
        <v>5</v>
      </c>
      <c r="Y871" s="27">
        <v>9.2592592592592587E-2</v>
      </c>
      <c r="Z871" s="27">
        <v>1.2482212846693462E-4</v>
      </c>
      <c r="AA871" s="35">
        <v>20</v>
      </c>
      <c r="AB871" s="27">
        <v>0.37037037037037035</v>
      </c>
      <c r="AC871" s="27">
        <f t="shared" si="79"/>
        <v>4.9928851386773848E-4</v>
      </c>
      <c r="AD871" s="36">
        <v>26</v>
      </c>
      <c r="AE871" s="27">
        <v>0.48148148148148145</v>
      </c>
      <c r="AF871" s="27">
        <f t="shared" si="80"/>
        <v>6.4907506802806001E-4</v>
      </c>
      <c r="AG871" s="37">
        <v>3</v>
      </c>
      <c r="AH871" s="27">
        <v>5.5555555555555552E-2</v>
      </c>
      <c r="AI871" s="27">
        <f t="shared" si="81"/>
        <v>7.4893277080160766E-5</v>
      </c>
      <c r="AJ871" s="38">
        <v>0</v>
      </c>
      <c r="AK871" s="27">
        <v>0</v>
      </c>
      <c r="AL871" s="27">
        <f t="shared" si="82"/>
        <v>0</v>
      </c>
      <c r="AM871" s="40">
        <v>0</v>
      </c>
      <c r="AN871" s="27">
        <v>0</v>
      </c>
      <c r="AO871" s="27">
        <f t="shared" si="83"/>
        <v>0</v>
      </c>
      <c r="AP871" s="7" t="b">
        <v>1</v>
      </c>
      <c r="AQ871" s="6" t="b">
        <v>0</v>
      </c>
      <c r="AR871" s="6" t="b">
        <v>0</v>
      </c>
      <c r="AS871" s="6" t="b">
        <v>0</v>
      </c>
      <c r="AT871" s="6" t="b">
        <v>0</v>
      </c>
      <c r="AU871" s="6" t="b">
        <v>0</v>
      </c>
      <c r="AV871" s="6" t="b">
        <v>0</v>
      </c>
      <c r="AW871" s="7" t="b">
        <v>1</v>
      </c>
      <c r="AX871" s="6" t="b">
        <v>0</v>
      </c>
      <c r="AY871" s="6" t="b">
        <v>0</v>
      </c>
      <c r="AZ871" s="6" t="b">
        <v>0</v>
      </c>
      <c r="BA871" s="6" t="b">
        <v>0</v>
      </c>
      <c r="BB871" s="6" t="b">
        <v>0</v>
      </c>
    </row>
    <row r="872" spans="1:54" ht="15" x14ac:dyDescent="0.25">
      <c r="A872" s="3" t="s">
        <v>1803</v>
      </c>
      <c r="B872" s="3" t="str">
        <f ca="1">IFERROR(__xludf.DUMMYFUNCTION("SPLIT(A872,""/"")"),"quantumlib")</f>
        <v>quantumlib</v>
      </c>
      <c r="C872" s="3" t="str">
        <f ca="1">IFERROR(__xludf.DUMMYFUNCTION("""COMPUTED_VALUE"""),"Cirq")</f>
        <v>Cirq</v>
      </c>
      <c r="D872" s="4" t="s">
        <v>1804</v>
      </c>
      <c r="E872" s="5">
        <v>43083.987372685187</v>
      </c>
      <c r="F872" s="5">
        <v>44294.999201388891</v>
      </c>
      <c r="G872" s="13">
        <f t="shared" si="78"/>
        <v>1211.0118287037039</v>
      </c>
      <c r="H872" s="6" t="b">
        <v>0</v>
      </c>
      <c r="I872" s="7" t="b">
        <v>1</v>
      </c>
      <c r="J872" s="8">
        <v>2813</v>
      </c>
      <c r="K872" s="8">
        <v>173</v>
      </c>
      <c r="L872" s="8">
        <v>582</v>
      </c>
      <c r="M872" s="8">
        <v>13</v>
      </c>
      <c r="N872" s="8">
        <v>25</v>
      </c>
      <c r="O872" s="8">
        <v>124</v>
      </c>
      <c r="P872" s="8">
        <v>2519</v>
      </c>
      <c r="Q872" s="8">
        <v>42</v>
      </c>
      <c r="R872" s="8">
        <v>1491</v>
      </c>
      <c r="S872" s="8">
        <v>345</v>
      </c>
      <c r="T872" s="3" t="s">
        <v>69</v>
      </c>
      <c r="U872" s="10">
        <v>76391</v>
      </c>
      <c r="V872" s="32">
        <v>71</v>
      </c>
      <c r="W872" s="27">
        <v>9.2942885942061241E-4</v>
      </c>
      <c r="X872" s="34">
        <v>3</v>
      </c>
      <c r="Y872" s="27">
        <v>4.2253521126760563E-2</v>
      </c>
      <c r="Z872" s="27">
        <v>3.9271641947349821E-5</v>
      </c>
      <c r="AA872" s="35">
        <v>4</v>
      </c>
      <c r="AB872" s="27">
        <v>5.6338028169014086E-2</v>
      </c>
      <c r="AC872" s="27">
        <f t="shared" si="79"/>
        <v>5.236218926313309E-5</v>
      </c>
      <c r="AD872" s="36">
        <v>30</v>
      </c>
      <c r="AE872" s="27">
        <v>0.42253521126760563</v>
      </c>
      <c r="AF872" s="27">
        <f t="shared" si="80"/>
        <v>3.9271641947349819E-4</v>
      </c>
      <c r="AG872" s="37">
        <v>32</v>
      </c>
      <c r="AH872" s="27">
        <v>0.45070422535211269</v>
      </c>
      <c r="AI872" s="27">
        <f t="shared" si="81"/>
        <v>4.1889751410506472E-4</v>
      </c>
      <c r="AJ872" s="38">
        <v>2</v>
      </c>
      <c r="AK872" s="27">
        <v>2.8169014084507043E-2</v>
      </c>
      <c r="AL872" s="27">
        <f t="shared" si="82"/>
        <v>2.6181094631566545E-5</v>
      </c>
      <c r="AM872" s="40">
        <v>0</v>
      </c>
      <c r="AN872" s="27">
        <v>0</v>
      </c>
      <c r="AO872" s="27">
        <f t="shared" si="83"/>
        <v>0</v>
      </c>
      <c r="AP872" s="7" t="b">
        <v>1</v>
      </c>
      <c r="AQ872" s="6" t="b">
        <v>0</v>
      </c>
      <c r="AR872" s="6" t="b">
        <v>0</v>
      </c>
      <c r="AS872" s="6" t="b">
        <v>0</v>
      </c>
      <c r="AT872" s="7" t="b">
        <v>1</v>
      </c>
      <c r="AU872" s="6" t="b">
        <v>0</v>
      </c>
      <c r="AV872" s="6" t="b">
        <v>0</v>
      </c>
      <c r="AW872" s="6" t="b">
        <v>0</v>
      </c>
      <c r="AX872" s="6" t="b">
        <v>0</v>
      </c>
      <c r="AY872" s="6" t="b">
        <v>0</v>
      </c>
      <c r="AZ872" s="6" t="b">
        <v>0</v>
      </c>
      <c r="BA872" s="6" t="b">
        <v>0</v>
      </c>
      <c r="BB872" s="6" t="b">
        <v>0</v>
      </c>
    </row>
    <row r="873" spans="1:54" ht="15" x14ac:dyDescent="0.25">
      <c r="A873" s="3" t="s">
        <v>1805</v>
      </c>
      <c r="B873" s="3" t="str">
        <f ca="1">IFERROR(__xludf.DUMMYFUNCTION("SPLIT(A873,""/"")"),"quantumlib")</f>
        <v>quantumlib</v>
      </c>
      <c r="C873" s="3" t="str">
        <f ca="1">IFERROR(__xludf.DUMMYFUNCTION("""COMPUTED_VALUE"""),"OpenFermion")</f>
        <v>OpenFermion</v>
      </c>
      <c r="D873" s="4" t="s">
        <v>1806</v>
      </c>
      <c r="E873" s="5">
        <v>42999.923935185187</v>
      </c>
      <c r="F873" s="5">
        <v>44293.816562499997</v>
      </c>
      <c r="G873" s="13">
        <f t="shared" si="78"/>
        <v>1293.8926273148099</v>
      </c>
      <c r="H873" s="6" t="b">
        <v>0</v>
      </c>
      <c r="I873" s="7" t="b">
        <v>1</v>
      </c>
      <c r="J873" s="8">
        <v>1107</v>
      </c>
      <c r="K873" s="8">
        <v>108</v>
      </c>
      <c r="L873" s="8">
        <v>274</v>
      </c>
      <c r="M873" s="8">
        <v>16</v>
      </c>
      <c r="N873" s="8">
        <v>2</v>
      </c>
      <c r="O873" s="8">
        <v>54</v>
      </c>
      <c r="P873" s="8">
        <v>504</v>
      </c>
      <c r="Q873" s="8">
        <v>1</v>
      </c>
      <c r="R873" s="8">
        <v>217</v>
      </c>
      <c r="S873" s="8">
        <v>60</v>
      </c>
      <c r="T873" s="3" t="s">
        <v>69</v>
      </c>
      <c r="U873" s="10">
        <v>24863</v>
      </c>
      <c r="V873" s="32">
        <v>23</v>
      </c>
      <c r="W873" s="27">
        <v>9.2506938020351531E-4</v>
      </c>
      <c r="X873" s="34">
        <v>0</v>
      </c>
      <c r="Y873" s="27">
        <v>0</v>
      </c>
      <c r="Z873" s="27">
        <v>0</v>
      </c>
      <c r="AA873" s="35">
        <v>16</v>
      </c>
      <c r="AB873" s="27">
        <v>0.69565217391304346</v>
      </c>
      <c r="AC873" s="27">
        <f t="shared" si="79"/>
        <v>6.4352652535896711E-4</v>
      </c>
      <c r="AD873" s="36">
        <v>7</v>
      </c>
      <c r="AE873" s="27">
        <v>0.30434782608695654</v>
      </c>
      <c r="AF873" s="27">
        <f t="shared" si="80"/>
        <v>2.8154285484454814E-4</v>
      </c>
      <c r="AG873" s="37">
        <v>0</v>
      </c>
      <c r="AH873" s="27">
        <v>0</v>
      </c>
      <c r="AI873" s="27">
        <f t="shared" si="81"/>
        <v>0</v>
      </c>
      <c r="AJ873" s="38">
        <v>0</v>
      </c>
      <c r="AK873" s="27">
        <v>0</v>
      </c>
      <c r="AL873" s="27">
        <f t="shared" si="82"/>
        <v>0</v>
      </c>
      <c r="AM873" s="40">
        <v>0</v>
      </c>
      <c r="AN873" s="27">
        <v>0</v>
      </c>
      <c r="AO873" s="27">
        <f t="shared" si="83"/>
        <v>0</v>
      </c>
      <c r="AP873" s="7" t="b">
        <v>1</v>
      </c>
      <c r="AQ873" s="6" t="b">
        <v>0</v>
      </c>
      <c r="AR873" s="6" t="b">
        <v>0</v>
      </c>
      <c r="AS873" s="6" t="b">
        <v>0</v>
      </c>
      <c r="AT873" s="7" t="b">
        <v>1</v>
      </c>
      <c r="AU873" s="6" t="b">
        <v>0</v>
      </c>
      <c r="AV873" s="6" t="b">
        <v>0</v>
      </c>
      <c r="AW873" s="6" t="b">
        <v>0</v>
      </c>
      <c r="AX873" s="6" t="b">
        <v>0</v>
      </c>
      <c r="AY873" s="6" t="b">
        <v>0</v>
      </c>
      <c r="AZ873" s="6" t="b">
        <v>0</v>
      </c>
      <c r="BA873" s="6" t="b">
        <v>0</v>
      </c>
      <c r="BB873" s="6" t="b">
        <v>0</v>
      </c>
    </row>
    <row r="874" spans="1:54" ht="15" x14ac:dyDescent="0.25">
      <c r="A874" s="3" t="s">
        <v>1807</v>
      </c>
      <c r="B874" s="3" t="str">
        <f ca="1">IFERROR(__xludf.DUMMYFUNCTION("SPLIT(A874,""/"")"),"quark-engine")</f>
        <v>quark-engine</v>
      </c>
      <c r="C874" s="3" t="str">
        <f ca="1">IFERROR(__xludf.DUMMYFUNCTION("""COMPUTED_VALUE"""),"quark-engine")</f>
        <v>quark-engine</v>
      </c>
      <c r="D874" s="4" t="s">
        <v>1808</v>
      </c>
      <c r="E874" s="5">
        <v>43760.055173611108</v>
      </c>
      <c r="F874" s="5">
        <v>44294.949120370373</v>
      </c>
      <c r="G874" s="13">
        <f t="shared" si="78"/>
        <v>534.89394675926451</v>
      </c>
      <c r="H874" s="6" t="b">
        <v>0</v>
      </c>
      <c r="I874" s="7" t="b">
        <v>1</v>
      </c>
      <c r="J874" s="8">
        <v>538</v>
      </c>
      <c r="K874" s="8">
        <v>33</v>
      </c>
      <c r="L874" s="8">
        <v>73</v>
      </c>
      <c r="M874" s="8">
        <v>22</v>
      </c>
      <c r="N874" s="8">
        <v>0</v>
      </c>
      <c r="O874" s="8">
        <v>15</v>
      </c>
      <c r="P874" s="8">
        <v>101</v>
      </c>
      <c r="Q874" s="8">
        <v>0</v>
      </c>
      <c r="R874" s="8">
        <v>52</v>
      </c>
      <c r="S874" s="8">
        <v>21</v>
      </c>
      <c r="T874" s="3" t="s">
        <v>49</v>
      </c>
      <c r="U874" s="10">
        <v>1608</v>
      </c>
      <c r="V874" s="32">
        <v>4</v>
      </c>
      <c r="W874" s="27">
        <v>2.4875621890547263E-3</v>
      </c>
      <c r="X874" s="34">
        <v>0</v>
      </c>
      <c r="Y874" s="27">
        <v>0</v>
      </c>
      <c r="Z874" s="27">
        <v>0</v>
      </c>
      <c r="AA874" s="35">
        <v>1</v>
      </c>
      <c r="AB874" s="27">
        <v>0.25</v>
      </c>
      <c r="AC874" s="27">
        <f t="shared" si="79"/>
        <v>6.2189054726368158E-4</v>
      </c>
      <c r="AD874" s="36">
        <v>0</v>
      </c>
      <c r="AE874" s="27">
        <v>0</v>
      </c>
      <c r="AF874" s="27">
        <f t="shared" si="80"/>
        <v>0</v>
      </c>
      <c r="AG874" s="37">
        <v>3</v>
      </c>
      <c r="AH874" s="27">
        <v>0.75</v>
      </c>
      <c r="AI874" s="27">
        <f t="shared" si="81"/>
        <v>1.8656716417910447E-3</v>
      </c>
      <c r="AJ874" s="38">
        <v>0</v>
      </c>
      <c r="AK874" s="27">
        <v>0</v>
      </c>
      <c r="AL874" s="27">
        <f t="shared" si="82"/>
        <v>0</v>
      </c>
      <c r="AM874" s="40">
        <v>0</v>
      </c>
      <c r="AN874" s="27">
        <v>0</v>
      </c>
      <c r="AO874" s="27">
        <f t="shared" si="83"/>
        <v>0</v>
      </c>
      <c r="AP874" s="7" t="b">
        <v>1</v>
      </c>
      <c r="AQ874" s="6" t="b">
        <v>0</v>
      </c>
      <c r="AR874" s="6" t="b">
        <v>0</v>
      </c>
      <c r="AS874" s="6" t="b">
        <v>0</v>
      </c>
      <c r="AT874" s="7" t="b">
        <v>1</v>
      </c>
      <c r="AU874" s="6" t="b">
        <v>0</v>
      </c>
      <c r="AV874" s="6" t="b">
        <v>0</v>
      </c>
      <c r="AW874" s="6" t="b">
        <v>0</v>
      </c>
      <c r="AX874" s="6" t="b">
        <v>0</v>
      </c>
      <c r="AY874" s="6" t="b">
        <v>0</v>
      </c>
      <c r="AZ874" s="6" t="b">
        <v>0</v>
      </c>
      <c r="BA874" s="6" t="b">
        <v>0</v>
      </c>
      <c r="BB874" s="6" t="b">
        <v>0</v>
      </c>
    </row>
    <row r="875" spans="1:54" ht="15" x14ac:dyDescent="0.25">
      <c r="A875" s="3" t="s">
        <v>1809</v>
      </c>
      <c r="B875" s="3" t="str">
        <f ca="1">IFERROR(__xludf.DUMMYFUNCTION("SPLIT(A875,""/"")"),"quay")</f>
        <v>quay</v>
      </c>
      <c r="C875" s="3" t="str">
        <f ca="1">IFERROR(__xludf.DUMMYFUNCTION("""COMPUTED_VALUE"""),"quay")</f>
        <v>quay</v>
      </c>
      <c r="D875" s="4" t="s">
        <v>1810</v>
      </c>
      <c r="E875" s="5">
        <v>43777.734085648146</v>
      </c>
      <c r="F875" s="5">
        <v>44294.54173611111</v>
      </c>
      <c r="G875" s="13">
        <f t="shared" si="78"/>
        <v>516.80765046296438</v>
      </c>
      <c r="H875" s="6" t="b">
        <v>0</v>
      </c>
      <c r="I875" s="7" t="b">
        <v>1</v>
      </c>
      <c r="J875" s="8">
        <v>1729</v>
      </c>
      <c r="K875" s="8">
        <v>25</v>
      </c>
      <c r="L875" s="8">
        <v>157</v>
      </c>
      <c r="M875" s="8">
        <v>4</v>
      </c>
      <c r="N875" s="8">
        <v>0</v>
      </c>
      <c r="O875" s="8">
        <v>41</v>
      </c>
      <c r="P875" s="8">
        <v>725</v>
      </c>
      <c r="Q875" s="8">
        <v>31</v>
      </c>
      <c r="R875" s="8">
        <v>0</v>
      </c>
      <c r="S875" s="8">
        <v>0</v>
      </c>
      <c r="T875" s="3" t="s">
        <v>69</v>
      </c>
      <c r="U875" s="10">
        <v>62677</v>
      </c>
      <c r="V875" s="32">
        <v>998</v>
      </c>
      <c r="W875" s="27">
        <v>1.5922906329275493E-2</v>
      </c>
      <c r="X875" s="34">
        <v>553</v>
      </c>
      <c r="Y875" s="27">
        <v>0.55410821643286579</v>
      </c>
      <c r="Z875" s="27">
        <v>8.8230132265424317E-3</v>
      </c>
      <c r="AA875" s="35">
        <v>61</v>
      </c>
      <c r="AB875" s="27">
        <v>6.1122244488977955E-2</v>
      </c>
      <c r="AC875" s="27">
        <f t="shared" si="79"/>
        <v>9.7324377363307117E-4</v>
      </c>
      <c r="AD875" s="36">
        <v>77</v>
      </c>
      <c r="AE875" s="27">
        <v>7.7154308617234463E-2</v>
      </c>
      <c r="AF875" s="27">
        <f t="shared" si="80"/>
        <v>1.2285208290122374E-3</v>
      </c>
      <c r="AG875" s="37">
        <v>306</v>
      </c>
      <c r="AH875" s="27">
        <v>0.30661322645290578</v>
      </c>
      <c r="AI875" s="27">
        <f t="shared" si="81"/>
        <v>4.8821736841265532E-3</v>
      </c>
      <c r="AJ875" s="38">
        <v>0</v>
      </c>
      <c r="AK875" s="27">
        <v>0</v>
      </c>
      <c r="AL875" s="27">
        <f t="shared" si="82"/>
        <v>0</v>
      </c>
      <c r="AM875" s="40">
        <v>1</v>
      </c>
      <c r="AN875" s="27">
        <v>1.002004008016032E-3</v>
      </c>
      <c r="AO875" s="27">
        <f t="shared" si="83"/>
        <v>1.5954815961197887E-5</v>
      </c>
      <c r="AP875" s="7" t="b">
        <v>1</v>
      </c>
      <c r="AQ875" s="7" t="b">
        <v>1</v>
      </c>
      <c r="AR875" s="6" t="b">
        <v>0</v>
      </c>
      <c r="AS875" s="6" t="b">
        <v>0</v>
      </c>
      <c r="AT875" s="7" t="b">
        <v>1</v>
      </c>
      <c r="AU875" s="6" t="b">
        <v>0</v>
      </c>
      <c r="AV875" s="6" t="b">
        <v>0</v>
      </c>
      <c r="AW875" s="6" t="b">
        <v>0</v>
      </c>
      <c r="AX875" s="6" t="b">
        <v>0</v>
      </c>
      <c r="AY875" s="6" t="b">
        <v>0</v>
      </c>
      <c r="AZ875" s="6" t="b">
        <v>0</v>
      </c>
      <c r="BA875" s="6" t="b">
        <v>0</v>
      </c>
      <c r="BB875" s="6" t="b">
        <v>0</v>
      </c>
    </row>
    <row r="876" spans="1:54" ht="15" x14ac:dyDescent="0.25">
      <c r="A876" s="3" t="s">
        <v>1811</v>
      </c>
      <c r="B876" s="3" t="str">
        <f ca="1">IFERROR(__xludf.DUMMYFUNCTION("SPLIT(A876,""/"")"),"quentinhardy")</f>
        <v>quentinhardy</v>
      </c>
      <c r="C876" s="3" t="str">
        <f ca="1">IFERROR(__xludf.DUMMYFUNCTION("""COMPUTED_VALUE"""),"odat")</f>
        <v>odat</v>
      </c>
      <c r="D876" s="4" t="s">
        <v>1812</v>
      </c>
      <c r="E876" s="5">
        <v>41698.538784722223</v>
      </c>
      <c r="F876" s="5">
        <v>44295.008611111109</v>
      </c>
      <c r="G876" s="13">
        <f t="shared" si="78"/>
        <v>2596.4698263888858</v>
      </c>
      <c r="H876" s="6" t="b">
        <v>0</v>
      </c>
      <c r="I876" s="6" t="b">
        <v>0</v>
      </c>
      <c r="J876" s="8">
        <v>931</v>
      </c>
      <c r="K876" s="8">
        <v>56</v>
      </c>
      <c r="L876" s="8">
        <v>246</v>
      </c>
      <c r="M876" s="8">
        <v>10</v>
      </c>
      <c r="N876" s="8">
        <v>1</v>
      </c>
      <c r="O876" s="8">
        <v>7</v>
      </c>
      <c r="P876" s="8">
        <v>16</v>
      </c>
      <c r="Q876" s="8">
        <v>4</v>
      </c>
      <c r="R876" s="8">
        <v>39</v>
      </c>
      <c r="S876" s="8">
        <v>4</v>
      </c>
      <c r="T876" s="11" t="s">
        <v>52</v>
      </c>
      <c r="U876" s="10">
        <v>6515</v>
      </c>
      <c r="V876" s="32">
        <v>693</v>
      </c>
      <c r="W876" s="27">
        <v>0.10636991557943208</v>
      </c>
      <c r="X876" s="34">
        <v>221</v>
      </c>
      <c r="Y876" s="27">
        <v>0.31890331890331891</v>
      </c>
      <c r="Z876" s="27">
        <v>3.3921719109746735E-2</v>
      </c>
      <c r="AA876" s="35">
        <v>390</v>
      </c>
      <c r="AB876" s="27">
        <v>0.56277056277056281</v>
      </c>
      <c r="AC876" s="27">
        <f t="shared" si="79"/>
        <v>5.9861857252494245E-2</v>
      </c>
      <c r="AD876" s="36">
        <v>30</v>
      </c>
      <c r="AE876" s="27">
        <v>4.3290043290043288E-2</v>
      </c>
      <c r="AF876" s="27">
        <f t="shared" si="80"/>
        <v>4.6047582501918651E-3</v>
      </c>
      <c r="AG876" s="37">
        <v>24</v>
      </c>
      <c r="AH876" s="27">
        <v>3.4632034632034632E-2</v>
      </c>
      <c r="AI876" s="27">
        <f t="shared" si="81"/>
        <v>3.683806600153492E-3</v>
      </c>
      <c r="AJ876" s="38">
        <v>28</v>
      </c>
      <c r="AK876" s="27">
        <v>4.0404040404040407E-2</v>
      </c>
      <c r="AL876" s="27">
        <f t="shared" si="82"/>
        <v>4.2977743668457403E-3</v>
      </c>
      <c r="AM876" s="40">
        <v>0</v>
      </c>
      <c r="AN876" s="27">
        <v>0</v>
      </c>
      <c r="AO876" s="27">
        <f t="shared" si="83"/>
        <v>0</v>
      </c>
      <c r="AP876" s="7" t="b">
        <v>1</v>
      </c>
      <c r="AQ876" s="6" t="b">
        <v>0</v>
      </c>
      <c r="AR876" s="6" t="b">
        <v>0</v>
      </c>
      <c r="AS876" s="6" t="b">
        <v>0</v>
      </c>
      <c r="AT876" s="7" t="b">
        <v>1</v>
      </c>
      <c r="AU876" s="6" t="b">
        <v>0</v>
      </c>
      <c r="AV876" s="6" t="b">
        <v>0</v>
      </c>
      <c r="AW876" s="6" t="b">
        <v>0</v>
      </c>
      <c r="AX876" s="6" t="b">
        <v>0</v>
      </c>
      <c r="AY876" s="6" t="b">
        <v>0</v>
      </c>
      <c r="AZ876" s="6" t="b">
        <v>0</v>
      </c>
      <c r="BA876" s="6" t="b">
        <v>0</v>
      </c>
      <c r="BB876" s="6" t="b">
        <v>0</v>
      </c>
    </row>
    <row r="877" spans="1:54" ht="15" x14ac:dyDescent="0.25">
      <c r="A877" s="3" t="s">
        <v>1813</v>
      </c>
      <c r="B877" s="3" t="str">
        <f ca="1">IFERROR(__xludf.DUMMYFUNCTION("SPLIT(A877,""/"")"),"quic")</f>
        <v>quic</v>
      </c>
      <c r="C877" s="3" t="str">
        <f ca="1">IFERROR(__xludf.DUMMYFUNCTION("""COMPUTED_VALUE"""),"aimet")</f>
        <v>aimet</v>
      </c>
      <c r="D877" s="4" t="s">
        <v>1814</v>
      </c>
      <c r="E877" s="5">
        <v>43942.789699074077</v>
      </c>
      <c r="F877" s="5">
        <v>44294.205636574072</v>
      </c>
      <c r="G877" s="13">
        <f t="shared" si="78"/>
        <v>351.41593749999447</v>
      </c>
      <c r="H877" s="6" t="b">
        <v>0</v>
      </c>
      <c r="I877" s="7" t="b">
        <v>1</v>
      </c>
      <c r="J877" s="8">
        <v>469</v>
      </c>
      <c r="K877" s="8">
        <v>25</v>
      </c>
      <c r="L877" s="8">
        <v>75</v>
      </c>
      <c r="M877" s="8">
        <v>2</v>
      </c>
      <c r="N877" s="8">
        <v>0</v>
      </c>
      <c r="O877" s="8">
        <v>9</v>
      </c>
      <c r="P877" s="8">
        <v>292</v>
      </c>
      <c r="Q877" s="8">
        <v>6</v>
      </c>
      <c r="R877" s="8">
        <v>267</v>
      </c>
      <c r="S877" s="8">
        <v>48</v>
      </c>
      <c r="T877" s="3" t="s">
        <v>92</v>
      </c>
      <c r="U877" s="10">
        <v>34179</v>
      </c>
      <c r="V877" s="32">
        <v>509</v>
      </c>
      <c r="W877" s="27">
        <v>1.4892185259954943E-2</v>
      </c>
      <c r="X877" s="34">
        <v>194</v>
      </c>
      <c r="Y877" s="27">
        <v>0.38113948919449903</v>
      </c>
      <c r="Z877" s="27">
        <v>5.6759998829690747E-3</v>
      </c>
      <c r="AA877" s="35">
        <v>210</v>
      </c>
      <c r="AB877" s="27">
        <v>0.412573673870334</v>
      </c>
      <c r="AC877" s="27">
        <f t="shared" si="79"/>
        <v>6.1441235846572458E-3</v>
      </c>
      <c r="AD877" s="36">
        <v>14</v>
      </c>
      <c r="AE877" s="27">
        <v>2.75049115913556E-2</v>
      </c>
      <c r="AF877" s="27">
        <f t="shared" si="80"/>
        <v>4.096082389771497E-4</v>
      </c>
      <c r="AG877" s="37">
        <v>69</v>
      </c>
      <c r="AH877" s="27">
        <v>0.13555992141453832</v>
      </c>
      <c r="AI877" s="27">
        <f t="shared" si="81"/>
        <v>2.0187834635302378E-3</v>
      </c>
      <c r="AJ877" s="38">
        <v>22</v>
      </c>
      <c r="AK877" s="27">
        <v>4.3222003929273084E-2</v>
      </c>
      <c r="AL877" s="27">
        <f t="shared" si="82"/>
        <v>6.4367008982123524E-4</v>
      </c>
      <c r="AM877" s="40">
        <v>0</v>
      </c>
      <c r="AN877" s="27">
        <v>0</v>
      </c>
      <c r="AO877" s="27">
        <f t="shared" si="83"/>
        <v>0</v>
      </c>
      <c r="AP877" s="7" t="b">
        <v>1</v>
      </c>
      <c r="AQ877" s="6" t="b">
        <v>0</v>
      </c>
      <c r="AR877" s="6" t="b">
        <v>0</v>
      </c>
      <c r="AS877" s="6" t="b">
        <v>0</v>
      </c>
      <c r="AT877" s="7" t="b">
        <v>1</v>
      </c>
      <c r="AU877" s="6" t="b">
        <v>0</v>
      </c>
      <c r="AV877" s="6" t="b">
        <v>0</v>
      </c>
      <c r="AW877" s="6" t="b">
        <v>0</v>
      </c>
      <c r="AX877" s="6" t="b">
        <v>0</v>
      </c>
      <c r="AY877" s="6" t="b">
        <v>0</v>
      </c>
      <c r="AZ877" s="6" t="b">
        <v>0</v>
      </c>
      <c r="BA877" s="6" t="b">
        <v>0</v>
      </c>
      <c r="BB877" s="6" t="b">
        <v>0</v>
      </c>
    </row>
    <row r="878" spans="1:54" ht="15" x14ac:dyDescent="0.25">
      <c r="A878" s="3" t="s">
        <v>1815</v>
      </c>
      <c r="B878" s="3" t="str">
        <f ca="1">IFERROR(__xludf.DUMMYFUNCTION("SPLIT(A878,""/"")"),"quodlibet")</f>
        <v>quodlibet</v>
      </c>
      <c r="C878" s="3" t="str">
        <f ca="1">IFERROR(__xludf.DUMMYFUNCTION("""COMPUTED_VALUE"""),"quodlibet")</f>
        <v>quodlibet</v>
      </c>
      <c r="D878" s="4" t="s">
        <v>1816</v>
      </c>
      <c r="E878" s="5">
        <v>42077.886469907404</v>
      </c>
      <c r="F878" s="5">
        <v>44294.810960648145</v>
      </c>
      <c r="G878" s="13">
        <f t="shared" si="78"/>
        <v>2216.924490740741</v>
      </c>
      <c r="H878" s="6" t="b">
        <v>0</v>
      </c>
      <c r="I878" s="7" t="b">
        <v>1</v>
      </c>
      <c r="J878" s="8">
        <v>926</v>
      </c>
      <c r="K878" s="8">
        <v>56</v>
      </c>
      <c r="L878" s="8">
        <v>168</v>
      </c>
      <c r="M878" s="8">
        <v>82</v>
      </c>
      <c r="N878" s="8">
        <v>111</v>
      </c>
      <c r="O878" s="8">
        <v>117</v>
      </c>
      <c r="P878" s="8">
        <v>512</v>
      </c>
      <c r="Q878" s="8">
        <v>15</v>
      </c>
      <c r="R878" s="8">
        <v>3084</v>
      </c>
      <c r="S878" s="8">
        <v>693</v>
      </c>
      <c r="T878" s="3" t="s">
        <v>64</v>
      </c>
      <c r="U878" s="10">
        <v>78327</v>
      </c>
      <c r="V878" s="32">
        <v>66</v>
      </c>
      <c r="W878" s="27">
        <v>8.4262131831935351E-4</v>
      </c>
      <c r="X878" s="34">
        <v>8</v>
      </c>
      <c r="Y878" s="27">
        <v>0.12121212121212122</v>
      </c>
      <c r="Z878" s="27">
        <v>1.0213591737204284E-4</v>
      </c>
      <c r="AA878" s="35">
        <v>4</v>
      </c>
      <c r="AB878" s="27">
        <v>6.0606060606060608E-2</v>
      </c>
      <c r="AC878" s="27">
        <f t="shared" si="79"/>
        <v>5.1067958686021421E-5</v>
      </c>
      <c r="AD878" s="36">
        <v>7</v>
      </c>
      <c r="AE878" s="27">
        <v>0.10606060606060606</v>
      </c>
      <c r="AF878" s="27">
        <f t="shared" si="80"/>
        <v>8.9368927700537486E-5</v>
      </c>
      <c r="AG878" s="37">
        <v>6</v>
      </c>
      <c r="AH878" s="27">
        <v>9.0909090909090912E-2</v>
      </c>
      <c r="AI878" s="27">
        <f t="shared" si="81"/>
        <v>7.6601938029032129E-5</v>
      </c>
      <c r="AJ878" s="38">
        <v>0</v>
      </c>
      <c r="AK878" s="27">
        <v>0</v>
      </c>
      <c r="AL878" s="27">
        <f t="shared" si="82"/>
        <v>0</v>
      </c>
      <c r="AM878" s="40">
        <v>37</v>
      </c>
      <c r="AN878" s="27">
        <v>0.56060606060606055</v>
      </c>
      <c r="AO878" s="27">
        <f t="shared" si="83"/>
        <v>4.7237861784569818E-4</v>
      </c>
      <c r="AP878" s="7" t="b">
        <v>1</v>
      </c>
      <c r="AQ878" s="6" t="b">
        <v>0</v>
      </c>
      <c r="AR878" s="6" t="b">
        <v>0</v>
      </c>
      <c r="AS878" s="6" t="b">
        <v>0</v>
      </c>
      <c r="AT878" s="7" t="b">
        <v>1</v>
      </c>
      <c r="AU878" s="6" t="b">
        <v>0</v>
      </c>
      <c r="AV878" s="6" t="b">
        <v>0</v>
      </c>
      <c r="AW878" s="7" t="b">
        <v>1</v>
      </c>
      <c r="AX878" s="6" t="b">
        <v>0</v>
      </c>
      <c r="AY878" s="6" t="b">
        <v>0</v>
      </c>
      <c r="AZ878" s="6" t="b">
        <v>0</v>
      </c>
      <c r="BA878" s="6" t="b">
        <v>0</v>
      </c>
      <c r="BB878" s="6" t="b">
        <v>0</v>
      </c>
    </row>
    <row r="879" spans="1:54" ht="15" x14ac:dyDescent="0.25">
      <c r="A879" s="3" t="s">
        <v>1817</v>
      </c>
      <c r="B879" s="3" t="str">
        <f ca="1">IFERROR(__xludf.DUMMYFUNCTION("SPLIT(A879,""/"")"),"quokkaproject")</f>
        <v>quokkaproject</v>
      </c>
      <c r="C879" s="3" t="str">
        <f ca="1">IFERROR(__xludf.DUMMYFUNCTION("""COMPUTED_VALUE"""),"quokka")</f>
        <v>quokka</v>
      </c>
      <c r="D879" s="4" t="s">
        <v>1818</v>
      </c>
      <c r="E879" s="5">
        <v>41462.029479166667</v>
      </c>
      <c r="F879" s="5">
        <v>44294.449317129627</v>
      </c>
      <c r="G879" s="13">
        <f t="shared" si="78"/>
        <v>2832.4198379629597</v>
      </c>
      <c r="H879" s="6" t="b">
        <v>0</v>
      </c>
      <c r="I879" s="7" t="b">
        <v>1</v>
      </c>
      <c r="J879" s="8">
        <v>2195</v>
      </c>
      <c r="K879" s="8">
        <v>156</v>
      </c>
      <c r="L879" s="8">
        <v>447</v>
      </c>
      <c r="M879" s="8">
        <v>2</v>
      </c>
      <c r="N879" s="8">
        <v>45</v>
      </c>
      <c r="O879" s="8">
        <v>9</v>
      </c>
      <c r="P879" s="8">
        <v>263</v>
      </c>
      <c r="Q879" s="8">
        <v>10</v>
      </c>
      <c r="R879" s="8">
        <v>425</v>
      </c>
      <c r="S879" s="8">
        <v>64</v>
      </c>
      <c r="T879" s="3" t="s">
        <v>92</v>
      </c>
      <c r="U879" s="10">
        <v>2794</v>
      </c>
      <c r="V879" s="32">
        <v>13</v>
      </c>
      <c r="W879" s="27">
        <v>4.6528274874731565E-3</v>
      </c>
      <c r="X879" s="34">
        <v>1</v>
      </c>
      <c r="Y879" s="27">
        <v>7.6923076923076927E-2</v>
      </c>
      <c r="Z879" s="27">
        <v>3.5790980672870435E-4</v>
      </c>
      <c r="AA879" s="35">
        <v>6</v>
      </c>
      <c r="AB879" s="27">
        <v>0.46153846153846156</v>
      </c>
      <c r="AC879" s="27">
        <f t="shared" si="79"/>
        <v>2.1474588403722263E-3</v>
      </c>
      <c r="AD879" s="36">
        <v>1</v>
      </c>
      <c r="AE879" s="27">
        <v>7.6923076923076927E-2</v>
      </c>
      <c r="AF879" s="27">
        <f t="shared" si="80"/>
        <v>3.5790980672870435E-4</v>
      </c>
      <c r="AG879" s="37">
        <v>4</v>
      </c>
      <c r="AH879" s="27">
        <v>0.30769230769230771</v>
      </c>
      <c r="AI879" s="27">
        <f t="shared" si="81"/>
        <v>1.4316392269148174E-3</v>
      </c>
      <c r="AJ879" s="38">
        <v>0</v>
      </c>
      <c r="AK879" s="27">
        <v>0</v>
      </c>
      <c r="AL879" s="27">
        <f t="shared" si="82"/>
        <v>0</v>
      </c>
      <c r="AM879" s="40">
        <v>0</v>
      </c>
      <c r="AN879" s="27">
        <v>0</v>
      </c>
      <c r="AO879" s="27">
        <f t="shared" si="83"/>
        <v>0</v>
      </c>
      <c r="AP879" s="7" t="b">
        <v>1</v>
      </c>
      <c r="AQ879" s="6" t="b">
        <v>0</v>
      </c>
      <c r="AR879" s="6" t="b">
        <v>0</v>
      </c>
      <c r="AS879" s="6" t="b">
        <v>0</v>
      </c>
      <c r="AT879" s="7" t="b">
        <v>1</v>
      </c>
      <c r="AU879" s="6" t="b">
        <v>0</v>
      </c>
      <c r="AV879" s="6" t="b">
        <v>0</v>
      </c>
      <c r="AW879" s="6" t="b">
        <v>0</v>
      </c>
      <c r="AX879" s="6" t="b">
        <v>0</v>
      </c>
      <c r="AY879" s="6" t="b">
        <v>0</v>
      </c>
      <c r="AZ879" s="6" t="b">
        <v>0</v>
      </c>
      <c r="BA879" s="6" t="b">
        <v>0</v>
      </c>
      <c r="BB879" s="6" t="b">
        <v>0</v>
      </c>
    </row>
    <row r="880" spans="1:54" ht="15" x14ac:dyDescent="0.25">
      <c r="A880" s="3" t="s">
        <v>1819</v>
      </c>
      <c r="B880" s="3" t="str">
        <f ca="1">IFERROR(__xludf.DUMMYFUNCTION("SPLIT(A880,""/"")"),"qzq1111")</f>
        <v>qzq1111</v>
      </c>
      <c r="C880" s="3" t="str">
        <f ca="1">IFERROR(__xludf.DUMMYFUNCTION("""COMPUTED_VALUE"""),"flask-restful-example")</f>
        <v>flask-restful-example</v>
      </c>
      <c r="D880" s="4" t="s">
        <v>1820</v>
      </c>
      <c r="E880" s="5">
        <v>43547.17291666667</v>
      </c>
      <c r="F880" s="5">
        <v>44294.948865740742</v>
      </c>
      <c r="G880" s="13">
        <f t="shared" si="78"/>
        <v>747.77594907407183</v>
      </c>
      <c r="H880" s="6" t="b">
        <v>0</v>
      </c>
      <c r="I880" s="6" t="b">
        <v>0</v>
      </c>
      <c r="J880" s="8">
        <v>443</v>
      </c>
      <c r="K880" s="8">
        <v>17</v>
      </c>
      <c r="L880" s="8">
        <v>158</v>
      </c>
      <c r="M880" s="8">
        <v>0</v>
      </c>
      <c r="N880" s="8">
        <v>0</v>
      </c>
      <c r="O880" s="8">
        <v>2</v>
      </c>
      <c r="P880" s="8">
        <v>6</v>
      </c>
      <c r="Q880" s="8">
        <v>4</v>
      </c>
      <c r="R880" s="8">
        <v>1</v>
      </c>
      <c r="S880" s="8">
        <v>0</v>
      </c>
      <c r="T880" s="3" t="s">
        <v>72</v>
      </c>
      <c r="U880" s="10">
        <v>1563</v>
      </c>
      <c r="V880" s="32">
        <v>12</v>
      </c>
      <c r="W880" s="27">
        <v>7.677543186180422E-3</v>
      </c>
      <c r="X880" s="34">
        <v>3</v>
      </c>
      <c r="Y880" s="27">
        <v>0.25</v>
      </c>
      <c r="Z880" s="27">
        <v>1.9193857965451055E-3</v>
      </c>
      <c r="AA880" s="35">
        <v>1</v>
      </c>
      <c r="AB880" s="27">
        <v>8.3333333333333329E-2</v>
      </c>
      <c r="AC880" s="27">
        <f t="shared" si="79"/>
        <v>6.3979526551503517E-4</v>
      </c>
      <c r="AD880" s="36">
        <v>1</v>
      </c>
      <c r="AE880" s="27">
        <v>8.3333333333333329E-2</v>
      </c>
      <c r="AF880" s="27">
        <f t="shared" si="80"/>
        <v>6.3979526551503517E-4</v>
      </c>
      <c r="AG880" s="37">
        <v>1</v>
      </c>
      <c r="AH880" s="27">
        <v>8.3333333333333329E-2</v>
      </c>
      <c r="AI880" s="27">
        <f t="shared" si="81"/>
        <v>6.3979526551503517E-4</v>
      </c>
      <c r="AJ880" s="38">
        <v>1</v>
      </c>
      <c r="AK880" s="27">
        <v>8.3333333333333329E-2</v>
      </c>
      <c r="AL880" s="27">
        <f t="shared" si="82"/>
        <v>6.3979526551503517E-4</v>
      </c>
      <c r="AM880" s="40">
        <v>0</v>
      </c>
      <c r="AN880" s="27">
        <v>0</v>
      </c>
      <c r="AO880" s="27">
        <f t="shared" si="83"/>
        <v>0</v>
      </c>
      <c r="AP880" s="7" t="b">
        <v>1</v>
      </c>
      <c r="AQ880" s="7" t="b">
        <v>1</v>
      </c>
      <c r="AR880" s="6" t="b">
        <v>0</v>
      </c>
      <c r="AS880" s="6" t="b">
        <v>0</v>
      </c>
      <c r="AT880" s="7" t="b">
        <v>1</v>
      </c>
      <c r="AU880" s="6" t="b">
        <v>0</v>
      </c>
      <c r="AV880" s="6" t="b">
        <v>0</v>
      </c>
      <c r="AW880" s="6" t="b">
        <v>0</v>
      </c>
      <c r="AX880" s="6" t="b">
        <v>0</v>
      </c>
      <c r="AY880" s="6" t="b">
        <v>0</v>
      </c>
      <c r="AZ880" s="6" t="b">
        <v>0</v>
      </c>
      <c r="BA880" s="6" t="b">
        <v>0</v>
      </c>
      <c r="BB880" s="6" t="b">
        <v>0</v>
      </c>
    </row>
    <row r="881" spans="1:54" ht="15" x14ac:dyDescent="0.25">
      <c r="A881" s="3" t="s">
        <v>1821</v>
      </c>
      <c r="B881" s="3" t="str">
        <f ca="1">IFERROR(__xludf.DUMMYFUNCTION("SPLIT(A881,""/"")"),"RackHD")</f>
        <v>RackHD</v>
      </c>
      <c r="C881" s="3" t="str">
        <f ca="1">IFERROR(__xludf.DUMMYFUNCTION("""COMPUTED_VALUE"""),"RackHD")</f>
        <v>RackHD</v>
      </c>
      <c r="D881" s="4" t="s">
        <v>1822</v>
      </c>
      <c r="E881" s="5">
        <v>42314.612685185188</v>
      </c>
      <c r="F881" s="5">
        <v>44238.372511574074</v>
      </c>
      <c r="G881" s="13">
        <f t="shared" si="78"/>
        <v>1923.7598263888867</v>
      </c>
      <c r="H881" s="6" t="b">
        <v>0</v>
      </c>
      <c r="I881" s="7" t="b">
        <v>1</v>
      </c>
      <c r="J881" s="8">
        <v>379</v>
      </c>
      <c r="K881" s="8">
        <v>69</v>
      </c>
      <c r="L881" s="8">
        <v>147</v>
      </c>
      <c r="M881" s="8">
        <v>29</v>
      </c>
      <c r="N881" s="8">
        <v>14</v>
      </c>
      <c r="O881" s="8">
        <v>58</v>
      </c>
      <c r="P881" s="8">
        <v>666</v>
      </c>
      <c r="Q881" s="8">
        <v>11</v>
      </c>
      <c r="R881" s="8">
        <v>0</v>
      </c>
      <c r="S881" s="8">
        <v>0</v>
      </c>
      <c r="T881" s="3" t="s">
        <v>69</v>
      </c>
      <c r="U881" s="10">
        <v>18269</v>
      </c>
      <c r="V881" s="32">
        <v>558</v>
      </c>
      <c r="W881" s="27">
        <v>3.054354370792052E-2</v>
      </c>
      <c r="X881" s="34">
        <v>187</v>
      </c>
      <c r="Y881" s="27">
        <v>0.33512544802867383</v>
      </c>
      <c r="Z881" s="27">
        <v>1.0235918769500247E-2</v>
      </c>
      <c r="AA881" s="35">
        <v>217</v>
      </c>
      <c r="AB881" s="27">
        <v>0.3888888888888889</v>
      </c>
      <c r="AC881" s="27">
        <f t="shared" si="79"/>
        <v>1.1878044775302425E-2</v>
      </c>
      <c r="AD881" s="36">
        <v>27</v>
      </c>
      <c r="AE881" s="27">
        <v>4.8387096774193547E-2</v>
      </c>
      <c r="AF881" s="27">
        <f t="shared" si="80"/>
        <v>1.4779134052219608E-3</v>
      </c>
      <c r="AG881" s="37">
        <v>118</v>
      </c>
      <c r="AH881" s="27">
        <v>0.21146953405017921</v>
      </c>
      <c r="AI881" s="27">
        <f t="shared" si="81"/>
        <v>6.4590289561552361E-3</v>
      </c>
      <c r="AJ881" s="38">
        <v>0</v>
      </c>
      <c r="AK881" s="27">
        <v>0</v>
      </c>
      <c r="AL881" s="27">
        <f t="shared" si="82"/>
        <v>0</v>
      </c>
      <c r="AM881" s="40">
        <v>7</v>
      </c>
      <c r="AN881" s="27">
        <v>1.2544802867383513E-2</v>
      </c>
      <c r="AO881" s="27">
        <f t="shared" si="83"/>
        <v>3.8316273468717502E-4</v>
      </c>
      <c r="AP881" s="7" t="b">
        <v>1</v>
      </c>
      <c r="AQ881" s="7" t="b">
        <v>1</v>
      </c>
      <c r="AR881" s="6" t="b">
        <v>0</v>
      </c>
      <c r="AS881" s="6" t="b">
        <v>0</v>
      </c>
      <c r="AT881" s="7" t="b">
        <v>1</v>
      </c>
      <c r="AU881" s="6" t="b">
        <v>0</v>
      </c>
      <c r="AV881" s="6" t="b">
        <v>0</v>
      </c>
      <c r="AW881" s="6" t="b">
        <v>0</v>
      </c>
      <c r="AX881" s="6" t="b">
        <v>0</v>
      </c>
      <c r="AY881" s="6" t="b">
        <v>0</v>
      </c>
      <c r="AZ881" s="6" t="b">
        <v>0</v>
      </c>
      <c r="BA881" s="6" t="b">
        <v>0</v>
      </c>
      <c r="BB881" s="6" t="b">
        <v>0</v>
      </c>
    </row>
    <row r="882" spans="1:54" ht="15" x14ac:dyDescent="0.25">
      <c r="A882" s="3" t="s">
        <v>1823</v>
      </c>
      <c r="B882" s="3" t="str">
        <f ca="1">IFERROR(__xludf.DUMMYFUNCTION("SPLIT(A882,""/"")"),"rafalp")</f>
        <v>rafalp</v>
      </c>
      <c r="C882" s="3" t="str">
        <f ca="1">IFERROR(__xludf.DUMMYFUNCTION("""COMPUTED_VALUE"""),"Misago")</f>
        <v>Misago</v>
      </c>
      <c r="D882" s="4" t="s">
        <v>1824</v>
      </c>
      <c r="E882" s="5">
        <v>41082.600023148145</v>
      </c>
      <c r="F882" s="5">
        <v>44292.305659722224</v>
      </c>
      <c r="G882" s="13">
        <f t="shared" si="78"/>
        <v>3209.7056365740791</v>
      </c>
      <c r="H882" s="6" t="b">
        <v>0</v>
      </c>
      <c r="I882" s="6" t="b">
        <v>0</v>
      </c>
      <c r="J882" s="8">
        <v>2093</v>
      </c>
      <c r="K882" s="8">
        <v>99</v>
      </c>
      <c r="L882" s="8">
        <v>446</v>
      </c>
      <c r="M882" s="8">
        <v>43</v>
      </c>
      <c r="N882" s="8">
        <v>22</v>
      </c>
      <c r="O882" s="8">
        <v>27</v>
      </c>
      <c r="P882" s="8">
        <v>309</v>
      </c>
      <c r="Q882" s="8">
        <v>8</v>
      </c>
      <c r="R882" s="8">
        <v>1048</v>
      </c>
      <c r="S882" s="8">
        <v>65</v>
      </c>
      <c r="T882" s="3" t="s">
        <v>92</v>
      </c>
      <c r="U882" s="10">
        <v>48608</v>
      </c>
      <c r="V882" s="32">
        <v>17</v>
      </c>
      <c r="W882" s="27">
        <v>3.4973666886109283E-4</v>
      </c>
      <c r="X882" s="34">
        <v>0</v>
      </c>
      <c r="Y882" s="27">
        <v>0</v>
      </c>
      <c r="Z882" s="27">
        <v>0</v>
      </c>
      <c r="AA882" s="35">
        <v>6</v>
      </c>
      <c r="AB882" s="27">
        <v>0.35294117647058826</v>
      </c>
      <c r="AC882" s="27">
        <f t="shared" si="79"/>
        <v>1.2343647136273865E-4</v>
      </c>
      <c r="AD882" s="36">
        <v>1</v>
      </c>
      <c r="AE882" s="27">
        <v>5.8823529411764705E-2</v>
      </c>
      <c r="AF882" s="27">
        <f t="shared" si="80"/>
        <v>2.0572745227123106E-5</v>
      </c>
      <c r="AG882" s="37">
        <v>10</v>
      </c>
      <c r="AH882" s="27">
        <v>0.58823529411764708</v>
      </c>
      <c r="AI882" s="27">
        <f t="shared" si="81"/>
        <v>2.0572745227123108E-4</v>
      </c>
      <c r="AJ882" s="38">
        <v>0</v>
      </c>
      <c r="AK882" s="27">
        <v>0</v>
      </c>
      <c r="AL882" s="27">
        <f t="shared" si="82"/>
        <v>0</v>
      </c>
      <c r="AM882" s="40">
        <v>0</v>
      </c>
      <c r="AN882" s="27">
        <v>0</v>
      </c>
      <c r="AO882" s="27">
        <f t="shared" si="83"/>
        <v>0</v>
      </c>
      <c r="AP882" s="7" t="b">
        <v>1</v>
      </c>
      <c r="AQ882" s="7" t="b">
        <v>1</v>
      </c>
      <c r="AR882" s="6" t="b">
        <v>0</v>
      </c>
      <c r="AS882" s="6" t="b">
        <v>0</v>
      </c>
      <c r="AT882" s="7" t="b">
        <v>1</v>
      </c>
      <c r="AU882" s="6" t="b">
        <v>0</v>
      </c>
      <c r="AV882" s="6" t="b">
        <v>0</v>
      </c>
      <c r="AW882" s="6" t="b">
        <v>0</v>
      </c>
      <c r="AX882" s="6" t="b">
        <v>0</v>
      </c>
      <c r="AY882" s="6" t="b">
        <v>0</v>
      </c>
      <c r="AZ882" s="6" t="b">
        <v>0</v>
      </c>
      <c r="BA882" s="6" t="b">
        <v>0</v>
      </c>
      <c r="BB882" s="6" t="b">
        <v>0</v>
      </c>
    </row>
    <row r="883" spans="1:54" ht="15" x14ac:dyDescent="0.25">
      <c r="A883" s="3" t="s">
        <v>1825</v>
      </c>
      <c r="B883" s="3" t="str">
        <f ca="1">IFERROR(__xludf.DUMMYFUNCTION("SPLIT(A883,""/"")"),"raiden-network")</f>
        <v>raiden-network</v>
      </c>
      <c r="C883" s="3" t="str">
        <f ca="1">IFERROR(__xludf.DUMMYFUNCTION("""COMPUTED_VALUE"""),"raiden")</f>
        <v>raiden</v>
      </c>
      <c r="D883" s="4" t="s">
        <v>1826</v>
      </c>
      <c r="E883" s="5">
        <v>42398.319988425923</v>
      </c>
      <c r="F883" s="5">
        <v>44294.604791666665</v>
      </c>
      <c r="G883" s="13">
        <f t="shared" si="78"/>
        <v>1896.2848032407419</v>
      </c>
      <c r="H883" s="6" t="b">
        <v>0</v>
      </c>
      <c r="I883" s="7" t="b">
        <v>1</v>
      </c>
      <c r="J883" s="8">
        <v>1790</v>
      </c>
      <c r="K883" s="8">
        <v>191</v>
      </c>
      <c r="L883" s="8">
        <v>360</v>
      </c>
      <c r="M883" s="8">
        <v>65</v>
      </c>
      <c r="N883" s="8">
        <v>117</v>
      </c>
      <c r="O883" s="8">
        <v>77</v>
      </c>
      <c r="P883" s="8">
        <v>4344</v>
      </c>
      <c r="Q883" s="8">
        <v>12</v>
      </c>
      <c r="R883" s="8">
        <v>2547</v>
      </c>
      <c r="S883" s="8">
        <v>351</v>
      </c>
      <c r="T883" s="3" t="s">
        <v>72</v>
      </c>
      <c r="U883" s="10">
        <v>41013</v>
      </c>
      <c r="V883" s="32">
        <v>327</v>
      </c>
      <c r="W883" s="27">
        <v>7.9730817058006002E-3</v>
      </c>
      <c r="X883" s="34">
        <v>199</v>
      </c>
      <c r="Y883" s="27">
        <v>0.60856269113149852</v>
      </c>
      <c r="Z883" s="27">
        <v>4.852120059493331E-3</v>
      </c>
      <c r="AA883" s="35">
        <v>46</v>
      </c>
      <c r="AB883" s="27">
        <v>0.14067278287461774</v>
      </c>
      <c r="AC883" s="27">
        <f t="shared" si="79"/>
        <v>1.1215955916416746E-3</v>
      </c>
      <c r="AD883" s="36">
        <v>42</v>
      </c>
      <c r="AE883" s="27">
        <v>0.12844036697247707</v>
      </c>
      <c r="AF883" s="27">
        <f t="shared" si="80"/>
        <v>1.0240655401945725E-3</v>
      </c>
      <c r="AG883" s="37">
        <v>30</v>
      </c>
      <c r="AH883" s="27">
        <v>9.1743119266055051E-2</v>
      </c>
      <c r="AI883" s="27">
        <f t="shared" si="81"/>
        <v>7.3147538585326599E-4</v>
      </c>
      <c r="AJ883" s="38">
        <v>10</v>
      </c>
      <c r="AK883" s="27">
        <v>3.0581039755351681E-2</v>
      </c>
      <c r="AL883" s="27">
        <f t="shared" si="82"/>
        <v>2.4382512861775534E-4</v>
      </c>
      <c r="AM883" s="40">
        <v>2</v>
      </c>
      <c r="AN883" s="27">
        <v>6.1162079510703364E-3</v>
      </c>
      <c r="AO883" s="27">
        <f t="shared" si="83"/>
        <v>4.8765025723551068E-5</v>
      </c>
      <c r="AP883" s="7" t="b">
        <v>1</v>
      </c>
      <c r="AQ883" s="6" t="b">
        <v>0</v>
      </c>
      <c r="AR883" s="6" t="b">
        <v>0</v>
      </c>
      <c r="AS883" s="6" t="b">
        <v>0</v>
      </c>
      <c r="AT883" s="7" t="b">
        <v>1</v>
      </c>
      <c r="AU883" s="6" t="b">
        <v>0</v>
      </c>
      <c r="AV883" s="6" t="b">
        <v>0</v>
      </c>
      <c r="AW883" s="6" t="b">
        <v>0</v>
      </c>
      <c r="AX883" s="6" t="b">
        <v>0</v>
      </c>
      <c r="AY883" s="6" t="b">
        <v>0</v>
      </c>
      <c r="AZ883" s="6" t="b">
        <v>0</v>
      </c>
      <c r="BA883" s="7" t="b">
        <v>1</v>
      </c>
      <c r="BB883" s="6" t="b">
        <v>0</v>
      </c>
    </row>
    <row r="884" spans="1:54" ht="15" x14ac:dyDescent="0.25">
      <c r="A884" s="3" t="s">
        <v>1827</v>
      </c>
      <c r="B884" s="3" t="str">
        <f ca="1">IFERROR(__xludf.DUMMYFUNCTION("SPLIT(A884,""/"")"),"RameenAbdal")</f>
        <v>RameenAbdal</v>
      </c>
      <c r="C884" s="3" t="str">
        <f ca="1">IFERROR(__xludf.DUMMYFUNCTION("""COMPUTED_VALUE"""),"StyleFlow")</f>
        <v>StyleFlow</v>
      </c>
      <c r="D884" s="4" t="s">
        <v>1828</v>
      </c>
      <c r="E884" s="5">
        <v>43978.09784722222</v>
      </c>
      <c r="F884" s="5">
        <v>44294.622534722221</v>
      </c>
      <c r="G884" s="13">
        <f t="shared" si="78"/>
        <v>316.52468750000116</v>
      </c>
      <c r="H884" s="6" t="b">
        <v>0</v>
      </c>
      <c r="I884" s="6" t="b">
        <v>0</v>
      </c>
      <c r="J884" s="8">
        <v>1598</v>
      </c>
      <c r="K884" s="8">
        <v>76</v>
      </c>
      <c r="L884" s="8">
        <v>217</v>
      </c>
      <c r="M884" s="8">
        <v>0</v>
      </c>
      <c r="N884" s="8">
        <v>0</v>
      </c>
      <c r="O884" s="8">
        <v>3</v>
      </c>
      <c r="P884" s="8">
        <v>11</v>
      </c>
      <c r="Q884" s="8">
        <v>10</v>
      </c>
      <c r="R884" s="8">
        <v>75</v>
      </c>
      <c r="S884" s="8">
        <v>35</v>
      </c>
      <c r="T884" s="11" t="s">
        <v>52</v>
      </c>
      <c r="U884" s="10">
        <v>4105</v>
      </c>
      <c r="V884" s="32">
        <v>0</v>
      </c>
      <c r="W884" s="27">
        <v>0</v>
      </c>
      <c r="X884" s="34">
        <v>0</v>
      </c>
      <c r="Y884" s="27">
        <v>0</v>
      </c>
      <c r="Z884" s="27">
        <v>0</v>
      </c>
      <c r="AA884" s="35">
        <v>0</v>
      </c>
      <c r="AB884" s="27">
        <v>0</v>
      </c>
      <c r="AC884" s="27">
        <f t="shared" si="79"/>
        <v>0</v>
      </c>
      <c r="AD884" s="36">
        <v>0</v>
      </c>
      <c r="AE884" s="27">
        <v>0</v>
      </c>
      <c r="AF884" s="27">
        <f t="shared" si="80"/>
        <v>0</v>
      </c>
      <c r="AG884" s="37">
        <v>0</v>
      </c>
      <c r="AH884" s="27">
        <v>0</v>
      </c>
      <c r="AI884" s="27">
        <f t="shared" si="81"/>
        <v>0</v>
      </c>
      <c r="AJ884" s="38">
        <v>0</v>
      </c>
      <c r="AK884" s="27">
        <v>0</v>
      </c>
      <c r="AL884" s="27">
        <f t="shared" si="82"/>
        <v>0</v>
      </c>
      <c r="AM884" s="40">
        <v>0</v>
      </c>
      <c r="AN884" s="27">
        <v>0</v>
      </c>
      <c r="AO884" s="27">
        <f t="shared" si="83"/>
        <v>0</v>
      </c>
      <c r="AP884" s="7" t="b">
        <v>1</v>
      </c>
      <c r="AQ884" s="7" t="b">
        <v>1</v>
      </c>
      <c r="AR884" s="6" t="b">
        <v>0</v>
      </c>
      <c r="AS884" s="6" t="b">
        <v>0</v>
      </c>
      <c r="AT884" s="7" t="b">
        <v>1</v>
      </c>
      <c r="AU884" s="6" t="b">
        <v>0</v>
      </c>
      <c r="AV884" s="6" t="b">
        <v>0</v>
      </c>
      <c r="AW884" s="6" t="b">
        <v>0</v>
      </c>
      <c r="AX884" s="6" t="b">
        <v>0</v>
      </c>
      <c r="AY884" s="6" t="b">
        <v>0</v>
      </c>
      <c r="AZ884" s="6" t="b">
        <v>0</v>
      </c>
      <c r="BA884" s="6" t="b">
        <v>0</v>
      </c>
      <c r="BB884" s="6" t="b">
        <v>0</v>
      </c>
    </row>
    <row r="885" spans="1:54" ht="15" x14ac:dyDescent="0.25">
      <c r="A885" s="3" t="s">
        <v>1829</v>
      </c>
      <c r="B885" s="3" t="str">
        <f ca="1">IFERROR(__xludf.DUMMYFUNCTION("SPLIT(A885,""/"")"),"ranger")</f>
        <v>ranger</v>
      </c>
      <c r="C885" s="3" t="str">
        <f ca="1">IFERROR(__xludf.DUMMYFUNCTION("""COMPUTED_VALUE"""),"ranger")</f>
        <v>ranger</v>
      </c>
      <c r="D885" s="4" t="s">
        <v>1830</v>
      </c>
      <c r="E885" s="5">
        <v>39968.278599537036</v>
      </c>
      <c r="F885" s="5">
        <v>44295.160775462966</v>
      </c>
      <c r="G885" s="13">
        <f t="shared" si="78"/>
        <v>4326.8821759259299</v>
      </c>
      <c r="H885" s="6" t="b">
        <v>0</v>
      </c>
      <c r="I885" s="7" t="b">
        <v>1</v>
      </c>
      <c r="J885" s="8">
        <v>9483</v>
      </c>
      <c r="K885" s="8">
        <v>158</v>
      </c>
      <c r="L885" s="8">
        <v>633</v>
      </c>
      <c r="M885" s="8">
        <v>0</v>
      </c>
      <c r="N885" s="8">
        <v>42</v>
      </c>
      <c r="O885" s="8">
        <v>168</v>
      </c>
      <c r="P885" s="8">
        <v>732</v>
      </c>
      <c r="Q885" s="8">
        <v>116</v>
      </c>
      <c r="R885" s="8">
        <v>1560</v>
      </c>
      <c r="S885" s="8">
        <v>515</v>
      </c>
      <c r="T885" s="3" t="s">
        <v>49</v>
      </c>
      <c r="U885" s="10">
        <v>14254</v>
      </c>
      <c r="V885" s="32">
        <v>27</v>
      </c>
      <c r="W885" s="27">
        <v>1.8942051354005893E-3</v>
      </c>
      <c r="X885" s="34">
        <v>11</v>
      </c>
      <c r="Y885" s="27">
        <v>0.40740740740740738</v>
      </c>
      <c r="Z885" s="27">
        <v>7.717132033113512E-4</v>
      </c>
      <c r="AA885" s="35">
        <v>4</v>
      </c>
      <c r="AB885" s="27">
        <v>0.14814814814814814</v>
      </c>
      <c r="AC885" s="27">
        <f t="shared" si="79"/>
        <v>2.8062298302230951E-4</v>
      </c>
      <c r="AD885" s="36">
        <v>0</v>
      </c>
      <c r="AE885" s="27">
        <v>0</v>
      </c>
      <c r="AF885" s="27">
        <f t="shared" si="80"/>
        <v>0</v>
      </c>
      <c r="AG885" s="37">
        <v>11</v>
      </c>
      <c r="AH885" s="27">
        <v>0.40740740740740738</v>
      </c>
      <c r="AI885" s="27">
        <f t="shared" si="81"/>
        <v>7.717132033113512E-4</v>
      </c>
      <c r="AJ885" s="38">
        <v>1</v>
      </c>
      <c r="AK885" s="27">
        <v>3.7037037037037035E-2</v>
      </c>
      <c r="AL885" s="27">
        <f t="shared" si="82"/>
        <v>7.0155745755577377E-5</v>
      </c>
      <c r="AM885" s="40">
        <v>0</v>
      </c>
      <c r="AN885" s="27">
        <v>0</v>
      </c>
      <c r="AO885" s="27">
        <f t="shared" si="83"/>
        <v>0</v>
      </c>
      <c r="AP885" s="7" t="b">
        <v>1</v>
      </c>
      <c r="AQ885" s="6" t="b">
        <v>0</v>
      </c>
      <c r="AR885" s="6" t="b">
        <v>0</v>
      </c>
      <c r="AS885" s="6" t="b">
        <v>0</v>
      </c>
      <c r="AT885" s="7" t="b">
        <v>1</v>
      </c>
      <c r="AU885" s="6" t="b">
        <v>0</v>
      </c>
      <c r="AV885" s="6" t="b">
        <v>0</v>
      </c>
      <c r="AW885" s="6" t="b">
        <v>0</v>
      </c>
      <c r="AX885" s="6" t="b">
        <v>0</v>
      </c>
      <c r="AY885" s="6" t="b">
        <v>0</v>
      </c>
      <c r="AZ885" s="6" t="b">
        <v>0</v>
      </c>
      <c r="BA885" s="6" t="b">
        <v>0</v>
      </c>
      <c r="BB885" s="6" t="b">
        <v>0</v>
      </c>
    </row>
    <row r="886" spans="1:54" ht="15" x14ac:dyDescent="0.25">
      <c r="A886" s="3" t="s">
        <v>1831</v>
      </c>
      <c r="B886" s="3" t="str">
        <f ca="1">IFERROR(__xludf.DUMMYFUNCTION("SPLIT(A886,""/"")"),"RasaHQ")</f>
        <v>RasaHQ</v>
      </c>
      <c r="C886" s="3" t="str">
        <f ca="1">IFERROR(__xludf.DUMMYFUNCTION("""COMPUTED_VALUE"""),"rasa")</f>
        <v>rasa</v>
      </c>
      <c r="D886" s="4" t="s">
        <v>1832</v>
      </c>
      <c r="E886" s="5">
        <v>42657.519317129627</v>
      </c>
      <c r="F886" s="5">
        <v>44295.078541666669</v>
      </c>
      <c r="G886" s="13">
        <f t="shared" si="78"/>
        <v>1637.5592245370426</v>
      </c>
      <c r="H886" s="6" t="b">
        <v>0</v>
      </c>
      <c r="I886" s="7" t="b">
        <v>1</v>
      </c>
      <c r="J886" s="8">
        <v>11120</v>
      </c>
      <c r="K886" s="8">
        <v>342</v>
      </c>
      <c r="L886" s="8">
        <v>3325</v>
      </c>
      <c r="M886" s="8">
        <v>93</v>
      </c>
      <c r="N886" s="8">
        <v>48</v>
      </c>
      <c r="O886" s="8">
        <v>415</v>
      </c>
      <c r="P886" s="8">
        <v>3208</v>
      </c>
      <c r="Q886" s="8">
        <v>106</v>
      </c>
      <c r="R886" s="8">
        <v>5181</v>
      </c>
      <c r="S886" s="8">
        <v>544</v>
      </c>
      <c r="T886" s="3" t="s">
        <v>69</v>
      </c>
      <c r="U886" s="10">
        <v>47695</v>
      </c>
      <c r="V886" s="32">
        <v>492</v>
      </c>
      <c r="W886" s="27">
        <v>1.0315546703008702E-2</v>
      </c>
      <c r="X886" s="34">
        <v>259</v>
      </c>
      <c r="Y886" s="27">
        <v>0.52642276422764223</v>
      </c>
      <c r="Z886" s="27">
        <v>5.4303386099171817E-3</v>
      </c>
      <c r="AA886" s="35">
        <v>112</v>
      </c>
      <c r="AB886" s="27">
        <v>0.22764227642276422</v>
      </c>
      <c r="AC886" s="27">
        <f t="shared" si="79"/>
        <v>2.3482545340182408E-3</v>
      </c>
      <c r="AD886" s="36">
        <v>42</v>
      </c>
      <c r="AE886" s="27">
        <v>8.5365853658536592E-2</v>
      </c>
      <c r="AF886" s="27">
        <f t="shared" si="80"/>
        <v>8.8059545025684035E-4</v>
      </c>
      <c r="AG886" s="37">
        <v>77</v>
      </c>
      <c r="AH886" s="27">
        <v>0.1565040650406504</v>
      </c>
      <c r="AI886" s="27">
        <f t="shared" si="81"/>
        <v>1.6144249921375407E-3</v>
      </c>
      <c r="AJ886" s="38">
        <v>0</v>
      </c>
      <c r="AK886" s="27">
        <v>0</v>
      </c>
      <c r="AL886" s="27">
        <f t="shared" si="82"/>
        <v>0</v>
      </c>
      <c r="AM886" s="40">
        <v>0</v>
      </c>
      <c r="AN886" s="27">
        <v>0</v>
      </c>
      <c r="AO886" s="27">
        <f t="shared" si="83"/>
        <v>0</v>
      </c>
      <c r="AP886" s="7" t="b">
        <v>1</v>
      </c>
      <c r="AQ886" s="7" t="b">
        <v>1</v>
      </c>
      <c r="AR886" s="6" t="b">
        <v>0</v>
      </c>
      <c r="AS886" s="6" t="b">
        <v>0</v>
      </c>
      <c r="AT886" s="7" t="b">
        <v>1</v>
      </c>
      <c r="AU886" s="6" t="b">
        <v>0</v>
      </c>
      <c r="AV886" s="6" t="b">
        <v>0</v>
      </c>
      <c r="AW886" s="6" t="b">
        <v>0</v>
      </c>
      <c r="AX886" s="6" t="b">
        <v>0</v>
      </c>
      <c r="AY886" s="6" t="b">
        <v>0</v>
      </c>
      <c r="AZ886" s="6" t="b">
        <v>0</v>
      </c>
      <c r="BA886" s="6" t="b">
        <v>0</v>
      </c>
      <c r="BB886" s="6" t="b">
        <v>0</v>
      </c>
    </row>
    <row r="887" spans="1:54" ht="15" x14ac:dyDescent="0.25">
      <c r="A887" s="3" t="s">
        <v>1833</v>
      </c>
      <c r="B887" s="3" t="str">
        <f ca="1">IFERROR(__xludf.DUMMYFUNCTION("SPLIT(A887,""/"")"),"RasaHQ")</f>
        <v>RasaHQ</v>
      </c>
      <c r="C887" s="3" t="str">
        <f ca="1">IFERROR(__xludf.DUMMYFUNCTION("""COMPUTED_VALUE"""),"rasa_core")</f>
        <v>rasa_core</v>
      </c>
      <c r="D887" s="4" t="s">
        <v>1834</v>
      </c>
      <c r="E887" s="5">
        <v>42996.504999999997</v>
      </c>
      <c r="F887" s="5">
        <v>44287.980439814812</v>
      </c>
      <c r="G887" s="13">
        <f t="shared" si="78"/>
        <v>1291.4754398148143</v>
      </c>
      <c r="H887" s="6" t="b">
        <v>0</v>
      </c>
      <c r="I887" s="7" t="b">
        <v>1</v>
      </c>
      <c r="J887" s="8">
        <v>2304</v>
      </c>
      <c r="K887" s="8">
        <v>161</v>
      </c>
      <c r="L887" s="8">
        <v>1032</v>
      </c>
      <c r="M887" s="8">
        <v>2</v>
      </c>
      <c r="N887" s="8">
        <v>15</v>
      </c>
      <c r="O887" s="8">
        <v>106</v>
      </c>
      <c r="P887" s="8">
        <v>584</v>
      </c>
      <c r="Q887" s="8">
        <v>0</v>
      </c>
      <c r="R887" s="8">
        <v>0</v>
      </c>
      <c r="S887" s="8">
        <v>0</v>
      </c>
      <c r="T887" s="3" t="s">
        <v>69</v>
      </c>
      <c r="U887" s="10">
        <v>14859</v>
      </c>
      <c r="V887" s="32">
        <v>243</v>
      </c>
      <c r="W887" s="27">
        <v>1.6353725015142338E-2</v>
      </c>
      <c r="X887" s="34">
        <v>90</v>
      </c>
      <c r="Y887" s="27">
        <v>0.37037037037037035</v>
      </c>
      <c r="Z887" s="27">
        <v>6.0569351907934586E-3</v>
      </c>
      <c r="AA887" s="35">
        <v>55</v>
      </c>
      <c r="AB887" s="27">
        <v>0.22633744855967078</v>
      </c>
      <c r="AC887" s="27">
        <f t="shared" si="79"/>
        <v>3.7014603943737803E-3</v>
      </c>
      <c r="AD887" s="36">
        <v>51</v>
      </c>
      <c r="AE887" s="27">
        <v>0.20987654320987653</v>
      </c>
      <c r="AF887" s="27">
        <f t="shared" si="80"/>
        <v>3.4322632747829599E-3</v>
      </c>
      <c r="AG887" s="37">
        <v>46</v>
      </c>
      <c r="AH887" s="27">
        <v>0.18930041152263374</v>
      </c>
      <c r="AI887" s="27">
        <f t="shared" si="81"/>
        <v>3.0957668752944344E-3</v>
      </c>
      <c r="AJ887" s="38">
        <v>0</v>
      </c>
      <c r="AK887" s="27">
        <v>0</v>
      </c>
      <c r="AL887" s="27">
        <f t="shared" si="82"/>
        <v>0</v>
      </c>
      <c r="AM887" s="40">
        <v>0</v>
      </c>
      <c r="AN887" s="27">
        <v>0</v>
      </c>
      <c r="AO887" s="27">
        <f t="shared" si="83"/>
        <v>0</v>
      </c>
      <c r="AP887" s="7" t="b">
        <v>1</v>
      </c>
      <c r="AQ887" s="7" t="b">
        <v>1</v>
      </c>
      <c r="AR887" s="6" t="b">
        <v>0</v>
      </c>
      <c r="AS887" s="6" t="b">
        <v>0</v>
      </c>
      <c r="AT887" s="7" t="b">
        <v>1</v>
      </c>
      <c r="AU887" s="6" t="b">
        <v>0</v>
      </c>
      <c r="AV887" s="6" t="b">
        <v>0</v>
      </c>
      <c r="AW887" s="6" t="b">
        <v>0</v>
      </c>
      <c r="AX887" s="6" t="b">
        <v>0</v>
      </c>
      <c r="AY887" s="6" t="b">
        <v>0</v>
      </c>
      <c r="AZ887" s="6" t="b">
        <v>0</v>
      </c>
      <c r="BA887" s="6" t="b">
        <v>0</v>
      </c>
      <c r="BB887" s="6" t="b">
        <v>0</v>
      </c>
    </row>
    <row r="888" spans="1:54" ht="15" x14ac:dyDescent="0.25">
      <c r="A888" s="3" t="s">
        <v>1835</v>
      </c>
      <c r="B888" s="3" t="str">
        <f ca="1">IFERROR(__xludf.DUMMYFUNCTION("SPLIT(A888,""/"")"),"RasaHQ")</f>
        <v>RasaHQ</v>
      </c>
      <c r="C888" s="3" t="str">
        <f ca="1">IFERROR(__xludf.DUMMYFUNCTION("""COMPUTED_VALUE"""),"rasa-demo")</f>
        <v>rasa-demo</v>
      </c>
      <c r="D888" s="4" t="s">
        <v>1836</v>
      </c>
      <c r="E888" s="5">
        <v>43242.360162037039</v>
      </c>
      <c r="F888" s="5">
        <v>44292.796319444446</v>
      </c>
      <c r="G888" s="13">
        <f t="shared" si="78"/>
        <v>1050.4361574074064</v>
      </c>
      <c r="H888" s="6" t="b">
        <v>0</v>
      </c>
      <c r="I888" s="7" t="b">
        <v>1</v>
      </c>
      <c r="J888" s="8">
        <v>608</v>
      </c>
      <c r="K888" s="8">
        <v>53</v>
      </c>
      <c r="L888" s="8">
        <v>626</v>
      </c>
      <c r="M888" s="8">
        <v>0</v>
      </c>
      <c r="N888" s="8">
        <v>3</v>
      </c>
      <c r="O888" s="8">
        <v>25</v>
      </c>
      <c r="P888" s="8">
        <v>190</v>
      </c>
      <c r="Q888" s="8">
        <v>4</v>
      </c>
      <c r="R888" s="8">
        <v>438</v>
      </c>
      <c r="S888" s="8">
        <v>66</v>
      </c>
      <c r="T888" s="3" t="s">
        <v>49</v>
      </c>
      <c r="U888" s="10">
        <v>989</v>
      </c>
      <c r="V888" s="32">
        <v>9</v>
      </c>
      <c r="W888" s="27">
        <v>9.1001011122345803E-3</v>
      </c>
      <c r="X888" s="34">
        <v>3</v>
      </c>
      <c r="Y888" s="27">
        <v>0.33333333333333331</v>
      </c>
      <c r="Z888" s="27">
        <v>3.0333670374115269E-3</v>
      </c>
      <c r="AA888" s="35">
        <v>0</v>
      </c>
      <c r="AB888" s="27">
        <v>0</v>
      </c>
      <c r="AC888" s="27">
        <f t="shared" si="79"/>
        <v>0</v>
      </c>
      <c r="AD888" s="36">
        <v>2</v>
      </c>
      <c r="AE888" s="27">
        <v>0.22222222222222221</v>
      </c>
      <c r="AF888" s="27">
        <f t="shared" si="80"/>
        <v>2.0222446916076846E-3</v>
      </c>
      <c r="AG888" s="37">
        <v>3</v>
      </c>
      <c r="AH888" s="27">
        <v>0.33333333333333331</v>
      </c>
      <c r="AI888" s="27">
        <f t="shared" si="81"/>
        <v>3.0333670374115269E-3</v>
      </c>
      <c r="AJ888" s="38">
        <v>0</v>
      </c>
      <c r="AK888" s="27">
        <v>0</v>
      </c>
      <c r="AL888" s="27">
        <f t="shared" si="82"/>
        <v>0</v>
      </c>
      <c r="AM888" s="40">
        <v>0</v>
      </c>
      <c r="AN888" s="27">
        <v>0</v>
      </c>
      <c r="AO888" s="27">
        <f t="shared" si="83"/>
        <v>0</v>
      </c>
      <c r="AP888" s="7" t="b">
        <v>1</v>
      </c>
      <c r="AQ888" s="6" t="b">
        <v>0</v>
      </c>
      <c r="AR888" s="6" t="b">
        <v>0</v>
      </c>
      <c r="AS888" s="6" t="b">
        <v>0</v>
      </c>
      <c r="AT888" s="7" t="b">
        <v>1</v>
      </c>
      <c r="AU888" s="6" t="b">
        <v>0</v>
      </c>
      <c r="AV888" s="6" t="b">
        <v>0</v>
      </c>
      <c r="AW888" s="6" t="b">
        <v>0</v>
      </c>
      <c r="AX888" s="6" t="b">
        <v>0</v>
      </c>
      <c r="AY888" s="6" t="b">
        <v>0</v>
      </c>
      <c r="AZ888" s="6" t="b">
        <v>0</v>
      </c>
      <c r="BA888" s="6" t="b">
        <v>0</v>
      </c>
      <c r="BB888" s="6" t="b">
        <v>0</v>
      </c>
    </row>
    <row r="889" spans="1:54" ht="15" x14ac:dyDescent="0.25">
      <c r="A889" s="3" t="s">
        <v>1837</v>
      </c>
      <c r="B889" s="3" t="str">
        <f ca="1">IFERROR(__xludf.DUMMYFUNCTION("SPLIT(A889,""/"")"),"raveberry")</f>
        <v>raveberry</v>
      </c>
      <c r="C889" s="3" t="str">
        <f ca="1">IFERROR(__xludf.DUMMYFUNCTION("""COMPUTED_VALUE"""),"raveberry")</f>
        <v>raveberry</v>
      </c>
      <c r="D889" s="4" t="s">
        <v>1838</v>
      </c>
      <c r="E889" s="5">
        <v>43683.30672453704</v>
      </c>
      <c r="F889" s="5">
        <v>44293.589513888888</v>
      </c>
      <c r="G889" s="13">
        <f t="shared" si="78"/>
        <v>610.2827893518479</v>
      </c>
      <c r="H889" s="6" t="b">
        <v>0</v>
      </c>
      <c r="I889" s="6" t="b">
        <v>0</v>
      </c>
      <c r="J889" s="8">
        <v>450</v>
      </c>
      <c r="K889" s="8">
        <v>14</v>
      </c>
      <c r="L889" s="8">
        <v>32</v>
      </c>
      <c r="M889" s="8">
        <v>0</v>
      </c>
      <c r="N889" s="8">
        <v>1</v>
      </c>
      <c r="O889" s="8">
        <v>4</v>
      </c>
      <c r="P889" s="8">
        <v>14</v>
      </c>
      <c r="Q889" s="8">
        <v>0</v>
      </c>
      <c r="R889" s="8">
        <v>90</v>
      </c>
      <c r="S889" s="8">
        <v>11</v>
      </c>
      <c r="T889" s="3" t="s">
        <v>160</v>
      </c>
      <c r="U889" s="10">
        <v>5846</v>
      </c>
      <c r="V889" s="32">
        <v>42</v>
      </c>
      <c r="W889" s="27">
        <v>7.1843995894628806E-3</v>
      </c>
      <c r="X889" s="34">
        <v>10</v>
      </c>
      <c r="Y889" s="27">
        <v>0.23809523809523808</v>
      </c>
      <c r="Z889" s="27">
        <v>1.7105713308244953E-3</v>
      </c>
      <c r="AA889" s="35">
        <v>9</v>
      </c>
      <c r="AB889" s="27">
        <v>0.21428571428571427</v>
      </c>
      <c r="AC889" s="27">
        <f t="shared" si="79"/>
        <v>1.5395141977420459E-3</v>
      </c>
      <c r="AD889" s="36">
        <v>3</v>
      </c>
      <c r="AE889" s="27">
        <v>7.1428571428571425E-2</v>
      </c>
      <c r="AF889" s="27">
        <f t="shared" si="80"/>
        <v>5.131713992473486E-4</v>
      </c>
      <c r="AG889" s="37">
        <v>19</v>
      </c>
      <c r="AH889" s="27">
        <v>0.45238095238095238</v>
      </c>
      <c r="AI889" s="27">
        <f t="shared" si="81"/>
        <v>3.250085528566541E-3</v>
      </c>
      <c r="AJ889" s="38">
        <v>0</v>
      </c>
      <c r="AK889" s="27">
        <v>0</v>
      </c>
      <c r="AL889" s="27">
        <f t="shared" si="82"/>
        <v>0</v>
      </c>
      <c r="AM889" s="40">
        <v>0</v>
      </c>
      <c r="AN889" s="27">
        <v>0</v>
      </c>
      <c r="AO889" s="27">
        <f t="shared" si="83"/>
        <v>0</v>
      </c>
      <c r="AP889" s="7" t="b">
        <v>1</v>
      </c>
      <c r="AQ889" s="7" t="b">
        <v>1</v>
      </c>
      <c r="AR889" s="6" t="b">
        <v>0</v>
      </c>
      <c r="AS889" s="6" t="b">
        <v>0</v>
      </c>
      <c r="AT889" s="7" t="b">
        <v>1</v>
      </c>
      <c r="AU889" s="6" t="b">
        <v>0</v>
      </c>
      <c r="AV889" s="6" t="b">
        <v>0</v>
      </c>
      <c r="AW889" s="6" t="b">
        <v>0</v>
      </c>
      <c r="AX889" s="6" t="b">
        <v>0</v>
      </c>
      <c r="AY889" s="6" t="b">
        <v>0</v>
      </c>
      <c r="AZ889" s="6" t="b">
        <v>0</v>
      </c>
      <c r="BA889" s="6" t="b">
        <v>0</v>
      </c>
      <c r="BB889" s="6" t="b">
        <v>0</v>
      </c>
    </row>
    <row r="890" spans="1:54" ht="15" x14ac:dyDescent="0.25">
      <c r="A890" s="3" t="s">
        <v>1839</v>
      </c>
      <c r="B890" s="3" t="str">
        <f ca="1">IFERROR(__xludf.DUMMYFUNCTION("SPLIT(A890,""/"")"),"ray-project")</f>
        <v>ray-project</v>
      </c>
      <c r="C890" s="3" t="str">
        <f ca="1">IFERROR(__xludf.DUMMYFUNCTION("""COMPUTED_VALUE"""),"ray")</f>
        <v>ray</v>
      </c>
      <c r="D890" s="4" t="s">
        <v>1840</v>
      </c>
      <c r="E890" s="5">
        <v>42668.818402777775</v>
      </c>
      <c r="F890" s="5">
        <v>44295.121319444443</v>
      </c>
      <c r="G890" s="13">
        <f t="shared" si="78"/>
        <v>1626.3029166666674</v>
      </c>
      <c r="H890" s="6" t="b">
        <v>0</v>
      </c>
      <c r="I890" s="7" t="b">
        <v>1</v>
      </c>
      <c r="J890" s="8">
        <v>15520</v>
      </c>
      <c r="K890" s="8">
        <v>417</v>
      </c>
      <c r="L890" s="8">
        <v>2461</v>
      </c>
      <c r="M890" s="8">
        <v>40</v>
      </c>
      <c r="N890" s="8">
        <v>76</v>
      </c>
      <c r="O890" s="8">
        <v>460</v>
      </c>
      <c r="P890" s="8">
        <v>8582</v>
      </c>
      <c r="Q890" s="8">
        <v>151</v>
      </c>
      <c r="R890" s="8">
        <v>6351</v>
      </c>
      <c r="S890" s="8">
        <v>1316</v>
      </c>
      <c r="T890" s="3" t="s">
        <v>69</v>
      </c>
      <c r="U890" s="10">
        <v>133302</v>
      </c>
      <c r="V890" s="32">
        <v>1254</v>
      </c>
      <c r="W890" s="27">
        <v>9.40721069451321E-3</v>
      </c>
      <c r="X890" s="34">
        <v>316</v>
      </c>
      <c r="Y890" s="27">
        <v>0.25199362041467305</v>
      </c>
      <c r="Z890" s="27">
        <v>2.3705570809140148E-3</v>
      </c>
      <c r="AA890" s="35">
        <v>471</v>
      </c>
      <c r="AB890" s="27">
        <v>0.37559808612440193</v>
      </c>
      <c r="AC890" s="27">
        <f t="shared" si="79"/>
        <v>3.5333303326281675E-3</v>
      </c>
      <c r="AD890" s="36">
        <v>274</v>
      </c>
      <c r="AE890" s="27">
        <v>0.21850079744816586</v>
      </c>
      <c r="AF890" s="27">
        <f t="shared" si="80"/>
        <v>2.0554830385140508E-3</v>
      </c>
      <c r="AG890" s="37">
        <v>165</v>
      </c>
      <c r="AH890" s="27">
        <v>0.13157894736842105</v>
      </c>
      <c r="AI890" s="27">
        <f t="shared" si="81"/>
        <v>1.2377908808570014E-3</v>
      </c>
      <c r="AJ890" s="38">
        <v>2</v>
      </c>
      <c r="AK890" s="27">
        <v>1.594896331738437E-3</v>
      </c>
      <c r="AL890" s="27">
        <f t="shared" si="82"/>
        <v>1.5003525828569714E-5</v>
      </c>
      <c r="AM890" s="40">
        <v>22</v>
      </c>
      <c r="AN890" s="27">
        <v>1.7543859649122806E-2</v>
      </c>
      <c r="AO890" s="27">
        <f t="shared" si="83"/>
        <v>1.6503878411426684E-4</v>
      </c>
      <c r="AP890" s="7" t="b">
        <v>1</v>
      </c>
      <c r="AQ890" s="6" t="b">
        <v>0</v>
      </c>
      <c r="AR890" s="6" t="b">
        <v>0</v>
      </c>
      <c r="AS890" s="6" t="b">
        <v>0</v>
      </c>
      <c r="AT890" s="7" t="b">
        <v>1</v>
      </c>
      <c r="AU890" s="6" t="b">
        <v>0</v>
      </c>
      <c r="AV890" s="6" t="b">
        <v>0</v>
      </c>
      <c r="AW890" s="6" t="b">
        <v>0</v>
      </c>
      <c r="AX890" s="6" t="b">
        <v>0</v>
      </c>
      <c r="AY890" s="6" t="b">
        <v>0</v>
      </c>
      <c r="AZ890" s="6" t="b">
        <v>0</v>
      </c>
      <c r="BA890" s="6" t="b">
        <v>0</v>
      </c>
      <c r="BB890" s="6" t="b">
        <v>0</v>
      </c>
    </row>
    <row r="891" spans="1:54" ht="15" x14ac:dyDescent="0.25">
      <c r="A891" s="3" t="s">
        <v>1841</v>
      </c>
      <c r="B891" s="3" t="str">
        <f ca="1">IFERROR(__xludf.DUMMYFUNCTION("SPLIT(A891,""/"")"),"readthedocs")</f>
        <v>readthedocs</v>
      </c>
      <c r="C891" s="4" t="str">
        <f ca="1">IFERROR(__xludf.DUMMYFUNCTION("""COMPUTED_VALUE"""),"readthedocs.org")</f>
        <v>readthedocs.org</v>
      </c>
      <c r="D891" s="4" t="s">
        <v>1842</v>
      </c>
      <c r="E891" s="5">
        <v>40406.804236111115</v>
      </c>
      <c r="F891" s="5">
        <v>44295.143761574072</v>
      </c>
      <c r="G891" s="13">
        <f t="shared" si="78"/>
        <v>3888.3395254629577</v>
      </c>
      <c r="H891" s="6" t="b">
        <v>0</v>
      </c>
      <c r="I891" s="7" t="b">
        <v>1</v>
      </c>
      <c r="J891" s="8">
        <v>6402</v>
      </c>
      <c r="K891" s="8">
        <v>231</v>
      </c>
      <c r="L891" s="8">
        <v>3116</v>
      </c>
      <c r="M891" s="8">
        <v>0</v>
      </c>
      <c r="N891" s="8">
        <v>101</v>
      </c>
      <c r="O891" s="8">
        <v>402</v>
      </c>
      <c r="P891" s="8">
        <v>3693</v>
      </c>
      <c r="Q891" s="8">
        <v>57</v>
      </c>
      <c r="R891" s="8">
        <v>4296</v>
      </c>
      <c r="S891" s="8">
        <v>267</v>
      </c>
      <c r="T891" s="3" t="s">
        <v>72</v>
      </c>
      <c r="U891" s="10">
        <v>33467</v>
      </c>
      <c r="V891" s="32">
        <v>412</v>
      </c>
      <c r="W891" s="27">
        <v>1.2310634356231512E-2</v>
      </c>
      <c r="X891" s="34">
        <v>65</v>
      </c>
      <c r="Y891" s="27">
        <v>0.15776699029126215</v>
      </c>
      <c r="Z891" s="27">
        <v>1.942211730958855E-3</v>
      </c>
      <c r="AA891" s="35">
        <v>188</v>
      </c>
      <c r="AB891" s="27">
        <v>0.4563106796116505</v>
      </c>
      <c r="AC891" s="27">
        <f t="shared" si="79"/>
        <v>5.6174739295425345E-3</v>
      </c>
      <c r="AD891" s="36">
        <v>74</v>
      </c>
      <c r="AE891" s="27">
        <v>0.1796116504854369</v>
      </c>
      <c r="AF891" s="27">
        <f t="shared" si="80"/>
        <v>2.2111333552454655E-3</v>
      </c>
      <c r="AG891" s="37">
        <v>85</v>
      </c>
      <c r="AH891" s="27">
        <v>0.20631067961165048</v>
      </c>
      <c r="AI891" s="27">
        <f t="shared" si="81"/>
        <v>2.5398153404846565E-3</v>
      </c>
      <c r="AJ891" s="38">
        <v>0</v>
      </c>
      <c r="AK891" s="27">
        <v>0</v>
      </c>
      <c r="AL891" s="27">
        <f t="shared" si="82"/>
        <v>0</v>
      </c>
      <c r="AM891" s="40">
        <v>0</v>
      </c>
      <c r="AN891" s="27">
        <v>0</v>
      </c>
      <c r="AO891" s="27">
        <f t="shared" si="83"/>
        <v>0</v>
      </c>
      <c r="AP891" s="7" t="b">
        <v>1</v>
      </c>
      <c r="AQ891" s="6" t="b">
        <v>0</v>
      </c>
      <c r="AR891" s="6" t="b">
        <v>0</v>
      </c>
      <c r="AS891" s="6" t="b">
        <v>0</v>
      </c>
      <c r="AT891" s="7" t="b">
        <v>1</v>
      </c>
      <c r="AU891" s="6" t="b">
        <v>0</v>
      </c>
      <c r="AV891" s="6" t="b">
        <v>0</v>
      </c>
      <c r="AW891" s="6" t="b">
        <v>0</v>
      </c>
      <c r="AX891" s="6" t="b">
        <v>0</v>
      </c>
      <c r="AY891" s="6" t="b">
        <v>0</v>
      </c>
      <c r="AZ891" s="6" t="b">
        <v>0</v>
      </c>
      <c r="BA891" s="6" t="b">
        <v>0</v>
      </c>
      <c r="BB891" s="6" t="b">
        <v>0</v>
      </c>
    </row>
    <row r="892" spans="1:54" ht="15" x14ac:dyDescent="0.25">
      <c r="A892" s="3" t="s">
        <v>1843</v>
      </c>
      <c r="B892" s="3" t="str">
        <f ca="1">IFERROR(__xludf.DUMMYFUNCTION("SPLIT(A892,""/"")"),"realgam3")</f>
        <v>realgam3</v>
      </c>
      <c r="C892" s="3" t="str">
        <f ca="1">IFERROR(__xludf.DUMMYFUNCTION("""COMPUTED_VALUE"""),"pymultitor")</f>
        <v>pymultitor</v>
      </c>
      <c r="D892" s="4" t="s">
        <v>1844</v>
      </c>
      <c r="E892" s="5">
        <v>41545.663761574076</v>
      </c>
      <c r="F892" s="5">
        <v>44285.652731481481</v>
      </c>
      <c r="G892" s="13">
        <f t="shared" si="78"/>
        <v>2739.9889699074047</v>
      </c>
      <c r="H892" s="6" t="b">
        <v>0</v>
      </c>
      <c r="I892" s="6" t="b">
        <v>0</v>
      </c>
      <c r="J892" s="8">
        <v>462</v>
      </c>
      <c r="K892" s="8">
        <v>32</v>
      </c>
      <c r="L892" s="8">
        <v>96</v>
      </c>
      <c r="M892" s="8">
        <v>2</v>
      </c>
      <c r="N892" s="8">
        <v>0</v>
      </c>
      <c r="O892" s="8">
        <v>4</v>
      </c>
      <c r="P892" s="8">
        <v>10</v>
      </c>
      <c r="Q892" s="8">
        <v>2</v>
      </c>
      <c r="R892" s="8">
        <v>20</v>
      </c>
      <c r="S892" s="8">
        <v>4</v>
      </c>
      <c r="T892" s="3" t="s">
        <v>49</v>
      </c>
      <c r="U892" s="10">
        <v>424</v>
      </c>
      <c r="V892" s="32">
        <v>22</v>
      </c>
      <c r="W892" s="27">
        <v>5.1886792452830191E-2</v>
      </c>
      <c r="X892" s="34">
        <v>13</v>
      </c>
      <c r="Y892" s="27">
        <v>0.59090909090909094</v>
      </c>
      <c r="Z892" s="27">
        <v>3.0660377358490566E-2</v>
      </c>
      <c r="AA892" s="35">
        <v>4</v>
      </c>
      <c r="AB892" s="27">
        <v>0.18181818181818182</v>
      </c>
      <c r="AC892" s="27">
        <f t="shared" si="79"/>
        <v>9.433962264150943E-3</v>
      </c>
      <c r="AD892" s="36">
        <v>1</v>
      </c>
      <c r="AE892" s="27">
        <v>4.5454545454545456E-2</v>
      </c>
      <c r="AF892" s="27">
        <f t="shared" si="80"/>
        <v>2.3584905660377358E-3</v>
      </c>
      <c r="AG892" s="37">
        <v>4</v>
      </c>
      <c r="AH892" s="27">
        <v>0.18181818181818182</v>
      </c>
      <c r="AI892" s="27">
        <f t="shared" si="81"/>
        <v>9.433962264150943E-3</v>
      </c>
      <c r="AJ892" s="38">
        <v>0</v>
      </c>
      <c r="AK892" s="27">
        <v>0</v>
      </c>
      <c r="AL892" s="27">
        <f t="shared" si="82"/>
        <v>0</v>
      </c>
      <c r="AM892" s="40">
        <v>0</v>
      </c>
      <c r="AN892" s="27">
        <v>0</v>
      </c>
      <c r="AO892" s="27">
        <f t="shared" si="83"/>
        <v>0</v>
      </c>
      <c r="AP892" s="7" t="b">
        <v>1</v>
      </c>
      <c r="AQ892" s="6" t="b">
        <v>0</v>
      </c>
      <c r="AR892" s="6" t="b">
        <v>0</v>
      </c>
      <c r="AS892" s="6" t="b">
        <v>0</v>
      </c>
      <c r="AT892" s="7" t="b">
        <v>1</v>
      </c>
      <c r="AU892" s="6" t="b">
        <v>0</v>
      </c>
      <c r="AV892" s="6" t="b">
        <v>0</v>
      </c>
      <c r="AW892" s="6" t="b">
        <v>0</v>
      </c>
      <c r="AX892" s="6" t="b">
        <v>0</v>
      </c>
      <c r="AY892" s="6" t="b">
        <v>0</v>
      </c>
      <c r="AZ892" s="6" t="b">
        <v>0</v>
      </c>
      <c r="BA892" s="6" t="b">
        <v>0</v>
      </c>
      <c r="BB892" s="6" t="b">
        <v>0</v>
      </c>
    </row>
    <row r="893" spans="1:54" ht="15" x14ac:dyDescent="0.25">
      <c r="A893" s="3" t="s">
        <v>1845</v>
      </c>
      <c r="B893" s="3" t="str">
        <f ca="1">IFERROR(__xludf.DUMMYFUNCTION("SPLIT(A893,""/"")"),"reddit")</f>
        <v>reddit</v>
      </c>
      <c r="C893" s="4" t="str">
        <f ca="1">IFERROR(__xludf.DUMMYFUNCTION("""COMPUTED_VALUE"""),"baseplate.py")</f>
        <v>baseplate.py</v>
      </c>
      <c r="D893" s="4" t="s">
        <v>1846</v>
      </c>
      <c r="E893" s="5">
        <v>42298.755497685182</v>
      </c>
      <c r="F893" s="5">
        <v>44293.049733796295</v>
      </c>
      <c r="G893" s="13">
        <f t="shared" si="78"/>
        <v>1994.2942361111127</v>
      </c>
      <c r="H893" s="6" t="b">
        <v>0</v>
      </c>
      <c r="I893" s="7" t="b">
        <v>1</v>
      </c>
      <c r="J893" s="8">
        <v>418</v>
      </c>
      <c r="K893" s="8">
        <v>87</v>
      </c>
      <c r="L893" s="8">
        <v>114</v>
      </c>
      <c r="M893" s="8">
        <v>67</v>
      </c>
      <c r="N893" s="8">
        <v>25</v>
      </c>
      <c r="O893" s="8">
        <v>41</v>
      </c>
      <c r="P893" s="8">
        <v>435</v>
      </c>
      <c r="Q893" s="8">
        <v>9</v>
      </c>
      <c r="R893" s="8">
        <v>148</v>
      </c>
      <c r="S893" s="8">
        <v>32</v>
      </c>
      <c r="T893" s="3" t="s">
        <v>92</v>
      </c>
      <c r="U893" s="10">
        <v>11988</v>
      </c>
      <c r="V893" s="32">
        <v>114</v>
      </c>
      <c r="W893" s="27">
        <v>9.5095095095095103E-3</v>
      </c>
      <c r="X893" s="34">
        <v>39</v>
      </c>
      <c r="Y893" s="27">
        <v>0.34210526315789475</v>
      </c>
      <c r="Z893" s="27">
        <v>3.2532532532532532E-3</v>
      </c>
      <c r="AA893" s="35">
        <v>29</v>
      </c>
      <c r="AB893" s="27">
        <v>0.25438596491228072</v>
      </c>
      <c r="AC893" s="27">
        <f t="shared" si="79"/>
        <v>2.4190857524190859E-3</v>
      </c>
      <c r="AD893" s="36">
        <v>19</v>
      </c>
      <c r="AE893" s="27">
        <v>0.16666666666666666</v>
      </c>
      <c r="AF893" s="27">
        <f t="shared" si="80"/>
        <v>1.5849182515849183E-3</v>
      </c>
      <c r="AG893" s="37">
        <v>24</v>
      </c>
      <c r="AH893" s="27">
        <v>0.21052631578947367</v>
      </c>
      <c r="AI893" s="27">
        <f t="shared" si="81"/>
        <v>2.002002002002002E-3</v>
      </c>
      <c r="AJ893" s="38">
        <v>0</v>
      </c>
      <c r="AK893" s="27">
        <v>0</v>
      </c>
      <c r="AL893" s="27">
        <f t="shared" si="82"/>
        <v>0</v>
      </c>
      <c r="AM893" s="40">
        <v>3</v>
      </c>
      <c r="AN893" s="27">
        <v>2.6315789473684209E-2</v>
      </c>
      <c r="AO893" s="27">
        <f t="shared" si="83"/>
        <v>2.5025025025025025E-4</v>
      </c>
      <c r="AP893" s="7" t="b">
        <v>1</v>
      </c>
      <c r="AQ893" s="7" t="b">
        <v>1</v>
      </c>
      <c r="AR893" s="6" t="b">
        <v>0</v>
      </c>
      <c r="AS893" s="6" t="b">
        <v>0</v>
      </c>
      <c r="AT893" s="7" t="b">
        <v>1</v>
      </c>
      <c r="AU893" s="6" t="b">
        <v>0</v>
      </c>
      <c r="AV893" s="6" t="b">
        <v>0</v>
      </c>
      <c r="AW893" s="6" t="b">
        <v>0</v>
      </c>
      <c r="AX893" s="6" t="b">
        <v>0</v>
      </c>
      <c r="AY893" s="6" t="b">
        <v>0</v>
      </c>
      <c r="AZ893" s="6" t="b">
        <v>0</v>
      </c>
      <c r="BA893" s="6" t="b">
        <v>0</v>
      </c>
      <c r="BB893" s="6" t="b">
        <v>0</v>
      </c>
    </row>
    <row r="894" spans="1:54" ht="15" x14ac:dyDescent="0.25">
      <c r="A894" s="3" t="s">
        <v>1847</v>
      </c>
      <c r="B894" s="3" t="str">
        <f ca="1">IFERROR(__xludf.DUMMYFUNCTION("SPLIT(A894,""/"")"),"ReFirmLabs")</f>
        <v>ReFirmLabs</v>
      </c>
      <c r="C894" s="3" t="str">
        <f ca="1">IFERROR(__xludf.DUMMYFUNCTION("""COMPUTED_VALUE"""),"binwalk")</f>
        <v>binwalk</v>
      </c>
      <c r="D894" s="4" t="s">
        <v>1848</v>
      </c>
      <c r="E894" s="5">
        <v>41593.865046296298</v>
      </c>
      <c r="F894" s="5">
        <v>44294.895104166666</v>
      </c>
      <c r="G894" s="13">
        <f t="shared" si="78"/>
        <v>2701.0300578703682</v>
      </c>
      <c r="H894" s="6" t="b">
        <v>0</v>
      </c>
      <c r="I894" s="7" t="b">
        <v>1</v>
      </c>
      <c r="J894" s="8">
        <v>7225</v>
      </c>
      <c r="K894" s="8">
        <v>363</v>
      </c>
      <c r="L894" s="8">
        <v>1069</v>
      </c>
      <c r="M894" s="8">
        <v>7</v>
      </c>
      <c r="N894" s="8">
        <v>7</v>
      </c>
      <c r="O894" s="8">
        <v>70</v>
      </c>
      <c r="P894" s="8">
        <v>192</v>
      </c>
      <c r="Q894" s="8">
        <v>17</v>
      </c>
      <c r="R894" s="8">
        <v>342</v>
      </c>
      <c r="S894" s="8">
        <v>76</v>
      </c>
      <c r="T894" s="3" t="s">
        <v>72</v>
      </c>
      <c r="U894" s="10">
        <v>4418</v>
      </c>
      <c r="V894" s="32">
        <v>45</v>
      </c>
      <c r="W894" s="27">
        <v>1.0185604345857854E-2</v>
      </c>
      <c r="X894" s="34">
        <v>23</v>
      </c>
      <c r="Y894" s="27">
        <v>0.51111111111111107</v>
      </c>
      <c r="Z894" s="27">
        <v>5.2059755545495702E-3</v>
      </c>
      <c r="AA894" s="35">
        <v>0</v>
      </c>
      <c r="AB894" s="27">
        <v>0</v>
      </c>
      <c r="AC894" s="27">
        <f t="shared" si="79"/>
        <v>0</v>
      </c>
      <c r="AD894" s="36">
        <v>14</v>
      </c>
      <c r="AE894" s="27">
        <v>0.31111111111111112</v>
      </c>
      <c r="AF894" s="27">
        <f t="shared" si="80"/>
        <v>3.1688546853779992E-3</v>
      </c>
      <c r="AG894" s="37">
        <v>5</v>
      </c>
      <c r="AH894" s="27">
        <v>0.1111111111111111</v>
      </c>
      <c r="AI894" s="27">
        <f t="shared" si="81"/>
        <v>1.1317338162064282E-3</v>
      </c>
      <c r="AJ894" s="38">
        <v>0</v>
      </c>
      <c r="AK894" s="27">
        <v>0</v>
      </c>
      <c r="AL894" s="27">
        <f t="shared" si="82"/>
        <v>0</v>
      </c>
      <c r="AM894" s="40">
        <v>3</v>
      </c>
      <c r="AN894" s="27">
        <v>6.6666666666666666E-2</v>
      </c>
      <c r="AO894" s="27">
        <f t="shared" si="83"/>
        <v>6.79040289723857E-4</v>
      </c>
      <c r="AP894" s="7" t="b">
        <v>1</v>
      </c>
      <c r="AQ894" s="6" t="b">
        <v>0</v>
      </c>
      <c r="AR894" s="6" t="b">
        <v>0</v>
      </c>
      <c r="AS894" s="6" t="b">
        <v>0</v>
      </c>
      <c r="AT894" s="7" t="b">
        <v>1</v>
      </c>
      <c r="AU894" s="6" t="b">
        <v>0</v>
      </c>
      <c r="AV894" s="6" t="b">
        <v>0</v>
      </c>
      <c r="AW894" s="6" t="b">
        <v>0</v>
      </c>
      <c r="AX894" s="6" t="b">
        <v>0</v>
      </c>
      <c r="AY894" s="6" t="b">
        <v>0</v>
      </c>
      <c r="AZ894" s="6" t="b">
        <v>0</v>
      </c>
      <c r="BA894" s="6" t="b">
        <v>0</v>
      </c>
      <c r="BB894" s="6" t="b">
        <v>0</v>
      </c>
    </row>
    <row r="895" spans="1:54" ht="15" x14ac:dyDescent="0.25">
      <c r="A895" s="3" t="s">
        <v>1849</v>
      </c>
      <c r="B895" s="3" t="str">
        <f ca="1">IFERROR(__xludf.DUMMYFUNCTION("SPLIT(A895,""/"")"),"reviewboard")</f>
        <v>reviewboard</v>
      </c>
      <c r="C895" s="3" t="str">
        <f ca="1">IFERROR(__xludf.DUMMYFUNCTION("""COMPUTED_VALUE"""),"reviewboard")</f>
        <v>reviewboard</v>
      </c>
      <c r="D895" s="4" t="s">
        <v>1850</v>
      </c>
      <c r="E895" s="5">
        <v>40047.902650462966</v>
      </c>
      <c r="F895" s="5">
        <v>44294.363425925927</v>
      </c>
      <c r="G895" s="13">
        <f t="shared" si="78"/>
        <v>4246.4607754629615</v>
      </c>
      <c r="H895" s="6" t="b">
        <v>0</v>
      </c>
      <c r="I895" s="7" t="b">
        <v>1</v>
      </c>
      <c r="J895" s="8">
        <v>1340</v>
      </c>
      <c r="K895" s="8">
        <v>103</v>
      </c>
      <c r="L895" s="8">
        <v>376</v>
      </c>
      <c r="M895" s="8">
        <v>0</v>
      </c>
      <c r="N895" s="8">
        <v>21</v>
      </c>
      <c r="O895" s="8">
        <v>205</v>
      </c>
      <c r="P895" s="8">
        <v>45</v>
      </c>
      <c r="Q895" s="8">
        <v>1</v>
      </c>
      <c r="R895" s="8">
        <v>0</v>
      </c>
      <c r="S895" s="8">
        <v>0</v>
      </c>
      <c r="T895" s="3" t="s">
        <v>72</v>
      </c>
      <c r="U895" s="10">
        <v>83913</v>
      </c>
      <c r="V895" s="32">
        <v>366</v>
      </c>
      <c r="W895" s="27">
        <v>4.3616602910156949E-3</v>
      </c>
      <c r="X895" s="34">
        <v>44</v>
      </c>
      <c r="Y895" s="27">
        <v>0.12021857923497267</v>
      </c>
      <c r="Z895" s="27">
        <v>5.2435260329150427E-4</v>
      </c>
      <c r="AA895" s="35">
        <v>7</v>
      </c>
      <c r="AB895" s="27">
        <v>1.912568306010929E-2</v>
      </c>
      <c r="AC895" s="27">
        <f t="shared" si="79"/>
        <v>8.3419732341830227E-5</v>
      </c>
      <c r="AD895" s="36">
        <v>85</v>
      </c>
      <c r="AE895" s="27">
        <v>0.23224043715846995</v>
      </c>
      <c r="AF895" s="27">
        <f t="shared" si="80"/>
        <v>1.0129538927222243E-3</v>
      </c>
      <c r="AG895" s="37">
        <v>221</v>
      </c>
      <c r="AH895" s="27">
        <v>0.60382513661202186</v>
      </c>
      <c r="AI895" s="27">
        <f t="shared" si="81"/>
        <v>2.633680121077783E-3</v>
      </c>
      <c r="AJ895" s="38">
        <v>6</v>
      </c>
      <c r="AK895" s="27">
        <v>1.6393442622950821E-2</v>
      </c>
      <c r="AL895" s="27">
        <f t="shared" si="82"/>
        <v>7.150262772156877E-5</v>
      </c>
      <c r="AM895" s="40">
        <v>1</v>
      </c>
      <c r="AN895" s="27">
        <v>2.7322404371584699E-3</v>
      </c>
      <c r="AO895" s="27">
        <f t="shared" si="83"/>
        <v>1.191710462026146E-5</v>
      </c>
      <c r="AP895" s="7" t="b">
        <v>1</v>
      </c>
      <c r="AQ895" s="6" t="b">
        <v>0</v>
      </c>
      <c r="AR895" s="6" t="b">
        <v>0</v>
      </c>
      <c r="AS895" s="6" t="b">
        <v>0</v>
      </c>
      <c r="AT895" s="7" t="b">
        <v>1</v>
      </c>
      <c r="AU895" s="6" t="b">
        <v>0</v>
      </c>
      <c r="AV895" s="6" t="b">
        <v>0</v>
      </c>
      <c r="AW895" s="6" t="b">
        <v>0</v>
      </c>
      <c r="AX895" s="6" t="b">
        <v>0</v>
      </c>
      <c r="AY895" s="6" t="b">
        <v>0</v>
      </c>
      <c r="AZ895" s="6" t="b">
        <v>0</v>
      </c>
      <c r="BA895" s="6" t="b">
        <v>0</v>
      </c>
      <c r="BB895" s="6" t="b">
        <v>0</v>
      </c>
    </row>
    <row r="896" spans="1:54" ht="15" x14ac:dyDescent="0.25">
      <c r="A896" s="3" t="s">
        <v>1851</v>
      </c>
      <c r="B896" s="3" t="str">
        <f ca="1">IFERROR(__xludf.DUMMYFUNCTION("SPLIT(A896,""/"")"),"RhinoSecurityLabs")</f>
        <v>RhinoSecurityLabs</v>
      </c>
      <c r="C896" s="3" t="str">
        <f ca="1">IFERROR(__xludf.DUMMYFUNCTION("""COMPUTED_VALUE"""),"pacu")</f>
        <v>pacu</v>
      </c>
      <c r="D896" s="4" t="s">
        <v>1852</v>
      </c>
      <c r="E896" s="5">
        <v>43264.915960648148</v>
      </c>
      <c r="F896" s="5">
        <v>44294.531319444446</v>
      </c>
      <c r="G896" s="13">
        <f t="shared" si="78"/>
        <v>1029.6153587962981</v>
      </c>
      <c r="H896" s="6" t="b">
        <v>0</v>
      </c>
      <c r="I896" s="7" t="b">
        <v>1</v>
      </c>
      <c r="J896" s="8">
        <v>1968</v>
      </c>
      <c r="K896" s="8">
        <v>95</v>
      </c>
      <c r="L896" s="8">
        <v>335</v>
      </c>
      <c r="M896" s="8">
        <v>0</v>
      </c>
      <c r="N896" s="8">
        <v>0</v>
      </c>
      <c r="O896" s="8">
        <v>23</v>
      </c>
      <c r="P896" s="8">
        <v>176</v>
      </c>
      <c r="Q896" s="8">
        <v>8</v>
      </c>
      <c r="R896" s="8">
        <v>65</v>
      </c>
      <c r="S896" s="8">
        <v>22</v>
      </c>
      <c r="T896" s="3" t="s">
        <v>57</v>
      </c>
      <c r="U896" s="10">
        <v>9853</v>
      </c>
      <c r="V896" s="32">
        <v>4</v>
      </c>
      <c r="W896" s="27">
        <v>4.0596772556581752E-4</v>
      </c>
      <c r="X896" s="34">
        <v>2</v>
      </c>
      <c r="Y896" s="27">
        <v>0.5</v>
      </c>
      <c r="Z896" s="27">
        <v>2.0298386278290876E-4</v>
      </c>
      <c r="AA896" s="35">
        <v>2</v>
      </c>
      <c r="AB896" s="27">
        <v>0.5</v>
      </c>
      <c r="AC896" s="27">
        <f t="shared" si="79"/>
        <v>2.0298386278290876E-4</v>
      </c>
      <c r="AD896" s="36">
        <v>0</v>
      </c>
      <c r="AE896" s="27">
        <v>0</v>
      </c>
      <c r="AF896" s="27">
        <f t="shared" si="80"/>
        <v>0</v>
      </c>
      <c r="AG896" s="37">
        <v>0</v>
      </c>
      <c r="AH896" s="27">
        <v>0</v>
      </c>
      <c r="AI896" s="27">
        <f t="shared" si="81"/>
        <v>0</v>
      </c>
      <c r="AJ896" s="38">
        <v>0</v>
      </c>
      <c r="AK896" s="27">
        <v>0</v>
      </c>
      <c r="AL896" s="27">
        <f t="shared" si="82"/>
        <v>0</v>
      </c>
      <c r="AM896" s="40">
        <v>0</v>
      </c>
      <c r="AN896" s="27">
        <v>0</v>
      </c>
      <c r="AO896" s="27">
        <f t="shared" si="83"/>
        <v>0</v>
      </c>
      <c r="AP896" s="7" t="b">
        <v>1</v>
      </c>
      <c r="AQ896" s="6" t="b">
        <v>0</v>
      </c>
      <c r="AR896" s="6" t="b">
        <v>0</v>
      </c>
      <c r="AS896" s="6" t="b">
        <v>0</v>
      </c>
      <c r="AT896" s="7" t="b">
        <v>1</v>
      </c>
      <c r="AU896" s="6" t="b">
        <v>0</v>
      </c>
      <c r="AV896" s="6" t="b">
        <v>0</v>
      </c>
      <c r="AW896" s="6" t="b">
        <v>0</v>
      </c>
      <c r="AX896" s="6" t="b">
        <v>0</v>
      </c>
      <c r="AY896" s="6" t="b">
        <v>0</v>
      </c>
      <c r="AZ896" s="6" t="b">
        <v>0</v>
      </c>
      <c r="BA896" s="6" t="b">
        <v>0</v>
      </c>
      <c r="BB896" s="6" t="b">
        <v>0</v>
      </c>
    </row>
    <row r="897" spans="1:54" ht="15" x14ac:dyDescent="0.25">
      <c r="A897" s="3" t="s">
        <v>1853</v>
      </c>
      <c r="B897" s="3" t="str">
        <f ca="1">IFERROR(__xludf.DUMMYFUNCTION("SPLIT(A897,""/"")"),"rhinstaller")</f>
        <v>rhinstaller</v>
      </c>
      <c r="C897" s="3" t="str">
        <f ca="1">IFERROR(__xludf.DUMMYFUNCTION("""COMPUTED_VALUE"""),"anaconda")</f>
        <v>anaconda</v>
      </c>
      <c r="D897" s="4" t="s">
        <v>1854</v>
      </c>
      <c r="E897" s="5">
        <v>42037.914409722223</v>
      </c>
      <c r="F897" s="5">
        <v>44294.551446759258</v>
      </c>
      <c r="G897" s="13">
        <f t="shared" si="78"/>
        <v>2256.637037037035</v>
      </c>
      <c r="H897" s="6" t="b">
        <v>0</v>
      </c>
      <c r="I897" s="7" t="b">
        <v>1</v>
      </c>
      <c r="J897" s="8">
        <v>337</v>
      </c>
      <c r="K897" s="8">
        <v>48</v>
      </c>
      <c r="L897" s="8">
        <v>229</v>
      </c>
      <c r="M897" s="8">
        <v>0</v>
      </c>
      <c r="N897" s="8">
        <v>65</v>
      </c>
      <c r="O897" s="8">
        <v>147</v>
      </c>
      <c r="P897" s="8">
        <v>3162</v>
      </c>
      <c r="Q897" s="8">
        <v>40</v>
      </c>
      <c r="R897" s="8">
        <v>0</v>
      </c>
      <c r="S897" s="8">
        <v>0</v>
      </c>
      <c r="T897" s="3" t="s">
        <v>64</v>
      </c>
      <c r="U897" s="10">
        <v>73299</v>
      </c>
      <c r="V897" s="32">
        <v>1444</v>
      </c>
      <c r="W897" s="27">
        <v>1.9700132334683967E-2</v>
      </c>
      <c r="X897" s="34">
        <v>817</v>
      </c>
      <c r="Y897" s="27">
        <v>0.56578947368421051</v>
      </c>
      <c r="Z897" s="27">
        <v>1.1146127505150139E-2</v>
      </c>
      <c r="AA897" s="35">
        <v>258</v>
      </c>
      <c r="AB897" s="27">
        <v>0.17867036011080331</v>
      </c>
      <c r="AC897" s="27">
        <f t="shared" si="79"/>
        <v>3.5198297384684647E-3</v>
      </c>
      <c r="AD897" s="36">
        <v>142</v>
      </c>
      <c r="AE897" s="27">
        <v>9.833795013850416E-2</v>
      </c>
      <c r="AF897" s="27">
        <f t="shared" si="80"/>
        <v>1.9372706312500852E-3</v>
      </c>
      <c r="AG897" s="37">
        <v>218</v>
      </c>
      <c r="AH897" s="27">
        <v>0.15096952908587258</v>
      </c>
      <c r="AI897" s="27">
        <f t="shared" si="81"/>
        <v>2.9741197014966098E-3</v>
      </c>
      <c r="AJ897" s="38">
        <v>5</v>
      </c>
      <c r="AK897" s="27">
        <v>3.4626038781163434E-3</v>
      </c>
      <c r="AL897" s="27">
        <f t="shared" si="82"/>
        <v>6.8213754621481871E-5</v>
      </c>
      <c r="AM897" s="40">
        <v>1</v>
      </c>
      <c r="AN897" s="27">
        <v>6.925207756232687E-4</v>
      </c>
      <c r="AO897" s="27">
        <f t="shared" si="83"/>
        <v>1.3642750924296375E-5</v>
      </c>
      <c r="AP897" s="7" t="b">
        <v>1</v>
      </c>
      <c r="AQ897" s="6" t="b">
        <v>0</v>
      </c>
      <c r="AR897" s="6" t="b">
        <v>0</v>
      </c>
      <c r="AS897" s="6" t="b">
        <v>0</v>
      </c>
      <c r="AT897" s="7" t="b">
        <v>1</v>
      </c>
      <c r="AU897" s="6" t="b">
        <v>0</v>
      </c>
      <c r="AV897" s="6" t="b">
        <v>0</v>
      </c>
      <c r="AW897" s="6" t="b">
        <v>0</v>
      </c>
      <c r="AX897" s="6" t="b">
        <v>0</v>
      </c>
      <c r="AY897" s="6" t="b">
        <v>0</v>
      </c>
      <c r="AZ897" s="6" t="b">
        <v>0</v>
      </c>
      <c r="BA897" s="6" t="b">
        <v>0</v>
      </c>
      <c r="BB897" s="6" t="b">
        <v>0</v>
      </c>
    </row>
    <row r="898" spans="1:54" ht="15" x14ac:dyDescent="0.25">
      <c r="A898" s="3" t="s">
        <v>1855</v>
      </c>
      <c r="B898" s="3" t="str">
        <f ca="1">IFERROR(__xludf.DUMMYFUNCTION("SPLIT(A898,""/"")"),"Rhizome-Conifer")</f>
        <v>Rhizome-Conifer</v>
      </c>
      <c r="C898" s="3" t="str">
        <f ca="1">IFERROR(__xludf.DUMMYFUNCTION("""COMPUTED_VALUE"""),"conifer")</f>
        <v>conifer</v>
      </c>
      <c r="D898" s="4" t="s">
        <v>1856</v>
      </c>
      <c r="E898" s="5">
        <v>42137.810752314814</v>
      </c>
      <c r="F898" s="5">
        <v>44290.398969907408</v>
      </c>
      <c r="G898" s="13">
        <f t="shared" si="78"/>
        <v>2152.5882175925944</v>
      </c>
      <c r="H898" s="6" t="b">
        <v>0</v>
      </c>
      <c r="I898" s="7" t="b">
        <v>1</v>
      </c>
      <c r="J898" s="8">
        <v>1266</v>
      </c>
      <c r="K898" s="8">
        <v>55</v>
      </c>
      <c r="L898" s="8">
        <v>101</v>
      </c>
      <c r="M898" s="8">
        <v>0</v>
      </c>
      <c r="N898" s="8">
        <v>0</v>
      </c>
      <c r="O898" s="8">
        <v>16</v>
      </c>
      <c r="P898" s="8">
        <v>440</v>
      </c>
      <c r="Q898" s="8">
        <v>5</v>
      </c>
      <c r="R898" s="8">
        <v>379</v>
      </c>
      <c r="S898" s="8">
        <v>110</v>
      </c>
      <c r="T898" s="3" t="s">
        <v>69</v>
      </c>
      <c r="U898" s="10">
        <v>16073</v>
      </c>
      <c r="V898" s="32">
        <v>92</v>
      </c>
      <c r="W898" s="27">
        <v>5.7238847757108196E-3</v>
      </c>
      <c r="X898" s="34">
        <v>57</v>
      </c>
      <c r="Y898" s="27">
        <v>0.61956521739130432</v>
      </c>
      <c r="Z898" s="27">
        <v>3.5463199153860513E-3</v>
      </c>
      <c r="AA898" s="35">
        <v>23</v>
      </c>
      <c r="AB898" s="27">
        <v>0.25</v>
      </c>
      <c r="AC898" s="27">
        <f t="shared" si="79"/>
        <v>1.4309711939277049E-3</v>
      </c>
      <c r="AD898" s="36">
        <v>1</v>
      </c>
      <c r="AE898" s="27">
        <v>1.0869565217391304E-2</v>
      </c>
      <c r="AF898" s="27">
        <f t="shared" si="80"/>
        <v>6.2216138866421944E-5</v>
      </c>
      <c r="AG898" s="37">
        <v>11</v>
      </c>
      <c r="AH898" s="27">
        <v>0.11956521739130435</v>
      </c>
      <c r="AI898" s="27">
        <f t="shared" si="81"/>
        <v>6.8437752753064147E-4</v>
      </c>
      <c r="AJ898" s="38">
        <v>0</v>
      </c>
      <c r="AK898" s="27">
        <v>0</v>
      </c>
      <c r="AL898" s="27">
        <f t="shared" si="82"/>
        <v>0</v>
      </c>
      <c r="AM898" s="40">
        <v>0</v>
      </c>
      <c r="AN898" s="27">
        <v>0</v>
      </c>
      <c r="AO898" s="27">
        <f t="shared" si="83"/>
        <v>0</v>
      </c>
      <c r="AP898" s="7" t="b">
        <v>1</v>
      </c>
      <c r="AQ898" s="7" t="b">
        <v>1</v>
      </c>
      <c r="AR898" s="6" t="b">
        <v>0</v>
      </c>
      <c r="AS898" s="6" t="b">
        <v>0</v>
      </c>
      <c r="AT898" s="7" t="b">
        <v>1</v>
      </c>
      <c r="AU898" s="6" t="b">
        <v>0</v>
      </c>
      <c r="AV898" s="6" t="b">
        <v>0</v>
      </c>
      <c r="AW898" s="6" t="b">
        <v>0</v>
      </c>
      <c r="AX898" s="6" t="b">
        <v>0</v>
      </c>
      <c r="AY898" s="6" t="b">
        <v>0</v>
      </c>
      <c r="AZ898" s="6" t="b">
        <v>0</v>
      </c>
      <c r="BA898" s="6" t="b">
        <v>0</v>
      </c>
      <c r="BB898" s="6" t="b">
        <v>0</v>
      </c>
    </row>
    <row r="899" spans="1:54" ht="15" x14ac:dyDescent="0.25">
      <c r="A899" s="3" t="s">
        <v>1857</v>
      </c>
      <c r="B899" s="3" t="str">
        <f ca="1">IFERROR(__xludf.DUMMYFUNCTION("SPLIT(A899,""/"")"),"Rhynorater")</f>
        <v>Rhynorater</v>
      </c>
      <c r="C899" s="3" t="str">
        <f ca="1">IFERROR(__xludf.DUMMYFUNCTION("""COMPUTED_VALUE"""),"CVE-2018-15473-Exploit")</f>
        <v>CVE-2018-15473-Exploit</v>
      </c>
      <c r="D899" s="4" t="s">
        <v>1858</v>
      </c>
      <c r="E899" s="5">
        <v>43333.006898148145</v>
      </c>
      <c r="F899" s="5">
        <v>44293.686898148146</v>
      </c>
      <c r="G899" s="13">
        <f t="shared" ref="G899:G962" si="84">F899-E899</f>
        <v>960.68000000000029</v>
      </c>
      <c r="H899" s="6" t="b">
        <v>0</v>
      </c>
      <c r="I899" s="6" t="b">
        <v>0</v>
      </c>
      <c r="J899" s="8">
        <v>436</v>
      </c>
      <c r="K899" s="8">
        <v>21</v>
      </c>
      <c r="L899" s="8">
        <v>132</v>
      </c>
      <c r="M899" s="8">
        <v>0</v>
      </c>
      <c r="N899" s="8">
        <v>0</v>
      </c>
      <c r="O899" s="8">
        <v>5</v>
      </c>
      <c r="P899" s="8">
        <v>15</v>
      </c>
      <c r="Q899" s="8">
        <v>9</v>
      </c>
      <c r="R899" s="8">
        <v>9</v>
      </c>
      <c r="S899" s="8">
        <v>5</v>
      </c>
      <c r="T899" s="11" t="s">
        <v>52</v>
      </c>
      <c r="U899" s="10">
        <v>149</v>
      </c>
      <c r="V899" s="32">
        <v>0</v>
      </c>
      <c r="W899" s="27">
        <v>0</v>
      </c>
      <c r="X899" s="34">
        <v>0</v>
      </c>
      <c r="Y899" s="27">
        <v>0</v>
      </c>
      <c r="Z899" s="27">
        <v>0</v>
      </c>
      <c r="AA899" s="35">
        <v>0</v>
      </c>
      <c r="AB899" s="27">
        <v>0</v>
      </c>
      <c r="AC899" s="27">
        <f t="shared" ref="AC899:AC962" si="85">AA899/U899</f>
        <v>0</v>
      </c>
      <c r="AD899" s="36">
        <v>0</v>
      </c>
      <c r="AE899" s="27">
        <v>0</v>
      </c>
      <c r="AF899" s="27">
        <f t="shared" ref="AF899:AF962" si="86">AD899/U899</f>
        <v>0</v>
      </c>
      <c r="AG899" s="37">
        <v>0</v>
      </c>
      <c r="AH899" s="27">
        <v>0</v>
      </c>
      <c r="AI899" s="27">
        <f t="shared" ref="AI899:AI962" si="87">AG899/U899</f>
        <v>0</v>
      </c>
      <c r="AJ899" s="38">
        <v>0</v>
      </c>
      <c r="AK899" s="27">
        <v>0</v>
      </c>
      <c r="AL899" s="27">
        <f t="shared" ref="AL899:AL962" si="88">AJ899/U899</f>
        <v>0</v>
      </c>
      <c r="AM899" s="40">
        <v>0</v>
      </c>
      <c r="AN899" s="27">
        <v>0</v>
      </c>
      <c r="AO899" s="27">
        <f t="shared" ref="AO899:AO962" si="89">AM899/U899</f>
        <v>0</v>
      </c>
      <c r="AP899" s="7" t="b">
        <v>1</v>
      </c>
      <c r="AQ899" s="6" t="b">
        <v>0</v>
      </c>
      <c r="AR899" s="6" t="b">
        <v>0</v>
      </c>
      <c r="AS899" s="6" t="b">
        <v>0</v>
      </c>
      <c r="AT899" s="7" t="b">
        <v>1</v>
      </c>
      <c r="AU899" s="6" t="b">
        <v>0</v>
      </c>
      <c r="AV899" s="6" t="b">
        <v>0</v>
      </c>
      <c r="AW899" s="6" t="b">
        <v>0</v>
      </c>
      <c r="AX899" s="6" t="b">
        <v>0</v>
      </c>
      <c r="AY899" s="6" t="b">
        <v>0</v>
      </c>
      <c r="AZ899" s="6" t="b">
        <v>0</v>
      </c>
      <c r="BA899" s="6" t="b">
        <v>0</v>
      </c>
      <c r="BB899" s="6" t="b">
        <v>0</v>
      </c>
    </row>
    <row r="900" spans="1:54" ht="15" x14ac:dyDescent="0.25">
      <c r="A900" s="3" t="s">
        <v>1859</v>
      </c>
      <c r="B900" s="3" t="str">
        <f ca="1">IFERROR(__xludf.DUMMYFUNCTION("SPLIT(A900,""/"")"),"richardaecn")</f>
        <v>richardaecn</v>
      </c>
      <c r="C900" s="3" t="str">
        <f ca="1">IFERROR(__xludf.DUMMYFUNCTION("""COMPUTED_VALUE"""),"class-balanced-loss")</f>
        <v>class-balanced-loss</v>
      </c>
      <c r="D900" s="4" t="s">
        <v>1860</v>
      </c>
      <c r="E900" s="5">
        <v>43451.832083333335</v>
      </c>
      <c r="F900" s="5">
        <v>44291.362187500003</v>
      </c>
      <c r="G900" s="13">
        <f t="shared" si="84"/>
        <v>839.53010416666802</v>
      </c>
      <c r="H900" s="6" t="b">
        <v>0</v>
      </c>
      <c r="I900" s="6" t="b">
        <v>0</v>
      </c>
      <c r="J900" s="8">
        <v>437</v>
      </c>
      <c r="K900" s="8">
        <v>20</v>
      </c>
      <c r="L900" s="8">
        <v>52</v>
      </c>
      <c r="M900" s="8">
        <v>0</v>
      </c>
      <c r="N900" s="8">
        <v>0</v>
      </c>
      <c r="O900" s="9">
        <v>0</v>
      </c>
      <c r="P900" s="8">
        <v>0</v>
      </c>
      <c r="Q900" s="8">
        <v>0</v>
      </c>
      <c r="R900" s="8">
        <v>18</v>
      </c>
      <c r="S900" s="8">
        <v>13</v>
      </c>
      <c r="T900" s="3" t="s">
        <v>72</v>
      </c>
      <c r="U900" s="10">
        <v>12434</v>
      </c>
      <c r="V900" s="32">
        <v>318</v>
      </c>
      <c r="W900" s="27">
        <v>2.5575036191088949E-2</v>
      </c>
      <c r="X900" s="34">
        <v>3</v>
      </c>
      <c r="Y900" s="27">
        <v>9.433962264150943E-3</v>
      </c>
      <c r="Z900" s="27">
        <v>2.4127392633102783E-4</v>
      </c>
      <c r="AA900" s="35">
        <v>293</v>
      </c>
      <c r="AB900" s="27">
        <v>0.92138364779874216</v>
      </c>
      <c r="AC900" s="27">
        <f t="shared" si="85"/>
        <v>2.3564420138330384E-2</v>
      </c>
      <c r="AD900" s="36">
        <v>5</v>
      </c>
      <c r="AE900" s="27">
        <v>1.5723270440251572E-2</v>
      </c>
      <c r="AF900" s="27">
        <f t="shared" si="86"/>
        <v>4.0212321055171305E-4</v>
      </c>
      <c r="AG900" s="37">
        <v>9</v>
      </c>
      <c r="AH900" s="27">
        <v>2.8301886792452831E-2</v>
      </c>
      <c r="AI900" s="27">
        <f t="shared" si="87"/>
        <v>7.2382177899308351E-4</v>
      </c>
      <c r="AJ900" s="38">
        <v>8</v>
      </c>
      <c r="AK900" s="27">
        <v>2.5157232704402517E-2</v>
      </c>
      <c r="AL900" s="27">
        <f t="shared" si="88"/>
        <v>6.4339713688274091E-4</v>
      </c>
      <c r="AM900" s="40">
        <v>0</v>
      </c>
      <c r="AN900" s="27">
        <v>0</v>
      </c>
      <c r="AO900" s="27">
        <f t="shared" si="89"/>
        <v>0</v>
      </c>
      <c r="AP900" s="7" t="b">
        <v>1</v>
      </c>
      <c r="AQ900" s="6" t="b">
        <v>0</v>
      </c>
      <c r="AR900" s="6" t="b">
        <v>0</v>
      </c>
      <c r="AS900" s="6" t="b">
        <v>0</v>
      </c>
      <c r="AT900" s="7" t="b">
        <v>1</v>
      </c>
      <c r="AU900" s="6" t="b">
        <v>0</v>
      </c>
      <c r="AV900" s="6" t="b">
        <v>0</v>
      </c>
      <c r="AW900" s="6" t="b">
        <v>0</v>
      </c>
      <c r="AX900" s="6" t="b">
        <v>0</v>
      </c>
      <c r="AY900" s="6" t="b">
        <v>0</v>
      </c>
      <c r="AZ900" s="6" t="b">
        <v>0</v>
      </c>
      <c r="BA900" s="6" t="b">
        <v>0</v>
      </c>
      <c r="BB900" s="6" t="b">
        <v>0</v>
      </c>
    </row>
    <row r="901" spans="1:54" ht="15" x14ac:dyDescent="0.25">
      <c r="A901" s="3" t="s">
        <v>1861</v>
      </c>
      <c r="B901" s="3" t="str">
        <f ca="1">IFERROR(__xludf.DUMMYFUNCTION("SPLIT(A901,""/"")"),"rigetti")</f>
        <v>rigetti</v>
      </c>
      <c r="C901" s="3" t="str">
        <f ca="1">IFERROR(__xludf.DUMMYFUNCTION("""COMPUTED_VALUE"""),"pyquil")</f>
        <v>pyquil</v>
      </c>
      <c r="D901" s="4" t="s">
        <v>1862</v>
      </c>
      <c r="E901" s="5">
        <v>42744.896087962959</v>
      </c>
      <c r="F901" s="5">
        <v>44294.34578703704</v>
      </c>
      <c r="G901" s="13">
        <f t="shared" si="84"/>
        <v>1549.4496990740809</v>
      </c>
      <c r="H901" s="6" t="b">
        <v>0</v>
      </c>
      <c r="I901" s="7" t="b">
        <v>1</v>
      </c>
      <c r="J901" s="8">
        <v>1155</v>
      </c>
      <c r="K901" s="8">
        <v>87</v>
      </c>
      <c r="L901" s="8">
        <v>296</v>
      </c>
      <c r="M901" s="8">
        <v>55</v>
      </c>
      <c r="N901" s="8">
        <v>6</v>
      </c>
      <c r="O901" s="8">
        <v>81</v>
      </c>
      <c r="P901" s="8">
        <v>766</v>
      </c>
      <c r="Q901" s="8">
        <v>9</v>
      </c>
      <c r="R901" s="8">
        <v>549</v>
      </c>
      <c r="S901" s="8">
        <v>123</v>
      </c>
      <c r="T901" s="3" t="s">
        <v>69</v>
      </c>
      <c r="U901" s="10">
        <v>15825</v>
      </c>
      <c r="V901" s="32">
        <v>77</v>
      </c>
      <c r="W901" s="27">
        <v>4.8657187993680889E-3</v>
      </c>
      <c r="X901" s="34">
        <v>9</v>
      </c>
      <c r="Y901" s="27">
        <v>0.11688311688311688</v>
      </c>
      <c r="Z901" s="27">
        <v>5.6872037914691947E-4</v>
      </c>
      <c r="AA901" s="35">
        <v>2</v>
      </c>
      <c r="AB901" s="27">
        <v>2.5974025974025976E-2</v>
      </c>
      <c r="AC901" s="27">
        <f t="shared" si="85"/>
        <v>1.2638230647709321E-4</v>
      </c>
      <c r="AD901" s="36">
        <v>65</v>
      </c>
      <c r="AE901" s="27">
        <v>0.8441558441558441</v>
      </c>
      <c r="AF901" s="27">
        <f t="shared" si="86"/>
        <v>4.1074249605055294E-3</v>
      </c>
      <c r="AG901" s="37">
        <v>1</v>
      </c>
      <c r="AH901" s="27">
        <v>1.2987012987012988E-2</v>
      </c>
      <c r="AI901" s="27">
        <f t="shared" si="87"/>
        <v>6.3191153238546606E-5</v>
      </c>
      <c r="AJ901" s="38">
        <v>0</v>
      </c>
      <c r="AK901" s="27">
        <v>0</v>
      </c>
      <c r="AL901" s="27">
        <f t="shared" si="88"/>
        <v>0</v>
      </c>
      <c r="AM901" s="40">
        <v>0</v>
      </c>
      <c r="AN901" s="27">
        <v>0</v>
      </c>
      <c r="AO901" s="27">
        <f t="shared" si="89"/>
        <v>0</v>
      </c>
      <c r="AP901" s="7" t="b">
        <v>1</v>
      </c>
      <c r="AQ901" s="6" t="b">
        <v>0</v>
      </c>
      <c r="AR901" s="6" t="b">
        <v>0</v>
      </c>
      <c r="AS901" s="6" t="b">
        <v>0</v>
      </c>
      <c r="AT901" s="7" t="b">
        <v>1</v>
      </c>
      <c r="AU901" s="6" t="b">
        <v>0</v>
      </c>
      <c r="AV901" s="6" t="b">
        <v>0</v>
      </c>
      <c r="AW901" s="6" t="b">
        <v>0</v>
      </c>
      <c r="AX901" s="6" t="b">
        <v>0</v>
      </c>
      <c r="AY901" s="6" t="b">
        <v>0</v>
      </c>
      <c r="AZ901" s="6" t="b">
        <v>0</v>
      </c>
      <c r="BA901" s="6" t="b">
        <v>0</v>
      </c>
      <c r="BB901" s="6" t="b">
        <v>0</v>
      </c>
    </row>
    <row r="902" spans="1:54" ht="15" x14ac:dyDescent="0.25">
      <c r="A902" s="3" t="s">
        <v>1863</v>
      </c>
      <c r="B902" s="3" t="str">
        <f ca="1">IFERROR(__xludf.DUMMYFUNCTION("SPLIT(A902,""/"")"),"RiotGames")</f>
        <v>RiotGames</v>
      </c>
      <c r="C902" s="3" t="str">
        <f ca="1">IFERROR(__xludf.DUMMYFUNCTION("""COMPUTED_VALUE"""),"cloud-inquisitor")</f>
        <v>cloud-inquisitor</v>
      </c>
      <c r="D902" s="4" t="s">
        <v>1864</v>
      </c>
      <c r="E902" s="5">
        <v>43056.875231481485</v>
      </c>
      <c r="F902" s="5">
        <v>44271.798506944448</v>
      </c>
      <c r="G902" s="13">
        <f t="shared" si="84"/>
        <v>1214.9232754629629</v>
      </c>
      <c r="H902" s="6" t="b">
        <v>0</v>
      </c>
      <c r="I902" s="7" t="b">
        <v>1</v>
      </c>
      <c r="J902" s="8">
        <v>439</v>
      </c>
      <c r="K902" s="8">
        <v>42</v>
      </c>
      <c r="L902" s="8">
        <v>37</v>
      </c>
      <c r="M902" s="8">
        <v>3</v>
      </c>
      <c r="N902" s="8">
        <v>0</v>
      </c>
      <c r="O902" s="8">
        <v>13</v>
      </c>
      <c r="P902" s="8">
        <v>197</v>
      </c>
      <c r="Q902" s="8">
        <v>2</v>
      </c>
      <c r="R902" s="8">
        <v>94</v>
      </c>
      <c r="S902" s="8">
        <v>29</v>
      </c>
      <c r="T902" s="3" t="s">
        <v>69</v>
      </c>
      <c r="U902" s="10">
        <v>8894</v>
      </c>
      <c r="V902" s="32">
        <v>266</v>
      </c>
      <c r="W902" s="27">
        <v>2.990780301326737E-2</v>
      </c>
      <c r="X902" s="34">
        <v>86</v>
      </c>
      <c r="Y902" s="27">
        <v>0.32330827067669171</v>
      </c>
      <c r="Z902" s="27">
        <v>9.6694400719586245E-3</v>
      </c>
      <c r="AA902" s="35">
        <v>82</v>
      </c>
      <c r="AB902" s="27">
        <v>0.30827067669172931</v>
      </c>
      <c r="AC902" s="27">
        <f t="shared" si="85"/>
        <v>9.2196986732628744E-3</v>
      </c>
      <c r="AD902" s="36">
        <v>20</v>
      </c>
      <c r="AE902" s="27">
        <v>7.5187969924812026E-2</v>
      </c>
      <c r="AF902" s="27">
        <f t="shared" si="86"/>
        <v>2.2487069934787498E-3</v>
      </c>
      <c r="AG902" s="37">
        <v>77</v>
      </c>
      <c r="AH902" s="27">
        <v>0.28947368421052633</v>
      </c>
      <c r="AI902" s="27">
        <f t="shared" si="87"/>
        <v>8.657521924893186E-3</v>
      </c>
      <c r="AJ902" s="38">
        <v>0</v>
      </c>
      <c r="AK902" s="27">
        <v>0</v>
      </c>
      <c r="AL902" s="27">
        <f t="shared" si="88"/>
        <v>0</v>
      </c>
      <c r="AM902" s="40">
        <v>1</v>
      </c>
      <c r="AN902" s="27">
        <v>3.7593984962406013E-3</v>
      </c>
      <c r="AO902" s="27">
        <f t="shared" si="89"/>
        <v>1.1243534967393749E-4</v>
      </c>
      <c r="AP902" s="6" t="b">
        <v>0</v>
      </c>
      <c r="AQ902" s="7" t="b">
        <v>1</v>
      </c>
      <c r="AR902" s="6" t="b">
        <v>0</v>
      </c>
      <c r="AS902" s="6" t="b">
        <v>0</v>
      </c>
      <c r="AT902" s="7" t="b">
        <v>1</v>
      </c>
      <c r="AU902" s="6" t="b">
        <v>0</v>
      </c>
      <c r="AV902" s="6" t="b">
        <v>0</v>
      </c>
      <c r="AW902" s="6" t="b">
        <v>0</v>
      </c>
      <c r="AX902" s="6" t="b">
        <v>0</v>
      </c>
      <c r="AY902" s="6" t="b">
        <v>0</v>
      </c>
      <c r="AZ902" s="6" t="b">
        <v>0</v>
      </c>
      <c r="BA902" s="6" t="b">
        <v>0</v>
      </c>
      <c r="BB902" s="6" t="b">
        <v>0</v>
      </c>
    </row>
    <row r="903" spans="1:54" ht="15" x14ac:dyDescent="0.25">
      <c r="A903" s="3" t="s">
        <v>1865</v>
      </c>
      <c r="B903" s="3" t="str">
        <f ca="1">IFERROR(__xludf.DUMMYFUNCTION("SPLIT(A903,""/"")"),"rll")</f>
        <v>rll</v>
      </c>
      <c r="C903" s="3" t="str">
        <f ca="1">IFERROR(__xludf.DUMMYFUNCTION("""COMPUTED_VALUE"""),"rllab")</f>
        <v>rllab</v>
      </c>
      <c r="D903" s="4" t="s">
        <v>1866</v>
      </c>
      <c r="E903" s="5">
        <v>42481.723171296297</v>
      </c>
      <c r="F903" s="5">
        <v>44294.319062499999</v>
      </c>
      <c r="G903" s="13">
        <f t="shared" si="84"/>
        <v>1812.5958912037022</v>
      </c>
      <c r="H903" s="6" t="b">
        <v>0</v>
      </c>
      <c r="I903" s="7" t="b">
        <v>1</v>
      </c>
      <c r="J903" s="8">
        <v>2561</v>
      </c>
      <c r="K903" s="8">
        <v>183</v>
      </c>
      <c r="L903" s="8">
        <v>683</v>
      </c>
      <c r="M903" s="8">
        <v>0</v>
      </c>
      <c r="N903" s="8">
        <v>15</v>
      </c>
      <c r="O903" s="8">
        <v>27</v>
      </c>
      <c r="P903" s="8">
        <v>74</v>
      </c>
      <c r="Q903" s="8">
        <v>15</v>
      </c>
      <c r="R903" s="8">
        <v>181</v>
      </c>
      <c r="S903" s="8">
        <v>101</v>
      </c>
      <c r="T903" s="3" t="s">
        <v>92</v>
      </c>
      <c r="U903" s="10">
        <v>26486</v>
      </c>
      <c r="V903" s="32">
        <v>82</v>
      </c>
      <c r="W903" s="27">
        <v>3.0959752321981426E-3</v>
      </c>
      <c r="X903" s="34">
        <v>0</v>
      </c>
      <c r="Y903" s="27">
        <v>0</v>
      </c>
      <c r="Z903" s="27">
        <v>0</v>
      </c>
      <c r="AA903" s="35">
        <v>1</v>
      </c>
      <c r="AB903" s="27">
        <v>1.2195121951219513E-2</v>
      </c>
      <c r="AC903" s="27">
        <f t="shared" si="85"/>
        <v>3.7755795514611494E-5</v>
      </c>
      <c r="AD903" s="36">
        <v>2</v>
      </c>
      <c r="AE903" s="27">
        <v>2.4390243902439025E-2</v>
      </c>
      <c r="AF903" s="27">
        <f t="shared" si="86"/>
        <v>7.5511591029222988E-5</v>
      </c>
      <c r="AG903" s="37">
        <v>1</v>
      </c>
      <c r="AH903" s="27">
        <v>1.2195121951219513E-2</v>
      </c>
      <c r="AI903" s="27">
        <f t="shared" si="87"/>
        <v>3.7755795514611494E-5</v>
      </c>
      <c r="AJ903" s="38">
        <v>0</v>
      </c>
      <c r="AK903" s="27">
        <v>0</v>
      </c>
      <c r="AL903" s="27">
        <f t="shared" si="88"/>
        <v>0</v>
      </c>
      <c r="AM903" s="40">
        <v>78</v>
      </c>
      <c r="AN903" s="27">
        <v>0.95121951219512191</v>
      </c>
      <c r="AO903" s="27">
        <f t="shared" si="89"/>
        <v>2.9449520501396965E-3</v>
      </c>
      <c r="AP903" s="7" t="b">
        <v>1</v>
      </c>
      <c r="AQ903" s="6" t="b">
        <v>0</v>
      </c>
      <c r="AR903" s="6" t="b">
        <v>0</v>
      </c>
      <c r="AS903" s="6" t="b">
        <v>0</v>
      </c>
      <c r="AT903" s="7" t="b">
        <v>1</v>
      </c>
      <c r="AU903" s="6" t="b">
        <v>0</v>
      </c>
      <c r="AV903" s="6" t="b">
        <v>0</v>
      </c>
      <c r="AW903" s="6" t="b">
        <v>0</v>
      </c>
      <c r="AX903" s="6" t="b">
        <v>0</v>
      </c>
      <c r="AY903" s="6" t="b">
        <v>0</v>
      </c>
      <c r="AZ903" s="6" t="b">
        <v>0</v>
      </c>
      <c r="BA903" s="6" t="b">
        <v>0</v>
      </c>
      <c r="BB903" s="6" t="b">
        <v>0</v>
      </c>
    </row>
    <row r="904" spans="1:54" ht="15" x14ac:dyDescent="0.25">
      <c r="A904" s="3" t="s">
        <v>1867</v>
      </c>
      <c r="B904" s="3" t="str">
        <f ca="1">IFERROR(__xludf.DUMMYFUNCTION("SPLIT(A904,""/"")"),"rmax")</f>
        <v>rmax</v>
      </c>
      <c r="C904" s="3" t="str">
        <f ca="1">IFERROR(__xludf.DUMMYFUNCTION("""COMPUTED_VALUE"""),"scrapy-redis")</f>
        <v>scrapy-redis</v>
      </c>
      <c r="D904" s="4" t="s">
        <v>1868</v>
      </c>
      <c r="E904" s="5">
        <v>40784.171099537038</v>
      </c>
      <c r="F904" s="5">
        <v>44295.114907407406</v>
      </c>
      <c r="G904" s="13">
        <f t="shared" si="84"/>
        <v>3510.9438078703679</v>
      </c>
      <c r="H904" s="6" t="b">
        <v>0</v>
      </c>
      <c r="I904" s="6" t="b">
        <v>0</v>
      </c>
      <c r="J904" s="8">
        <v>4841</v>
      </c>
      <c r="K904" s="8">
        <v>295</v>
      </c>
      <c r="L904" s="8">
        <v>1451</v>
      </c>
      <c r="M904" s="8">
        <v>2</v>
      </c>
      <c r="N904" s="8">
        <v>9</v>
      </c>
      <c r="O904" s="8">
        <v>20</v>
      </c>
      <c r="P904" s="8">
        <v>45</v>
      </c>
      <c r="Q904" s="8">
        <v>3</v>
      </c>
      <c r="R904" s="8">
        <v>146</v>
      </c>
      <c r="S904" s="8">
        <v>59</v>
      </c>
      <c r="T904" s="3" t="s">
        <v>72</v>
      </c>
      <c r="U904" s="10">
        <v>1100</v>
      </c>
      <c r="V904" s="32">
        <v>15</v>
      </c>
      <c r="W904" s="27">
        <v>1.3636363636363636E-2</v>
      </c>
      <c r="X904" s="34">
        <v>5</v>
      </c>
      <c r="Y904" s="27">
        <v>0.33333333333333331</v>
      </c>
      <c r="Z904" s="27">
        <v>4.5454545454545452E-3</v>
      </c>
      <c r="AA904" s="35">
        <v>4</v>
      </c>
      <c r="AB904" s="27">
        <v>0.26666666666666666</v>
      </c>
      <c r="AC904" s="27">
        <f t="shared" si="85"/>
        <v>3.6363636363636364E-3</v>
      </c>
      <c r="AD904" s="36">
        <v>0</v>
      </c>
      <c r="AE904" s="27">
        <v>0</v>
      </c>
      <c r="AF904" s="27">
        <f t="shared" si="86"/>
        <v>0</v>
      </c>
      <c r="AG904" s="37">
        <v>3</v>
      </c>
      <c r="AH904" s="27">
        <v>0.2</v>
      </c>
      <c r="AI904" s="27">
        <f t="shared" si="87"/>
        <v>2.7272727272727275E-3</v>
      </c>
      <c r="AJ904" s="38">
        <v>0</v>
      </c>
      <c r="AK904" s="27">
        <v>0</v>
      </c>
      <c r="AL904" s="27">
        <f t="shared" si="88"/>
        <v>0</v>
      </c>
      <c r="AM904" s="40">
        <v>3</v>
      </c>
      <c r="AN904" s="27">
        <v>0.2</v>
      </c>
      <c r="AO904" s="27">
        <f t="shared" si="89"/>
        <v>2.7272727272727275E-3</v>
      </c>
      <c r="AP904" s="7" t="b">
        <v>1</v>
      </c>
      <c r="AQ904" s="7" t="b">
        <v>1</v>
      </c>
      <c r="AR904" s="6" t="b">
        <v>0</v>
      </c>
      <c r="AS904" s="6" t="b">
        <v>0</v>
      </c>
      <c r="AT904" s="7" t="b">
        <v>1</v>
      </c>
      <c r="AU904" s="6" t="b">
        <v>0</v>
      </c>
      <c r="AV904" s="6" t="b">
        <v>0</v>
      </c>
      <c r="AW904" s="6" t="b">
        <v>0</v>
      </c>
      <c r="AX904" s="6" t="b">
        <v>0</v>
      </c>
      <c r="AY904" s="6" t="b">
        <v>0</v>
      </c>
      <c r="AZ904" s="6" t="b">
        <v>0</v>
      </c>
      <c r="BA904" s="6" t="b">
        <v>0</v>
      </c>
      <c r="BB904" s="6" t="b">
        <v>0</v>
      </c>
    </row>
    <row r="905" spans="1:54" ht="15" x14ac:dyDescent="0.25">
      <c r="A905" s="3" t="s">
        <v>1869</v>
      </c>
      <c r="B905" s="3" t="str">
        <f ca="1">IFERROR(__xludf.DUMMYFUNCTION("SPLIT(A905,""/"")"),"rmountjoy92")</f>
        <v>rmountjoy92</v>
      </c>
      <c r="C905" s="3" t="str">
        <f ca="1">IFERROR(__xludf.DUMMYFUNCTION("""COMPUTED_VALUE"""),"DashMachine")</f>
        <v>DashMachine</v>
      </c>
      <c r="D905" s="4" t="s">
        <v>1870</v>
      </c>
      <c r="E905" s="5">
        <v>43885.068680555552</v>
      </c>
      <c r="F905" s="5">
        <v>44295.117060185185</v>
      </c>
      <c r="G905" s="13">
        <f t="shared" si="84"/>
        <v>410.04837962963211</v>
      </c>
      <c r="H905" s="6" t="b">
        <v>0</v>
      </c>
      <c r="I905" s="6" t="b">
        <v>0</v>
      </c>
      <c r="J905" s="8">
        <v>785</v>
      </c>
      <c r="K905" s="8">
        <v>20</v>
      </c>
      <c r="L905" s="8">
        <v>82</v>
      </c>
      <c r="M905" s="8">
        <v>1</v>
      </c>
      <c r="N905" s="8">
        <v>0</v>
      </c>
      <c r="O905" s="8">
        <v>16</v>
      </c>
      <c r="P905" s="8">
        <v>76</v>
      </c>
      <c r="Q905" s="8">
        <v>18</v>
      </c>
      <c r="R905" s="8">
        <v>137</v>
      </c>
      <c r="S905" s="8">
        <v>49</v>
      </c>
      <c r="T905" s="3" t="s">
        <v>49</v>
      </c>
      <c r="U905" s="10">
        <v>1987</v>
      </c>
      <c r="V905" s="32">
        <v>1</v>
      </c>
      <c r="W905" s="27">
        <v>5.0327126321087065E-4</v>
      </c>
      <c r="X905" s="34">
        <v>0</v>
      </c>
      <c r="Y905" s="27">
        <v>0</v>
      </c>
      <c r="Z905" s="27">
        <v>0</v>
      </c>
      <c r="AA905" s="35">
        <v>1</v>
      </c>
      <c r="AB905" s="27">
        <v>1</v>
      </c>
      <c r="AC905" s="27">
        <f t="shared" si="85"/>
        <v>5.0327126321087065E-4</v>
      </c>
      <c r="AD905" s="36">
        <v>0</v>
      </c>
      <c r="AE905" s="27">
        <v>0</v>
      </c>
      <c r="AF905" s="27">
        <f t="shared" si="86"/>
        <v>0</v>
      </c>
      <c r="AG905" s="37">
        <v>0</v>
      </c>
      <c r="AH905" s="27">
        <v>0</v>
      </c>
      <c r="AI905" s="27">
        <f t="shared" si="87"/>
        <v>0</v>
      </c>
      <c r="AJ905" s="38">
        <v>0</v>
      </c>
      <c r="AK905" s="27">
        <v>0</v>
      </c>
      <c r="AL905" s="27">
        <f t="shared" si="88"/>
        <v>0</v>
      </c>
      <c r="AM905" s="40">
        <v>0</v>
      </c>
      <c r="AN905" s="27">
        <v>0</v>
      </c>
      <c r="AO905" s="27">
        <f t="shared" si="89"/>
        <v>0</v>
      </c>
      <c r="AP905" s="7" t="b">
        <v>1</v>
      </c>
      <c r="AQ905" s="6" t="b">
        <v>0</v>
      </c>
      <c r="AR905" s="6" t="b">
        <v>0</v>
      </c>
      <c r="AS905" s="6" t="b">
        <v>0</v>
      </c>
      <c r="AT905" s="7" t="b">
        <v>1</v>
      </c>
      <c r="AU905" s="6" t="b">
        <v>0</v>
      </c>
      <c r="AV905" s="6" t="b">
        <v>0</v>
      </c>
      <c r="AW905" s="6" t="b">
        <v>0</v>
      </c>
      <c r="AX905" s="6" t="b">
        <v>0</v>
      </c>
      <c r="AY905" s="6" t="b">
        <v>0</v>
      </c>
      <c r="AZ905" s="6" t="b">
        <v>0</v>
      </c>
      <c r="BA905" s="6" t="b">
        <v>0</v>
      </c>
      <c r="BB905" s="6" t="b">
        <v>0</v>
      </c>
    </row>
    <row r="906" spans="1:54" ht="15" x14ac:dyDescent="0.25">
      <c r="A906" s="3" t="s">
        <v>1871</v>
      </c>
      <c r="B906" s="3" t="str">
        <f ca="1">IFERROR(__xludf.DUMMYFUNCTION("SPLIT(A906,""/"")"),"robinhood")</f>
        <v>robinhood</v>
      </c>
      <c r="C906" s="3" t="str">
        <f ca="1">IFERROR(__xludf.DUMMYFUNCTION("""COMPUTED_VALUE"""),"faust")</f>
        <v>faust</v>
      </c>
      <c r="D906" s="4" t="s">
        <v>1872</v>
      </c>
      <c r="E906" s="5">
        <v>42802.775127314817</v>
      </c>
      <c r="F906" s="5">
        <v>44295.118113425924</v>
      </c>
      <c r="G906" s="13">
        <f t="shared" si="84"/>
        <v>1492.3429861111072</v>
      </c>
      <c r="H906" s="6" t="b">
        <v>0</v>
      </c>
      <c r="I906" s="7" t="b">
        <v>1</v>
      </c>
      <c r="J906" s="8">
        <v>5450</v>
      </c>
      <c r="K906" s="8">
        <v>138</v>
      </c>
      <c r="L906" s="8">
        <v>443</v>
      </c>
      <c r="M906" s="8">
        <v>3</v>
      </c>
      <c r="N906" s="8">
        <v>7</v>
      </c>
      <c r="O906" s="8">
        <v>79</v>
      </c>
      <c r="P906" s="8">
        <v>276</v>
      </c>
      <c r="Q906" s="8">
        <v>37</v>
      </c>
      <c r="R906" s="8">
        <v>423</v>
      </c>
      <c r="S906" s="8">
        <v>200</v>
      </c>
      <c r="T906" s="3" t="s">
        <v>92</v>
      </c>
      <c r="U906" s="10">
        <v>35615</v>
      </c>
      <c r="V906" s="32">
        <v>135</v>
      </c>
      <c r="W906" s="27">
        <v>3.7905376947915204E-3</v>
      </c>
      <c r="X906" s="34">
        <v>8</v>
      </c>
      <c r="Y906" s="27">
        <v>5.9259259259259262E-2</v>
      </c>
      <c r="Z906" s="27">
        <v>2.2462445598764566E-4</v>
      </c>
      <c r="AA906" s="35">
        <v>72</v>
      </c>
      <c r="AB906" s="27">
        <v>0.53333333333333333</v>
      </c>
      <c r="AC906" s="27">
        <f t="shared" si="85"/>
        <v>2.0216201038888108E-3</v>
      </c>
      <c r="AD906" s="36">
        <v>24</v>
      </c>
      <c r="AE906" s="27">
        <v>0.17777777777777778</v>
      </c>
      <c r="AF906" s="27">
        <f t="shared" si="86"/>
        <v>6.7387336796293699E-4</v>
      </c>
      <c r="AG906" s="37">
        <v>27</v>
      </c>
      <c r="AH906" s="27">
        <v>0.2</v>
      </c>
      <c r="AI906" s="27">
        <f t="shared" si="87"/>
        <v>7.5810753895830404E-4</v>
      </c>
      <c r="AJ906" s="38">
        <v>2</v>
      </c>
      <c r="AK906" s="27">
        <v>1.4814814814814815E-2</v>
      </c>
      <c r="AL906" s="27">
        <f t="shared" si="88"/>
        <v>5.6156113996911414E-5</v>
      </c>
      <c r="AM906" s="40">
        <v>2</v>
      </c>
      <c r="AN906" s="27">
        <v>1.4814814814814815E-2</v>
      </c>
      <c r="AO906" s="27">
        <f t="shared" si="89"/>
        <v>5.6156113996911414E-5</v>
      </c>
      <c r="AP906" s="7" t="b">
        <v>1</v>
      </c>
      <c r="AQ906" s="6" t="b">
        <v>0</v>
      </c>
      <c r="AR906" s="6" t="b">
        <v>0</v>
      </c>
      <c r="AS906" s="6" t="b">
        <v>0</v>
      </c>
      <c r="AT906" s="7" t="b">
        <v>1</v>
      </c>
      <c r="AU906" s="6" t="b">
        <v>0</v>
      </c>
      <c r="AV906" s="6" t="b">
        <v>0</v>
      </c>
      <c r="AW906" s="6" t="b">
        <v>0</v>
      </c>
      <c r="AX906" s="6" t="b">
        <v>0</v>
      </c>
      <c r="AY906" s="6" t="b">
        <v>0</v>
      </c>
      <c r="AZ906" s="6" t="b">
        <v>0</v>
      </c>
      <c r="BA906" s="6" t="b">
        <v>0</v>
      </c>
      <c r="BB906" s="6" t="b">
        <v>0</v>
      </c>
    </row>
    <row r="907" spans="1:54" ht="15" x14ac:dyDescent="0.25">
      <c r="A907" s="3" t="s">
        <v>1873</v>
      </c>
      <c r="B907" s="3" t="str">
        <f ca="1">IFERROR(__xludf.DUMMYFUNCTION("SPLIT(A907,""/"")"),"rochacbruno")</f>
        <v>rochacbruno</v>
      </c>
      <c r="C907" s="3" t="str">
        <f ca="1">IFERROR(__xludf.DUMMYFUNCTION("""COMPUTED_VALUE"""),"dynaconf")</f>
        <v>dynaconf</v>
      </c>
      <c r="D907" s="4" t="s">
        <v>1874</v>
      </c>
      <c r="E907" s="5">
        <v>42230.89261574074</v>
      </c>
      <c r="F907" s="5">
        <v>44294.721631944441</v>
      </c>
      <c r="G907" s="13">
        <f t="shared" si="84"/>
        <v>2063.829016203701</v>
      </c>
      <c r="H907" s="6" t="b">
        <v>0</v>
      </c>
      <c r="I907" s="6" t="b">
        <v>0</v>
      </c>
      <c r="J907" s="8">
        <v>1504</v>
      </c>
      <c r="K907" s="8">
        <v>32</v>
      </c>
      <c r="L907" s="8">
        <v>157</v>
      </c>
      <c r="M907" s="8">
        <v>52</v>
      </c>
      <c r="N907" s="8">
        <v>5</v>
      </c>
      <c r="O907" s="8">
        <v>59</v>
      </c>
      <c r="P907" s="8">
        <v>299</v>
      </c>
      <c r="Q907" s="8">
        <v>4</v>
      </c>
      <c r="R907" s="8">
        <v>260</v>
      </c>
      <c r="S907" s="8">
        <v>46</v>
      </c>
      <c r="T907" s="3" t="s">
        <v>72</v>
      </c>
      <c r="U907" s="10">
        <v>38571</v>
      </c>
      <c r="V907" s="32">
        <v>46</v>
      </c>
      <c r="W907" s="27">
        <v>1.1926058437686344E-3</v>
      </c>
      <c r="X907" s="34">
        <v>0</v>
      </c>
      <c r="Y907" s="27">
        <v>0</v>
      </c>
      <c r="Z907" s="27">
        <v>0</v>
      </c>
      <c r="AA907" s="35">
        <v>2</v>
      </c>
      <c r="AB907" s="27">
        <v>4.3478260869565216E-2</v>
      </c>
      <c r="AC907" s="27">
        <f t="shared" si="85"/>
        <v>5.1852427989940632E-5</v>
      </c>
      <c r="AD907" s="36">
        <v>44</v>
      </c>
      <c r="AE907" s="27">
        <v>0.95652173913043481</v>
      </c>
      <c r="AF907" s="27">
        <f t="shared" si="86"/>
        <v>1.1407534157786938E-3</v>
      </c>
      <c r="AG907" s="37">
        <v>0</v>
      </c>
      <c r="AH907" s="27">
        <v>0</v>
      </c>
      <c r="AI907" s="27">
        <f t="shared" si="87"/>
        <v>0</v>
      </c>
      <c r="AJ907" s="38">
        <v>0</v>
      </c>
      <c r="AK907" s="27">
        <v>0</v>
      </c>
      <c r="AL907" s="27">
        <f t="shared" si="88"/>
        <v>0</v>
      </c>
      <c r="AM907" s="40">
        <v>0</v>
      </c>
      <c r="AN907" s="27">
        <v>0</v>
      </c>
      <c r="AO907" s="27">
        <f t="shared" si="89"/>
        <v>0</v>
      </c>
      <c r="AP907" s="6" t="b">
        <v>0</v>
      </c>
      <c r="AQ907" s="7" t="b">
        <v>1</v>
      </c>
      <c r="AR907" s="6" t="b">
        <v>0</v>
      </c>
      <c r="AS907" s="6" t="b">
        <v>0</v>
      </c>
      <c r="AT907" s="7" t="b">
        <v>1</v>
      </c>
      <c r="AU907" s="6" t="b">
        <v>0</v>
      </c>
      <c r="AV907" s="6" t="b">
        <v>0</v>
      </c>
      <c r="AW907" s="6" t="b">
        <v>0</v>
      </c>
      <c r="AX907" s="6" t="b">
        <v>0</v>
      </c>
      <c r="AY907" s="6" t="b">
        <v>0</v>
      </c>
      <c r="AZ907" s="6" t="b">
        <v>0</v>
      </c>
      <c r="BA907" s="6" t="b">
        <v>0</v>
      </c>
      <c r="BB907" s="6" t="b">
        <v>0</v>
      </c>
    </row>
    <row r="908" spans="1:54" ht="15" x14ac:dyDescent="0.25">
      <c r="A908" s="3" t="s">
        <v>1875</v>
      </c>
      <c r="B908" s="3" t="str">
        <f ca="1">IFERROR(__xludf.DUMMYFUNCTION("SPLIT(A908,""/"")"),"RocketMap")</f>
        <v>RocketMap</v>
      </c>
      <c r="C908" s="3" t="str">
        <f ca="1">IFERROR(__xludf.DUMMYFUNCTION("""COMPUTED_VALUE"""),"RocketMap")</f>
        <v>RocketMap</v>
      </c>
      <c r="D908" s="4" t="s">
        <v>1876</v>
      </c>
      <c r="E908" s="5">
        <v>42586.9297337963</v>
      </c>
      <c r="F908" s="5">
        <v>44291.979722222219</v>
      </c>
      <c r="G908" s="13">
        <f t="shared" si="84"/>
        <v>1705.0499884259189</v>
      </c>
      <c r="H908" s="6" t="b">
        <v>0</v>
      </c>
      <c r="I908" s="7" t="b">
        <v>1</v>
      </c>
      <c r="J908" s="8">
        <v>2797</v>
      </c>
      <c r="K908" s="8">
        <v>282</v>
      </c>
      <c r="L908" s="8">
        <v>1523</v>
      </c>
      <c r="M908" s="8">
        <v>4</v>
      </c>
      <c r="N908" s="8">
        <v>356</v>
      </c>
      <c r="O908" s="8">
        <v>348</v>
      </c>
      <c r="P908" s="8">
        <v>1351</v>
      </c>
      <c r="Q908" s="8">
        <v>37</v>
      </c>
      <c r="R908" s="8">
        <v>1202</v>
      </c>
      <c r="S908" s="8">
        <v>31</v>
      </c>
      <c r="T908" s="3" t="s">
        <v>366</v>
      </c>
      <c r="U908" s="10">
        <v>6104</v>
      </c>
      <c r="V908" s="32">
        <v>410</v>
      </c>
      <c r="W908" s="27">
        <v>6.7169069462647446E-2</v>
      </c>
      <c r="X908" s="34">
        <v>135</v>
      </c>
      <c r="Y908" s="27">
        <v>0.32926829268292684</v>
      </c>
      <c r="Z908" s="27">
        <v>2.2116644823066842E-2</v>
      </c>
      <c r="AA908" s="35">
        <v>149</v>
      </c>
      <c r="AB908" s="27">
        <v>0.36341463414634145</v>
      </c>
      <c r="AC908" s="27">
        <f t="shared" si="85"/>
        <v>2.4410222804718218E-2</v>
      </c>
      <c r="AD908" s="36">
        <v>52</v>
      </c>
      <c r="AE908" s="27">
        <v>0.12682926829268293</v>
      </c>
      <c r="AF908" s="27">
        <f t="shared" si="86"/>
        <v>8.5190039318479693E-3</v>
      </c>
      <c r="AG908" s="37">
        <v>58</v>
      </c>
      <c r="AH908" s="27">
        <v>0.14146341463414633</v>
      </c>
      <c r="AI908" s="27">
        <f t="shared" si="87"/>
        <v>9.5019659239842721E-3</v>
      </c>
      <c r="AJ908" s="38">
        <v>15</v>
      </c>
      <c r="AK908" s="27">
        <v>3.6585365853658534E-2</v>
      </c>
      <c r="AL908" s="27">
        <f t="shared" si="88"/>
        <v>2.4574049803407602E-3</v>
      </c>
      <c r="AM908" s="40">
        <v>1</v>
      </c>
      <c r="AN908" s="27">
        <v>2.4390243902439024E-3</v>
      </c>
      <c r="AO908" s="27">
        <f t="shared" si="89"/>
        <v>1.6382699868938401E-4</v>
      </c>
      <c r="AP908" s="7" t="b">
        <v>1</v>
      </c>
      <c r="AQ908" s="6" t="b">
        <v>0</v>
      </c>
      <c r="AR908" s="6" t="b">
        <v>0</v>
      </c>
      <c r="AS908" s="6" t="b">
        <v>0</v>
      </c>
      <c r="AT908" s="7" t="b">
        <v>1</v>
      </c>
      <c r="AU908" s="6" t="b">
        <v>0</v>
      </c>
      <c r="AV908" s="6" t="b">
        <v>0</v>
      </c>
      <c r="AW908" s="6" t="b">
        <v>0</v>
      </c>
      <c r="AX908" s="6" t="b">
        <v>0</v>
      </c>
      <c r="AY908" s="6" t="b">
        <v>0</v>
      </c>
      <c r="AZ908" s="6" t="b">
        <v>0</v>
      </c>
      <c r="BA908" s="6" t="b">
        <v>0</v>
      </c>
      <c r="BB908" s="6" t="b">
        <v>0</v>
      </c>
    </row>
    <row r="909" spans="1:54" ht="15" x14ac:dyDescent="0.25">
      <c r="A909" s="3" t="s">
        <v>1877</v>
      </c>
      <c r="B909" s="3" t="str">
        <f ca="1">IFERROR(__xludf.DUMMYFUNCTION("SPLIT(A909,""/"")"),"ronghanghu")</f>
        <v>ronghanghu</v>
      </c>
      <c r="C909" s="3" t="str">
        <f ca="1">IFERROR(__xludf.DUMMYFUNCTION("""COMPUTED_VALUE"""),"seg_every_thing")</f>
        <v>seg_every_thing</v>
      </c>
      <c r="D909" s="4" t="s">
        <v>1878</v>
      </c>
      <c r="E909" s="5">
        <v>43217.950821759259</v>
      </c>
      <c r="F909" s="5">
        <v>44288.089317129627</v>
      </c>
      <c r="G909" s="13">
        <f t="shared" si="84"/>
        <v>1070.1384953703673</v>
      </c>
      <c r="H909" s="6" t="b">
        <v>0</v>
      </c>
      <c r="I909" s="6" t="b">
        <v>0</v>
      </c>
      <c r="J909" s="8">
        <v>404</v>
      </c>
      <c r="K909" s="8">
        <v>22</v>
      </c>
      <c r="L909" s="8">
        <v>72</v>
      </c>
      <c r="M909" s="8">
        <v>0</v>
      </c>
      <c r="N909" s="8">
        <v>0</v>
      </c>
      <c r="O909" s="8">
        <v>9</v>
      </c>
      <c r="P909" s="8">
        <v>0</v>
      </c>
      <c r="Q909" s="8">
        <v>0</v>
      </c>
      <c r="R909" s="8">
        <v>12</v>
      </c>
      <c r="S909" s="8">
        <v>10</v>
      </c>
      <c r="T909" s="3" t="s">
        <v>69</v>
      </c>
      <c r="U909" s="10">
        <v>9312</v>
      </c>
      <c r="V909" s="32">
        <v>166</v>
      </c>
      <c r="W909" s="27">
        <v>1.7826460481099655E-2</v>
      </c>
      <c r="X909" s="34">
        <v>26</v>
      </c>
      <c r="Y909" s="27">
        <v>0.15662650602409639</v>
      </c>
      <c r="Z909" s="27">
        <v>2.7920962199312715E-3</v>
      </c>
      <c r="AA909" s="35">
        <v>118</v>
      </c>
      <c r="AB909" s="27">
        <v>0.71084337349397586</v>
      </c>
      <c r="AC909" s="27">
        <f t="shared" si="85"/>
        <v>1.2671821305841924E-2</v>
      </c>
      <c r="AD909" s="36">
        <v>19</v>
      </c>
      <c r="AE909" s="27">
        <v>0.1144578313253012</v>
      </c>
      <c r="AF909" s="27">
        <f t="shared" si="86"/>
        <v>2.0403780068728524E-3</v>
      </c>
      <c r="AG909" s="37">
        <v>2</v>
      </c>
      <c r="AH909" s="27">
        <v>1.2048192771084338E-2</v>
      </c>
      <c r="AI909" s="27">
        <f t="shared" si="87"/>
        <v>2.1477663230240549E-4</v>
      </c>
      <c r="AJ909" s="38">
        <v>1</v>
      </c>
      <c r="AK909" s="27">
        <v>6.024096385542169E-3</v>
      </c>
      <c r="AL909" s="27">
        <f t="shared" si="88"/>
        <v>1.0738831615120275E-4</v>
      </c>
      <c r="AM909" s="40">
        <v>0</v>
      </c>
      <c r="AN909" s="27">
        <v>0</v>
      </c>
      <c r="AO909" s="27">
        <f t="shared" si="89"/>
        <v>0</v>
      </c>
      <c r="AP909" s="7" t="b">
        <v>1</v>
      </c>
      <c r="AQ909" s="6" t="b">
        <v>0</v>
      </c>
      <c r="AR909" s="6" t="b">
        <v>0</v>
      </c>
      <c r="AS909" s="6" t="b">
        <v>0</v>
      </c>
      <c r="AT909" s="7" t="b">
        <v>1</v>
      </c>
      <c r="AU909" s="6" t="b">
        <v>0</v>
      </c>
      <c r="AV909" s="6" t="b">
        <v>0</v>
      </c>
      <c r="AW909" s="6" t="b">
        <v>0</v>
      </c>
      <c r="AX909" s="6" t="b">
        <v>0</v>
      </c>
      <c r="AY909" s="6" t="b">
        <v>0</v>
      </c>
      <c r="AZ909" s="6" t="b">
        <v>0</v>
      </c>
      <c r="BA909" s="6" t="b">
        <v>0</v>
      </c>
      <c r="BB909" s="6" t="b">
        <v>0</v>
      </c>
    </row>
    <row r="910" spans="1:54" ht="15" x14ac:dyDescent="0.25">
      <c r="A910" s="3" t="s">
        <v>1879</v>
      </c>
      <c r="B910" s="3" t="str">
        <f ca="1">IFERROR(__xludf.DUMMYFUNCTION("SPLIT(A910,""/"")"),"ronreiter")</f>
        <v>ronreiter</v>
      </c>
      <c r="C910" s="3" t="str">
        <f ca="1">IFERROR(__xludf.DUMMYFUNCTION("""COMPUTED_VALUE"""),"interactive-tutorials")</f>
        <v>interactive-tutorials</v>
      </c>
      <c r="D910" s="4" t="s">
        <v>1880</v>
      </c>
      <c r="E910" s="5">
        <v>41581.195474537039</v>
      </c>
      <c r="F910" s="5">
        <v>44294.873368055552</v>
      </c>
      <c r="G910" s="13">
        <f t="shared" si="84"/>
        <v>2713.6778935185139</v>
      </c>
      <c r="H910" s="6" t="b">
        <v>0</v>
      </c>
      <c r="I910" s="6" t="b">
        <v>0</v>
      </c>
      <c r="J910" s="8">
        <v>2119</v>
      </c>
      <c r="K910" s="8">
        <v>128</v>
      </c>
      <c r="L910" s="8">
        <v>1698</v>
      </c>
      <c r="M910" s="8">
        <v>0</v>
      </c>
      <c r="N910" s="8">
        <v>7</v>
      </c>
      <c r="O910" s="8">
        <v>261</v>
      </c>
      <c r="P910" s="8">
        <v>481</v>
      </c>
      <c r="Q910" s="8">
        <v>9</v>
      </c>
      <c r="R910" s="8">
        <v>98</v>
      </c>
      <c r="S910" s="8">
        <v>31</v>
      </c>
      <c r="T910" s="3" t="s">
        <v>69</v>
      </c>
      <c r="U910" s="10">
        <v>9984</v>
      </c>
      <c r="V910" s="32">
        <v>102</v>
      </c>
      <c r="W910" s="27">
        <v>1.0216346153846154E-2</v>
      </c>
      <c r="X910" s="34">
        <v>78</v>
      </c>
      <c r="Y910" s="27">
        <v>0.76470588235294112</v>
      </c>
      <c r="Z910" s="27">
        <v>7.8125E-3</v>
      </c>
      <c r="AA910" s="35">
        <v>3</v>
      </c>
      <c r="AB910" s="27">
        <v>2.9411764705882353E-2</v>
      </c>
      <c r="AC910" s="27">
        <f t="shared" si="85"/>
        <v>3.0048076923076925E-4</v>
      </c>
      <c r="AD910" s="36">
        <v>5</v>
      </c>
      <c r="AE910" s="27">
        <v>4.9019607843137254E-2</v>
      </c>
      <c r="AF910" s="27">
        <f t="shared" si="86"/>
        <v>5.0080128205128201E-4</v>
      </c>
      <c r="AG910" s="37">
        <v>12</v>
      </c>
      <c r="AH910" s="27">
        <v>0.11764705882352941</v>
      </c>
      <c r="AI910" s="27">
        <f t="shared" si="87"/>
        <v>1.201923076923077E-3</v>
      </c>
      <c r="AJ910" s="38">
        <v>0</v>
      </c>
      <c r="AK910" s="27">
        <v>0</v>
      </c>
      <c r="AL910" s="27">
        <f t="shared" si="88"/>
        <v>0</v>
      </c>
      <c r="AM910" s="40">
        <v>1</v>
      </c>
      <c r="AN910" s="27">
        <v>9.8039215686274508E-3</v>
      </c>
      <c r="AO910" s="27">
        <f t="shared" si="89"/>
        <v>1.0016025641025641E-4</v>
      </c>
      <c r="AP910" s="7" t="b">
        <v>1</v>
      </c>
      <c r="AQ910" s="7" t="b">
        <v>1</v>
      </c>
      <c r="AR910" s="6" t="b">
        <v>0</v>
      </c>
      <c r="AS910" s="6" t="b">
        <v>0</v>
      </c>
      <c r="AT910" s="7" t="b">
        <v>1</v>
      </c>
      <c r="AU910" s="6" t="b">
        <v>0</v>
      </c>
      <c r="AV910" s="6" t="b">
        <v>0</v>
      </c>
      <c r="AW910" s="6" t="b">
        <v>0</v>
      </c>
      <c r="AX910" s="6" t="b">
        <v>0</v>
      </c>
      <c r="AY910" s="6" t="b">
        <v>0</v>
      </c>
      <c r="AZ910" s="6" t="b">
        <v>0</v>
      </c>
      <c r="BA910" s="6" t="b">
        <v>0</v>
      </c>
      <c r="BB910" s="6" t="b">
        <v>0</v>
      </c>
    </row>
    <row r="911" spans="1:54" ht="15" x14ac:dyDescent="0.25">
      <c r="A911" s="3" t="s">
        <v>1881</v>
      </c>
      <c r="B911" s="3" t="str">
        <f ca="1">IFERROR(__xludf.DUMMYFUNCTION("SPLIT(A911,""/"")"),"ropnop")</f>
        <v>ropnop</v>
      </c>
      <c r="C911" s="3" t="str">
        <f ca="1">IFERROR(__xludf.DUMMYFUNCTION("""COMPUTED_VALUE"""),"impacket_static_binaries")</f>
        <v>impacket_static_binaries</v>
      </c>
      <c r="D911" s="4" t="s">
        <v>1882</v>
      </c>
      <c r="E911" s="5">
        <v>43474.125381944446</v>
      </c>
      <c r="F911" s="5">
        <v>44284.291076388887</v>
      </c>
      <c r="G911" s="13">
        <f t="shared" si="84"/>
        <v>810.16569444444031</v>
      </c>
      <c r="H911" s="6" t="b">
        <v>0</v>
      </c>
      <c r="I911" s="6" t="b">
        <v>0</v>
      </c>
      <c r="J911" s="8">
        <v>402</v>
      </c>
      <c r="K911" s="8">
        <v>13</v>
      </c>
      <c r="L911" s="8">
        <v>61</v>
      </c>
      <c r="M911" s="8">
        <v>7</v>
      </c>
      <c r="N911" s="8">
        <v>0</v>
      </c>
      <c r="O911" s="8">
        <v>54</v>
      </c>
      <c r="P911" s="8">
        <v>3</v>
      </c>
      <c r="Q911" s="8">
        <v>2</v>
      </c>
      <c r="R911" s="8">
        <v>8</v>
      </c>
      <c r="S911" s="8">
        <v>5</v>
      </c>
      <c r="T911" s="3" t="s">
        <v>92</v>
      </c>
      <c r="U911" s="10">
        <v>87670</v>
      </c>
      <c r="V911" s="32">
        <v>1287</v>
      </c>
      <c r="W911" s="27">
        <v>1.4680050188205772E-2</v>
      </c>
      <c r="X911" s="34">
        <v>382</v>
      </c>
      <c r="Y911" s="27">
        <v>0.29681429681429683</v>
      </c>
      <c r="Z911" s="27">
        <v>4.3572487738108819E-3</v>
      </c>
      <c r="AA911" s="35">
        <v>348</v>
      </c>
      <c r="AB911" s="27">
        <v>0.2703962703962704</v>
      </c>
      <c r="AC911" s="27">
        <f t="shared" si="85"/>
        <v>3.9694308201209082E-3</v>
      </c>
      <c r="AD911" s="36">
        <v>21</v>
      </c>
      <c r="AE911" s="27">
        <v>1.6317016317016316E-2</v>
      </c>
      <c r="AF911" s="27">
        <f t="shared" si="86"/>
        <v>2.3953461845557203E-4</v>
      </c>
      <c r="AG911" s="37">
        <v>390</v>
      </c>
      <c r="AH911" s="27">
        <v>0.30303030303030304</v>
      </c>
      <c r="AI911" s="27">
        <f t="shared" si="87"/>
        <v>4.448500057032052E-3</v>
      </c>
      <c r="AJ911" s="38">
        <v>104</v>
      </c>
      <c r="AK911" s="27">
        <v>8.0808080808080815E-2</v>
      </c>
      <c r="AL911" s="27">
        <f t="shared" si="88"/>
        <v>1.1862666818752139E-3</v>
      </c>
      <c r="AM911" s="40">
        <v>25</v>
      </c>
      <c r="AN911" s="27">
        <v>1.9425019425019424E-2</v>
      </c>
      <c r="AO911" s="27">
        <f t="shared" si="89"/>
        <v>2.8516026006615715E-4</v>
      </c>
      <c r="AP911" s="7" t="b">
        <v>1</v>
      </c>
      <c r="AQ911" s="6" t="b">
        <v>0</v>
      </c>
      <c r="AR911" s="6" t="b">
        <v>0</v>
      </c>
      <c r="AS911" s="6" t="b">
        <v>0</v>
      </c>
      <c r="AT911" s="7" t="b">
        <v>1</v>
      </c>
      <c r="AU911" s="6" t="b">
        <v>0</v>
      </c>
      <c r="AV911" s="6" t="b">
        <v>0</v>
      </c>
      <c r="AW911" s="6" t="b">
        <v>0</v>
      </c>
      <c r="AX911" s="6" t="b">
        <v>0</v>
      </c>
      <c r="AY911" s="6" t="b">
        <v>0</v>
      </c>
      <c r="AZ911" s="6" t="b">
        <v>0</v>
      </c>
      <c r="BA911" s="6" t="b">
        <v>0</v>
      </c>
      <c r="BB911" s="6" t="b">
        <v>0</v>
      </c>
    </row>
    <row r="912" spans="1:54" ht="15" x14ac:dyDescent="0.25">
      <c r="A912" s="3" t="s">
        <v>1883</v>
      </c>
      <c r="B912" s="3" t="str">
        <f ca="1">IFERROR(__xludf.DUMMYFUNCTION("SPLIT(A912,""/"")"),"rotki")</f>
        <v>rotki</v>
      </c>
      <c r="C912" s="3" t="str">
        <f ca="1">IFERROR(__xludf.DUMMYFUNCTION("""COMPUTED_VALUE"""),"rotki")</f>
        <v>rotki</v>
      </c>
      <c r="D912" s="4" t="s">
        <v>1884</v>
      </c>
      <c r="E912" s="5">
        <v>43164.476493055554</v>
      </c>
      <c r="F912" s="5">
        <v>44294.938368055555</v>
      </c>
      <c r="G912" s="13">
        <f t="shared" si="84"/>
        <v>1130.4618750000009</v>
      </c>
      <c r="H912" s="6" t="b">
        <v>0</v>
      </c>
      <c r="I912" s="7" t="b">
        <v>1</v>
      </c>
      <c r="J912" s="8">
        <v>721</v>
      </c>
      <c r="K912" s="8">
        <v>36</v>
      </c>
      <c r="L912" s="8">
        <v>157</v>
      </c>
      <c r="M912" s="8">
        <v>55</v>
      </c>
      <c r="N912" s="8">
        <v>5</v>
      </c>
      <c r="O912" s="8">
        <v>55</v>
      </c>
      <c r="P912" s="8">
        <v>1366</v>
      </c>
      <c r="Q912" s="8">
        <v>11</v>
      </c>
      <c r="R912" s="8">
        <v>1333</v>
      </c>
      <c r="S912" s="8">
        <v>348</v>
      </c>
      <c r="T912" s="3" t="s">
        <v>366</v>
      </c>
      <c r="U912" s="10">
        <v>45717</v>
      </c>
      <c r="V912" s="32">
        <v>535</v>
      </c>
      <c r="W912" s="27">
        <v>1.1702430168208763E-2</v>
      </c>
      <c r="X912" s="34">
        <v>199</v>
      </c>
      <c r="Y912" s="27">
        <v>0.37196261682242993</v>
      </c>
      <c r="Z912" s="27">
        <v>4.3528665485486799E-3</v>
      </c>
      <c r="AA912" s="35">
        <v>41</v>
      </c>
      <c r="AB912" s="27">
        <v>7.6635514018691592E-2</v>
      </c>
      <c r="AC912" s="27">
        <f t="shared" si="85"/>
        <v>8.9682175120852205E-4</v>
      </c>
      <c r="AD912" s="36">
        <v>76</v>
      </c>
      <c r="AE912" s="27">
        <v>0.14205607476635515</v>
      </c>
      <c r="AF912" s="27">
        <f t="shared" si="86"/>
        <v>1.6624012949231139E-3</v>
      </c>
      <c r="AG912" s="37">
        <v>204</v>
      </c>
      <c r="AH912" s="27">
        <v>0.38130841121495329</v>
      </c>
      <c r="AI912" s="27">
        <f t="shared" si="87"/>
        <v>4.4622350547936221E-3</v>
      </c>
      <c r="AJ912" s="38">
        <v>15</v>
      </c>
      <c r="AK912" s="27">
        <v>2.8037383177570093E-2</v>
      </c>
      <c r="AL912" s="27">
        <f t="shared" si="88"/>
        <v>3.2810551873482514E-4</v>
      </c>
      <c r="AM912" s="40">
        <v>0</v>
      </c>
      <c r="AN912" s="27">
        <v>0</v>
      </c>
      <c r="AO912" s="27">
        <f t="shared" si="89"/>
        <v>0</v>
      </c>
      <c r="AP912" s="7" t="b">
        <v>1</v>
      </c>
      <c r="AQ912" s="6" t="b">
        <v>0</v>
      </c>
      <c r="AR912" s="6" t="b">
        <v>0</v>
      </c>
      <c r="AS912" s="6" t="b">
        <v>0</v>
      </c>
      <c r="AT912" s="7" t="b">
        <v>1</v>
      </c>
      <c r="AU912" s="6" t="b">
        <v>0</v>
      </c>
      <c r="AV912" s="6" t="b">
        <v>0</v>
      </c>
      <c r="AW912" s="6" t="b">
        <v>0</v>
      </c>
      <c r="AX912" s="6" t="b">
        <v>0</v>
      </c>
      <c r="AY912" s="6" t="b">
        <v>0</v>
      </c>
      <c r="AZ912" s="6" t="b">
        <v>0</v>
      </c>
      <c r="BA912" s="6" t="b">
        <v>0</v>
      </c>
      <c r="BB912" s="6" t="b">
        <v>0</v>
      </c>
    </row>
    <row r="913" spans="1:54" ht="15" x14ac:dyDescent="0.25">
      <c r="A913" s="3" t="s">
        <v>1885</v>
      </c>
      <c r="B913" s="3" t="str">
        <f ca="1">IFERROR(__xludf.DUMMYFUNCTION("SPLIT(A913,""/"")"),"rq")</f>
        <v>rq</v>
      </c>
      <c r="C913" s="3" t="str">
        <f ca="1">IFERROR(__xludf.DUMMYFUNCTION("""COMPUTED_VALUE"""),"rq")</f>
        <v>rq</v>
      </c>
      <c r="D913" s="4" t="s">
        <v>1886</v>
      </c>
      <c r="E913" s="5">
        <v>40861.454027777778</v>
      </c>
      <c r="F913" s="5">
        <v>44295.049270833333</v>
      </c>
      <c r="G913" s="13">
        <f t="shared" si="84"/>
        <v>3433.5952430555553</v>
      </c>
      <c r="H913" s="6" t="b">
        <v>0</v>
      </c>
      <c r="I913" s="7" t="b">
        <v>1</v>
      </c>
      <c r="J913" s="8">
        <v>7624</v>
      </c>
      <c r="K913" s="8">
        <v>215</v>
      </c>
      <c r="L913" s="8">
        <v>1197</v>
      </c>
      <c r="M913" s="8">
        <v>14</v>
      </c>
      <c r="N913" s="8">
        <v>66</v>
      </c>
      <c r="O913" s="8">
        <v>202</v>
      </c>
      <c r="P913" s="8">
        <v>603</v>
      </c>
      <c r="Q913" s="8">
        <v>11</v>
      </c>
      <c r="R913" s="8">
        <v>830</v>
      </c>
      <c r="S913" s="8">
        <v>138</v>
      </c>
      <c r="T913" s="3" t="s">
        <v>92</v>
      </c>
      <c r="U913" s="10">
        <v>7464</v>
      </c>
      <c r="V913" s="32">
        <v>60</v>
      </c>
      <c r="W913" s="27">
        <v>8.0385852090032149E-3</v>
      </c>
      <c r="X913" s="34">
        <v>15</v>
      </c>
      <c r="Y913" s="27">
        <v>0.25</v>
      </c>
      <c r="Z913" s="27">
        <v>2.0096463022508037E-3</v>
      </c>
      <c r="AA913" s="35">
        <v>30</v>
      </c>
      <c r="AB913" s="27">
        <v>0.5</v>
      </c>
      <c r="AC913" s="27">
        <f t="shared" si="85"/>
        <v>4.0192926045016075E-3</v>
      </c>
      <c r="AD913" s="36">
        <v>11</v>
      </c>
      <c r="AE913" s="27">
        <v>0.18333333333333332</v>
      </c>
      <c r="AF913" s="27">
        <f t="shared" si="86"/>
        <v>1.4737406216505896E-3</v>
      </c>
      <c r="AG913" s="37">
        <v>4</v>
      </c>
      <c r="AH913" s="27">
        <v>6.6666666666666666E-2</v>
      </c>
      <c r="AI913" s="27">
        <f t="shared" si="87"/>
        <v>5.3590568060021436E-4</v>
      </c>
      <c r="AJ913" s="38">
        <v>0</v>
      </c>
      <c r="AK913" s="27">
        <v>0</v>
      </c>
      <c r="AL913" s="27">
        <f t="shared" si="88"/>
        <v>0</v>
      </c>
      <c r="AM913" s="40">
        <v>0</v>
      </c>
      <c r="AN913" s="27">
        <v>0</v>
      </c>
      <c r="AO913" s="27">
        <f t="shared" si="89"/>
        <v>0</v>
      </c>
      <c r="AP913" s="7" t="b">
        <v>1</v>
      </c>
      <c r="AQ913" s="6" t="b">
        <v>0</v>
      </c>
      <c r="AR913" s="6" t="b">
        <v>0</v>
      </c>
      <c r="AS913" s="6" t="b">
        <v>0</v>
      </c>
      <c r="AT913" s="7" t="b">
        <v>1</v>
      </c>
      <c r="AU913" s="6" t="b">
        <v>0</v>
      </c>
      <c r="AV913" s="6" t="b">
        <v>0</v>
      </c>
      <c r="AW913" s="6" t="b">
        <v>0</v>
      </c>
      <c r="AX913" s="6" t="b">
        <v>0</v>
      </c>
      <c r="AY913" s="6" t="b">
        <v>0</v>
      </c>
      <c r="AZ913" s="6" t="b">
        <v>0</v>
      </c>
      <c r="BA913" s="6" t="b">
        <v>0</v>
      </c>
      <c r="BB913" s="6" t="b">
        <v>0</v>
      </c>
    </row>
    <row r="914" spans="1:54" ht="15" x14ac:dyDescent="0.25">
      <c r="A914" s="3" t="s">
        <v>1887</v>
      </c>
      <c r="B914" s="3" t="str">
        <f ca="1">IFERROR(__xludf.DUMMYFUNCTION("SPLIT(A914,""/"")"),"rsms")</f>
        <v>rsms</v>
      </c>
      <c r="C914" s="3" t="str">
        <f ca="1">IFERROR(__xludf.DUMMYFUNCTION("""COMPUTED_VALUE"""),"inter")</f>
        <v>inter</v>
      </c>
      <c r="D914" s="4" t="s">
        <v>1888</v>
      </c>
      <c r="E914" s="5">
        <v>42969.301585648151</v>
      </c>
      <c r="F914" s="5">
        <v>44295.148888888885</v>
      </c>
      <c r="G914" s="13">
        <f t="shared" si="84"/>
        <v>1325.8473032407346</v>
      </c>
      <c r="H914" s="6" t="b">
        <v>0</v>
      </c>
      <c r="I914" s="6" t="b">
        <v>0</v>
      </c>
      <c r="J914" s="8">
        <v>12332</v>
      </c>
      <c r="K914" s="8">
        <v>166</v>
      </c>
      <c r="L914" s="8">
        <v>273</v>
      </c>
      <c r="M914" s="8">
        <v>50</v>
      </c>
      <c r="N914" s="8">
        <v>26</v>
      </c>
      <c r="O914" s="8">
        <v>11</v>
      </c>
      <c r="P914" s="8">
        <v>48</v>
      </c>
      <c r="Q914" s="8">
        <v>0</v>
      </c>
      <c r="R914" s="8">
        <v>315</v>
      </c>
      <c r="S914" s="8">
        <v>54</v>
      </c>
      <c r="T914" s="3" t="s">
        <v>92</v>
      </c>
      <c r="U914" s="10">
        <v>6425</v>
      </c>
      <c r="V914" s="32">
        <v>16</v>
      </c>
      <c r="W914" s="27">
        <v>2.4902723735408562E-3</v>
      </c>
      <c r="X914" s="34">
        <v>5</v>
      </c>
      <c r="Y914" s="27">
        <v>0.3125</v>
      </c>
      <c r="Z914" s="27">
        <v>7.7821011673151756E-4</v>
      </c>
      <c r="AA914" s="35">
        <v>6</v>
      </c>
      <c r="AB914" s="27">
        <v>0.375</v>
      </c>
      <c r="AC914" s="27">
        <f t="shared" si="85"/>
        <v>9.3385214007782097E-4</v>
      </c>
      <c r="AD914" s="36">
        <v>0</v>
      </c>
      <c r="AE914" s="27">
        <v>0</v>
      </c>
      <c r="AF914" s="27">
        <f t="shared" si="86"/>
        <v>0</v>
      </c>
      <c r="AG914" s="37">
        <v>5</v>
      </c>
      <c r="AH914" s="27">
        <v>0.3125</v>
      </c>
      <c r="AI914" s="27">
        <f t="shared" si="87"/>
        <v>7.7821011673151756E-4</v>
      </c>
      <c r="AJ914" s="38">
        <v>0</v>
      </c>
      <c r="AK914" s="27">
        <v>0</v>
      </c>
      <c r="AL914" s="27">
        <f t="shared" si="88"/>
        <v>0</v>
      </c>
      <c r="AM914" s="40">
        <v>0</v>
      </c>
      <c r="AN914" s="27">
        <v>0</v>
      </c>
      <c r="AO914" s="27">
        <f t="shared" si="89"/>
        <v>0</v>
      </c>
      <c r="AP914" s="7" t="b">
        <v>1</v>
      </c>
      <c r="AQ914" s="6" t="b">
        <v>0</v>
      </c>
      <c r="AR914" s="6" t="b">
        <v>0</v>
      </c>
      <c r="AS914" s="6" t="b">
        <v>0</v>
      </c>
      <c r="AT914" s="7" t="b">
        <v>1</v>
      </c>
      <c r="AU914" s="6" t="b">
        <v>0</v>
      </c>
      <c r="AV914" s="6" t="b">
        <v>0</v>
      </c>
      <c r="AW914" s="6" t="b">
        <v>0</v>
      </c>
      <c r="AX914" s="6" t="b">
        <v>0</v>
      </c>
      <c r="AY914" s="6" t="b">
        <v>0</v>
      </c>
      <c r="AZ914" s="6" t="b">
        <v>0</v>
      </c>
      <c r="BA914" s="6" t="b">
        <v>0</v>
      </c>
      <c r="BB914" s="6" t="b">
        <v>0</v>
      </c>
    </row>
    <row r="915" spans="1:54" ht="15" x14ac:dyDescent="0.25">
      <c r="A915" s="3" t="s">
        <v>1889</v>
      </c>
      <c r="B915" s="3" t="str">
        <f ca="1">IFERROR(__xludf.DUMMYFUNCTION("SPLIT(A915,""/"")"),"rsmusllp")</f>
        <v>rsmusllp</v>
      </c>
      <c r="C915" s="3" t="str">
        <f ca="1">IFERROR(__xludf.DUMMYFUNCTION("""COMPUTED_VALUE"""),"king-phisher")</f>
        <v>king-phisher</v>
      </c>
      <c r="D915" s="4" t="s">
        <v>1890</v>
      </c>
      <c r="E915" s="5">
        <v>41641.833969907406</v>
      </c>
      <c r="F915" s="5">
        <v>44295.123969907407</v>
      </c>
      <c r="G915" s="13">
        <f t="shared" si="84"/>
        <v>2653.2900000000009</v>
      </c>
      <c r="H915" s="6" t="b">
        <v>0</v>
      </c>
      <c r="I915" s="7" t="b">
        <v>1</v>
      </c>
      <c r="J915" s="8">
        <v>1379</v>
      </c>
      <c r="K915" s="8">
        <v>127</v>
      </c>
      <c r="L915" s="8">
        <v>382</v>
      </c>
      <c r="M915" s="8">
        <v>29</v>
      </c>
      <c r="N915" s="8">
        <v>4</v>
      </c>
      <c r="O915" s="8">
        <v>16</v>
      </c>
      <c r="P915" s="8">
        <v>113</v>
      </c>
      <c r="Q915" s="8">
        <v>5</v>
      </c>
      <c r="R915" s="8">
        <v>344</v>
      </c>
      <c r="S915" s="8">
        <v>7</v>
      </c>
      <c r="T915" s="3" t="s">
        <v>57</v>
      </c>
      <c r="U915" s="10">
        <v>20180</v>
      </c>
      <c r="V915" s="32">
        <v>506</v>
      </c>
      <c r="W915" s="27">
        <v>2.5074331020812687E-2</v>
      </c>
      <c r="X915" s="34">
        <v>145</v>
      </c>
      <c r="Y915" s="27">
        <v>0.2865612648221344</v>
      </c>
      <c r="Z915" s="27">
        <v>7.1853320118929632E-3</v>
      </c>
      <c r="AA915" s="35">
        <v>99</v>
      </c>
      <c r="AB915" s="27">
        <v>0.19565217391304349</v>
      </c>
      <c r="AC915" s="27">
        <f t="shared" si="85"/>
        <v>4.9058473736372649E-3</v>
      </c>
      <c r="AD915" s="36">
        <v>177</v>
      </c>
      <c r="AE915" s="27">
        <v>0.34980237154150196</v>
      </c>
      <c r="AF915" s="27">
        <f t="shared" si="86"/>
        <v>8.7710604558969285E-3</v>
      </c>
      <c r="AG915" s="37">
        <v>69</v>
      </c>
      <c r="AH915" s="27">
        <v>0.13636363636363635</v>
      </c>
      <c r="AI915" s="27">
        <f t="shared" si="87"/>
        <v>3.4192269573835479E-3</v>
      </c>
      <c r="AJ915" s="38">
        <v>16</v>
      </c>
      <c r="AK915" s="27">
        <v>3.1620553359683792E-2</v>
      </c>
      <c r="AL915" s="27">
        <f t="shared" si="88"/>
        <v>7.9286422200198212E-4</v>
      </c>
      <c r="AM915" s="40">
        <v>0</v>
      </c>
      <c r="AN915" s="27">
        <v>0</v>
      </c>
      <c r="AO915" s="27">
        <f t="shared" si="89"/>
        <v>0</v>
      </c>
      <c r="AP915" s="7" t="b">
        <v>1</v>
      </c>
      <c r="AQ915" s="6" t="b">
        <v>0</v>
      </c>
      <c r="AR915" s="6" t="b">
        <v>0</v>
      </c>
      <c r="AS915" s="6" t="b">
        <v>0</v>
      </c>
      <c r="AT915" s="7" t="b">
        <v>1</v>
      </c>
      <c r="AU915" s="6" t="b">
        <v>0</v>
      </c>
      <c r="AV915" s="6" t="b">
        <v>0</v>
      </c>
      <c r="AW915" s="6" t="b">
        <v>0</v>
      </c>
      <c r="AX915" s="6" t="b">
        <v>0</v>
      </c>
      <c r="AY915" s="6" t="b">
        <v>0</v>
      </c>
      <c r="AZ915" s="6" t="b">
        <v>0</v>
      </c>
      <c r="BA915" s="6" t="b">
        <v>0</v>
      </c>
      <c r="BB915" s="6" t="b">
        <v>0</v>
      </c>
    </row>
    <row r="916" spans="1:54" ht="15" x14ac:dyDescent="0.25">
      <c r="A916" s="3" t="s">
        <v>1891</v>
      </c>
      <c r="B916" s="3" t="str">
        <f ca="1">IFERROR(__xludf.DUMMYFUNCTION("SPLIT(A916,""/"")"),"ruddra")</f>
        <v>ruddra</v>
      </c>
      <c r="C916" s="3" t="str">
        <f ca="1">IFERROR(__xludf.DUMMYFUNCTION("""COMPUTED_VALUE"""),"docker-django")</f>
        <v>docker-django</v>
      </c>
      <c r="D916" s="4" t="s">
        <v>1892</v>
      </c>
      <c r="E916" s="5">
        <v>42596.406678240739</v>
      </c>
      <c r="F916" s="5">
        <v>44290.747696759259</v>
      </c>
      <c r="G916" s="13">
        <f t="shared" si="84"/>
        <v>1694.3410185185203</v>
      </c>
      <c r="H916" s="6" t="b">
        <v>0</v>
      </c>
      <c r="I916" s="6" t="b">
        <v>0</v>
      </c>
      <c r="J916" s="8">
        <v>384</v>
      </c>
      <c r="K916" s="8">
        <v>19</v>
      </c>
      <c r="L916" s="8">
        <v>110</v>
      </c>
      <c r="M916" s="8">
        <v>0</v>
      </c>
      <c r="N916" s="8">
        <v>0</v>
      </c>
      <c r="O916" s="8">
        <v>3</v>
      </c>
      <c r="P916" s="8">
        <v>16</v>
      </c>
      <c r="Q916" s="8">
        <v>0</v>
      </c>
      <c r="R916" s="8">
        <v>14</v>
      </c>
      <c r="S916" s="8">
        <v>0</v>
      </c>
      <c r="T916" s="3" t="s">
        <v>72</v>
      </c>
      <c r="U916" s="10">
        <v>122</v>
      </c>
      <c r="V916" s="32">
        <v>3</v>
      </c>
      <c r="W916" s="27">
        <v>2.4590163934426229E-2</v>
      </c>
      <c r="X916" s="34">
        <v>0</v>
      </c>
      <c r="Y916" s="27">
        <v>0</v>
      </c>
      <c r="Z916" s="27">
        <v>0</v>
      </c>
      <c r="AA916" s="35">
        <v>3</v>
      </c>
      <c r="AB916" s="27">
        <v>1</v>
      </c>
      <c r="AC916" s="27">
        <f t="shared" si="85"/>
        <v>2.4590163934426229E-2</v>
      </c>
      <c r="AD916" s="36">
        <v>0</v>
      </c>
      <c r="AE916" s="27">
        <v>0</v>
      </c>
      <c r="AF916" s="27">
        <f t="shared" si="86"/>
        <v>0</v>
      </c>
      <c r="AG916" s="37">
        <v>0</v>
      </c>
      <c r="AH916" s="27">
        <v>0</v>
      </c>
      <c r="AI916" s="27">
        <f t="shared" si="87"/>
        <v>0</v>
      </c>
      <c r="AJ916" s="38">
        <v>0</v>
      </c>
      <c r="AK916" s="27">
        <v>0</v>
      </c>
      <c r="AL916" s="27">
        <f t="shared" si="88"/>
        <v>0</v>
      </c>
      <c r="AM916" s="40">
        <v>0</v>
      </c>
      <c r="AN916" s="27">
        <v>0</v>
      </c>
      <c r="AO916" s="27">
        <f t="shared" si="89"/>
        <v>0</v>
      </c>
      <c r="AP916" s="7" t="b">
        <v>1</v>
      </c>
      <c r="AQ916" s="7" t="b">
        <v>1</v>
      </c>
      <c r="AR916" s="6" t="b">
        <v>0</v>
      </c>
      <c r="AS916" s="6" t="b">
        <v>0</v>
      </c>
      <c r="AT916" s="7" t="b">
        <v>1</v>
      </c>
      <c r="AU916" s="6" t="b">
        <v>0</v>
      </c>
      <c r="AV916" s="6" t="b">
        <v>0</v>
      </c>
      <c r="AW916" s="6" t="b">
        <v>0</v>
      </c>
      <c r="AX916" s="6" t="b">
        <v>0</v>
      </c>
      <c r="AY916" s="6" t="b">
        <v>0</v>
      </c>
      <c r="AZ916" s="6" t="b">
        <v>0</v>
      </c>
      <c r="BA916" s="6" t="b">
        <v>0</v>
      </c>
      <c r="BB916" s="6" t="b">
        <v>0</v>
      </c>
    </row>
    <row r="917" spans="1:54" ht="15" x14ac:dyDescent="0.25">
      <c r="A917" s="3" t="s">
        <v>1893</v>
      </c>
      <c r="B917" s="3" t="str">
        <f ca="1">IFERROR(__xludf.DUMMYFUNCTION("SPLIT(A917,""/"")"),"rushter")</f>
        <v>rushter</v>
      </c>
      <c r="C917" s="3" t="str">
        <f ca="1">IFERROR(__xludf.DUMMYFUNCTION("""COMPUTED_VALUE"""),"MLAlgorithms")</f>
        <v>MLAlgorithms</v>
      </c>
      <c r="D917" s="4" t="s">
        <v>1894</v>
      </c>
      <c r="E917" s="5">
        <v>42648.282465277778</v>
      </c>
      <c r="F917" s="5">
        <v>44294.306643518517</v>
      </c>
      <c r="G917" s="13">
        <f t="shared" si="84"/>
        <v>1646.0241782407393</v>
      </c>
      <c r="H917" s="6" t="b">
        <v>0</v>
      </c>
      <c r="I917" s="6" t="b">
        <v>0</v>
      </c>
      <c r="J917" s="8">
        <v>8439</v>
      </c>
      <c r="K917" s="8">
        <v>428</v>
      </c>
      <c r="L917" s="8">
        <v>1410</v>
      </c>
      <c r="M917" s="8">
        <v>0</v>
      </c>
      <c r="N917" s="8">
        <v>0</v>
      </c>
      <c r="O917" s="8">
        <v>24</v>
      </c>
      <c r="P917" s="8">
        <v>58</v>
      </c>
      <c r="Q917" s="8">
        <v>0</v>
      </c>
      <c r="R917" s="8">
        <v>22</v>
      </c>
      <c r="S917" s="8">
        <v>6</v>
      </c>
      <c r="T917" s="3" t="s">
        <v>72</v>
      </c>
      <c r="U917" s="10">
        <v>2970</v>
      </c>
      <c r="V917" s="32">
        <v>15</v>
      </c>
      <c r="W917" s="27">
        <v>5.0505050505050509E-3</v>
      </c>
      <c r="X917" s="34">
        <v>3</v>
      </c>
      <c r="Y917" s="27">
        <v>0.2</v>
      </c>
      <c r="Z917" s="27">
        <v>1.0101010101010101E-3</v>
      </c>
      <c r="AA917" s="35">
        <v>12</v>
      </c>
      <c r="AB917" s="27">
        <v>0.8</v>
      </c>
      <c r="AC917" s="27">
        <f t="shared" si="85"/>
        <v>4.0404040404040404E-3</v>
      </c>
      <c r="AD917" s="36">
        <v>0</v>
      </c>
      <c r="AE917" s="27">
        <v>0</v>
      </c>
      <c r="AF917" s="27">
        <f t="shared" si="86"/>
        <v>0</v>
      </c>
      <c r="AG917" s="37">
        <v>0</v>
      </c>
      <c r="AH917" s="27">
        <v>0</v>
      </c>
      <c r="AI917" s="27">
        <f t="shared" si="87"/>
        <v>0</v>
      </c>
      <c r="AJ917" s="38">
        <v>0</v>
      </c>
      <c r="AK917" s="27">
        <v>0</v>
      </c>
      <c r="AL917" s="27">
        <f t="shared" si="88"/>
        <v>0</v>
      </c>
      <c r="AM917" s="40">
        <v>0</v>
      </c>
      <c r="AN917" s="27">
        <v>0</v>
      </c>
      <c r="AO917" s="27">
        <f t="shared" si="89"/>
        <v>0</v>
      </c>
      <c r="AP917" s="7" t="b">
        <v>1</v>
      </c>
      <c r="AQ917" s="6" t="b">
        <v>0</v>
      </c>
      <c r="AR917" s="6" t="b">
        <v>0</v>
      </c>
      <c r="AS917" s="6" t="b">
        <v>0</v>
      </c>
      <c r="AT917" s="7" t="b">
        <v>1</v>
      </c>
      <c r="AU917" s="6" t="b">
        <v>0</v>
      </c>
      <c r="AV917" s="6" t="b">
        <v>0</v>
      </c>
      <c r="AW917" s="6" t="b">
        <v>0</v>
      </c>
      <c r="AX917" s="6" t="b">
        <v>0</v>
      </c>
      <c r="AY917" s="6" t="b">
        <v>0</v>
      </c>
      <c r="AZ917" s="6" t="b">
        <v>0</v>
      </c>
      <c r="BA917" s="6" t="b">
        <v>0</v>
      </c>
      <c r="BB917" s="6" t="b">
        <v>0</v>
      </c>
    </row>
    <row r="918" spans="1:54" ht="15" x14ac:dyDescent="0.25">
      <c r="A918" s="3" t="s">
        <v>1895</v>
      </c>
      <c r="B918" s="3" t="str">
        <f ca="1">IFERROR(__xludf.DUMMYFUNCTION("SPLIT(A918,""/"")"),"rusty1s")</f>
        <v>rusty1s</v>
      </c>
      <c r="C918" s="3" t="str">
        <f ca="1">IFERROR(__xludf.DUMMYFUNCTION("""COMPUTED_VALUE"""),"pytorch_geometric")</f>
        <v>pytorch_geometric</v>
      </c>
      <c r="D918" s="4" t="s">
        <v>1896</v>
      </c>
      <c r="E918" s="5">
        <v>43014.66878472222</v>
      </c>
      <c r="F918" s="5">
        <v>44295.065023148149</v>
      </c>
      <c r="G918" s="13">
        <f t="shared" si="84"/>
        <v>1280.3962384259285</v>
      </c>
      <c r="H918" s="6" t="b">
        <v>0</v>
      </c>
      <c r="I918" s="6" t="b">
        <v>0</v>
      </c>
      <c r="J918" s="8">
        <v>10660</v>
      </c>
      <c r="K918" s="8">
        <v>236</v>
      </c>
      <c r="L918" s="8">
        <v>1784</v>
      </c>
      <c r="M918" s="8">
        <v>23</v>
      </c>
      <c r="N918" s="8">
        <v>22</v>
      </c>
      <c r="O918" s="8">
        <v>136</v>
      </c>
      <c r="P918" s="8">
        <v>318</v>
      </c>
      <c r="Q918" s="8">
        <v>19</v>
      </c>
      <c r="R918" s="8">
        <v>1913</v>
      </c>
      <c r="S918" s="8">
        <v>739</v>
      </c>
      <c r="T918" s="3" t="s">
        <v>72</v>
      </c>
      <c r="U918" s="10">
        <v>24605</v>
      </c>
      <c r="V918" s="32">
        <v>15</v>
      </c>
      <c r="W918" s="27">
        <v>6.0963218857955695E-4</v>
      </c>
      <c r="X918" s="34">
        <v>3</v>
      </c>
      <c r="Y918" s="27">
        <v>0.2</v>
      </c>
      <c r="Z918" s="27">
        <v>1.2192643771591141E-4</v>
      </c>
      <c r="AA918" s="35">
        <v>0</v>
      </c>
      <c r="AB918" s="27">
        <v>0</v>
      </c>
      <c r="AC918" s="27">
        <f t="shared" si="85"/>
        <v>0</v>
      </c>
      <c r="AD918" s="36">
        <v>7</v>
      </c>
      <c r="AE918" s="27">
        <v>0.46666666666666667</v>
      </c>
      <c r="AF918" s="27">
        <f t="shared" si="86"/>
        <v>2.8449502133712662E-4</v>
      </c>
      <c r="AG918" s="37">
        <v>0</v>
      </c>
      <c r="AH918" s="27">
        <v>0</v>
      </c>
      <c r="AI918" s="27">
        <f t="shared" si="87"/>
        <v>0</v>
      </c>
      <c r="AJ918" s="38">
        <v>0</v>
      </c>
      <c r="AK918" s="27">
        <v>0</v>
      </c>
      <c r="AL918" s="27">
        <f t="shared" si="88"/>
        <v>0</v>
      </c>
      <c r="AM918" s="40">
        <v>8</v>
      </c>
      <c r="AN918" s="27">
        <v>0.53333333333333333</v>
      </c>
      <c r="AO918" s="27">
        <f t="shared" si="89"/>
        <v>3.2513716724243038E-4</v>
      </c>
      <c r="AP918" s="7" t="b">
        <v>1</v>
      </c>
      <c r="AQ918" s="6" t="b">
        <v>0</v>
      </c>
      <c r="AR918" s="6" t="b">
        <v>0</v>
      </c>
      <c r="AS918" s="6" t="b">
        <v>0</v>
      </c>
      <c r="AT918" s="7" t="b">
        <v>1</v>
      </c>
      <c r="AU918" s="6" t="b">
        <v>0</v>
      </c>
      <c r="AV918" s="6" t="b">
        <v>0</v>
      </c>
      <c r="AW918" s="6" t="b">
        <v>0</v>
      </c>
      <c r="AX918" s="6" t="b">
        <v>0</v>
      </c>
      <c r="AY918" s="6" t="b">
        <v>0</v>
      </c>
      <c r="AZ918" s="6" t="b">
        <v>0</v>
      </c>
      <c r="BA918" s="6" t="b">
        <v>0</v>
      </c>
      <c r="BB918" s="6" t="b">
        <v>0</v>
      </c>
    </row>
    <row r="919" spans="1:54" ht="15" x14ac:dyDescent="0.25">
      <c r="A919" s="3" t="s">
        <v>1897</v>
      </c>
      <c r="B919" s="3" t="str">
        <f ca="1">IFERROR(__xludf.DUMMYFUNCTION("SPLIT(A919,""/"")"),"Rydgel")</f>
        <v>Rydgel</v>
      </c>
      <c r="C919" s="3" t="str">
        <f ca="1">IFERROR(__xludf.DUMMYFUNCTION("""COMPUTED_VALUE"""),"Fake-images-please")</f>
        <v>Fake-images-please</v>
      </c>
      <c r="D919" s="4" t="s">
        <v>1898</v>
      </c>
      <c r="E919" s="5">
        <v>41058.888287037036</v>
      </c>
      <c r="F919" s="5">
        <v>44291.404594907406</v>
      </c>
      <c r="G919" s="13">
        <f t="shared" si="84"/>
        <v>3232.5163078703699</v>
      </c>
      <c r="H919" s="6" t="b">
        <v>0</v>
      </c>
      <c r="I919" s="6" t="b">
        <v>0</v>
      </c>
      <c r="J919" s="8">
        <v>689</v>
      </c>
      <c r="K919" s="8">
        <v>28</v>
      </c>
      <c r="L919" s="8">
        <v>64</v>
      </c>
      <c r="M919" s="8">
        <v>0</v>
      </c>
      <c r="N919" s="8">
        <v>0</v>
      </c>
      <c r="O919" s="8">
        <v>6</v>
      </c>
      <c r="P919" s="8">
        <v>9</v>
      </c>
      <c r="Q919" s="8">
        <v>1</v>
      </c>
      <c r="R919" s="8">
        <v>23</v>
      </c>
      <c r="S919" s="8">
        <v>3</v>
      </c>
      <c r="T919" s="3" t="s">
        <v>1405</v>
      </c>
      <c r="U919" s="10">
        <v>337</v>
      </c>
      <c r="V919" s="32">
        <v>0</v>
      </c>
      <c r="W919" s="27">
        <v>0</v>
      </c>
      <c r="X919" s="34">
        <v>0</v>
      </c>
      <c r="Y919" s="27">
        <v>0</v>
      </c>
      <c r="Z919" s="27">
        <v>0</v>
      </c>
      <c r="AA919" s="35">
        <v>0</v>
      </c>
      <c r="AB919" s="27">
        <v>0</v>
      </c>
      <c r="AC919" s="27">
        <f t="shared" si="85"/>
        <v>0</v>
      </c>
      <c r="AD919" s="36">
        <v>0</v>
      </c>
      <c r="AE919" s="27">
        <v>0</v>
      </c>
      <c r="AF919" s="27">
        <f t="shared" si="86"/>
        <v>0</v>
      </c>
      <c r="AG919" s="37">
        <v>0</v>
      </c>
      <c r="AH919" s="27">
        <v>0</v>
      </c>
      <c r="AI919" s="27">
        <f t="shared" si="87"/>
        <v>0</v>
      </c>
      <c r="AJ919" s="38">
        <v>0</v>
      </c>
      <c r="AK919" s="27">
        <v>0</v>
      </c>
      <c r="AL919" s="27">
        <f t="shared" si="88"/>
        <v>0</v>
      </c>
      <c r="AM919" s="40">
        <v>0</v>
      </c>
      <c r="AN919" s="27">
        <v>0</v>
      </c>
      <c r="AO919" s="27">
        <f t="shared" si="89"/>
        <v>0</v>
      </c>
      <c r="AP919" s="7" t="b">
        <v>1</v>
      </c>
      <c r="AQ919" s="7" t="b">
        <v>1</v>
      </c>
      <c r="AR919" s="6" t="b">
        <v>0</v>
      </c>
      <c r="AS919" s="6" t="b">
        <v>0</v>
      </c>
      <c r="AT919" s="7" t="b">
        <v>1</v>
      </c>
      <c r="AU919" s="6" t="b">
        <v>0</v>
      </c>
      <c r="AV919" s="6" t="b">
        <v>0</v>
      </c>
      <c r="AW919" s="6" t="b">
        <v>0</v>
      </c>
      <c r="AX919" s="6" t="b">
        <v>0</v>
      </c>
      <c r="AY919" s="6" t="b">
        <v>0</v>
      </c>
      <c r="AZ919" s="6" t="b">
        <v>0</v>
      </c>
      <c r="BA919" s="6" t="b">
        <v>0</v>
      </c>
      <c r="BB919" s="6" t="b">
        <v>0</v>
      </c>
    </row>
    <row r="920" spans="1:54" ht="15" x14ac:dyDescent="0.25">
      <c r="A920" s="3" t="s">
        <v>1899</v>
      </c>
      <c r="B920" s="3" t="str">
        <f ca="1">IFERROR(__xludf.DUMMYFUNCTION("SPLIT(A920,""/"")"),"s3ql")</f>
        <v>s3ql</v>
      </c>
      <c r="C920" s="3" t="str">
        <f ca="1">IFERROR(__xludf.DUMMYFUNCTION("""COMPUTED_VALUE"""),"s3ql")</f>
        <v>s3ql</v>
      </c>
      <c r="D920" s="4" t="s">
        <v>1900</v>
      </c>
      <c r="E920" s="5">
        <v>42197.856458333335</v>
      </c>
      <c r="F920" s="5">
        <v>44292.773217592592</v>
      </c>
      <c r="G920" s="13">
        <f t="shared" si="84"/>
        <v>2094.9167592592567</v>
      </c>
      <c r="H920" s="6" t="b">
        <v>0</v>
      </c>
      <c r="I920" s="7" t="b">
        <v>1</v>
      </c>
      <c r="J920" s="8">
        <v>738</v>
      </c>
      <c r="K920" s="8">
        <v>28</v>
      </c>
      <c r="L920" s="8">
        <v>75</v>
      </c>
      <c r="M920" s="8">
        <v>17</v>
      </c>
      <c r="N920" s="8">
        <v>4</v>
      </c>
      <c r="O920" s="8">
        <v>33</v>
      </c>
      <c r="P920" s="8">
        <v>97</v>
      </c>
      <c r="Q920" s="8">
        <v>1</v>
      </c>
      <c r="R920" s="8">
        <v>148</v>
      </c>
      <c r="S920" s="8">
        <v>12</v>
      </c>
      <c r="T920" s="3" t="s">
        <v>49</v>
      </c>
      <c r="U920" s="10">
        <v>14519</v>
      </c>
      <c r="V920" s="32">
        <v>407</v>
      </c>
      <c r="W920" s="27">
        <v>2.8032233624905298E-2</v>
      </c>
      <c r="X920" s="34">
        <v>193</v>
      </c>
      <c r="Y920" s="27">
        <v>0.47420147420147418</v>
      </c>
      <c r="Z920" s="27">
        <v>1.3292926510090227E-2</v>
      </c>
      <c r="AA920" s="35">
        <v>115</v>
      </c>
      <c r="AB920" s="27">
        <v>0.28255528255528256</v>
      </c>
      <c r="AC920" s="27">
        <f t="shared" si="85"/>
        <v>7.9206556925408081E-3</v>
      </c>
      <c r="AD920" s="36">
        <v>64</v>
      </c>
      <c r="AE920" s="27">
        <v>0.15724815724815724</v>
      </c>
      <c r="AF920" s="27">
        <f t="shared" si="86"/>
        <v>4.4080170810661895E-3</v>
      </c>
      <c r="AG920" s="37">
        <v>34</v>
      </c>
      <c r="AH920" s="27">
        <v>8.3538083538083535E-2</v>
      </c>
      <c r="AI920" s="27">
        <f t="shared" si="87"/>
        <v>2.3417590743164129E-3</v>
      </c>
      <c r="AJ920" s="38">
        <v>0</v>
      </c>
      <c r="AK920" s="27">
        <v>0</v>
      </c>
      <c r="AL920" s="27">
        <f t="shared" si="88"/>
        <v>0</v>
      </c>
      <c r="AM920" s="40">
        <v>0</v>
      </c>
      <c r="AN920" s="27">
        <v>0</v>
      </c>
      <c r="AO920" s="27">
        <f t="shared" si="89"/>
        <v>0</v>
      </c>
      <c r="AP920" s="7" t="b">
        <v>1</v>
      </c>
      <c r="AQ920" s="6" t="b">
        <v>0</v>
      </c>
      <c r="AR920" s="6" t="b">
        <v>0</v>
      </c>
      <c r="AS920" s="6" t="b">
        <v>0</v>
      </c>
      <c r="AT920" s="7" t="b">
        <v>1</v>
      </c>
      <c r="AU920" s="6" t="b">
        <v>0</v>
      </c>
      <c r="AV920" s="6" t="b">
        <v>0</v>
      </c>
      <c r="AW920" s="6" t="b">
        <v>0</v>
      </c>
      <c r="AX920" s="6" t="b">
        <v>0</v>
      </c>
      <c r="AY920" s="6" t="b">
        <v>0</v>
      </c>
      <c r="AZ920" s="6" t="b">
        <v>0</v>
      </c>
      <c r="BA920" s="6" t="b">
        <v>0</v>
      </c>
      <c r="BB920" s="6" t="b">
        <v>0</v>
      </c>
    </row>
    <row r="921" spans="1:54" ht="15" x14ac:dyDescent="0.25">
      <c r="A921" s="3" t="s">
        <v>1901</v>
      </c>
      <c r="B921" s="3" t="str">
        <f ca="1">IFERROR(__xludf.DUMMYFUNCTION("SPLIT(A921,""/"")"),"sa7mon")</f>
        <v>sa7mon</v>
      </c>
      <c r="C921" s="3" t="str">
        <f ca="1">IFERROR(__xludf.DUMMYFUNCTION("""COMPUTED_VALUE"""),"S3Scanner")</f>
        <v>S3Scanner</v>
      </c>
      <c r="D921" s="4" t="s">
        <v>1902</v>
      </c>
      <c r="E921" s="5">
        <v>42905.926631944443</v>
      </c>
      <c r="F921" s="5">
        <v>44294.706331018519</v>
      </c>
      <c r="G921" s="13">
        <f t="shared" si="84"/>
        <v>1388.7796990740753</v>
      </c>
      <c r="H921" s="6" t="b">
        <v>0</v>
      </c>
      <c r="I921" s="6" t="b">
        <v>0</v>
      </c>
      <c r="J921" s="8">
        <v>1330</v>
      </c>
      <c r="K921" s="8">
        <v>58</v>
      </c>
      <c r="L921" s="8">
        <v>212</v>
      </c>
      <c r="M921" s="8">
        <v>4</v>
      </c>
      <c r="N921" s="8">
        <v>0</v>
      </c>
      <c r="O921" s="8">
        <v>6</v>
      </c>
      <c r="P921" s="8">
        <v>35</v>
      </c>
      <c r="Q921" s="8">
        <v>2</v>
      </c>
      <c r="R921" s="8">
        <v>72</v>
      </c>
      <c r="S921" s="8">
        <v>23</v>
      </c>
      <c r="T921" s="3" t="s">
        <v>72</v>
      </c>
      <c r="U921" s="10">
        <v>415</v>
      </c>
      <c r="V921" s="32">
        <v>6</v>
      </c>
      <c r="W921" s="27">
        <v>1.4457831325301205E-2</v>
      </c>
      <c r="X921" s="34">
        <v>1</v>
      </c>
      <c r="Y921" s="27">
        <v>0.16666666666666666</v>
      </c>
      <c r="Z921" s="27">
        <v>2.4096385542168677E-3</v>
      </c>
      <c r="AA921" s="35">
        <v>2</v>
      </c>
      <c r="AB921" s="27">
        <v>0.33333333333333331</v>
      </c>
      <c r="AC921" s="27">
        <f t="shared" si="85"/>
        <v>4.8192771084337354E-3</v>
      </c>
      <c r="AD921" s="36">
        <v>0</v>
      </c>
      <c r="AE921" s="27">
        <v>0</v>
      </c>
      <c r="AF921" s="27">
        <f t="shared" si="86"/>
        <v>0</v>
      </c>
      <c r="AG921" s="37">
        <v>3</v>
      </c>
      <c r="AH921" s="27">
        <v>0.5</v>
      </c>
      <c r="AI921" s="27">
        <f t="shared" si="87"/>
        <v>7.2289156626506026E-3</v>
      </c>
      <c r="AJ921" s="38">
        <v>0</v>
      </c>
      <c r="AK921" s="27">
        <v>0</v>
      </c>
      <c r="AL921" s="27">
        <f t="shared" si="88"/>
        <v>0</v>
      </c>
      <c r="AM921" s="40">
        <v>0</v>
      </c>
      <c r="AN921" s="27">
        <v>0</v>
      </c>
      <c r="AO921" s="27">
        <f t="shared" si="89"/>
        <v>0</v>
      </c>
      <c r="AP921" s="7" t="b">
        <v>1</v>
      </c>
      <c r="AQ921" s="6" t="b">
        <v>0</v>
      </c>
      <c r="AR921" s="6" t="b">
        <v>0</v>
      </c>
      <c r="AS921" s="6" t="b">
        <v>0</v>
      </c>
      <c r="AT921" s="7" t="b">
        <v>1</v>
      </c>
      <c r="AU921" s="6" t="b">
        <v>0</v>
      </c>
      <c r="AV921" s="6" t="b">
        <v>0</v>
      </c>
      <c r="AW921" s="6" t="b">
        <v>0</v>
      </c>
      <c r="AX921" s="6" t="b">
        <v>0</v>
      </c>
      <c r="AY921" s="6" t="b">
        <v>0</v>
      </c>
      <c r="AZ921" s="6" t="b">
        <v>0</v>
      </c>
      <c r="BA921" s="6" t="b">
        <v>0</v>
      </c>
      <c r="BB921" s="6" t="b">
        <v>0</v>
      </c>
    </row>
    <row r="922" spans="1:54" ht="15" x14ac:dyDescent="0.25">
      <c r="A922" s="3" t="s">
        <v>1903</v>
      </c>
      <c r="B922" s="3" t="str">
        <f ca="1">IFERROR(__xludf.DUMMYFUNCTION("SPLIT(A922,""/"")"),"sabri-zaki")</f>
        <v>sabri-zaki</v>
      </c>
      <c r="C922" s="3" t="str">
        <f ca="1">IFERROR(__xludf.DUMMYFUNCTION("""COMPUTED_VALUE"""),"EasY_HaCk")</f>
        <v>EasY_HaCk</v>
      </c>
      <c r="D922" s="4" t="s">
        <v>1904</v>
      </c>
      <c r="E922" s="5">
        <v>43354.193912037037</v>
      </c>
      <c r="F922" s="5">
        <v>44294.222199074073</v>
      </c>
      <c r="G922" s="13">
        <f t="shared" si="84"/>
        <v>940.02828703703562</v>
      </c>
      <c r="H922" s="6" t="b">
        <v>0</v>
      </c>
      <c r="I922" s="6" t="b">
        <v>0</v>
      </c>
      <c r="J922" s="8">
        <v>564</v>
      </c>
      <c r="K922" s="8">
        <v>165</v>
      </c>
      <c r="L922" s="8">
        <v>123</v>
      </c>
      <c r="M922" s="8">
        <v>0</v>
      </c>
      <c r="N922" s="8">
        <v>3</v>
      </c>
      <c r="O922" s="9">
        <v>0</v>
      </c>
      <c r="P922" s="8">
        <v>3</v>
      </c>
      <c r="Q922" s="8">
        <v>0</v>
      </c>
      <c r="R922" s="8">
        <v>17</v>
      </c>
      <c r="S922" s="8">
        <v>15</v>
      </c>
      <c r="T922" s="3" t="s">
        <v>69</v>
      </c>
      <c r="U922" s="10">
        <v>36966</v>
      </c>
      <c r="V922" s="32">
        <v>0</v>
      </c>
      <c r="W922" s="27">
        <v>0</v>
      </c>
      <c r="X922" s="34">
        <v>0</v>
      </c>
      <c r="Y922" s="27">
        <v>0</v>
      </c>
      <c r="Z922" s="27">
        <v>0</v>
      </c>
      <c r="AA922" s="35">
        <v>0</v>
      </c>
      <c r="AB922" s="27">
        <v>0</v>
      </c>
      <c r="AC922" s="27">
        <f t="shared" si="85"/>
        <v>0</v>
      </c>
      <c r="AD922" s="36">
        <v>0</v>
      </c>
      <c r="AE922" s="27">
        <v>0</v>
      </c>
      <c r="AF922" s="27">
        <f t="shared" si="86"/>
        <v>0</v>
      </c>
      <c r="AG922" s="37">
        <v>0</v>
      </c>
      <c r="AH922" s="27">
        <v>0</v>
      </c>
      <c r="AI922" s="27">
        <f t="shared" si="87"/>
        <v>0</v>
      </c>
      <c r="AJ922" s="38">
        <v>0</v>
      </c>
      <c r="AK922" s="27">
        <v>0</v>
      </c>
      <c r="AL922" s="27">
        <f t="shared" si="88"/>
        <v>0</v>
      </c>
      <c r="AM922" s="40">
        <v>0</v>
      </c>
      <c r="AN922" s="27">
        <v>0</v>
      </c>
      <c r="AO922" s="27">
        <f t="shared" si="89"/>
        <v>0</v>
      </c>
      <c r="AP922" s="7" t="b">
        <v>1</v>
      </c>
      <c r="AQ922" s="6" t="b">
        <v>0</v>
      </c>
      <c r="AR922" s="6" t="b">
        <v>0</v>
      </c>
      <c r="AS922" s="6" t="b">
        <v>0</v>
      </c>
      <c r="AT922" s="7" t="b">
        <v>1</v>
      </c>
      <c r="AU922" s="6" t="b">
        <v>0</v>
      </c>
      <c r="AV922" s="6" t="b">
        <v>0</v>
      </c>
      <c r="AW922" s="6" t="b">
        <v>0</v>
      </c>
      <c r="AX922" s="6" t="b">
        <v>0</v>
      </c>
      <c r="AY922" s="6" t="b">
        <v>0</v>
      </c>
      <c r="AZ922" s="6" t="b">
        <v>0</v>
      </c>
      <c r="BA922" s="6" t="b">
        <v>0</v>
      </c>
      <c r="BB922" s="6" t="b">
        <v>0</v>
      </c>
    </row>
    <row r="923" spans="1:54" ht="15" x14ac:dyDescent="0.25">
      <c r="A923" s="3" t="s">
        <v>1905</v>
      </c>
      <c r="B923" s="3" t="str">
        <f ca="1">IFERROR(__xludf.DUMMYFUNCTION("SPLIT(A923,""/"")"),"sagemath")</f>
        <v>sagemath</v>
      </c>
      <c r="C923" s="3" t="str">
        <f ca="1">IFERROR(__xludf.DUMMYFUNCTION("""COMPUTED_VALUE"""),"sage")</f>
        <v>sage</v>
      </c>
      <c r="D923" s="4" t="s">
        <v>1906</v>
      </c>
      <c r="E923" s="5">
        <v>41068.424328703702</v>
      </c>
      <c r="F923" s="5">
        <v>44293.702523148146</v>
      </c>
      <c r="G923" s="13">
        <f t="shared" si="84"/>
        <v>3225.2781944444432</v>
      </c>
      <c r="H923" s="6" t="b">
        <v>0</v>
      </c>
      <c r="I923" s="7" t="b">
        <v>1</v>
      </c>
      <c r="J923" s="8">
        <v>1456</v>
      </c>
      <c r="K923" s="8">
        <v>122</v>
      </c>
      <c r="L923" s="8">
        <v>360</v>
      </c>
      <c r="M923" s="8">
        <v>6</v>
      </c>
      <c r="N923" s="8">
        <v>6</v>
      </c>
      <c r="O923" s="8">
        <v>556</v>
      </c>
      <c r="P923" s="8">
        <v>66</v>
      </c>
      <c r="Q923" s="8">
        <v>0</v>
      </c>
      <c r="R923" s="8">
        <v>34</v>
      </c>
      <c r="S923" s="8">
        <v>0</v>
      </c>
      <c r="T923" s="3" t="s">
        <v>92</v>
      </c>
      <c r="U923" s="10">
        <v>446058</v>
      </c>
      <c r="V923" s="32">
        <v>248</v>
      </c>
      <c r="W923" s="27">
        <v>5.5598150913109957E-4</v>
      </c>
      <c r="X923" s="34">
        <v>75</v>
      </c>
      <c r="Y923" s="27">
        <v>0.30241935483870969</v>
      </c>
      <c r="Z923" s="27">
        <v>1.6813956929367929E-4</v>
      </c>
      <c r="AA923" s="35">
        <v>78</v>
      </c>
      <c r="AB923" s="27">
        <v>0.31451612903225806</v>
      </c>
      <c r="AC923" s="27">
        <f t="shared" si="85"/>
        <v>1.7486515206542648E-4</v>
      </c>
      <c r="AD923" s="36">
        <v>59</v>
      </c>
      <c r="AE923" s="27">
        <v>0.23790322580645162</v>
      </c>
      <c r="AF923" s="27">
        <f t="shared" si="86"/>
        <v>1.3226979451102771E-4</v>
      </c>
      <c r="AG923" s="37">
        <v>14</v>
      </c>
      <c r="AH923" s="27">
        <v>5.6451612903225805E-2</v>
      </c>
      <c r="AI923" s="27">
        <f t="shared" si="87"/>
        <v>3.1386052934820136E-5</v>
      </c>
      <c r="AJ923" s="38">
        <v>4</v>
      </c>
      <c r="AK923" s="27">
        <v>1.6129032258064516E-2</v>
      </c>
      <c r="AL923" s="27">
        <f t="shared" si="88"/>
        <v>8.9674436956628953E-6</v>
      </c>
      <c r="AM923" s="40">
        <v>18</v>
      </c>
      <c r="AN923" s="27">
        <v>7.2580645161290328E-2</v>
      </c>
      <c r="AO923" s="27">
        <f t="shared" si="89"/>
        <v>4.0353496630483033E-5</v>
      </c>
      <c r="AP923" s="7" t="b">
        <v>1</v>
      </c>
      <c r="AQ923" s="6" t="b">
        <v>0</v>
      </c>
      <c r="AR923" s="6" t="b">
        <v>0</v>
      </c>
      <c r="AS923" s="6" t="b">
        <v>0</v>
      </c>
      <c r="AT923" s="7" t="b">
        <v>1</v>
      </c>
      <c r="AU923" s="6" t="b">
        <v>0</v>
      </c>
      <c r="AV923" s="6" t="b">
        <v>0</v>
      </c>
      <c r="AW923" s="6" t="b">
        <v>0</v>
      </c>
      <c r="AX923" s="6" t="b">
        <v>0</v>
      </c>
      <c r="AY923" s="6" t="b">
        <v>0</v>
      </c>
      <c r="AZ923" s="6" t="b">
        <v>0</v>
      </c>
      <c r="BA923" s="6" t="b">
        <v>0</v>
      </c>
      <c r="BB923" s="6" t="b">
        <v>0</v>
      </c>
    </row>
    <row r="924" spans="1:54" ht="15" x14ac:dyDescent="0.25">
      <c r="A924" s="3" t="s">
        <v>1907</v>
      </c>
      <c r="B924" s="3" t="str">
        <f ca="1">IFERROR(__xludf.DUMMYFUNCTION("SPLIT(A924,""/"")"),"sahana")</f>
        <v>sahana</v>
      </c>
      <c r="C924" s="3" t="str">
        <f ca="1">IFERROR(__xludf.DUMMYFUNCTION("""COMPUTED_VALUE"""),"eden")</f>
        <v>eden</v>
      </c>
      <c r="D924" s="4" t="s">
        <v>1908</v>
      </c>
      <c r="E924" s="5">
        <v>40897.742546296293</v>
      </c>
      <c r="F924" s="5">
        <v>44294.415289351855</v>
      </c>
      <c r="G924" s="13">
        <f t="shared" si="84"/>
        <v>3396.672743055562</v>
      </c>
      <c r="H924" s="6" t="b">
        <v>0</v>
      </c>
      <c r="I924" s="7" t="b">
        <v>1</v>
      </c>
      <c r="J924" s="8">
        <v>333</v>
      </c>
      <c r="K924" s="8">
        <v>45</v>
      </c>
      <c r="L924" s="8">
        <v>506</v>
      </c>
      <c r="M924" s="8">
        <v>0</v>
      </c>
      <c r="N924" s="8">
        <v>1529</v>
      </c>
      <c r="O924" s="8">
        <v>78</v>
      </c>
      <c r="P924" s="8">
        <v>1432</v>
      </c>
      <c r="Q924" s="8">
        <v>70</v>
      </c>
      <c r="R924" s="8">
        <v>129</v>
      </c>
      <c r="S924" s="8">
        <v>23</v>
      </c>
      <c r="T924" s="3" t="s">
        <v>92</v>
      </c>
      <c r="U924" s="10">
        <v>257567</v>
      </c>
      <c r="V924" s="32">
        <v>1068</v>
      </c>
      <c r="W924" s="27">
        <v>4.1464939219698176E-3</v>
      </c>
      <c r="X924" s="34">
        <v>99</v>
      </c>
      <c r="Y924" s="27">
        <v>9.269662921348315E-2</v>
      </c>
      <c r="Z924" s="27">
        <v>3.8436600962079767E-4</v>
      </c>
      <c r="AA924" s="35">
        <v>49</v>
      </c>
      <c r="AB924" s="27">
        <v>4.5880149812734083E-2</v>
      </c>
      <c r="AC924" s="27">
        <f t="shared" si="85"/>
        <v>1.9024176233756654E-4</v>
      </c>
      <c r="AD924" s="36">
        <v>118</v>
      </c>
      <c r="AE924" s="27">
        <v>0.1104868913857678</v>
      </c>
      <c r="AF924" s="27">
        <f t="shared" si="86"/>
        <v>4.5813322358842555E-4</v>
      </c>
      <c r="AG924" s="37">
        <v>776</v>
      </c>
      <c r="AH924" s="27">
        <v>0.72659176029962547</v>
      </c>
      <c r="AI924" s="27">
        <f t="shared" si="87"/>
        <v>3.0128083178357478E-3</v>
      </c>
      <c r="AJ924" s="38">
        <v>7</v>
      </c>
      <c r="AK924" s="27">
        <v>6.5543071161048693E-3</v>
      </c>
      <c r="AL924" s="27">
        <f t="shared" si="88"/>
        <v>2.7177394619652362E-5</v>
      </c>
      <c r="AM924" s="40">
        <v>19</v>
      </c>
      <c r="AN924" s="27">
        <v>1.7790262172284643E-2</v>
      </c>
      <c r="AO924" s="27">
        <f t="shared" si="89"/>
        <v>7.3767213967627836E-5</v>
      </c>
      <c r="AP924" s="7" t="b">
        <v>1</v>
      </c>
      <c r="AQ924" s="6" t="b">
        <v>0</v>
      </c>
      <c r="AR924" s="6" t="b">
        <v>0</v>
      </c>
      <c r="AS924" s="6" t="b">
        <v>0</v>
      </c>
      <c r="AT924" s="7" t="b">
        <v>1</v>
      </c>
      <c r="AU924" s="6" t="b">
        <v>0</v>
      </c>
      <c r="AV924" s="6" t="b">
        <v>0</v>
      </c>
      <c r="AW924" s="6" t="b">
        <v>0</v>
      </c>
      <c r="AX924" s="6" t="b">
        <v>0</v>
      </c>
      <c r="AY924" s="6" t="b">
        <v>0</v>
      </c>
      <c r="AZ924" s="6" t="b">
        <v>0</v>
      </c>
      <c r="BA924" s="6" t="b">
        <v>0</v>
      </c>
      <c r="BB924" s="6" t="b">
        <v>0</v>
      </c>
    </row>
    <row r="925" spans="1:54" ht="15" x14ac:dyDescent="0.25">
      <c r="A925" s="3" t="s">
        <v>1909</v>
      </c>
      <c r="B925" s="3" t="str">
        <f ca="1">IFERROR(__xludf.DUMMYFUNCTION("SPLIT(A925,""/"")"),"salesforce")</f>
        <v>salesforce</v>
      </c>
      <c r="C925" s="3" t="str">
        <f ca="1">IFERROR(__xludf.DUMMYFUNCTION("""COMPUTED_VALUE"""),"cove")</f>
        <v>cove</v>
      </c>
      <c r="D925" s="4" t="s">
        <v>1910</v>
      </c>
      <c r="E925" s="5">
        <v>42936.89916666667</v>
      </c>
      <c r="F925" s="5">
        <v>44273.379791666666</v>
      </c>
      <c r="G925" s="13">
        <f t="shared" si="84"/>
        <v>1336.4806249999965</v>
      </c>
      <c r="H925" s="6" t="b">
        <v>0</v>
      </c>
      <c r="I925" s="7" t="b">
        <v>1</v>
      </c>
      <c r="J925" s="8">
        <v>465</v>
      </c>
      <c r="K925" s="8">
        <v>24</v>
      </c>
      <c r="L925" s="8">
        <v>88</v>
      </c>
      <c r="M925" s="8">
        <v>0</v>
      </c>
      <c r="N925" s="8">
        <v>0</v>
      </c>
      <c r="O925" s="8">
        <v>4</v>
      </c>
      <c r="P925" s="8">
        <v>5</v>
      </c>
      <c r="Q925" s="8">
        <v>0</v>
      </c>
      <c r="R925" s="8">
        <v>20</v>
      </c>
      <c r="S925" s="8">
        <v>5</v>
      </c>
      <c r="T925" s="3" t="s">
        <v>57</v>
      </c>
      <c r="U925" s="10">
        <v>1357</v>
      </c>
      <c r="V925" s="32">
        <v>0</v>
      </c>
      <c r="W925" s="27">
        <v>0</v>
      </c>
      <c r="X925" s="34">
        <v>0</v>
      </c>
      <c r="Y925" s="27">
        <v>0</v>
      </c>
      <c r="Z925" s="27">
        <v>0</v>
      </c>
      <c r="AA925" s="35">
        <v>0</v>
      </c>
      <c r="AB925" s="27">
        <v>0</v>
      </c>
      <c r="AC925" s="27">
        <f t="shared" si="85"/>
        <v>0</v>
      </c>
      <c r="AD925" s="36">
        <v>0</v>
      </c>
      <c r="AE925" s="27">
        <v>0</v>
      </c>
      <c r="AF925" s="27">
        <f t="shared" si="86"/>
        <v>0</v>
      </c>
      <c r="AG925" s="37">
        <v>0</v>
      </c>
      <c r="AH925" s="27">
        <v>0</v>
      </c>
      <c r="AI925" s="27">
        <f t="shared" si="87"/>
        <v>0</v>
      </c>
      <c r="AJ925" s="38">
        <v>0</v>
      </c>
      <c r="AK925" s="27">
        <v>0</v>
      </c>
      <c r="AL925" s="27">
        <f t="shared" si="88"/>
        <v>0</v>
      </c>
      <c r="AM925" s="40">
        <v>0</v>
      </c>
      <c r="AN925" s="27">
        <v>0</v>
      </c>
      <c r="AO925" s="27">
        <f t="shared" si="89"/>
        <v>0</v>
      </c>
      <c r="AP925" s="7" t="b">
        <v>1</v>
      </c>
      <c r="AQ925" s="6" t="b">
        <v>0</v>
      </c>
      <c r="AR925" s="6" t="b">
        <v>0</v>
      </c>
      <c r="AS925" s="6" t="b">
        <v>0</v>
      </c>
      <c r="AT925" s="7" t="b">
        <v>1</v>
      </c>
      <c r="AU925" s="6" t="b">
        <v>0</v>
      </c>
      <c r="AV925" s="6" t="b">
        <v>0</v>
      </c>
      <c r="AW925" s="6" t="b">
        <v>0</v>
      </c>
      <c r="AX925" s="6" t="b">
        <v>0</v>
      </c>
      <c r="AY925" s="6" t="b">
        <v>0</v>
      </c>
      <c r="AZ925" s="6" t="b">
        <v>0</v>
      </c>
      <c r="BA925" s="6" t="b">
        <v>0</v>
      </c>
      <c r="BB925" s="6" t="b">
        <v>0</v>
      </c>
    </row>
    <row r="926" spans="1:54" ht="15" x14ac:dyDescent="0.25">
      <c r="A926" s="3" t="s">
        <v>1911</v>
      </c>
      <c r="B926" s="3" t="str">
        <f ca="1">IFERROR(__xludf.DUMMYFUNCTION("SPLIT(A926,""/"")"),"salesforce")</f>
        <v>salesforce</v>
      </c>
      <c r="C926" s="3" t="str">
        <f ca="1">IFERROR(__xludf.DUMMYFUNCTION("""COMPUTED_VALUE"""),"hassh")</f>
        <v>hassh</v>
      </c>
      <c r="D926" s="4" t="s">
        <v>1912</v>
      </c>
      <c r="E926" s="5">
        <v>43362.733148148145</v>
      </c>
      <c r="F926" s="5">
        <v>44293.31726851852</v>
      </c>
      <c r="G926" s="13">
        <f t="shared" si="84"/>
        <v>930.58412037037488</v>
      </c>
      <c r="H926" s="6" t="b">
        <v>0</v>
      </c>
      <c r="I926" s="7" t="b">
        <v>1</v>
      </c>
      <c r="J926" s="8">
        <v>397</v>
      </c>
      <c r="K926" s="8">
        <v>24</v>
      </c>
      <c r="L926" s="8">
        <v>58</v>
      </c>
      <c r="M926" s="8">
        <v>0</v>
      </c>
      <c r="N926" s="8">
        <v>0</v>
      </c>
      <c r="O926" s="8">
        <v>5</v>
      </c>
      <c r="P926" s="8">
        <v>7</v>
      </c>
      <c r="Q926" s="8">
        <v>3</v>
      </c>
      <c r="R926" s="8">
        <v>6</v>
      </c>
      <c r="S926" s="8">
        <v>3</v>
      </c>
      <c r="T926" s="3" t="s">
        <v>57</v>
      </c>
      <c r="U926" s="10">
        <v>374</v>
      </c>
      <c r="V926" s="32">
        <v>6</v>
      </c>
      <c r="W926" s="27">
        <v>1.6042780748663103E-2</v>
      </c>
      <c r="X926" s="34">
        <v>0</v>
      </c>
      <c r="Y926" s="27">
        <v>0</v>
      </c>
      <c r="Z926" s="27">
        <v>0</v>
      </c>
      <c r="AA926" s="35">
        <v>6</v>
      </c>
      <c r="AB926" s="27">
        <v>1</v>
      </c>
      <c r="AC926" s="27">
        <f t="shared" si="85"/>
        <v>1.6042780748663103E-2</v>
      </c>
      <c r="AD926" s="36">
        <v>0</v>
      </c>
      <c r="AE926" s="27">
        <v>0</v>
      </c>
      <c r="AF926" s="27">
        <f t="shared" si="86"/>
        <v>0</v>
      </c>
      <c r="AG926" s="37">
        <v>0</v>
      </c>
      <c r="AH926" s="27">
        <v>0</v>
      </c>
      <c r="AI926" s="27">
        <f t="shared" si="87"/>
        <v>0</v>
      </c>
      <c r="AJ926" s="38">
        <v>0</v>
      </c>
      <c r="AK926" s="27">
        <v>0</v>
      </c>
      <c r="AL926" s="27">
        <f t="shared" si="88"/>
        <v>0</v>
      </c>
      <c r="AM926" s="40">
        <v>0</v>
      </c>
      <c r="AN926" s="27">
        <v>0</v>
      </c>
      <c r="AO926" s="27">
        <f t="shared" si="89"/>
        <v>0</v>
      </c>
      <c r="AP926" s="7" t="b">
        <v>1</v>
      </c>
      <c r="AQ926" s="6" t="b">
        <v>0</v>
      </c>
      <c r="AR926" s="6" t="b">
        <v>0</v>
      </c>
      <c r="AS926" s="6" t="b">
        <v>0</v>
      </c>
      <c r="AT926" s="7" t="b">
        <v>1</v>
      </c>
      <c r="AU926" s="6" t="b">
        <v>0</v>
      </c>
      <c r="AV926" s="6" t="b">
        <v>0</v>
      </c>
      <c r="AW926" s="6" t="b">
        <v>0</v>
      </c>
      <c r="AX926" s="6" t="b">
        <v>0</v>
      </c>
      <c r="AY926" s="6" t="b">
        <v>0</v>
      </c>
      <c r="AZ926" s="6" t="b">
        <v>0</v>
      </c>
      <c r="BA926" s="6" t="b">
        <v>0</v>
      </c>
      <c r="BB926" s="6" t="b">
        <v>0</v>
      </c>
    </row>
    <row r="927" spans="1:54" ht="15" x14ac:dyDescent="0.25">
      <c r="A927" s="3" t="s">
        <v>1913</v>
      </c>
      <c r="B927" s="3" t="str">
        <f ca="1">IFERROR(__xludf.DUMMYFUNCTION("SPLIT(A927,""/"")"),"salesforce")</f>
        <v>salesforce</v>
      </c>
      <c r="C927" s="3" t="str">
        <f ca="1">IFERROR(__xludf.DUMMYFUNCTION("""COMPUTED_VALUE"""),"policy_sentry")</f>
        <v>policy_sentry</v>
      </c>
      <c r="D927" s="4" t="s">
        <v>1914</v>
      </c>
      <c r="E927" s="5">
        <v>43727.899918981479</v>
      </c>
      <c r="F927" s="5">
        <v>44294.790439814817</v>
      </c>
      <c r="G927" s="13">
        <f t="shared" si="84"/>
        <v>566.89052083333809</v>
      </c>
      <c r="H927" s="6" t="b">
        <v>0</v>
      </c>
      <c r="I927" s="7" t="b">
        <v>1</v>
      </c>
      <c r="J927" s="8">
        <v>1311</v>
      </c>
      <c r="K927" s="8">
        <v>17</v>
      </c>
      <c r="L927" s="8">
        <v>80</v>
      </c>
      <c r="M927" s="8">
        <v>59</v>
      </c>
      <c r="N927" s="8">
        <v>1</v>
      </c>
      <c r="O927" s="8">
        <v>25</v>
      </c>
      <c r="P927" s="8">
        <v>222</v>
      </c>
      <c r="Q927" s="8">
        <v>0</v>
      </c>
      <c r="R927" s="8">
        <v>131</v>
      </c>
      <c r="S927" s="8">
        <v>7</v>
      </c>
      <c r="T927" s="3" t="s">
        <v>72</v>
      </c>
      <c r="U927" s="10">
        <v>3480</v>
      </c>
      <c r="V927" s="32">
        <v>101</v>
      </c>
      <c r="W927" s="27">
        <v>2.9022988505747128E-2</v>
      </c>
      <c r="X927" s="34">
        <v>60</v>
      </c>
      <c r="Y927" s="27">
        <v>0.59405940594059403</v>
      </c>
      <c r="Z927" s="27">
        <v>1.7241379310344827E-2</v>
      </c>
      <c r="AA927" s="35">
        <v>7</v>
      </c>
      <c r="AB927" s="27">
        <v>6.9306930693069313E-2</v>
      </c>
      <c r="AC927" s="27">
        <f t="shared" si="85"/>
        <v>2.0114942528735632E-3</v>
      </c>
      <c r="AD927" s="36">
        <v>7</v>
      </c>
      <c r="AE927" s="27">
        <v>6.9306930693069313E-2</v>
      </c>
      <c r="AF927" s="27">
        <f t="shared" si="86"/>
        <v>2.0114942528735632E-3</v>
      </c>
      <c r="AG927" s="37">
        <v>0</v>
      </c>
      <c r="AH927" s="27">
        <v>0</v>
      </c>
      <c r="AI927" s="27">
        <f t="shared" si="87"/>
        <v>0</v>
      </c>
      <c r="AJ927" s="38">
        <v>27</v>
      </c>
      <c r="AK927" s="27">
        <v>0.26732673267326734</v>
      </c>
      <c r="AL927" s="27">
        <f t="shared" si="88"/>
        <v>7.7586206896551723E-3</v>
      </c>
      <c r="AM927" s="40">
        <v>0</v>
      </c>
      <c r="AN927" s="27">
        <v>0</v>
      </c>
      <c r="AO927" s="27">
        <f t="shared" si="89"/>
        <v>0</v>
      </c>
      <c r="AP927" s="7" t="b">
        <v>1</v>
      </c>
      <c r="AQ927" s="6" t="b">
        <v>0</v>
      </c>
      <c r="AR927" s="6" t="b">
        <v>0</v>
      </c>
      <c r="AS927" s="6" t="b">
        <v>0</v>
      </c>
      <c r="AT927" s="7" t="b">
        <v>1</v>
      </c>
      <c r="AU927" s="6" t="b">
        <v>0</v>
      </c>
      <c r="AV927" s="6" t="b">
        <v>0</v>
      </c>
      <c r="AW927" s="6" t="b">
        <v>0</v>
      </c>
      <c r="AX927" s="6" t="b">
        <v>0</v>
      </c>
      <c r="AY927" s="6" t="b">
        <v>0</v>
      </c>
      <c r="AZ927" s="6" t="b">
        <v>0</v>
      </c>
      <c r="BA927" s="6" t="b">
        <v>0</v>
      </c>
      <c r="BB927" s="6" t="b">
        <v>0</v>
      </c>
    </row>
    <row r="928" spans="1:54" ht="15" x14ac:dyDescent="0.25">
      <c r="A928" s="3" t="s">
        <v>1915</v>
      </c>
      <c r="B928" s="3" t="str">
        <f ca="1">IFERROR(__xludf.DUMMYFUNCTION("SPLIT(A928,""/"")"),"saltstack")</f>
        <v>saltstack</v>
      </c>
      <c r="C928" s="3" t="str">
        <f ca="1">IFERROR(__xludf.DUMMYFUNCTION("""COMPUTED_VALUE"""),"salt")</f>
        <v>salt</v>
      </c>
      <c r="D928" s="4" t="s">
        <v>1916</v>
      </c>
      <c r="E928" s="5">
        <v>40594.845092592594</v>
      </c>
      <c r="F928" s="5">
        <v>44294.96702546296</v>
      </c>
      <c r="G928" s="13">
        <f t="shared" si="84"/>
        <v>3700.1219328703664</v>
      </c>
      <c r="H928" s="6" t="b">
        <v>0</v>
      </c>
      <c r="I928" s="7" t="b">
        <v>1</v>
      </c>
      <c r="J928" s="8">
        <v>11662</v>
      </c>
      <c r="K928" s="8">
        <v>577</v>
      </c>
      <c r="L928" s="8">
        <v>4873</v>
      </c>
      <c r="M928" s="8">
        <v>164</v>
      </c>
      <c r="N928" s="8">
        <v>1969</v>
      </c>
      <c r="O928" s="8">
        <v>2311</v>
      </c>
      <c r="P928" s="8">
        <v>36528</v>
      </c>
      <c r="Q928" s="8">
        <v>650</v>
      </c>
      <c r="R928" s="8">
        <v>23451</v>
      </c>
      <c r="S928" s="8">
        <v>1997</v>
      </c>
      <c r="T928" s="3" t="s">
        <v>69</v>
      </c>
      <c r="U928" s="10">
        <v>500297</v>
      </c>
      <c r="V928" s="32">
        <v>8408</v>
      </c>
      <c r="W928" s="27">
        <v>1.6806017225767893E-2</v>
      </c>
      <c r="X928" s="34">
        <v>3110</v>
      </c>
      <c r="Y928" s="27">
        <v>0.36988582302568984</v>
      </c>
      <c r="Z928" s="27">
        <v>6.2163075133370776E-3</v>
      </c>
      <c r="AA928" s="35">
        <v>1268</v>
      </c>
      <c r="AB928" s="27">
        <v>0.15080875356803045</v>
      </c>
      <c r="AC928" s="27">
        <f t="shared" si="85"/>
        <v>2.5344945102609051E-3</v>
      </c>
      <c r="AD928" s="36">
        <v>826</v>
      </c>
      <c r="AE928" s="27">
        <v>9.8239771646051383E-2</v>
      </c>
      <c r="AF928" s="27">
        <f t="shared" si="86"/>
        <v>1.6510192945390439E-3</v>
      </c>
      <c r="AG928" s="37">
        <v>2882</v>
      </c>
      <c r="AH928" s="27">
        <v>0.3427687916270219</v>
      </c>
      <c r="AI928" s="27">
        <f t="shared" si="87"/>
        <v>5.7605782165393755E-3</v>
      </c>
      <c r="AJ928" s="38">
        <v>167</v>
      </c>
      <c r="AK928" s="27">
        <v>1.9862036156041867E-2</v>
      </c>
      <c r="AL928" s="27">
        <f t="shared" si="88"/>
        <v>3.3380172177726431E-4</v>
      </c>
      <c r="AM928" s="40">
        <v>20</v>
      </c>
      <c r="AN928" s="27">
        <v>2.3786869647954329E-3</v>
      </c>
      <c r="AO928" s="27">
        <f t="shared" si="89"/>
        <v>3.9976254105061596E-5</v>
      </c>
      <c r="AP928" s="7" t="b">
        <v>1</v>
      </c>
      <c r="AQ928" s="6" t="b">
        <v>0</v>
      </c>
      <c r="AR928" s="6" t="b">
        <v>0</v>
      </c>
      <c r="AS928" s="6" t="b">
        <v>0</v>
      </c>
      <c r="AT928" s="7" t="b">
        <v>1</v>
      </c>
      <c r="AU928" s="6" t="b">
        <v>0</v>
      </c>
      <c r="AV928" s="6" t="b">
        <v>0</v>
      </c>
      <c r="AW928" s="6" t="b">
        <v>0</v>
      </c>
      <c r="AX928" s="6" t="b">
        <v>0</v>
      </c>
      <c r="AY928" s="6" t="b">
        <v>0</v>
      </c>
      <c r="AZ928" s="6" t="b">
        <v>0</v>
      </c>
      <c r="BA928" s="6" t="b">
        <v>0</v>
      </c>
      <c r="BB928" s="6" t="b">
        <v>0</v>
      </c>
    </row>
    <row r="929" spans="1:54" ht="15" x14ac:dyDescent="0.25">
      <c r="A929" s="3" t="s">
        <v>1917</v>
      </c>
      <c r="B929" s="3" t="str">
        <f ca="1">IFERROR(__xludf.DUMMYFUNCTION("SPLIT(A929,""/"")"),"samre12")</f>
        <v>samre12</v>
      </c>
      <c r="C929" s="3" t="str">
        <f ca="1">IFERROR(__xludf.DUMMYFUNCTION("""COMPUTED_VALUE"""),"deep-trading-agent")</f>
        <v>deep-trading-agent</v>
      </c>
      <c r="D929" s="4" t="s">
        <v>1918</v>
      </c>
      <c r="E929" s="5">
        <v>42999.712025462963</v>
      </c>
      <c r="F929" s="5">
        <v>44289.867083333331</v>
      </c>
      <c r="G929" s="13">
        <f t="shared" si="84"/>
        <v>1290.1550578703682</v>
      </c>
      <c r="H929" s="6" t="b">
        <v>0</v>
      </c>
      <c r="I929" s="6" t="b">
        <v>0</v>
      </c>
      <c r="J929" s="8">
        <v>576</v>
      </c>
      <c r="K929" s="8">
        <v>65</v>
      </c>
      <c r="L929" s="8">
        <v>199</v>
      </c>
      <c r="M929" s="8">
        <v>0</v>
      </c>
      <c r="N929" s="8">
        <v>0</v>
      </c>
      <c r="O929" s="9">
        <v>0</v>
      </c>
      <c r="P929" s="8">
        <v>1</v>
      </c>
      <c r="Q929" s="8">
        <v>0</v>
      </c>
      <c r="R929" s="8">
        <v>20</v>
      </c>
      <c r="S929" s="8">
        <v>6</v>
      </c>
      <c r="T929" s="3" t="s">
        <v>72</v>
      </c>
      <c r="U929" s="10">
        <v>814</v>
      </c>
      <c r="V929" s="32">
        <v>18</v>
      </c>
      <c r="W929" s="27">
        <v>2.2113022113022112E-2</v>
      </c>
      <c r="X929" s="34">
        <v>1</v>
      </c>
      <c r="Y929" s="27">
        <v>5.5555555555555552E-2</v>
      </c>
      <c r="Z929" s="27">
        <v>1.2285012285012285E-3</v>
      </c>
      <c r="AA929" s="35">
        <v>13</v>
      </c>
      <c r="AB929" s="27">
        <v>0.72222222222222221</v>
      </c>
      <c r="AC929" s="27">
        <f t="shared" si="85"/>
        <v>1.5970515970515971E-2</v>
      </c>
      <c r="AD929" s="36">
        <v>0</v>
      </c>
      <c r="AE929" s="27">
        <v>0</v>
      </c>
      <c r="AF929" s="27">
        <f t="shared" si="86"/>
        <v>0</v>
      </c>
      <c r="AG929" s="37">
        <v>4</v>
      </c>
      <c r="AH929" s="27">
        <v>0.22222222222222221</v>
      </c>
      <c r="AI929" s="27">
        <f t="shared" si="87"/>
        <v>4.9140049140049139E-3</v>
      </c>
      <c r="AJ929" s="38">
        <v>0</v>
      </c>
      <c r="AK929" s="27">
        <v>0</v>
      </c>
      <c r="AL929" s="27">
        <f t="shared" si="88"/>
        <v>0</v>
      </c>
      <c r="AM929" s="40">
        <v>0</v>
      </c>
      <c r="AN929" s="27">
        <v>0</v>
      </c>
      <c r="AO929" s="27">
        <f t="shared" si="89"/>
        <v>0</v>
      </c>
      <c r="AP929" s="7" t="b">
        <v>1</v>
      </c>
      <c r="AQ929" s="6" t="b">
        <v>0</v>
      </c>
      <c r="AR929" s="6" t="b">
        <v>0</v>
      </c>
      <c r="AS929" s="6" t="b">
        <v>0</v>
      </c>
      <c r="AT929" s="7" t="b">
        <v>1</v>
      </c>
      <c r="AU929" s="6" t="b">
        <v>0</v>
      </c>
      <c r="AV929" s="6" t="b">
        <v>0</v>
      </c>
      <c r="AW929" s="6" t="b">
        <v>0</v>
      </c>
      <c r="AX929" s="6" t="b">
        <v>0</v>
      </c>
      <c r="AY929" s="6" t="b">
        <v>0</v>
      </c>
      <c r="AZ929" s="6" t="b">
        <v>0</v>
      </c>
      <c r="BA929" s="6" t="b">
        <v>0</v>
      </c>
      <c r="BB929" s="6" t="b">
        <v>0</v>
      </c>
    </row>
    <row r="930" spans="1:54" ht="15" x14ac:dyDescent="0.25">
      <c r="A930" s="3" t="s">
        <v>1919</v>
      </c>
      <c r="B930" s="3" t="str">
        <f ca="1">IFERROR(__xludf.DUMMYFUNCTION("SPLIT(A930,""/"")"),"SamSchott")</f>
        <v>SamSchott</v>
      </c>
      <c r="C930" s="3" t="str">
        <f ca="1">IFERROR(__xludf.DUMMYFUNCTION("""COMPUTED_VALUE"""),"maestral")</f>
        <v>maestral</v>
      </c>
      <c r="D930" s="4" t="s">
        <v>1920</v>
      </c>
      <c r="E930" s="5">
        <v>43430.661678240744</v>
      </c>
      <c r="F930" s="5">
        <v>44294.831250000003</v>
      </c>
      <c r="G930" s="13">
        <f t="shared" si="84"/>
        <v>864.16957175925927</v>
      </c>
      <c r="H930" s="6" t="b">
        <v>0</v>
      </c>
      <c r="I930" s="6" t="b">
        <v>0</v>
      </c>
      <c r="J930" s="8">
        <v>330</v>
      </c>
      <c r="K930" s="8">
        <v>10</v>
      </c>
      <c r="L930" s="8">
        <v>15</v>
      </c>
      <c r="M930" s="8">
        <v>34</v>
      </c>
      <c r="N930" s="8">
        <v>6</v>
      </c>
      <c r="O930" s="8">
        <v>8</v>
      </c>
      <c r="P930" s="8">
        <v>145</v>
      </c>
      <c r="Q930" s="8">
        <v>1</v>
      </c>
      <c r="R930" s="8">
        <v>224</v>
      </c>
      <c r="S930" s="8">
        <v>38</v>
      </c>
      <c r="T930" s="3" t="s">
        <v>72</v>
      </c>
      <c r="U930" s="10">
        <v>9138</v>
      </c>
      <c r="V930" s="32">
        <v>152</v>
      </c>
      <c r="W930" s="27">
        <v>1.6633836725760562E-2</v>
      </c>
      <c r="X930" s="34">
        <v>70</v>
      </c>
      <c r="Y930" s="27">
        <v>0.46052631578947367</v>
      </c>
      <c r="Z930" s="27">
        <v>7.6603195447581532E-3</v>
      </c>
      <c r="AA930" s="35">
        <v>59</v>
      </c>
      <c r="AB930" s="27">
        <v>0.38815789473684209</v>
      </c>
      <c r="AC930" s="27">
        <f t="shared" si="85"/>
        <v>6.4565550448675863E-3</v>
      </c>
      <c r="AD930" s="36">
        <v>11</v>
      </c>
      <c r="AE930" s="27">
        <v>7.2368421052631582E-2</v>
      </c>
      <c r="AF930" s="27">
        <f t="shared" si="86"/>
        <v>1.2037644998905668E-3</v>
      </c>
      <c r="AG930" s="37">
        <v>11</v>
      </c>
      <c r="AH930" s="27">
        <v>7.2368421052631582E-2</v>
      </c>
      <c r="AI930" s="27">
        <f t="shared" si="87"/>
        <v>1.2037644998905668E-3</v>
      </c>
      <c r="AJ930" s="38">
        <v>0</v>
      </c>
      <c r="AK930" s="27">
        <v>0</v>
      </c>
      <c r="AL930" s="27">
        <f t="shared" si="88"/>
        <v>0</v>
      </c>
      <c r="AM930" s="40">
        <v>1</v>
      </c>
      <c r="AN930" s="27">
        <v>6.5789473684210523E-3</v>
      </c>
      <c r="AO930" s="27">
        <f t="shared" si="89"/>
        <v>1.094331363536879E-4</v>
      </c>
      <c r="AP930" s="7" t="b">
        <v>1</v>
      </c>
      <c r="AQ930" s="6" t="b">
        <v>0</v>
      </c>
      <c r="AR930" s="6" t="b">
        <v>0</v>
      </c>
      <c r="AS930" s="6" t="b">
        <v>0</v>
      </c>
      <c r="AT930" s="7" t="b">
        <v>1</v>
      </c>
      <c r="AU930" s="6" t="b">
        <v>0</v>
      </c>
      <c r="AV930" s="6" t="b">
        <v>0</v>
      </c>
      <c r="AW930" s="6" t="b">
        <v>0</v>
      </c>
      <c r="AX930" s="6" t="b">
        <v>0</v>
      </c>
      <c r="AY930" s="6" t="b">
        <v>0</v>
      </c>
      <c r="AZ930" s="6" t="b">
        <v>0</v>
      </c>
      <c r="BA930" s="6" t="b">
        <v>0</v>
      </c>
      <c r="BB930" s="6" t="b">
        <v>0</v>
      </c>
    </row>
    <row r="931" spans="1:54" ht="15" x14ac:dyDescent="0.25">
      <c r="A931" s="3" t="s">
        <v>1921</v>
      </c>
      <c r="B931" s="3" t="str">
        <f ca="1">IFERROR(__xludf.DUMMYFUNCTION("SPLIT(A931,""/"")"),"sanic-org")</f>
        <v>sanic-org</v>
      </c>
      <c r="C931" s="3" t="str">
        <f ca="1">IFERROR(__xludf.DUMMYFUNCTION("""COMPUTED_VALUE"""),"sanic")</f>
        <v>sanic</v>
      </c>
      <c r="D931" s="4" t="s">
        <v>1922</v>
      </c>
      <c r="E931" s="5">
        <v>42516.193310185183</v>
      </c>
      <c r="F931" s="5">
        <v>44295.177291666667</v>
      </c>
      <c r="G931" s="13">
        <f t="shared" si="84"/>
        <v>1778.9839814814841</v>
      </c>
      <c r="H931" s="6" t="b">
        <v>0</v>
      </c>
      <c r="I931" s="7" t="b">
        <v>1</v>
      </c>
      <c r="J931" s="8">
        <v>14808</v>
      </c>
      <c r="K931" s="8">
        <v>432</v>
      </c>
      <c r="L931" s="8">
        <v>1300</v>
      </c>
      <c r="M931" s="8">
        <v>41</v>
      </c>
      <c r="N931" s="8">
        <v>44</v>
      </c>
      <c r="O931" s="8">
        <v>251</v>
      </c>
      <c r="P931" s="8">
        <v>1116</v>
      </c>
      <c r="Q931" s="8">
        <v>3</v>
      </c>
      <c r="R931" s="8">
        <v>987</v>
      </c>
      <c r="S931" s="8">
        <v>36</v>
      </c>
      <c r="T931" s="3" t="s">
        <v>72</v>
      </c>
      <c r="U931" s="10">
        <v>13590</v>
      </c>
      <c r="V931" s="32">
        <v>58</v>
      </c>
      <c r="W931" s="27">
        <v>4.2678440029433407E-3</v>
      </c>
      <c r="X931" s="34">
        <v>7</v>
      </c>
      <c r="Y931" s="27">
        <v>0.1206896551724138</v>
      </c>
      <c r="Z931" s="27">
        <v>5.1508462104488595E-4</v>
      </c>
      <c r="AA931" s="35">
        <v>25</v>
      </c>
      <c r="AB931" s="27">
        <v>0.43103448275862066</v>
      </c>
      <c r="AC931" s="27">
        <f t="shared" si="85"/>
        <v>1.8395879323031641E-3</v>
      </c>
      <c r="AD931" s="36">
        <v>6</v>
      </c>
      <c r="AE931" s="27">
        <v>0.10344827586206896</v>
      </c>
      <c r="AF931" s="27">
        <f t="shared" si="86"/>
        <v>4.4150110375275938E-4</v>
      </c>
      <c r="AG931" s="37">
        <v>18</v>
      </c>
      <c r="AH931" s="27">
        <v>0.31034482758620691</v>
      </c>
      <c r="AI931" s="27">
        <f t="shared" si="87"/>
        <v>1.3245033112582781E-3</v>
      </c>
      <c r="AJ931" s="38">
        <v>0</v>
      </c>
      <c r="AK931" s="27">
        <v>0</v>
      </c>
      <c r="AL931" s="27">
        <f t="shared" si="88"/>
        <v>0</v>
      </c>
      <c r="AM931" s="40">
        <v>2</v>
      </c>
      <c r="AN931" s="27">
        <v>3.4482758620689655E-2</v>
      </c>
      <c r="AO931" s="27">
        <f t="shared" si="89"/>
        <v>1.4716703458425313E-4</v>
      </c>
      <c r="AP931" s="7" t="b">
        <v>1</v>
      </c>
      <c r="AQ931" s="7" t="b">
        <v>1</v>
      </c>
      <c r="AR931" s="6" t="b">
        <v>0</v>
      </c>
      <c r="AS931" s="6" t="b">
        <v>0</v>
      </c>
      <c r="AT931" s="7" t="b">
        <v>1</v>
      </c>
      <c r="AU931" s="6" t="b">
        <v>0</v>
      </c>
      <c r="AV931" s="6" t="b">
        <v>0</v>
      </c>
      <c r="AW931" s="6" t="b">
        <v>0</v>
      </c>
      <c r="AX931" s="6" t="b">
        <v>0</v>
      </c>
      <c r="AY931" s="6" t="b">
        <v>0</v>
      </c>
      <c r="AZ931" s="6" t="b">
        <v>0</v>
      </c>
      <c r="BA931" s="6" t="b">
        <v>0</v>
      </c>
      <c r="BB931" s="6" t="b">
        <v>0</v>
      </c>
    </row>
    <row r="932" spans="1:54" ht="15" x14ac:dyDescent="0.25">
      <c r="A932" s="3" t="s">
        <v>1923</v>
      </c>
      <c r="B932" s="3" t="str">
        <f ca="1">IFERROR(__xludf.DUMMYFUNCTION("SPLIT(A932,""/"")"),"SathyaBhat")</f>
        <v>SathyaBhat</v>
      </c>
      <c r="C932" s="3" t="str">
        <f ca="1">IFERROR(__xludf.DUMMYFUNCTION("""COMPUTED_VALUE"""),"spotify-dl")</f>
        <v>spotify-dl</v>
      </c>
      <c r="D932" s="4" t="s">
        <v>1924</v>
      </c>
      <c r="E932" s="5">
        <v>42366.784375000003</v>
      </c>
      <c r="F932" s="5">
        <v>44295.052060185182</v>
      </c>
      <c r="G932" s="13">
        <f t="shared" si="84"/>
        <v>1928.2676851851793</v>
      </c>
      <c r="H932" s="6" t="b">
        <v>0</v>
      </c>
      <c r="I932" s="6" t="b">
        <v>0</v>
      </c>
      <c r="J932" s="8">
        <v>614</v>
      </c>
      <c r="K932" s="8">
        <v>23</v>
      </c>
      <c r="L932" s="8">
        <v>108</v>
      </c>
      <c r="M932" s="8">
        <v>19</v>
      </c>
      <c r="N932" s="8">
        <v>3</v>
      </c>
      <c r="O932" s="8">
        <v>23</v>
      </c>
      <c r="P932" s="8">
        <v>83</v>
      </c>
      <c r="Q932" s="8">
        <v>6</v>
      </c>
      <c r="R932" s="8">
        <v>88</v>
      </c>
      <c r="S932" s="8">
        <v>20</v>
      </c>
      <c r="T932" s="3" t="s">
        <v>72</v>
      </c>
      <c r="U932" s="10">
        <v>397</v>
      </c>
      <c r="V932" s="32">
        <v>19</v>
      </c>
      <c r="W932" s="27">
        <v>4.7858942065491183E-2</v>
      </c>
      <c r="X932" s="34">
        <v>9</v>
      </c>
      <c r="Y932" s="27">
        <v>0.47368421052631576</v>
      </c>
      <c r="Z932" s="27">
        <v>2.2670025188916875E-2</v>
      </c>
      <c r="AA932" s="35">
        <v>6</v>
      </c>
      <c r="AB932" s="27">
        <v>0.31578947368421051</v>
      </c>
      <c r="AC932" s="27">
        <f t="shared" si="85"/>
        <v>1.5113350125944584E-2</v>
      </c>
      <c r="AD932" s="36">
        <v>0</v>
      </c>
      <c r="AE932" s="27">
        <v>0</v>
      </c>
      <c r="AF932" s="27">
        <f t="shared" si="86"/>
        <v>0</v>
      </c>
      <c r="AG932" s="37">
        <v>3</v>
      </c>
      <c r="AH932" s="27">
        <v>0.15789473684210525</v>
      </c>
      <c r="AI932" s="27">
        <f t="shared" si="87"/>
        <v>7.556675062972292E-3</v>
      </c>
      <c r="AJ932" s="38">
        <v>0</v>
      </c>
      <c r="AK932" s="27">
        <v>0</v>
      </c>
      <c r="AL932" s="27">
        <f t="shared" si="88"/>
        <v>0</v>
      </c>
      <c r="AM932" s="40">
        <v>0</v>
      </c>
      <c r="AN932" s="27">
        <v>0</v>
      </c>
      <c r="AO932" s="27">
        <f t="shared" si="89"/>
        <v>0</v>
      </c>
      <c r="AP932" s="7" t="b">
        <v>1</v>
      </c>
      <c r="AQ932" s="6" t="b">
        <v>0</v>
      </c>
      <c r="AR932" s="6" t="b">
        <v>0</v>
      </c>
      <c r="AS932" s="6" t="b">
        <v>0</v>
      </c>
      <c r="AT932" s="7" t="b">
        <v>1</v>
      </c>
      <c r="AU932" s="6" t="b">
        <v>0</v>
      </c>
      <c r="AV932" s="6" t="b">
        <v>0</v>
      </c>
      <c r="AW932" s="6" t="b">
        <v>0</v>
      </c>
      <c r="AX932" s="6" t="b">
        <v>0</v>
      </c>
      <c r="AY932" s="6" t="b">
        <v>0</v>
      </c>
      <c r="AZ932" s="6" t="b">
        <v>0</v>
      </c>
      <c r="BA932" s="6" t="b">
        <v>0</v>
      </c>
      <c r="BB932" s="6" t="b">
        <v>0</v>
      </c>
    </row>
    <row r="933" spans="1:54" ht="15" x14ac:dyDescent="0.25">
      <c r="A933" s="3" t="s">
        <v>1925</v>
      </c>
      <c r="B933" s="3" t="str">
        <f ca="1">IFERROR(__xludf.DUMMYFUNCTION("SPLIT(A933,""/"")"),"saulpw")</f>
        <v>saulpw</v>
      </c>
      <c r="C933" s="3" t="str">
        <f ca="1">IFERROR(__xludf.DUMMYFUNCTION("""COMPUTED_VALUE"""),"visidata")</f>
        <v>visidata</v>
      </c>
      <c r="D933" s="4" t="s">
        <v>1926</v>
      </c>
      <c r="E933" s="5">
        <v>42670.181250000001</v>
      </c>
      <c r="F933" s="5">
        <v>44294.255925925929</v>
      </c>
      <c r="G933" s="13">
        <f t="shared" si="84"/>
        <v>1624.0746759259273</v>
      </c>
      <c r="H933" s="6" t="b">
        <v>0</v>
      </c>
      <c r="I933" s="6" t="b">
        <v>0</v>
      </c>
      <c r="J933" s="8">
        <v>3728</v>
      </c>
      <c r="K933" s="8">
        <v>58</v>
      </c>
      <c r="L933" s="8">
        <v>146</v>
      </c>
      <c r="M933" s="8">
        <v>27</v>
      </c>
      <c r="N933" s="8">
        <v>90</v>
      </c>
      <c r="O933" s="8">
        <v>41</v>
      </c>
      <c r="P933" s="8">
        <v>256</v>
      </c>
      <c r="Q933" s="8">
        <v>3</v>
      </c>
      <c r="R933" s="8">
        <v>665</v>
      </c>
      <c r="S933" s="8">
        <v>24</v>
      </c>
      <c r="T933" s="3" t="s">
        <v>49</v>
      </c>
      <c r="U933" s="10">
        <v>12922</v>
      </c>
      <c r="V933" s="32">
        <v>63</v>
      </c>
      <c r="W933" s="27">
        <v>4.8754062838569879E-3</v>
      </c>
      <c r="X933" s="34">
        <v>3</v>
      </c>
      <c r="Y933" s="27">
        <v>4.7619047619047616E-2</v>
      </c>
      <c r="Z933" s="27">
        <v>2.3216220399318991E-4</v>
      </c>
      <c r="AA933" s="35">
        <v>0</v>
      </c>
      <c r="AB933" s="27">
        <v>0</v>
      </c>
      <c r="AC933" s="27">
        <f t="shared" si="85"/>
        <v>0</v>
      </c>
      <c r="AD933" s="36">
        <v>46</v>
      </c>
      <c r="AE933" s="27">
        <v>0.73015873015873012</v>
      </c>
      <c r="AF933" s="27">
        <f t="shared" si="86"/>
        <v>3.5598204612289118E-3</v>
      </c>
      <c r="AG933" s="37">
        <v>14</v>
      </c>
      <c r="AH933" s="27">
        <v>0.22222222222222221</v>
      </c>
      <c r="AI933" s="27">
        <f t="shared" si="87"/>
        <v>1.0834236186348862E-3</v>
      </c>
      <c r="AJ933" s="38">
        <v>0</v>
      </c>
      <c r="AK933" s="27">
        <v>0</v>
      </c>
      <c r="AL933" s="27">
        <f t="shared" si="88"/>
        <v>0</v>
      </c>
      <c r="AM933" s="40">
        <v>0</v>
      </c>
      <c r="AN933" s="27">
        <v>0</v>
      </c>
      <c r="AO933" s="27">
        <f t="shared" si="89"/>
        <v>0</v>
      </c>
      <c r="AP933" s="7" t="b">
        <v>1</v>
      </c>
      <c r="AQ933" s="6" t="b">
        <v>0</v>
      </c>
      <c r="AR933" s="6" t="b">
        <v>0</v>
      </c>
      <c r="AS933" s="6" t="b">
        <v>0</v>
      </c>
      <c r="AT933" s="7" t="b">
        <v>1</v>
      </c>
      <c r="AU933" s="6" t="b">
        <v>0</v>
      </c>
      <c r="AV933" s="6" t="b">
        <v>0</v>
      </c>
      <c r="AW933" s="6" t="b">
        <v>0</v>
      </c>
      <c r="AX933" s="6" t="b">
        <v>0</v>
      </c>
      <c r="AY933" s="6" t="b">
        <v>0</v>
      </c>
      <c r="AZ933" s="6" t="b">
        <v>0</v>
      </c>
      <c r="BA933" s="6" t="b">
        <v>0</v>
      </c>
      <c r="BB933" s="6" t="b">
        <v>0</v>
      </c>
    </row>
    <row r="934" spans="1:54" ht="15" x14ac:dyDescent="0.25">
      <c r="A934" s="3" t="s">
        <v>1927</v>
      </c>
      <c r="B934" s="3" t="str">
        <f ca="1">IFERROR(__xludf.DUMMYFUNCTION("SPLIT(A934,""/"")"),"sbaresearch")</f>
        <v>sbaresearch</v>
      </c>
      <c r="C934" s="3" t="str">
        <f ca="1">IFERROR(__xludf.DUMMYFUNCTION("""COMPUTED_VALUE"""),"simcoin")</f>
        <v>simcoin</v>
      </c>
      <c r="D934" s="4" t="s">
        <v>1928</v>
      </c>
      <c r="E934" s="5">
        <v>43061.568958333337</v>
      </c>
      <c r="F934" s="5">
        <v>44274.821192129632</v>
      </c>
      <c r="G934" s="13">
        <f t="shared" si="84"/>
        <v>1213.2522337962946</v>
      </c>
      <c r="H934" s="6" t="b">
        <v>0</v>
      </c>
      <c r="I934" s="7" t="b">
        <v>1</v>
      </c>
      <c r="J934" s="8">
        <v>471</v>
      </c>
      <c r="K934" s="8">
        <v>14</v>
      </c>
      <c r="L934" s="8">
        <v>44</v>
      </c>
      <c r="M934" s="8">
        <v>0</v>
      </c>
      <c r="N934" s="8">
        <v>0</v>
      </c>
      <c r="O934" s="8">
        <v>3</v>
      </c>
      <c r="P934" s="8">
        <v>2</v>
      </c>
      <c r="Q934" s="8">
        <v>0</v>
      </c>
      <c r="R934" s="8">
        <v>2</v>
      </c>
      <c r="S934" s="8">
        <v>0</v>
      </c>
      <c r="T934" s="3" t="s">
        <v>72</v>
      </c>
      <c r="U934" s="10">
        <v>2414</v>
      </c>
      <c r="V934" s="32">
        <v>86</v>
      </c>
      <c r="W934" s="27">
        <v>3.5625517812758904E-2</v>
      </c>
      <c r="X934" s="34">
        <v>14</v>
      </c>
      <c r="Y934" s="27">
        <v>0.16279069767441862</v>
      </c>
      <c r="Z934" s="27">
        <v>5.7995028997514502E-3</v>
      </c>
      <c r="AA934" s="35">
        <v>63</v>
      </c>
      <c r="AB934" s="27">
        <v>0.73255813953488369</v>
      </c>
      <c r="AC934" s="27">
        <f t="shared" si="85"/>
        <v>2.6097763048881523E-2</v>
      </c>
      <c r="AD934" s="36">
        <v>1</v>
      </c>
      <c r="AE934" s="27">
        <v>1.1627906976744186E-2</v>
      </c>
      <c r="AF934" s="27">
        <f t="shared" si="86"/>
        <v>4.1425020712510354E-4</v>
      </c>
      <c r="AG934" s="37">
        <v>7</v>
      </c>
      <c r="AH934" s="27">
        <v>8.1395348837209308E-2</v>
      </c>
      <c r="AI934" s="27">
        <f t="shared" si="87"/>
        <v>2.8997514498757251E-3</v>
      </c>
      <c r="AJ934" s="38">
        <v>0</v>
      </c>
      <c r="AK934" s="27">
        <v>0</v>
      </c>
      <c r="AL934" s="27">
        <f t="shared" si="88"/>
        <v>0</v>
      </c>
      <c r="AM934" s="40">
        <v>1</v>
      </c>
      <c r="AN934" s="27">
        <v>1.1627906976744186E-2</v>
      </c>
      <c r="AO934" s="27">
        <f t="shared" si="89"/>
        <v>4.1425020712510354E-4</v>
      </c>
      <c r="AP934" s="7" t="b">
        <v>1</v>
      </c>
      <c r="AQ934" s="6" t="b">
        <v>0</v>
      </c>
      <c r="AR934" s="6" t="b">
        <v>0</v>
      </c>
      <c r="AS934" s="6" t="b">
        <v>0</v>
      </c>
      <c r="AT934" s="7" t="b">
        <v>1</v>
      </c>
      <c r="AU934" s="6" t="b">
        <v>0</v>
      </c>
      <c r="AV934" s="6" t="b">
        <v>0</v>
      </c>
      <c r="AW934" s="6" t="b">
        <v>0</v>
      </c>
      <c r="AX934" s="6" t="b">
        <v>0</v>
      </c>
      <c r="AY934" s="6" t="b">
        <v>0</v>
      </c>
      <c r="AZ934" s="6" t="b">
        <v>0</v>
      </c>
      <c r="BA934" s="6" t="b">
        <v>0</v>
      </c>
      <c r="BB934" s="6" t="b">
        <v>0</v>
      </c>
    </row>
    <row r="935" spans="1:54" ht="15" x14ac:dyDescent="0.25">
      <c r="A935" s="3" t="s">
        <v>1929</v>
      </c>
      <c r="B935" s="3" t="str">
        <f ca="1">IFERROR(__xludf.DUMMYFUNCTION("SPLIT(A935,""/"")"),"scalingexcellence")</f>
        <v>scalingexcellence</v>
      </c>
      <c r="C935" s="3" t="str">
        <f ca="1">IFERROR(__xludf.DUMMYFUNCTION("""COMPUTED_VALUE"""),"scrapybook")</f>
        <v>scrapybook</v>
      </c>
      <c r="D935" s="4" t="s">
        <v>1930</v>
      </c>
      <c r="E935" s="5">
        <v>41515.339016203703</v>
      </c>
      <c r="F935" s="5">
        <v>44285.032164351855</v>
      </c>
      <c r="G935" s="13">
        <f t="shared" si="84"/>
        <v>2769.6931481481515</v>
      </c>
      <c r="H935" s="6" t="b">
        <v>0</v>
      </c>
      <c r="I935" s="6" t="b">
        <v>0</v>
      </c>
      <c r="J935" s="8">
        <v>418</v>
      </c>
      <c r="K935" s="8">
        <v>35</v>
      </c>
      <c r="L935" s="8">
        <v>187</v>
      </c>
      <c r="M935" s="8">
        <v>0</v>
      </c>
      <c r="N935" s="8">
        <v>0</v>
      </c>
      <c r="O935" s="8">
        <v>4</v>
      </c>
      <c r="P935" s="8">
        <v>4</v>
      </c>
      <c r="Q935" s="8">
        <v>1</v>
      </c>
      <c r="R935" s="8">
        <v>65</v>
      </c>
      <c r="S935" s="8">
        <v>14</v>
      </c>
      <c r="T935" s="11" t="s">
        <v>52</v>
      </c>
      <c r="U935" s="10">
        <v>1904</v>
      </c>
      <c r="V935" s="32">
        <v>41</v>
      </c>
      <c r="W935" s="27">
        <v>2.1533613445378151E-2</v>
      </c>
      <c r="X935" s="34">
        <v>0</v>
      </c>
      <c r="Y935" s="27">
        <v>0</v>
      </c>
      <c r="Z935" s="27">
        <v>0</v>
      </c>
      <c r="AA935" s="35">
        <v>35</v>
      </c>
      <c r="AB935" s="27">
        <v>0.85365853658536583</v>
      </c>
      <c r="AC935" s="27">
        <f t="shared" si="85"/>
        <v>1.8382352941176471E-2</v>
      </c>
      <c r="AD935" s="36">
        <v>0</v>
      </c>
      <c r="AE935" s="27">
        <v>0</v>
      </c>
      <c r="AF935" s="27">
        <f t="shared" si="86"/>
        <v>0</v>
      </c>
      <c r="AG935" s="37">
        <v>6</v>
      </c>
      <c r="AH935" s="27">
        <v>0.14634146341463414</v>
      </c>
      <c r="AI935" s="27">
        <f t="shared" si="87"/>
        <v>3.1512605042016808E-3</v>
      </c>
      <c r="AJ935" s="38">
        <v>0</v>
      </c>
      <c r="AK935" s="27">
        <v>0</v>
      </c>
      <c r="AL935" s="27">
        <f t="shared" si="88"/>
        <v>0</v>
      </c>
      <c r="AM935" s="40">
        <v>0</v>
      </c>
      <c r="AN935" s="27">
        <v>0</v>
      </c>
      <c r="AO935" s="27">
        <f t="shared" si="89"/>
        <v>0</v>
      </c>
      <c r="AP935" s="6" t="b">
        <v>0</v>
      </c>
      <c r="AQ935" s="7" t="b">
        <v>1</v>
      </c>
      <c r="AR935" s="6" t="b">
        <v>0</v>
      </c>
      <c r="AS935" s="6" t="b">
        <v>0</v>
      </c>
      <c r="AT935" s="7" t="b">
        <v>1</v>
      </c>
      <c r="AU935" s="6" t="b">
        <v>0</v>
      </c>
      <c r="AV935" s="6" t="b">
        <v>0</v>
      </c>
      <c r="AW935" s="6" t="b">
        <v>0</v>
      </c>
      <c r="AX935" s="6" t="b">
        <v>0</v>
      </c>
      <c r="AY935" s="6" t="b">
        <v>0</v>
      </c>
      <c r="AZ935" s="6" t="b">
        <v>0</v>
      </c>
      <c r="BA935" s="6" t="b">
        <v>0</v>
      </c>
      <c r="BB935" s="6" t="b">
        <v>0</v>
      </c>
    </row>
    <row r="936" spans="1:54" ht="15" x14ac:dyDescent="0.25">
      <c r="A936" s="3" t="s">
        <v>1931</v>
      </c>
      <c r="B936" s="3" t="str">
        <f ca="1">IFERROR(__xludf.DUMMYFUNCTION("SPLIT(A936,""/"")"),"scanapi")</f>
        <v>scanapi</v>
      </c>
      <c r="C936" s="3" t="str">
        <f ca="1">IFERROR(__xludf.DUMMYFUNCTION("""COMPUTED_VALUE"""),"scanapi")</f>
        <v>scanapi</v>
      </c>
      <c r="D936" s="4" t="s">
        <v>1932</v>
      </c>
      <c r="E936" s="5">
        <v>43666.438738425924</v>
      </c>
      <c r="F936" s="5">
        <v>44294.369837962964</v>
      </c>
      <c r="G936" s="13">
        <f t="shared" si="84"/>
        <v>627.9310995370397</v>
      </c>
      <c r="H936" s="6" t="b">
        <v>0</v>
      </c>
      <c r="I936" s="7" t="b">
        <v>1</v>
      </c>
      <c r="J936" s="8">
        <v>355</v>
      </c>
      <c r="K936" s="8">
        <v>16</v>
      </c>
      <c r="L936" s="8">
        <v>43</v>
      </c>
      <c r="M936" s="8">
        <v>21</v>
      </c>
      <c r="N936" s="8">
        <v>0</v>
      </c>
      <c r="O936" s="8">
        <v>29</v>
      </c>
      <c r="P936" s="8">
        <v>186</v>
      </c>
      <c r="Q936" s="8">
        <v>4</v>
      </c>
      <c r="R936" s="8">
        <v>165</v>
      </c>
      <c r="S936" s="8">
        <v>25</v>
      </c>
      <c r="T936" s="3" t="s">
        <v>72</v>
      </c>
      <c r="U936" s="10">
        <v>2014</v>
      </c>
      <c r="V936" s="32">
        <v>14</v>
      </c>
      <c r="W936" s="27">
        <v>6.9513406156901684E-3</v>
      </c>
      <c r="X936" s="34">
        <v>2</v>
      </c>
      <c r="Y936" s="27">
        <v>0.14285714285714285</v>
      </c>
      <c r="Z936" s="27">
        <v>9.930486593843098E-4</v>
      </c>
      <c r="AA936" s="35">
        <v>5</v>
      </c>
      <c r="AB936" s="27">
        <v>0.35714285714285715</v>
      </c>
      <c r="AC936" s="27">
        <f t="shared" si="85"/>
        <v>2.4826216484607746E-3</v>
      </c>
      <c r="AD936" s="36">
        <v>0</v>
      </c>
      <c r="AE936" s="27">
        <v>0</v>
      </c>
      <c r="AF936" s="27">
        <f t="shared" si="86"/>
        <v>0</v>
      </c>
      <c r="AG936" s="37">
        <v>6</v>
      </c>
      <c r="AH936" s="27">
        <v>0.42857142857142855</v>
      </c>
      <c r="AI936" s="27">
        <f t="shared" si="87"/>
        <v>2.9791459781529296E-3</v>
      </c>
      <c r="AJ936" s="38">
        <v>0</v>
      </c>
      <c r="AK936" s="27">
        <v>0</v>
      </c>
      <c r="AL936" s="27">
        <f t="shared" si="88"/>
        <v>0</v>
      </c>
      <c r="AM936" s="40">
        <v>0</v>
      </c>
      <c r="AN936" s="27">
        <v>0</v>
      </c>
      <c r="AO936" s="27">
        <f t="shared" si="89"/>
        <v>0</v>
      </c>
      <c r="AP936" s="7" t="b">
        <v>1</v>
      </c>
      <c r="AQ936" s="6" t="b">
        <v>0</v>
      </c>
      <c r="AR936" s="6" t="b">
        <v>0</v>
      </c>
      <c r="AS936" s="6" t="b">
        <v>0</v>
      </c>
      <c r="AT936" s="7" t="b">
        <v>1</v>
      </c>
      <c r="AU936" s="6" t="b">
        <v>0</v>
      </c>
      <c r="AV936" s="6" t="b">
        <v>0</v>
      </c>
      <c r="AW936" s="6" t="b">
        <v>0</v>
      </c>
      <c r="AX936" s="6" t="b">
        <v>0</v>
      </c>
      <c r="AY936" s="6" t="b">
        <v>0</v>
      </c>
      <c r="AZ936" s="6" t="b">
        <v>0</v>
      </c>
      <c r="BA936" s="6" t="b">
        <v>0</v>
      </c>
      <c r="BB936" s="6" t="b">
        <v>0</v>
      </c>
    </row>
    <row r="937" spans="1:54" ht="15" x14ac:dyDescent="0.25">
      <c r="A937" s="3" t="s">
        <v>1933</v>
      </c>
      <c r="B937" s="3" t="str">
        <f ca="1">IFERROR(__xludf.DUMMYFUNCTION("SPLIT(A937,""/"")"),"Sceptre")</f>
        <v>Sceptre</v>
      </c>
      <c r="C937" s="3" t="str">
        <f ca="1">IFERROR(__xludf.DUMMYFUNCTION("""COMPUTED_VALUE"""),"sceptre")</f>
        <v>sceptre</v>
      </c>
      <c r="D937" s="4" t="s">
        <v>1934</v>
      </c>
      <c r="E937" s="5">
        <v>42766.875451388885</v>
      </c>
      <c r="F937" s="5">
        <v>44293.771539351852</v>
      </c>
      <c r="G937" s="13">
        <f t="shared" si="84"/>
        <v>1526.8960879629667</v>
      </c>
      <c r="H937" s="6" t="b">
        <v>0</v>
      </c>
      <c r="I937" s="7" t="b">
        <v>1</v>
      </c>
      <c r="J937" s="8">
        <v>1169</v>
      </c>
      <c r="K937" s="8">
        <v>51</v>
      </c>
      <c r="L937" s="8">
        <v>263</v>
      </c>
      <c r="M937" s="8">
        <v>0</v>
      </c>
      <c r="N937" s="8">
        <v>8</v>
      </c>
      <c r="O937" s="8">
        <v>61</v>
      </c>
      <c r="P937" s="8">
        <v>438</v>
      </c>
      <c r="Q937" s="8">
        <v>22</v>
      </c>
      <c r="R937" s="8">
        <v>537</v>
      </c>
      <c r="S937" s="8">
        <v>103</v>
      </c>
      <c r="T937" s="3" t="s">
        <v>92</v>
      </c>
      <c r="U937" s="10">
        <v>5287</v>
      </c>
      <c r="V937" s="32">
        <v>66</v>
      </c>
      <c r="W937" s="27">
        <v>1.2483449971628523E-2</v>
      </c>
      <c r="X937" s="34">
        <v>44</v>
      </c>
      <c r="Y937" s="27">
        <v>0.66666666666666663</v>
      </c>
      <c r="Z937" s="27">
        <v>8.3222999810856815E-3</v>
      </c>
      <c r="AA937" s="35">
        <v>18</v>
      </c>
      <c r="AB937" s="27">
        <v>0.27272727272727271</v>
      </c>
      <c r="AC937" s="27">
        <f t="shared" si="85"/>
        <v>3.4045772649895973E-3</v>
      </c>
      <c r="AD937" s="36">
        <v>1</v>
      </c>
      <c r="AE937" s="27">
        <v>1.5151515151515152E-2</v>
      </c>
      <c r="AF937" s="27">
        <f t="shared" si="86"/>
        <v>1.8914318138831096E-4</v>
      </c>
      <c r="AG937" s="37">
        <v>3</v>
      </c>
      <c r="AH937" s="27">
        <v>4.5454545454545456E-2</v>
      </c>
      <c r="AI937" s="27">
        <f t="shared" si="87"/>
        <v>5.6742954416493289E-4</v>
      </c>
      <c r="AJ937" s="38">
        <v>0</v>
      </c>
      <c r="AK937" s="27">
        <v>0</v>
      </c>
      <c r="AL937" s="27">
        <f t="shared" si="88"/>
        <v>0</v>
      </c>
      <c r="AM937" s="40">
        <v>0</v>
      </c>
      <c r="AN937" s="27">
        <v>0</v>
      </c>
      <c r="AO937" s="27">
        <f t="shared" si="89"/>
        <v>0</v>
      </c>
      <c r="AP937" s="7" t="b">
        <v>1</v>
      </c>
      <c r="AQ937" s="6" t="b">
        <v>0</v>
      </c>
      <c r="AR937" s="6" t="b">
        <v>0</v>
      </c>
      <c r="AS937" s="6" t="b">
        <v>0</v>
      </c>
      <c r="AT937" s="7" t="b">
        <v>1</v>
      </c>
      <c r="AU937" s="6" t="b">
        <v>0</v>
      </c>
      <c r="AV937" s="6" t="b">
        <v>0</v>
      </c>
      <c r="AW937" s="6" t="b">
        <v>0</v>
      </c>
      <c r="AX937" s="6" t="b">
        <v>0</v>
      </c>
      <c r="AY937" s="6" t="b">
        <v>0</v>
      </c>
      <c r="AZ937" s="6" t="b">
        <v>0</v>
      </c>
      <c r="BA937" s="6" t="b">
        <v>0</v>
      </c>
      <c r="BB937" s="6" t="b">
        <v>0</v>
      </c>
    </row>
    <row r="938" spans="1:54" ht="15" x14ac:dyDescent="0.25">
      <c r="A938" s="3" t="s">
        <v>1935</v>
      </c>
      <c r="B938" s="3" t="str">
        <f ca="1">IFERROR(__xludf.DUMMYFUNCTION("SPLIT(A938,""/"")"),"schemathesis")</f>
        <v>schemathesis</v>
      </c>
      <c r="C938" s="3" t="str">
        <f ca="1">IFERROR(__xludf.DUMMYFUNCTION("""COMPUTED_VALUE"""),"schemathesis")</f>
        <v>schemathesis</v>
      </c>
      <c r="D938" s="4" t="s">
        <v>1936</v>
      </c>
      <c r="E938" s="5">
        <v>43696.467372685183</v>
      </c>
      <c r="F938" s="5">
        <v>44295.055810185186</v>
      </c>
      <c r="G938" s="13">
        <f t="shared" si="84"/>
        <v>598.58843750000233</v>
      </c>
      <c r="H938" s="6" t="b">
        <v>0</v>
      </c>
      <c r="I938" s="7" t="b">
        <v>1</v>
      </c>
      <c r="J938" s="8">
        <v>801</v>
      </c>
      <c r="K938" s="8">
        <v>15</v>
      </c>
      <c r="L938" s="8">
        <v>61</v>
      </c>
      <c r="M938" s="8">
        <v>140</v>
      </c>
      <c r="N938" s="8">
        <v>10</v>
      </c>
      <c r="O938" s="8">
        <v>25</v>
      </c>
      <c r="P938" s="8">
        <v>613</v>
      </c>
      <c r="Q938" s="8">
        <v>7</v>
      </c>
      <c r="R938" s="8">
        <v>500</v>
      </c>
      <c r="S938" s="8">
        <v>64</v>
      </c>
      <c r="T938" s="3" t="s">
        <v>72</v>
      </c>
      <c r="U938" s="10">
        <v>12508</v>
      </c>
      <c r="V938" s="32">
        <v>2</v>
      </c>
      <c r="W938" s="27">
        <v>1.5989766549408379E-4</v>
      </c>
      <c r="X938" s="34">
        <v>0</v>
      </c>
      <c r="Y938" s="27">
        <v>0</v>
      </c>
      <c r="Z938" s="27">
        <v>0</v>
      </c>
      <c r="AA938" s="35">
        <v>1</v>
      </c>
      <c r="AB938" s="27">
        <v>0.5</v>
      </c>
      <c r="AC938" s="27">
        <f t="shared" si="85"/>
        <v>7.9948832747041897E-5</v>
      </c>
      <c r="AD938" s="36">
        <v>1</v>
      </c>
      <c r="AE938" s="27">
        <v>0.5</v>
      </c>
      <c r="AF938" s="27">
        <f t="shared" si="86"/>
        <v>7.9948832747041897E-5</v>
      </c>
      <c r="AG938" s="37">
        <v>0</v>
      </c>
      <c r="AH938" s="27">
        <v>0</v>
      </c>
      <c r="AI938" s="27">
        <f t="shared" si="87"/>
        <v>0</v>
      </c>
      <c r="AJ938" s="38">
        <v>0</v>
      </c>
      <c r="AK938" s="27">
        <v>0</v>
      </c>
      <c r="AL938" s="27">
        <f t="shared" si="88"/>
        <v>0</v>
      </c>
      <c r="AM938" s="40">
        <v>0</v>
      </c>
      <c r="AN938" s="27">
        <v>0</v>
      </c>
      <c r="AO938" s="27">
        <f t="shared" si="89"/>
        <v>0</v>
      </c>
      <c r="AP938" s="7" t="b">
        <v>1</v>
      </c>
      <c r="AQ938" s="7" t="b">
        <v>1</v>
      </c>
      <c r="AR938" s="6" t="b">
        <v>0</v>
      </c>
      <c r="AS938" s="6" t="b">
        <v>0</v>
      </c>
      <c r="AT938" s="7" t="b">
        <v>1</v>
      </c>
      <c r="AU938" s="6" t="b">
        <v>0</v>
      </c>
      <c r="AV938" s="6" t="b">
        <v>0</v>
      </c>
      <c r="AW938" s="6" t="b">
        <v>0</v>
      </c>
      <c r="AX938" s="6" t="b">
        <v>0</v>
      </c>
      <c r="AY938" s="6" t="b">
        <v>0</v>
      </c>
      <c r="AZ938" s="6" t="b">
        <v>0</v>
      </c>
      <c r="BA938" s="6" t="b">
        <v>0</v>
      </c>
      <c r="BB938" s="6" t="b">
        <v>0</v>
      </c>
    </row>
    <row r="939" spans="1:54" ht="15" x14ac:dyDescent="0.25">
      <c r="A939" s="3" t="s">
        <v>1937</v>
      </c>
      <c r="B939" s="3" t="str">
        <f ca="1">IFERROR(__xludf.DUMMYFUNCTION("SPLIT(A939,""/"")"),"schutzwerk")</f>
        <v>schutzwerk</v>
      </c>
      <c r="C939" s="3" t="str">
        <f ca="1">IFERROR(__xludf.DUMMYFUNCTION("""COMPUTED_VALUE"""),"CANalyzat0r")</f>
        <v>CANalyzat0r</v>
      </c>
      <c r="D939" s="4" t="s">
        <v>1938</v>
      </c>
      <c r="E939" s="5">
        <v>43158.559490740743</v>
      </c>
      <c r="F939" s="5">
        <v>44292.736145833333</v>
      </c>
      <c r="G939" s="13">
        <f t="shared" si="84"/>
        <v>1134.1766550925895</v>
      </c>
      <c r="H939" s="6" t="b">
        <v>0</v>
      </c>
      <c r="I939" s="7" t="b">
        <v>1</v>
      </c>
      <c r="J939" s="8">
        <v>588</v>
      </c>
      <c r="K939" s="8">
        <v>48</v>
      </c>
      <c r="L939" s="8">
        <v>113</v>
      </c>
      <c r="M939" s="8">
        <v>0</v>
      </c>
      <c r="N939" s="8">
        <v>0</v>
      </c>
      <c r="O939" s="8">
        <v>6</v>
      </c>
      <c r="P939" s="8">
        <v>6</v>
      </c>
      <c r="Q939" s="8">
        <v>0</v>
      </c>
      <c r="R939" s="8">
        <v>8</v>
      </c>
      <c r="S939" s="8">
        <v>0</v>
      </c>
      <c r="T939" s="3" t="s">
        <v>49</v>
      </c>
      <c r="U939" s="10">
        <v>5386</v>
      </c>
      <c r="V939" s="32">
        <v>130</v>
      </c>
      <c r="W939" s="27">
        <v>2.4136650575566285E-2</v>
      </c>
      <c r="X939" s="34">
        <v>32</v>
      </c>
      <c r="Y939" s="27">
        <v>0.24615384615384617</v>
      </c>
      <c r="Z939" s="27">
        <v>5.9413293724470849E-3</v>
      </c>
      <c r="AA939" s="35">
        <v>59</v>
      </c>
      <c r="AB939" s="27">
        <v>0.45384615384615384</v>
      </c>
      <c r="AC939" s="27">
        <f t="shared" si="85"/>
        <v>1.0954326030449314E-2</v>
      </c>
      <c r="AD939" s="36">
        <v>11</v>
      </c>
      <c r="AE939" s="27">
        <v>8.461538461538462E-2</v>
      </c>
      <c r="AF939" s="27">
        <f t="shared" si="86"/>
        <v>2.0423319717786854E-3</v>
      </c>
      <c r="AG939" s="37">
        <v>23</v>
      </c>
      <c r="AH939" s="27">
        <v>0.17692307692307693</v>
      </c>
      <c r="AI939" s="27">
        <f t="shared" si="87"/>
        <v>4.2703304864463425E-3</v>
      </c>
      <c r="AJ939" s="38">
        <v>5</v>
      </c>
      <c r="AK939" s="27">
        <v>3.8461538461538464E-2</v>
      </c>
      <c r="AL939" s="27">
        <f t="shared" si="88"/>
        <v>9.2833271444485704E-4</v>
      </c>
      <c r="AM939" s="40">
        <v>0</v>
      </c>
      <c r="AN939" s="27">
        <v>0</v>
      </c>
      <c r="AO939" s="27">
        <f t="shared" si="89"/>
        <v>0</v>
      </c>
      <c r="AP939" s="7" t="b">
        <v>1</v>
      </c>
      <c r="AQ939" s="6" t="b">
        <v>0</v>
      </c>
      <c r="AR939" s="6" t="b">
        <v>0</v>
      </c>
      <c r="AS939" s="6" t="b">
        <v>0</v>
      </c>
      <c r="AT939" s="7" t="b">
        <v>1</v>
      </c>
      <c r="AU939" s="6" t="b">
        <v>0</v>
      </c>
      <c r="AV939" s="6" t="b">
        <v>0</v>
      </c>
      <c r="AW939" s="6" t="b">
        <v>0</v>
      </c>
      <c r="AX939" s="6" t="b">
        <v>0</v>
      </c>
      <c r="AY939" s="6" t="b">
        <v>0</v>
      </c>
      <c r="AZ939" s="6" t="b">
        <v>0</v>
      </c>
      <c r="BA939" s="6" t="b">
        <v>0</v>
      </c>
      <c r="BB939" s="6" t="b">
        <v>0</v>
      </c>
    </row>
    <row r="940" spans="1:54" ht="15" x14ac:dyDescent="0.25">
      <c r="A940" s="3" t="s">
        <v>1939</v>
      </c>
      <c r="B940" s="3" t="str">
        <f ca="1">IFERROR(__xludf.DUMMYFUNCTION("SPLIT(A940,""/"")"),"scikit-multiflow")</f>
        <v>scikit-multiflow</v>
      </c>
      <c r="C940" s="3" t="str">
        <f ca="1">IFERROR(__xludf.DUMMYFUNCTION("""COMPUTED_VALUE"""),"scikit-multiflow")</f>
        <v>scikit-multiflow</v>
      </c>
      <c r="D940" s="4" t="s">
        <v>1940</v>
      </c>
      <c r="E940" s="5">
        <v>43053.699282407404</v>
      </c>
      <c r="F940" s="5">
        <v>44292.101875</v>
      </c>
      <c r="G940" s="13">
        <f t="shared" si="84"/>
        <v>1238.4025925925962</v>
      </c>
      <c r="H940" s="6" t="b">
        <v>0</v>
      </c>
      <c r="I940" s="7" t="b">
        <v>1</v>
      </c>
      <c r="J940" s="8">
        <v>495</v>
      </c>
      <c r="K940" s="8">
        <v>29</v>
      </c>
      <c r="L940" s="8">
        <v>140</v>
      </c>
      <c r="M940" s="8">
        <v>10</v>
      </c>
      <c r="N940" s="8">
        <v>4</v>
      </c>
      <c r="O940" s="8">
        <v>31</v>
      </c>
      <c r="P940" s="8">
        <v>129</v>
      </c>
      <c r="Q940" s="8">
        <v>12</v>
      </c>
      <c r="R940" s="8">
        <v>169</v>
      </c>
      <c r="S940" s="8">
        <v>35</v>
      </c>
      <c r="T940" s="3" t="s">
        <v>57</v>
      </c>
      <c r="U940" s="10">
        <v>21082</v>
      </c>
      <c r="V940" s="32">
        <v>68</v>
      </c>
      <c r="W940" s="27">
        <v>3.2255004269044684E-3</v>
      </c>
      <c r="X940" s="34">
        <v>1</v>
      </c>
      <c r="Y940" s="27">
        <v>1.4705882352941176E-2</v>
      </c>
      <c r="Z940" s="27">
        <v>4.7433829807418652E-5</v>
      </c>
      <c r="AA940" s="35">
        <v>27</v>
      </c>
      <c r="AB940" s="27">
        <v>0.39705882352941174</v>
      </c>
      <c r="AC940" s="27">
        <f t="shared" si="85"/>
        <v>1.2807134048003037E-3</v>
      </c>
      <c r="AD940" s="36">
        <v>40</v>
      </c>
      <c r="AE940" s="27">
        <v>0.58823529411764708</v>
      </c>
      <c r="AF940" s="27">
        <f t="shared" si="86"/>
        <v>1.8973531922967461E-3</v>
      </c>
      <c r="AG940" s="37">
        <v>0</v>
      </c>
      <c r="AH940" s="27">
        <v>0</v>
      </c>
      <c r="AI940" s="27">
        <f t="shared" si="87"/>
        <v>0</v>
      </c>
      <c r="AJ940" s="38">
        <v>0</v>
      </c>
      <c r="AK940" s="27">
        <v>0</v>
      </c>
      <c r="AL940" s="27">
        <f t="shared" si="88"/>
        <v>0</v>
      </c>
      <c r="AM940" s="40">
        <v>0</v>
      </c>
      <c r="AN940" s="27">
        <v>0</v>
      </c>
      <c r="AO940" s="27">
        <f t="shared" si="89"/>
        <v>0</v>
      </c>
      <c r="AP940" s="7" t="b">
        <v>1</v>
      </c>
      <c r="AQ940" s="6" t="b">
        <v>0</v>
      </c>
      <c r="AR940" s="6" t="b">
        <v>0</v>
      </c>
      <c r="AS940" s="6" t="b">
        <v>0</v>
      </c>
      <c r="AT940" s="7" t="b">
        <v>1</v>
      </c>
      <c r="AU940" s="6" t="b">
        <v>0</v>
      </c>
      <c r="AV940" s="6" t="b">
        <v>0</v>
      </c>
      <c r="AW940" s="6" t="b">
        <v>0</v>
      </c>
      <c r="AX940" s="6" t="b">
        <v>0</v>
      </c>
      <c r="AY940" s="6" t="b">
        <v>0</v>
      </c>
      <c r="AZ940" s="6" t="b">
        <v>0</v>
      </c>
      <c r="BA940" s="6" t="b">
        <v>0</v>
      </c>
      <c r="BB940" s="6" t="b">
        <v>0</v>
      </c>
    </row>
    <row r="941" spans="1:54" ht="15" x14ac:dyDescent="0.25">
      <c r="A941" s="3" t="s">
        <v>1941</v>
      </c>
      <c r="B941" s="3" t="str">
        <f ca="1">IFERROR(__xludf.DUMMYFUNCTION("SPLIT(A941,""/"")"),"scipy")</f>
        <v>scipy</v>
      </c>
      <c r="C941" s="3" t="str">
        <f ca="1">IFERROR(__xludf.DUMMYFUNCTION("""COMPUTED_VALUE"""),"scipy")</f>
        <v>scipy</v>
      </c>
      <c r="D941" s="4" t="s">
        <v>1942</v>
      </c>
      <c r="E941" s="5">
        <v>40611.786145833335</v>
      </c>
      <c r="F941" s="5">
        <v>44295.09946759259</v>
      </c>
      <c r="G941" s="13">
        <f t="shared" si="84"/>
        <v>3683.3133217592549</v>
      </c>
      <c r="H941" s="6" t="b">
        <v>0</v>
      </c>
      <c r="I941" s="7" t="b">
        <v>1</v>
      </c>
      <c r="J941" s="8">
        <v>8088</v>
      </c>
      <c r="K941" s="8">
        <v>329</v>
      </c>
      <c r="L941" s="8">
        <v>3525</v>
      </c>
      <c r="M941" s="8">
        <v>52</v>
      </c>
      <c r="N941" s="8">
        <v>238</v>
      </c>
      <c r="O941" s="8">
        <v>989</v>
      </c>
      <c r="P941" s="8">
        <v>6697</v>
      </c>
      <c r="Q941" s="8">
        <v>322</v>
      </c>
      <c r="R941" s="8">
        <v>7124</v>
      </c>
      <c r="S941" s="8">
        <v>1297</v>
      </c>
      <c r="T941" s="3" t="s">
        <v>57</v>
      </c>
      <c r="U941" s="10">
        <v>163227</v>
      </c>
      <c r="V941" s="32">
        <v>198</v>
      </c>
      <c r="W941" s="27">
        <v>1.2130346082449594E-3</v>
      </c>
      <c r="X941" s="34">
        <v>0</v>
      </c>
      <c r="Y941" s="27">
        <v>0</v>
      </c>
      <c r="Z941" s="27">
        <v>0</v>
      </c>
      <c r="AA941" s="35">
        <v>20</v>
      </c>
      <c r="AB941" s="27">
        <v>0.10101010101010101</v>
      </c>
      <c r="AC941" s="27">
        <f t="shared" si="85"/>
        <v>1.2252874830757167E-4</v>
      </c>
      <c r="AD941" s="36">
        <v>170</v>
      </c>
      <c r="AE941" s="27">
        <v>0.85858585858585856</v>
      </c>
      <c r="AF941" s="27">
        <f t="shared" si="86"/>
        <v>1.0414943606143591E-3</v>
      </c>
      <c r="AG941" s="37">
        <v>7</v>
      </c>
      <c r="AH941" s="27">
        <v>3.5353535353535352E-2</v>
      </c>
      <c r="AI941" s="27">
        <f t="shared" si="87"/>
        <v>4.2885061907650081E-5</v>
      </c>
      <c r="AJ941" s="38">
        <v>0</v>
      </c>
      <c r="AK941" s="27">
        <v>0</v>
      </c>
      <c r="AL941" s="27">
        <f t="shared" si="88"/>
        <v>0</v>
      </c>
      <c r="AM941" s="40">
        <v>1</v>
      </c>
      <c r="AN941" s="27">
        <v>5.0505050505050509E-3</v>
      </c>
      <c r="AO941" s="27">
        <f t="shared" si="89"/>
        <v>6.1264374153785833E-6</v>
      </c>
      <c r="AP941" s="7" t="b">
        <v>1</v>
      </c>
      <c r="AQ941" s="6" t="b">
        <v>0</v>
      </c>
      <c r="AR941" s="6" t="b">
        <v>0</v>
      </c>
      <c r="AS941" s="6" t="b">
        <v>0</v>
      </c>
      <c r="AT941" s="7" t="b">
        <v>1</v>
      </c>
      <c r="AU941" s="6" t="b">
        <v>0</v>
      </c>
      <c r="AV941" s="6" t="b">
        <v>0</v>
      </c>
      <c r="AW941" s="6" t="b">
        <v>0</v>
      </c>
      <c r="AX941" s="6" t="b">
        <v>0</v>
      </c>
      <c r="AY941" s="6" t="b">
        <v>0</v>
      </c>
      <c r="AZ941" s="6" t="b">
        <v>0</v>
      </c>
      <c r="BA941" s="6" t="b">
        <v>0</v>
      </c>
      <c r="BB941" s="6" t="b">
        <v>0</v>
      </c>
    </row>
    <row r="942" spans="1:54" ht="15" x14ac:dyDescent="0.25">
      <c r="A942" s="3" t="s">
        <v>1943</v>
      </c>
      <c r="B942" s="3" t="str">
        <f ca="1">IFERROR(__xludf.DUMMYFUNCTION("SPLIT(A942,""/"")"),"scragg0x")</f>
        <v>scragg0x</v>
      </c>
      <c r="C942" s="3" t="str">
        <f ca="1">IFERROR(__xludf.DUMMYFUNCTION("""COMPUTED_VALUE"""),"realms-wiki")</f>
        <v>realms-wiki</v>
      </c>
      <c r="D942" s="4" t="s">
        <v>1944</v>
      </c>
      <c r="E942" s="5">
        <v>41871.64371527778</v>
      </c>
      <c r="F942" s="5">
        <v>44295.064629629633</v>
      </c>
      <c r="G942" s="13">
        <f t="shared" si="84"/>
        <v>2423.4209143518528</v>
      </c>
      <c r="H942" s="6" t="b">
        <v>0</v>
      </c>
      <c r="I942" s="6" t="b">
        <v>0</v>
      </c>
      <c r="J942" s="8">
        <v>828</v>
      </c>
      <c r="K942" s="8">
        <v>33</v>
      </c>
      <c r="L942" s="8">
        <v>98</v>
      </c>
      <c r="M942" s="8">
        <v>2</v>
      </c>
      <c r="N942" s="8">
        <v>0</v>
      </c>
      <c r="O942" s="8">
        <v>24</v>
      </c>
      <c r="P942" s="8">
        <v>95</v>
      </c>
      <c r="Q942" s="8">
        <v>11</v>
      </c>
      <c r="R942" s="8">
        <v>136</v>
      </c>
      <c r="S942" s="8">
        <v>62</v>
      </c>
      <c r="T942" s="3" t="s">
        <v>64</v>
      </c>
      <c r="U942" s="10">
        <v>2369</v>
      </c>
      <c r="V942" s="32">
        <v>11</v>
      </c>
      <c r="W942" s="27">
        <v>4.6433094132545382E-3</v>
      </c>
      <c r="X942" s="34">
        <v>2</v>
      </c>
      <c r="Y942" s="27">
        <v>0.18181818181818182</v>
      </c>
      <c r="Z942" s="27">
        <v>8.4423807513718866E-4</v>
      </c>
      <c r="AA942" s="35">
        <v>4</v>
      </c>
      <c r="AB942" s="27">
        <v>0.36363636363636365</v>
      </c>
      <c r="AC942" s="27">
        <f t="shared" si="85"/>
        <v>1.6884761502743773E-3</v>
      </c>
      <c r="AD942" s="36">
        <v>1</v>
      </c>
      <c r="AE942" s="27">
        <v>9.0909090909090912E-2</v>
      </c>
      <c r="AF942" s="27">
        <f t="shared" si="86"/>
        <v>4.2211903756859433E-4</v>
      </c>
      <c r="AG942" s="37">
        <v>4</v>
      </c>
      <c r="AH942" s="27">
        <v>0.36363636363636365</v>
      </c>
      <c r="AI942" s="27">
        <f t="shared" si="87"/>
        <v>1.6884761502743773E-3</v>
      </c>
      <c r="AJ942" s="38">
        <v>0</v>
      </c>
      <c r="AK942" s="27">
        <v>0</v>
      </c>
      <c r="AL942" s="27">
        <f t="shared" si="88"/>
        <v>0</v>
      </c>
      <c r="AM942" s="40">
        <v>0</v>
      </c>
      <c r="AN942" s="27">
        <v>0</v>
      </c>
      <c r="AO942" s="27">
        <f t="shared" si="89"/>
        <v>0</v>
      </c>
      <c r="AP942" s="7" t="b">
        <v>1</v>
      </c>
      <c r="AQ942" s="7" t="b">
        <v>1</v>
      </c>
      <c r="AR942" s="6" t="b">
        <v>0</v>
      </c>
      <c r="AS942" s="6" t="b">
        <v>0</v>
      </c>
      <c r="AT942" s="7" t="b">
        <v>1</v>
      </c>
      <c r="AU942" s="6" t="b">
        <v>0</v>
      </c>
      <c r="AV942" s="6" t="b">
        <v>0</v>
      </c>
      <c r="AW942" s="6" t="b">
        <v>0</v>
      </c>
      <c r="AX942" s="6" t="b">
        <v>0</v>
      </c>
      <c r="AY942" s="6" t="b">
        <v>0</v>
      </c>
      <c r="AZ942" s="6" t="b">
        <v>0</v>
      </c>
      <c r="BA942" s="6" t="b">
        <v>0</v>
      </c>
      <c r="BB942" s="6" t="b">
        <v>0</v>
      </c>
    </row>
    <row r="943" spans="1:54" ht="15" x14ac:dyDescent="0.25">
      <c r="A943" s="3" t="s">
        <v>1945</v>
      </c>
      <c r="B943" s="3" t="str">
        <f ca="1">IFERROR(__xludf.DUMMYFUNCTION("SPLIT(A943,""/"")"),"scrapinghub")</f>
        <v>scrapinghub</v>
      </c>
      <c r="C943" s="3" t="str">
        <f ca="1">IFERROR(__xludf.DUMMYFUNCTION("""COMPUTED_VALUE"""),"frontera")</f>
        <v>frontera</v>
      </c>
      <c r="D943" s="4" t="s">
        <v>1946</v>
      </c>
      <c r="E943" s="5">
        <v>41965.654745370368</v>
      </c>
      <c r="F943" s="5">
        <v>44295.114861111113</v>
      </c>
      <c r="G943" s="13">
        <f t="shared" si="84"/>
        <v>2329.4601157407451</v>
      </c>
      <c r="H943" s="6" t="b">
        <v>0</v>
      </c>
      <c r="I943" s="7" t="b">
        <v>1</v>
      </c>
      <c r="J943" s="8">
        <v>1154</v>
      </c>
      <c r="K943" s="8">
        <v>158</v>
      </c>
      <c r="L943" s="8">
        <v>203</v>
      </c>
      <c r="M943" s="8">
        <v>22</v>
      </c>
      <c r="N943" s="8">
        <v>20</v>
      </c>
      <c r="O943" s="8">
        <v>34</v>
      </c>
      <c r="P943" s="8">
        <v>256</v>
      </c>
      <c r="Q943" s="8">
        <v>22</v>
      </c>
      <c r="R943" s="8">
        <v>154</v>
      </c>
      <c r="S943" s="8">
        <v>80</v>
      </c>
      <c r="T943" s="3" t="s">
        <v>92</v>
      </c>
      <c r="U943" s="10">
        <v>10607</v>
      </c>
      <c r="V943" s="32">
        <v>227</v>
      </c>
      <c r="W943" s="27">
        <v>2.1400961629112852E-2</v>
      </c>
      <c r="X943" s="34">
        <v>105</v>
      </c>
      <c r="Y943" s="27">
        <v>0.46255506607929514</v>
      </c>
      <c r="Z943" s="27">
        <v>9.899123220514755E-3</v>
      </c>
      <c r="AA943" s="35">
        <v>52</v>
      </c>
      <c r="AB943" s="27">
        <v>0.22907488986784141</v>
      </c>
      <c r="AC943" s="27">
        <f t="shared" si="85"/>
        <v>4.9024229282549261E-3</v>
      </c>
      <c r="AD943" s="36">
        <v>20</v>
      </c>
      <c r="AE943" s="27">
        <v>8.8105726872246701E-2</v>
      </c>
      <c r="AF943" s="27">
        <f t="shared" si="86"/>
        <v>1.8855472800980485E-3</v>
      </c>
      <c r="AG943" s="37">
        <v>41</v>
      </c>
      <c r="AH943" s="27">
        <v>0.18061674008810572</v>
      </c>
      <c r="AI943" s="27">
        <f t="shared" si="87"/>
        <v>3.8653719242009994E-3</v>
      </c>
      <c r="AJ943" s="38">
        <v>7</v>
      </c>
      <c r="AK943" s="27">
        <v>3.0837004405286344E-2</v>
      </c>
      <c r="AL943" s="27">
        <f t="shared" si="88"/>
        <v>6.5994154803431697E-4</v>
      </c>
      <c r="AM943" s="40">
        <v>2</v>
      </c>
      <c r="AN943" s="27">
        <v>8.8105726872246704E-3</v>
      </c>
      <c r="AO943" s="27">
        <f t="shared" si="89"/>
        <v>1.8855472800980485E-4</v>
      </c>
      <c r="AP943" s="6" t="b">
        <v>0</v>
      </c>
      <c r="AQ943" s="7" t="b">
        <v>1</v>
      </c>
      <c r="AR943" s="6" t="b">
        <v>0</v>
      </c>
      <c r="AS943" s="6" t="b">
        <v>0</v>
      </c>
      <c r="AT943" s="7" t="b">
        <v>1</v>
      </c>
      <c r="AU943" s="6" t="b">
        <v>0</v>
      </c>
      <c r="AV943" s="6" t="b">
        <v>0</v>
      </c>
      <c r="AW943" s="6" t="b">
        <v>0</v>
      </c>
      <c r="AX943" s="6" t="b">
        <v>0</v>
      </c>
      <c r="AY943" s="6" t="b">
        <v>0</v>
      </c>
      <c r="AZ943" s="6" t="b">
        <v>0</v>
      </c>
      <c r="BA943" s="6" t="b">
        <v>0</v>
      </c>
      <c r="BB943" s="6" t="b">
        <v>0</v>
      </c>
    </row>
    <row r="944" spans="1:54" ht="15" x14ac:dyDescent="0.25">
      <c r="A944" s="3" t="s">
        <v>1947</v>
      </c>
      <c r="B944" s="3" t="str">
        <f ca="1">IFERROR(__xludf.DUMMYFUNCTION("SPLIT(A944,""/"")"),"scrapinghub")</f>
        <v>scrapinghub</v>
      </c>
      <c r="C944" s="3" t="str">
        <f ca="1">IFERROR(__xludf.DUMMYFUNCTION("""COMPUTED_VALUE"""),"portia")</f>
        <v>portia</v>
      </c>
      <c r="D944" s="4" t="s">
        <v>1948</v>
      </c>
      <c r="E944" s="5">
        <v>41719.600358796299</v>
      </c>
      <c r="F944" s="5">
        <v>44294.859861111108</v>
      </c>
      <c r="G944" s="13">
        <f t="shared" si="84"/>
        <v>2575.2595023148097</v>
      </c>
      <c r="H944" s="6" t="b">
        <v>0</v>
      </c>
      <c r="I944" s="7" t="b">
        <v>1</v>
      </c>
      <c r="J944" s="8">
        <v>8147</v>
      </c>
      <c r="K944" s="8">
        <v>514</v>
      </c>
      <c r="L944" s="8">
        <v>1295</v>
      </c>
      <c r="M944" s="8">
        <v>1</v>
      </c>
      <c r="N944" s="8">
        <v>31</v>
      </c>
      <c r="O944" s="8">
        <v>39</v>
      </c>
      <c r="P944" s="8">
        <v>469</v>
      </c>
      <c r="Q944" s="8">
        <v>9</v>
      </c>
      <c r="R944" s="8">
        <v>443</v>
      </c>
      <c r="S944" s="8">
        <v>107</v>
      </c>
      <c r="T944" s="3" t="s">
        <v>92</v>
      </c>
      <c r="U944" s="10">
        <v>16314</v>
      </c>
      <c r="V944" s="32">
        <v>13</v>
      </c>
      <c r="W944" s="27">
        <v>7.9686159127130075E-4</v>
      </c>
      <c r="X944" s="34">
        <v>3</v>
      </c>
      <c r="Y944" s="27">
        <v>0.23076923076923078</v>
      </c>
      <c r="Z944" s="27">
        <v>1.8389113644722325E-4</v>
      </c>
      <c r="AA944" s="35">
        <v>2</v>
      </c>
      <c r="AB944" s="27">
        <v>0.15384615384615385</v>
      </c>
      <c r="AC944" s="27">
        <f t="shared" si="85"/>
        <v>1.225940909648155E-4</v>
      </c>
      <c r="AD944" s="36">
        <v>4</v>
      </c>
      <c r="AE944" s="27">
        <v>0.30769230769230771</v>
      </c>
      <c r="AF944" s="27">
        <f t="shared" si="86"/>
        <v>2.45188181929631E-4</v>
      </c>
      <c r="AG944" s="37">
        <v>2</v>
      </c>
      <c r="AH944" s="27">
        <v>0.15384615384615385</v>
      </c>
      <c r="AI944" s="27">
        <f t="shared" si="87"/>
        <v>1.225940909648155E-4</v>
      </c>
      <c r="AJ944" s="38">
        <v>0</v>
      </c>
      <c r="AK944" s="27">
        <v>0</v>
      </c>
      <c r="AL944" s="27">
        <f t="shared" si="88"/>
        <v>0</v>
      </c>
      <c r="AM944" s="40">
        <v>2</v>
      </c>
      <c r="AN944" s="27">
        <v>0.15384615384615385</v>
      </c>
      <c r="AO944" s="27">
        <f t="shared" si="89"/>
        <v>1.225940909648155E-4</v>
      </c>
      <c r="AP944" s="7" t="b">
        <v>1</v>
      </c>
      <c r="AQ944" s="7" t="b">
        <v>1</v>
      </c>
      <c r="AR944" s="6" t="b">
        <v>0</v>
      </c>
      <c r="AS944" s="6" t="b">
        <v>0</v>
      </c>
      <c r="AT944" s="7" t="b">
        <v>1</v>
      </c>
      <c r="AU944" s="6" t="b">
        <v>0</v>
      </c>
      <c r="AV944" s="6" t="b">
        <v>0</v>
      </c>
      <c r="AW944" s="6" t="b">
        <v>0</v>
      </c>
      <c r="AX944" s="6" t="b">
        <v>0</v>
      </c>
      <c r="AY944" s="6" t="b">
        <v>0</v>
      </c>
      <c r="AZ944" s="6" t="b">
        <v>0</v>
      </c>
      <c r="BA944" s="6" t="b">
        <v>0</v>
      </c>
      <c r="BB944" s="6" t="b">
        <v>0</v>
      </c>
    </row>
    <row r="945" spans="1:54" ht="15" x14ac:dyDescent="0.25">
      <c r="A945" s="3" t="s">
        <v>1949</v>
      </c>
      <c r="B945" s="3" t="str">
        <f ca="1">IFERROR(__xludf.DUMMYFUNCTION("SPLIT(A945,""/"")"),"scrapinghub")</f>
        <v>scrapinghub</v>
      </c>
      <c r="C945" s="3" t="str">
        <f ca="1">IFERROR(__xludf.DUMMYFUNCTION("""COMPUTED_VALUE"""),"scrapyrt")</f>
        <v>scrapyrt</v>
      </c>
      <c r="D945" s="4" t="s">
        <v>1950</v>
      </c>
      <c r="E945" s="5">
        <v>42010.630046296297</v>
      </c>
      <c r="F945" s="5">
        <v>44294.284131944441</v>
      </c>
      <c r="G945" s="13">
        <f t="shared" si="84"/>
        <v>2283.6540856481442</v>
      </c>
      <c r="H945" s="6" t="b">
        <v>0</v>
      </c>
      <c r="I945" s="7" t="b">
        <v>1</v>
      </c>
      <c r="J945" s="8">
        <v>647</v>
      </c>
      <c r="K945" s="8">
        <v>48</v>
      </c>
      <c r="L945" s="8">
        <v>139</v>
      </c>
      <c r="M945" s="8">
        <v>3</v>
      </c>
      <c r="N945" s="8">
        <v>4</v>
      </c>
      <c r="O945" s="8">
        <v>12</v>
      </c>
      <c r="P945" s="8">
        <v>53</v>
      </c>
      <c r="Q945" s="8">
        <v>4</v>
      </c>
      <c r="R945" s="8">
        <v>73</v>
      </c>
      <c r="S945" s="8">
        <v>25</v>
      </c>
      <c r="T945" s="3" t="s">
        <v>57</v>
      </c>
      <c r="U945" s="10">
        <v>1961</v>
      </c>
      <c r="V945" s="32">
        <v>2</v>
      </c>
      <c r="W945" s="27">
        <v>1.0198878123406426E-3</v>
      </c>
      <c r="X945" s="34">
        <v>0</v>
      </c>
      <c r="Y945" s="27">
        <v>0</v>
      </c>
      <c r="Z945" s="27">
        <v>0</v>
      </c>
      <c r="AA945" s="35">
        <v>0</v>
      </c>
      <c r="AB945" s="27">
        <v>0</v>
      </c>
      <c r="AC945" s="27">
        <f t="shared" si="85"/>
        <v>0</v>
      </c>
      <c r="AD945" s="36">
        <v>1</v>
      </c>
      <c r="AE945" s="27">
        <v>0.5</v>
      </c>
      <c r="AF945" s="27">
        <f t="shared" si="86"/>
        <v>5.099439061703213E-4</v>
      </c>
      <c r="AG945" s="37">
        <v>1</v>
      </c>
      <c r="AH945" s="27">
        <v>0.5</v>
      </c>
      <c r="AI945" s="27">
        <f t="shared" si="87"/>
        <v>5.099439061703213E-4</v>
      </c>
      <c r="AJ945" s="38">
        <v>0</v>
      </c>
      <c r="AK945" s="27">
        <v>0</v>
      </c>
      <c r="AL945" s="27">
        <f t="shared" si="88"/>
        <v>0</v>
      </c>
      <c r="AM945" s="40">
        <v>0</v>
      </c>
      <c r="AN945" s="27">
        <v>0</v>
      </c>
      <c r="AO945" s="27">
        <f t="shared" si="89"/>
        <v>0</v>
      </c>
      <c r="AP945" s="7" t="b">
        <v>1</v>
      </c>
      <c r="AQ945" s="6" t="b">
        <v>0</v>
      </c>
      <c r="AR945" s="6" t="b">
        <v>0</v>
      </c>
      <c r="AS945" s="6" t="b">
        <v>0</v>
      </c>
      <c r="AT945" s="7" t="b">
        <v>1</v>
      </c>
      <c r="AU945" s="6" t="b">
        <v>0</v>
      </c>
      <c r="AV945" s="6" t="b">
        <v>0</v>
      </c>
      <c r="AW945" s="6" t="b">
        <v>0</v>
      </c>
      <c r="AX945" s="6" t="b">
        <v>0</v>
      </c>
      <c r="AY945" s="6" t="b">
        <v>0</v>
      </c>
      <c r="AZ945" s="6" t="b">
        <v>0</v>
      </c>
      <c r="BA945" s="6" t="b">
        <v>0</v>
      </c>
      <c r="BB945" s="6" t="b">
        <v>0</v>
      </c>
    </row>
    <row r="946" spans="1:54" ht="15" x14ac:dyDescent="0.25">
      <c r="A946" s="3" t="s">
        <v>1951</v>
      </c>
      <c r="B946" s="3" t="str">
        <f ca="1">IFERROR(__xludf.DUMMYFUNCTION("SPLIT(A946,""/"")"),"SeanNaren")</f>
        <v>SeanNaren</v>
      </c>
      <c r="C946" s="3" t="str">
        <f ca="1">IFERROR(__xludf.DUMMYFUNCTION("""COMPUTED_VALUE"""),"deepspeech.pytorch")</f>
        <v>deepspeech.pytorch</v>
      </c>
      <c r="D946" s="4" t="s">
        <v>1952</v>
      </c>
      <c r="E946" s="5">
        <v>42745.311319444445</v>
      </c>
      <c r="F946" s="5">
        <v>44294.01494212963</v>
      </c>
      <c r="G946" s="13">
        <f t="shared" si="84"/>
        <v>1548.7036226851851</v>
      </c>
      <c r="H946" s="6" t="b">
        <v>0</v>
      </c>
      <c r="I946" s="6" t="b">
        <v>0</v>
      </c>
      <c r="J946" s="8">
        <v>1634</v>
      </c>
      <c r="K946" s="8">
        <v>60</v>
      </c>
      <c r="L946" s="8">
        <v>542</v>
      </c>
      <c r="M946" s="8">
        <v>6</v>
      </c>
      <c r="N946" s="8">
        <v>20</v>
      </c>
      <c r="O946" s="8">
        <v>41</v>
      </c>
      <c r="P946" s="8">
        <v>182</v>
      </c>
      <c r="Q946" s="8">
        <v>3</v>
      </c>
      <c r="R946" s="8">
        <v>451</v>
      </c>
      <c r="S946" s="8">
        <v>9</v>
      </c>
      <c r="T946" s="3" t="s">
        <v>72</v>
      </c>
      <c r="U946" s="10">
        <v>2129</v>
      </c>
      <c r="V946" s="32">
        <v>6</v>
      </c>
      <c r="W946" s="27">
        <v>2.8182245185533112E-3</v>
      </c>
      <c r="X946" s="34">
        <v>0</v>
      </c>
      <c r="Y946" s="27">
        <v>0</v>
      </c>
      <c r="Z946" s="27">
        <v>0</v>
      </c>
      <c r="AA946" s="35">
        <v>4</v>
      </c>
      <c r="AB946" s="27">
        <v>0.66666666666666663</v>
      </c>
      <c r="AC946" s="27">
        <f t="shared" si="85"/>
        <v>1.8788163457022077E-3</v>
      </c>
      <c r="AD946" s="36">
        <v>0</v>
      </c>
      <c r="AE946" s="27">
        <v>0</v>
      </c>
      <c r="AF946" s="27">
        <f t="shared" si="86"/>
        <v>0</v>
      </c>
      <c r="AG946" s="37">
        <v>0</v>
      </c>
      <c r="AH946" s="27">
        <v>0</v>
      </c>
      <c r="AI946" s="27">
        <f t="shared" si="87"/>
        <v>0</v>
      </c>
      <c r="AJ946" s="38">
        <v>0</v>
      </c>
      <c r="AK946" s="27">
        <v>0</v>
      </c>
      <c r="AL946" s="27">
        <f t="shared" si="88"/>
        <v>0</v>
      </c>
      <c r="AM946" s="40">
        <v>2</v>
      </c>
      <c r="AN946" s="27">
        <v>0.33333333333333331</v>
      </c>
      <c r="AO946" s="27">
        <f t="shared" si="89"/>
        <v>9.3940817285110385E-4</v>
      </c>
      <c r="AP946" s="7" t="b">
        <v>1</v>
      </c>
      <c r="AQ946" s="6" t="b">
        <v>0</v>
      </c>
      <c r="AR946" s="6" t="b">
        <v>0</v>
      </c>
      <c r="AS946" s="6" t="b">
        <v>0</v>
      </c>
      <c r="AT946" s="7" t="b">
        <v>1</v>
      </c>
      <c r="AU946" s="6" t="b">
        <v>0</v>
      </c>
      <c r="AV946" s="6" t="b">
        <v>0</v>
      </c>
      <c r="AW946" s="6" t="b">
        <v>0</v>
      </c>
      <c r="AX946" s="6" t="b">
        <v>0</v>
      </c>
      <c r="AY946" s="6" t="b">
        <v>0</v>
      </c>
      <c r="AZ946" s="6" t="b">
        <v>0</v>
      </c>
      <c r="BA946" s="6" t="b">
        <v>0</v>
      </c>
      <c r="BB946" s="6" t="b">
        <v>0</v>
      </c>
    </row>
    <row r="947" spans="1:54" ht="15" x14ac:dyDescent="0.25">
      <c r="A947" s="3" t="s">
        <v>1953</v>
      </c>
      <c r="B947" s="3" t="str">
        <f ca="1">IFERROR(__xludf.DUMMYFUNCTION("SPLIT(A947,""/"")"),"searx")</f>
        <v>searx</v>
      </c>
      <c r="C947" s="3" t="str">
        <f ca="1">IFERROR(__xludf.DUMMYFUNCTION("""COMPUTED_VALUE"""),"searx")</f>
        <v>searx</v>
      </c>
      <c r="D947" s="4" t="s">
        <v>1954</v>
      </c>
      <c r="E947" s="5">
        <v>41562.681145833332</v>
      </c>
      <c r="F947" s="5">
        <v>44294.741851851853</v>
      </c>
      <c r="G947" s="13">
        <f t="shared" si="84"/>
        <v>2732.0607060185212</v>
      </c>
      <c r="H947" s="6" t="b">
        <v>0</v>
      </c>
      <c r="I947" s="7" t="b">
        <v>1</v>
      </c>
      <c r="J947" s="8">
        <v>8619</v>
      </c>
      <c r="K947" s="8">
        <v>287</v>
      </c>
      <c r="L947" s="8">
        <v>1170</v>
      </c>
      <c r="M947" s="8">
        <v>14</v>
      </c>
      <c r="N947" s="8">
        <v>72</v>
      </c>
      <c r="O947" s="8">
        <v>140</v>
      </c>
      <c r="P947" s="8">
        <v>1140</v>
      </c>
      <c r="Q947" s="8">
        <v>32</v>
      </c>
      <c r="R947" s="8">
        <v>1478</v>
      </c>
      <c r="S947" s="8">
        <v>274</v>
      </c>
      <c r="T947" s="3" t="s">
        <v>366</v>
      </c>
      <c r="U947" s="10">
        <v>11682</v>
      </c>
      <c r="V947" s="32">
        <v>99</v>
      </c>
      <c r="W947" s="27">
        <v>8.4745762711864406E-3</v>
      </c>
      <c r="X947" s="34">
        <v>46</v>
      </c>
      <c r="Y947" s="27">
        <v>0.46464646464646464</v>
      </c>
      <c r="Z947" s="27">
        <v>3.9376819037835985E-3</v>
      </c>
      <c r="AA947" s="35">
        <v>13</v>
      </c>
      <c r="AB947" s="27">
        <v>0.13131313131313133</v>
      </c>
      <c r="AC947" s="27">
        <f t="shared" si="85"/>
        <v>1.1128231467214518E-3</v>
      </c>
      <c r="AD947" s="36">
        <v>4</v>
      </c>
      <c r="AE947" s="27">
        <v>4.0404040404040407E-2</v>
      </c>
      <c r="AF947" s="27">
        <f t="shared" si="86"/>
        <v>3.4240712206813899E-4</v>
      </c>
      <c r="AG947" s="37">
        <v>28</v>
      </c>
      <c r="AH947" s="27">
        <v>0.28282828282828282</v>
      </c>
      <c r="AI947" s="27">
        <f t="shared" si="87"/>
        <v>2.3968498544769731E-3</v>
      </c>
      <c r="AJ947" s="38">
        <v>8</v>
      </c>
      <c r="AK947" s="27">
        <v>8.0808080808080815E-2</v>
      </c>
      <c r="AL947" s="27">
        <f t="shared" si="88"/>
        <v>6.8481424413627799E-4</v>
      </c>
      <c r="AM947" s="40">
        <v>0</v>
      </c>
      <c r="AN947" s="27">
        <v>0</v>
      </c>
      <c r="AO947" s="27">
        <f t="shared" si="89"/>
        <v>0</v>
      </c>
      <c r="AP947" s="7" t="b">
        <v>1</v>
      </c>
      <c r="AQ947" s="6" t="b">
        <v>0</v>
      </c>
      <c r="AR947" s="6" t="b">
        <v>0</v>
      </c>
      <c r="AS947" s="6" t="b">
        <v>0</v>
      </c>
      <c r="AT947" s="7" t="b">
        <v>1</v>
      </c>
      <c r="AU947" s="6" t="b">
        <v>0</v>
      </c>
      <c r="AV947" s="6" t="b">
        <v>0</v>
      </c>
      <c r="AW947" s="6" t="b">
        <v>0</v>
      </c>
      <c r="AX947" s="6" t="b">
        <v>0</v>
      </c>
      <c r="AY947" s="6" t="b">
        <v>0</v>
      </c>
      <c r="AZ947" s="6" t="b">
        <v>0</v>
      </c>
      <c r="BA947" s="6" t="b">
        <v>0</v>
      </c>
      <c r="BB947" s="6" t="b">
        <v>0</v>
      </c>
    </row>
    <row r="948" spans="1:54" ht="15" x14ac:dyDescent="0.25">
      <c r="A948" s="3" t="s">
        <v>1955</v>
      </c>
      <c r="B948" s="3" t="str">
        <f ca="1">IFERROR(__xludf.DUMMYFUNCTION("SPLIT(A948,""/"")"),"secrary")</f>
        <v>secrary</v>
      </c>
      <c r="C948" s="3" t="str">
        <f ca="1">IFERROR(__xludf.DUMMYFUNCTION("""COMPUTED_VALUE"""),"SSMA")</f>
        <v>SSMA</v>
      </c>
      <c r="D948" s="4" t="s">
        <v>1956</v>
      </c>
      <c r="E948" s="5">
        <v>42612.756006944444</v>
      </c>
      <c r="F948" s="5">
        <v>44272.156967592593</v>
      </c>
      <c r="G948" s="13">
        <f t="shared" si="84"/>
        <v>1659.4009606481486</v>
      </c>
      <c r="H948" s="6" t="b">
        <v>0</v>
      </c>
      <c r="I948" s="6" t="b">
        <v>0</v>
      </c>
      <c r="J948" s="8">
        <v>388</v>
      </c>
      <c r="K948" s="8">
        <v>34</v>
      </c>
      <c r="L948" s="8">
        <v>87</v>
      </c>
      <c r="M948" s="8">
        <v>0</v>
      </c>
      <c r="N948" s="8">
        <v>1</v>
      </c>
      <c r="O948" s="8">
        <v>6</v>
      </c>
      <c r="P948" s="8">
        <v>41</v>
      </c>
      <c r="Q948" s="8">
        <v>0</v>
      </c>
      <c r="R948" s="8">
        <v>19</v>
      </c>
      <c r="S948" s="8">
        <v>6</v>
      </c>
      <c r="T948" s="3" t="s">
        <v>49</v>
      </c>
      <c r="U948" s="10">
        <v>1521</v>
      </c>
      <c r="V948" s="32">
        <v>5</v>
      </c>
      <c r="W948" s="27">
        <v>3.2873109796186721E-3</v>
      </c>
      <c r="X948" s="34">
        <v>5</v>
      </c>
      <c r="Y948" s="27">
        <v>1</v>
      </c>
      <c r="Z948" s="27">
        <v>3.2873109796186721E-3</v>
      </c>
      <c r="AA948" s="35">
        <v>0</v>
      </c>
      <c r="AB948" s="27">
        <v>0</v>
      </c>
      <c r="AC948" s="27">
        <f t="shared" si="85"/>
        <v>0</v>
      </c>
      <c r="AD948" s="36">
        <v>0</v>
      </c>
      <c r="AE948" s="27">
        <v>0</v>
      </c>
      <c r="AF948" s="27">
        <f t="shared" si="86"/>
        <v>0</v>
      </c>
      <c r="AG948" s="37">
        <v>0</v>
      </c>
      <c r="AH948" s="27">
        <v>0</v>
      </c>
      <c r="AI948" s="27">
        <f t="shared" si="87"/>
        <v>0</v>
      </c>
      <c r="AJ948" s="38">
        <v>0</v>
      </c>
      <c r="AK948" s="27">
        <v>0</v>
      </c>
      <c r="AL948" s="27">
        <f t="shared" si="88"/>
        <v>0</v>
      </c>
      <c r="AM948" s="40">
        <v>0</v>
      </c>
      <c r="AN948" s="27">
        <v>0</v>
      </c>
      <c r="AO948" s="27">
        <f t="shared" si="89"/>
        <v>0</v>
      </c>
      <c r="AP948" s="7" t="b">
        <v>1</v>
      </c>
      <c r="AQ948" s="6" t="b">
        <v>0</v>
      </c>
      <c r="AR948" s="6" t="b">
        <v>0</v>
      </c>
      <c r="AS948" s="6" t="b">
        <v>0</v>
      </c>
      <c r="AT948" s="7" t="b">
        <v>1</v>
      </c>
      <c r="AU948" s="6" t="b">
        <v>0</v>
      </c>
      <c r="AV948" s="6" t="b">
        <v>0</v>
      </c>
      <c r="AW948" s="6" t="b">
        <v>0</v>
      </c>
      <c r="AX948" s="6" t="b">
        <v>0</v>
      </c>
      <c r="AY948" s="6" t="b">
        <v>0</v>
      </c>
      <c r="AZ948" s="6" t="b">
        <v>0</v>
      </c>
      <c r="BA948" s="6" t="b">
        <v>0</v>
      </c>
      <c r="BB948" s="6" t="b">
        <v>0</v>
      </c>
    </row>
    <row r="949" spans="1:54" ht="15" x14ac:dyDescent="0.25">
      <c r="A949" s="3" t="s">
        <v>1957</v>
      </c>
      <c r="B949" s="3" t="str">
        <f ca="1">IFERROR(__xludf.DUMMYFUNCTION("SPLIT(A949,""/"")"),"SecureAuthCorp")</f>
        <v>SecureAuthCorp</v>
      </c>
      <c r="C949" s="3" t="str">
        <f ca="1">IFERROR(__xludf.DUMMYFUNCTION("""COMPUTED_VALUE"""),"impacket")</f>
        <v>impacket</v>
      </c>
      <c r="D949" s="4" t="s">
        <v>1958</v>
      </c>
      <c r="E949" s="5">
        <v>42109.586192129631</v>
      </c>
      <c r="F949" s="5">
        <v>44295.141157407408</v>
      </c>
      <c r="G949" s="13">
        <f t="shared" si="84"/>
        <v>2185.5549652777772</v>
      </c>
      <c r="H949" s="6" t="b">
        <v>0</v>
      </c>
      <c r="I949" s="7" t="b">
        <v>1</v>
      </c>
      <c r="J949" s="8">
        <v>6521</v>
      </c>
      <c r="K949" s="8">
        <v>327</v>
      </c>
      <c r="L949" s="8">
        <v>1835</v>
      </c>
      <c r="M949" s="8">
        <v>9</v>
      </c>
      <c r="N949" s="8">
        <v>47</v>
      </c>
      <c r="O949" s="8">
        <v>105</v>
      </c>
      <c r="P949" s="8">
        <v>409</v>
      </c>
      <c r="Q949" s="8">
        <v>45</v>
      </c>
      <c r="R949" s="8">
        <v>637</v>
      </c>
      <c r="S949" s="8">
        <v>118</v>
      </c>
      <c r="T949" s="3" t="s">
        <v>92</v>
      </c>
      <c r="U949" s="10">
        <v>87972</v>
      </c>
      <c r="V949" s="32">
        <v>1294</v>
      </c>
      <c r="W949" s="27">
        <v>1.4709225662710863E-2</v>
      </c>
      <c r="X949" s="34">
        <v>388</v>
      </c>
      <c r="Y949" s="27">
        <v>0.29984544049459044</v>
      </c>
      <c r="Z949" s="27">
        <v>4.4104942481698719E-3</v>
      </c>
      <c r="AA949" s="35">
        <v>349</v>
      </c>
      <c r="AB949" s="27">
        <v>0.26970633693972179</v>
      </c>
      <c r="AC949" s="27">
        <f t="shared" si="85"/>
        <v>3.9671713727094981E-3</v>
      </c>
      <c r="AD949" s="36">
        <v>21</v>
      </c>
      <c r="AE949" s="27">
        <v>1.6228748068006182E-2</v>
      </c>
      <c r="AF949" s="27">
        <f t="shared" si="86"/>
        <v>2.3871231755558586E-4</v>
      </c>
      <c r="AG949" s="37">
        <v>390</v>
      </c>
      <c r="AH949" s="27">
        <v>0.30139103554868624</v>
      </c>
      <c r="AI949" s="27">
        <f t="shared" si="87"/>
        <v>4.4332287546037371E-3</v>
      </c>
      <c r="AJ949" s="38">
        <v>104</v>
      </c>
      <c r="AK949" s="27">
        <v>8.0370942812983001E-2</v>
      </c>
      <c r="AL949" s="27">
        <f t="shared" si="88"/>
        <v>1.1821943345609967E-3</v>
      </c>
      <c r="AM949" s="40">
        <v>25</v>
      </c>
      <c r="AN949" s="27">
        <v>1.9319938176197836E-2</v>
      </c>
      <c r="AO949" s="27">
        <f t="shared" si="89"/>
        <v>2.8418133042331652E-4</v>
      </c>
      <c r="AP949" s="7" t="b">
        <v>1</v>
      </c>
      <c r="AQ949" s="6" t="b">
        <v>0</v>
      </c>
      <c r="AR949" s="6" t="b">
        <v>0</v>
      </c>
      <c r="AS949" s="6" t="b">
        <v>0</v>
      </c>
      <c r="AT949" s="7" t="b">
        <v>1</v>
      </c>
      <c r="AU949" s="6" t="b">
        <v>0</v>
      </c>
      <c r="AV949" s="6" t="b">
        <v>0</v>
      </c>
      <c r="AW949" s="6" t="b">
        <v>0</v>
      </c>
      <c r="AX949" s="6" t="b">
        <v>0</v>
      </c>
      <c r="AY949" s="6" t="b">
        <v>0</v>
      </c>
      <c r="AZ949" s="6" t="b">
        <v>0</v>
      </c>
      <c r="BA949" s="6" t="b">
        <v>0</v>
      </c>
      <c r="BB949" s="6" t="b">
        <v>0</v>
      </c>
    </row>
    <row r="950" spans="1:54" ht="15" x14ac:dyDescent="0.25">
      <c r="A950" s="3" t="s">
        <v>1959</v>
      </c>
      <c r="B950" s="3" t="str">
        <f ca="1">IFERROR(__xludf.DUMMYFUNCTION("SPLIT(A950,""/"")"),"secureworks")</f>
        <v>secureworks</v>
      </c>
      <c r="C950" s="3" t="str">
        <f ca="1">IFERROR(__xludf.DUMMYFUNCTION("""COMPUTED_VALUE"""),"dcept")</f>
        <v>dcept</v>
      </c>
      <c r="D950" s="4" t="s">
        <v>1960</v>
      </c>
      <c r="E950" s="5">
        <v>42431.553055555552</v>
      </c>
      <c r="F950" s="5">
        <v>44289.188981481479</v>
      </c>
      <c r="G950" s="13">
        <f t="shared" si="84"/>
        <v>1857.6359259259261</v>
      </c>
      <c r="H950" s="6" t="b">
        <v>0</v>
      </c>
      <c r="I950" s="7" t="b">
        <v>1</v>
      </c>
      <c r="J950" s="8">
        <v>460</v>
      </c>
      <c r="K950" s="8">
        <v>66</v>
      </c>
      <c r="L950" s="8">
        <v>93</v>
      </c>
      <c r="M950" s="8">
        <v>0</v>
      </c>
      <c r="N950" s="8">
        <v>0</v>
      </c>
      <c r="O950" s="8">
        <v>2</v>
      </c>
      <c r="P950" s="8">
        <v>1</v>
      </c>
      <c r="Q950" s="8">
        <v>0</v>
      </c>
      <c r="R950" s="8">
        <v>6</v>
      </c>
      <c r="S950" s="8">
        <v>3</v>
      </c>
      <c r="T950" s="3" t="s">
        <v>49</v>
      </c>
      <c r="U950" s="10">
        <v>395</v>
      </c>
      <c r="V950" s="32">
        <v>25</v>
      </c>
      <c r="W950" s="27">
        <v>6.3291139240506333E-2</v>
      </c>
      <c r="X950" s="34">
        <v>8</v>
      </c>
      <c r="Y950" s="27">
        <v>0.32</v>
      </c>
      <c r="Z950" s="27">
        <v>2.0253164556962026E-2</v>
      </c>
      <c r="AA950" s="35">
        <v>10</v>
      </c>
      <c r="AB950" s="27">
        <v>0.4</v>
      </c>
      <c r="AC950" s="27">
        <f t="shared" si="85"/>
        <v>2.5316455696202531E-2</v>
      </c>
      <c r="AD950" s="36">
        <v>0</v>
      </c>
      <c r="AE950" s="27">
        <v>0</v>
      </c>
      <c r="AF950" s="27">
        <f t="shared" si="86"/>
        <v>0</v>
      </c>
      <c r="AG950" s="37">
        <v>4</v>
      </c>
      <c r="AH950" s="27">
        <v>0.16</v>
      </c>
      <c r="AI950" s="27">
        <f t="shared" si="87"/>
        <v>1.0126582278481013E-2</v>
      </c>
      <c r="AJ950" s="38">
        <v>1</v>
      </c>
      <c r="AK950" s="27">
        <v>0.04</v>
      </c>
      <c r="AL950" s="27">
        <f t="shared" si="88"/>
        <v>2.5316455696202532E-3</v>
      </c>
      <c r="AM950" s="40">
        <v>0</v>
      </c>
      <c r="AN950" s="27">
        <v>0</v>
      </c>
      <c r="AO950" s="27">
        <f t="shared" si="89"/>
        <v>0</v>
      </c>
      <c r="AP950" s="7" t="b">
        <v>1</v>
      </c>
      <c r="AQ950" s="6" t="b">
        <v>0</v>
      </c>
      <c r="AR950" s="6" t="b">
        <v>0</v>
      </c>
      <c r="AS950" s="6" t="b">
        <v>0</v>
      </c>
      <c r="AT950" s="7" t="b">
        <v>1</v>
      </c>
      <c r="AU950" s="6" t="b">
        <v>0</v>
      </c>
      <c r="AV950" s="6" t="b">
        <v>0</v>
      </c>
      <c r="AW950" s="6" t="b">
        <v>0</v>
      </c>
      <c r="AX950" s="6" t="b">
        <v>0</v>
      </c>
      <c r="AY950" s="6" t="b">
        <v>0</v>
      </c>
      <c r="AZ950" s="6" t="b">
        <v>0</v>
      </c>
      <c r="BA950" s="6" t="b">
        <v>0</v>
      </c>
      <c r="BB950" s="6" t="b">
        <v>0</v>
      </c>
    </row>
    <row r="951" spans="1:54" ht="15" x14ac:dyDescent="0.25">
      <c r="A951" s="3" t="s">
        <v>1961</v>
      </c>
      <c r="B951" s="3" t="str">
        <f ca="1">IFERROR(__xludf.DUMMYFUNCTION("SPLIT(A951,""/"")"),"securing")</f>
        <v>securing</v>
      </c>
      <c r="C951" s="3" t="str">
        <f ca="1">IFERROR(__xludf.DUMMYFUNCTION("""COMPUTED_VALUE"""),"DumpsterDiver")</f>
        <v>DumpsterDiver</v>
      </c>
      <c r="D951" s="4" t="s">
        <v>1962</v>
      </c>
      <c r="E951" s="5">
        <v>43247.981562499997</v>
      </c>
      <c r="F951" s="5">
        <v>44294.904641203706</v>
      </c>
      <c r="G951" s="13">
        <f t="shared" si="84"/>
        <v>1046.9230787037086</v>
      </c>
      <c r="H951" s="6" t="b">
        <v>0</v>
      </c>
      <c r="I951" s="6" t="b">
        <v>0</v>
      </c>
      <c r="J951" s="8">
        <v>550</v>
      </c>
      <c r="K951" s="8">
        <v>28</v>
      </c>
      <c r="L951" s="8">
        <v>94</v>
      </c>
      <c r="M951" s="8">
        <v>0</v>
      </c>
      <c r="N951" s="8">
        <v>0</v>
      </c>
      <c r="O951" s="8">
        <v>6</v>
      </c>
      <c r="P951" s="8">
        <v>29</v>
      </c>
      <c r="Q951" s="8">
        <v>3</v>
      </c>
      <c r="R951" s="8">
        <v>9</v>
      </c>
      <c r="S951" s="8">
        <v>3</v>
      </c>
      <c r="T951" s="3" t="s">
        <v>72</v>
      </c>
      <c r="U951" s="10">
        <v>404</v>
      </c>
      <c r="V951" s="32">
        <v>17</v>
      </c>
      <c r="W951" s="27">
        <v>4.2079207920792082E-2</v>
      </c>
      <c r="X951" s="34">
        <v>0</v>
      </c>
      <c r="Y951" s="27">
        <v>0</v>
      </c>
      <c r="Z951" s="27">
        <v>0</v>
      </c>
      <c r="AA951" s="35">
        <v>5</v>
      </c>
      <c r="AB951" s="27">
        <v>0.29411764705882354</v>
      </c>
      <c r="AC951" s="27">
        <f t="shared" si="85"/>
        <v>1.2376237623762377E-2</v>
      </c>
      <c r="AD951" s="36">
        <v>0</v>
      </c>
      <c r="AE951" s="27">
        <v>0</v>
      </c>
      <c r="AF951" s="27">
        <f t="shared" si="86"/>
        <v>0</v>
      </c>
      <c r="AG951" s="37">
        <v>5</v>
      </c>
      <c r="AH951" s="27">
        <v>0.29411764705882354</v>
      </c>
      <c r="AI951" s="27">
        <f t="shared" si="87"/>
        <v>1.2376237623762377E-2</v>
      </c>
      <c r="AJ951" s="38">
        <v>0</v>
      </c>
      <c r="AK951" s="27">
        <v>0</v>
      </c>
      <c r="AL951" s="27">
        <f t="shared" si="88"/>
        <v>0</v>
      </c>
      <c r="AM951" s="40">
        <v>0</v>
      </c>
      <c r="AN951" s="27">
        <v>0</v>
      </c>
      <c r="AO951" s="27">
        <f t="shared" si="89"/>
        <v>0</v>
      </c>
      <c r="AP951" s="7" t="b">
        <v>1</v>
      </c>
      <c r="AQ951" s="6" t="b">
        <v>0</v>
      </c>
      <c r="AR951" s="6" t="b">
        <v>0</v>
      </c>
      <c r="AS951" s="6" t="b">
        <v>0</v>
      </c>
      <c r="AT951" s="7" t="b">
        <v>1</v>
      </c>
      <c r="AU951" s="6" t="b">
        <v>0</v>
      </c>
      <c r="AV951" s="6" t="b">
        <v>0</v>
      </c>
      <c r="AW951" s="6" t="b">
        <v>0</v>
      </c>
      <c r="AX951" s="6" t="b">
        <v>0</v>
      </c>
      <c r="AY951" s="6" t="b">
        <v>0</v>
      </c>
      <c r="AZ951" s="6" t="b">
        <v>0</v>
      </c>
      <c r="BA951" s="6" t="b">
        <v>0</v>
      </c>
      <c r="BB951" s="6" t="b">
        <v>0</v>
      </c>
    </row>
    <row r="952" spans="1:54" ht="15" x14ac:dyDescent="0.25">
      <c r="A952" s="3" t="s">
        <v>1963</v>
      </c>
      <c r="B952" s="3" t="str">
        <f ca="1">IFERROR(__xludf.DUMMYFUNCTION("SPLIT(A952,""/"")"),"Segfault-Inc")</f>
        <v>Segfault-Inc</v>
      </c>
      <c r="C952" s="3" t="str">
        <f ca="1">IFERROR(__xludf.DUMMYFUNCTION("""COMPUTED_VALUE"""),"Multicorn")</f>
        <v>Multicorn</v>
      </c>
      <c r="D952" s="4" t="s">
        <v>1964</v>
      </c>
      <c r="E952" s="5">
        <v>40699.776284722226</v>
      </c>
      <c r="F952" s="5">
        <v>44277.334293981483</v>
      </c>
      <c r="G952" s="13">
        <f t="shared" si="84"/>
        <v>3577.5580092592572</v>
      </c>
      <c r="H952" s="6" t="b">
        <v>0</v>
      </c>
      <c r="I952" s="7" t="b">
        <v>1</v>
      </c>
      <c r="J952" s="8">
        <v>604</v>
      </c>
      <c r="K952" s="8">
        <v>64</v>
      </c>
      <c r="L952" s="8">
        <v>128</v>
      </c>
      <c r="M952" s="8">
        <v>3</v>
      </c>
      <c r="N952" s="8">
        <v>3</v>
      </c>
      <c r="O952" s="8">
        <v>28</v>
      </c>
      <c r="P952" s="8">
        <v>80</v>
      </c>
      <c r="Q952" s="8">
        <v>24</v>
      </c>
      <c r="R952" s="8">
        <v>186</v>
      </c>
      <c r="S952" s="8">
        <v>71</v>
      </c>
      <c r="T952" s="3" t="s">
        <v>1965</v>
      </c>
      <c r="U952" s="10">
        <v>1990</v>
      </c>
      <c r="V952" s="32">
        <v>0</v>
      </c>
      <c r="W952" s="27">
        <v>0</v>
      </c>
      <c r="X952" s="34">
        <v>0</v>
      </c>
      <c r="Y952" s="27">
        <v>0</v>
      </c>
      <c r="Z952" s="27">
        <v>0</v>
      </c>
      <c r="AA952" s="35">
        <v>0</v>
      </c>
      <c r="AB952" s="27">
        <v>0</v>
      </c>
      <c r="AC952" s="27">
        <f t="shared" si="85"/>
        <v>0</v>
      </c>
      <c r="AD952" s="36">
        <v>0</v>
      </c>
      <c r="AE952" s="27">
        <v>0</v>
      </c>
      <c r="AF952" s="27">
        <f t="shared" si="86"/>
        <v>0</v>
      </c>
      <c r="AG952" s="37">
        <v>0</v>
      </c>
      <c r="AH952" s="27">
        <v>0</v>
      </c>
      <c r="AI952" s="27">
        <f t="shared" si="87"/>
        <v>0</v>
      </c>
      <c r="AJ952" s="38">
        <v>0</v>
      </c>
      <c r="AK952" s="27">
        <v>0</v>
      </c>
      <c r="AL952" s="27">
        <f t="shared" si="88"/>
        <v>0</v>
      </c>
      <c r="AM952" s="40">
        <v>0</v>
      </c>
      <c r="AN952" s="27">
        <v>0</v>
      </c>
      <c r="AO952" s="27">
        <f t="shared" si="89"/>
        <v>0</v>
      </c>
      <c r="AP952" s="7" t="b">
        <v>1</v>
      </c>
      <c r="AQ952" s="6" t="b">
        <v>0</v>
      </c>
      <c r="AR952" s="6" t="b">
        <v>0</v>
      </c>
      <c r="AS952" s="6" t="b">
        <v>0</v>
      </c>
      <c r="AT952" s="7" t="b">
        <v>1</v>
      </c>
      <c r="AU952" s="6" t="b">
        <v>0</v>
      </c>
      <c r="AV952" s="6" t="b">
        <v>0</v>
      </c>
      <c r="AW952" s="6" t="b">
        <v>0</v>
      </c>
      <c r="AX952" s="6" t="b">
        <v>0</v>
      </c>
      <c r="AY952" s="6" t="b">
        <v>0</v>
      </c>
      <c r="AZ952" s="6" t="b">
        <v>0</v>
      </c>
      <c r="BA952" s="6" t="b">
        <v>0</v>
      </c>
      <c r="BB952" s="6" t="b">
        <v>0</v>
      </c>
    </row>
    <row r="953" spans="1:54" ht="15" x14ac:dyDescent="0.25">
      <c r="A953" s="3" t="s">
        <v>1966</v>
      </c>
      <c r="B953" s="3" t="str">
        <f ca="1">IFERROR(__xludf.DUMMYFUNCTION("SPLIT(A953,""/"")"),"seleniumbase")</f>
        <v>seleniumbase</v>
      </c>
      <c r="C953" s="3" t="str">
        <f ca="1">IFERROR(__xludf.DUMMYFUNCTION("""COMPUTED_VALUE"""),"SeleniumBase")</f>
        <v>SeleniumBase</v>
      </c>
      <c r="D953" s="4" t="s">
        <v>1967</v>
      </c>
      <c r="E953" s="5">
        <v>41702.963576388887</v>
      </c>
      <c r="F953" s="5">
        <v>44295.000706018516</v>
      </c>
      <c r="G953" s="13">
        <f t="shared" si="84"/>
        <v>2592.0371296296289</v>
      </c>
      <c r="H953" s="6" t="b">
        <v>0</v>
      </c>
      <c r="I953" s="7" t="b">
        <v>1</v>
      </c>
      <c r="J953" s="8">
        <v>2107</v>
      </c>
      <c r="K953" s="8">
        <v>120</v>
      </c>
      <c r="L953" s="8">
        <v>462</v>
      </c>
      <c r="M953" s="8">
        <v>520</v>
      </c>
      <c r="N953" s="8">
        <v>6</v>
      </c>
      <c r="O953" s="8">
        <v>20</v>
      </c>
      <c r="P953" s="8">
        <v>630</v>
      </c>
      <c r="Q953" s="8">
        <v>0</v>
      </c>
      <c r="R953" s="8">
        <v>204</v>
      </c>
      <c r="S953" s="8">
        <v>0</v>
      </c>
      <c r="T953" s="3" t="s">
        <v>72</v>
      </c>
      <c r="U953" s="10">
        <v>24126</v>
      </c>
      <c r="V953" s="32">
        <v>31</v>
      </c>
      <c r="W953" s="27">
        <v>1.2849208322971068E-3</v>
      </c>
      <c r="X953" s="34">
        <v>25</v>
      </c>
      <c r="Y953" s="27">
        <v>0.80645161290322576</v>
      </c>
      <c r="Z953" s="27">
        <v>1.0362264776589572E-3</v>
      </c>
      <c r="AA953" s="35">
        <v>1</v>
      </c>
      <c r="AB953" s="27">
        <v>3.2258064516129031E-2</v>
      </c>
      <c r="AC953" s="27">
        <f t="shared" si="85"/>
        <v>4.1449059106358285E-5</v>
      </c>
      <c r="AD953" s="36">
        <v>3</v>
      </c>
      <c r="AE953" s="27">
        <v>9.6774193548387094E-2</v>
      </c>
      <c r="AF953" s="27">
        <f t="shared" si="86"/>
        <v>1.2434717731907486E-4</v>
      </c>
      <c r="AG953" s="37">
        <v>2</v>
      </c>
      <c r="AH953" s="27">
        <v>6.4516129032258063E-2</v>
      </c>
      <c r="AI953" s="27">
        <f t="shared" si="87"/>
        <v>8.2898118212716571E-5</v>
      </c>
      <c r="AJ953" s="38">
        <v>0</v>
      </c>
      <c r="AK953" s="27">
        <v>0</v>
      </c>
      <c r="AL953" s="27">
        <f t="shared" si="88"/>
        <v>0</v>
      </c>
      <c r="AM953" s="40">
        <v>0</v>
      </c>
      <c r="AN953" s="27">
        <v>0</v>
      </c>
      <c r="AO953" s="27">
        <f t="shared" si="89"/>
        <v>0</v>
      </c>
      <c r="AP953" s="7" t="b">
        <v>1</v>
      </c>
      <c r="AQ953" s="6" t="b">
        <v>0</v>
      </c>
      <c r="AR953" s="6" t="b">
        <v>0</v>
      </c>
      <c r="AS953" s="6" t="b">
        <v>0</v>
      </c>
      <c r="AT953" s="7" t="b">
        <v>1</v>
      </c>
      <c r="AU953" s="6" t="b">
        <v>0</v>
      </c>
      <c r="AV953" s="6" t="b">
        <v>0</v>
      </c>
      <c r="AW953" s="6" t="b">
        <v>0</v>
      </c>
      <c r="AX953" s="6" t="b">
        <v>0</v>
      </c>
      <c r="AY953" s="6" t="b">
        <v>0</v>
      </c>
      <c r="AZ953" s="6" t="b">
        <v>0</v>
      </c>
      <c r="BA953" s="6" t="b">
        <v>0</v>
      </c>
      <c r="BB953" s="6" t="b">
        <v>0</v>
      </c>
    </row>
    <row r="954" spans="1:54" ht="15" x14ac:dyDescent="0.25">
      <c r="A954" s="3" t="s">
        <v>1968</v>
      </c>
      <c r="B954" s="3" t="str">
        <f ca="1">IFERROR(__xludf.DUMMYFUNCTION("SPLIT(A954,""/"")"),"Sense-X")</f>
        <v>Sense-X</v>
      </c>
      <c r="C954" s="3" t="str">
        <f ca="1">IFERROR(__xludf.DUMMYFUNCTION("""COMPUTED_VALUE"""),"TSD")</f>
        <v>TSD</v>
      </c>
      <c r="D954" s="4" t="s">
        <v>1969</v>
      </c>
      <c r="E954" s="5">
        <v>43922.630925925929</v>
      </c>
      <c r="F954" s="5">
        <v>44293.041354166664</v>
      </c>
      <c r="G954" s="13">
        <f t="shared" si="84"/>
        <v>370.4104282407352</v>
      </c>
      <c r="H954" s="6" t="b">
        <v>0</v>
      </c>
      <c r="I954" s="6" t="b">
        <v>0</v>
      </c>
      <c r="J954" s="8">
        <v>410</v>
      </c>
      <c r="K954" s="8">
        <v>29</v>
      </c>
      <c r="L954" s="8">
        <v>52</v>
      </c>
      <c r="M954" s="8">
        <v>0</v>
      </c>
      <c r="N954" s="8">
        <v>0</v>
      </c>
      <c r="O954" s="8">
        <v>3</v>
      </c>
      <c r="P954" s="8">
        <v>1</v>
      </c>
      <c r="Q954" s="8">
        <v>0</v>
      </c>
      <c r="R954" s="8">
        <v>32</v>
      </c>
      <c r="S954" s="8">
        <v>13</v>
      </c>
      <c r="T954" s="3" t="s">
        <v>69</v>
      </c>
      <c r="U954" s="10">
        <v>21072</v>
      </c>
      <c r="V954" s="32">
        <v>22</v>
      </c>
      <c r="W954" s="27">
        <v>1.044039483675019E-3</v>
      </c>
      <c r="X954" s="34">
        <v>5</v>
      </c>
      <c r="Y954" s="27">
        <v>0.22727272727272727</v>
      </c>
      <c r="Z954" s="27">
        <v>2.3728170083523158E-4</v>
      </c>
      <c r="AA954" s="35">
        <v>7</v>
      </c>
      <c r="AB954" s="27">
        <v>0.31818181818181818</v>
      </c>
      <c r="AC954" s="27">
        <f t="shared" si="85"/>
        <v>3.321943811693242E-4</v>
      </c>
      <c r="AD954" s="36">
        <v>8</v>
      </c>
      <c r="AE954" s="27">
        <v>0.36363636363636365</v>
      </c>
      <c r="AF954" s="27">
        <f t="shared" si="86"/>
        <v>3.7965072133637056E-4</v>
      </c>
      <c r="AG954" s="37">
        <v>0</v>
      </c>
      <c r="AH954" s="27">
        <v>0</v>
      </c>
      <c r="AI954" s="27">
        <f t="shared" si="87"/>
        <v>0</v>
      </c>
      <c r="AJ954" s="38">
        <v>0</v>
      </c>
      <c r="AK954" s="27">
        <v>0</v>
      </c>
      <c r="AL954" s="27">
        <f t="shared" si="88"/>
        <v>0</v>
      </c>
      <c r="AM954" s="40">
        <v>2</v>
      </c>
      <c r="AN954" s="27">
        <v>9.0909090909090912E-2</v>
      </c>
      <c r="AO954" s="27">
        <f t="shared" si="89"/>
        <v>9.4912680334092639E-5</v>
      </c>
      <c r="AP954" s="7" t="b">
        <v>1</v>
      </c>
      <c r="AQ954" s="6" t="b">
        <v>0</v>
      </c>
      <c r="AR954" s="6" t="b">
        <v>0</v>
      </c>
      <c r="AS954" s="6" t="b">
        <v>0</v>
      </c>
      <c r="AT954" s="7" t="b">
        <v>1</v>
      </c>
      <c r="AU954" s="6" t="b">
        <v>0</v>
      </c>
      <c r="AV954" s="6" t="b">
        <v>0</v>
      </c>
      <c r="AW954" s="6" t="b">
        <v>0</v>
      </c>
      <c r="AX954" s="6" t="b">
        <v>0</v>
      </c>
      <c r="AY954" s="6" t="b">
        <v>0</v>
      </c>
      <c r="AZ954" s="6" t="b">
        <v>0</v>
      </c>
      <c r="BA954" s="6" t="b">
        <v>0</v>
      </c>
      <c r="BB954" s="6" t="b">
        <v>0</v>
      </c>
    </row>
    <row r="955" spans="1:54" ht="15" x14ac:dyDescent="0.25">
      <c r="A955" s="3" t="s">
        <v>1970</v>
      </c>
      <c r="B955" s="3" t="str">
        <f ca="1">IFERROR(__xludf.DUMMYFUNCTION("SPLIT(A955,""/"")"),"sfzhang15")</f>
        <v>sfzhang15</v>
      </c>
      <c r="C955" s="3" t="str">
        <f ca="1">IFERROR(__xludf.DUMMYFUNCTION("""COMPUTED_VALUE"""),"ATSS")</f>
        <v>ATSS</v>
      </c>
      <c r="D955" s="4" t="s">
        <v>1971</v>
      </c>
      <c r="E955" s="5">
        <v>43804.40452546296</v>
      </c>
      <c r="F955" s="5">
        <v>44292.256701388891</v>
      </c>
      <c r="G955" s="13">
        <f t="shared" si="84"/>
        <v>487.85217592593108</v>
      </c>
      <c r="H955" s="6" t="b">
        <v>0</v>
      </c>
      <c r="I955" s="6" t="b">
        <v>0</v>
      </c>
      <c r="J955" s="8">
        <v>853</v>
      </c>
      <c r="K955" s="8">
        <v>25</v>
      </c>
      <c r="L955" s="8">
        <v>138</v>
      </c>
      <c r="M955" s="8">
        <v>0</v>
      </c>
      <c r="N955" s="8">
        <v>0</v>
      </c>
      <c r="O955" s="9">
        <v>0</v>
      </c>
      <c r="P955" s="8">
        <v>1</v>
      </c>
      <c r="Q955" s="8">
        <v>1</v>
      </c>
      <c r="R955" s="8">
        <v>92</v>
      </c>
      <c r="S955" s="8">
        <v>10</v>
      </c>
      <c r="T955" s="3" t="s">
        <v>92</v>
      </c>
      <c r="U955" s="10">
        <v>8730</v>
      </c>
      <c r="V955" s="32">
        <v>47</v>
      </c>
      <c r="W955" s="27">
        <v>5.3837342497136311E-3</v>
      </c>
      <c r="X955" s="34">
        <v>0</v>
      </c>
      <c r="Y955" s="27">
        <v>0</v>
      </c>
      <c r="Z955" s="27">
        <v>0</v>
      </c>
      <c r="AA955" s="35">
        <v>42</v>
      </c>
      <c r="AB955" s="27">
        <v>0.8936170212765957</v>
      </c>
      <c r="AC955" s="27">
        <f t="shared" si="85"/>
        <v>4.8109965635738834E-3</v>
      </c>
      <c r="AD955" s="36">
        <v>4</v>
      </c>
      <c r="AE955" s="27">
        <v>8.5106382978723402E-2</v>
      </c>
      <c r="AF955" s="27">
        <f t="shared" si="86"/>
        <v>4.5819014891179839E-4</v>
      </c>
      <c r="AG955" s="37">
        <v>1</v>
      </c>
      <c r="AH955" s="27">
        <v>2.1276595744680851E-2</v>
      </c>
      <c r="AI955" s="27">
        <f t="shared" si="87"/>
        <v>1.145475372279496E-4</v>
      </c>
      <c r="AJ955" s="38">
        <v>0</v>
      </c>
      <c r="AK955" s="27">
        <v>0</v>
      </c>
      <c r="AL955" s="27">
        <f t="shared" si="88"/>
        <v>0</v>
      </c>
      <c r="AM955" s="40">
        <v>0</v>
      </c>
      <c r="AN955" s="27">
        <v>0</v>
      </c>
      <c r="AO955" s="27">
        <f t="shared" si="89"/>
        <v>0</v>
      </c>
      <c r="AP955" s="7" t="b">
        <v>1</v>
      </c>
      <c r="AQ955" s="6" t="b">
        <v>0</v>
      </c>
      <c r="AR955" s="6" t="b">
        <v>0</v>
      </c>
      <c r="AS955" s="6" t="b">
        <v>0</v>
      </c>
      <c r="AT955" s="7" t="b">
        <v>1</v>
      </c>
      <c r="AU955" s="6" t="b">
        <v>0</v>
      </c>
      <c r="AV955" s="6" t="b">
        <v>0</v>
      </c>
      <c r="AW955" s="6" t="b">
        <v>0</v>
      </c>
      <c r="AX955" s="6" t="b">
        <v>0</v>
      </c>
      <c r="AY955" s="6" t="b">
        <v>0</v>
      </c>
      <c r="AZ955" s="6" t="b">
        <v>0</v>
      </c>
      <c r="BA955" s="6" t="b">
        <v>0</v>
      </c>
      <c r="BB955" s="6" t="b">
        <v>0</v>
      </c>
    </row>
    <row r="956" spans="1:54" ht="15" x14ac:dyDescent="0.25">
      <c r="A956" s="3" t="s">
        <v>1972</v>
      </c>
      <c r="B956" s="3" t="str">
        <f ca="1">IFERROR(__xludf.DUMMYFUNCTION("SPLIT(A956,""/"")"),"sgratzl")</f>
        <v>sgratzl</v>
      </c>
      <c r="C956" s="3" t="str">
        <f ca="1">IFERROR(__xludf.DUMMYFUNCTION("""COMPUTED_VALUE"""),"slack-cleaner")</f>
        <v>slack-cleaner</v>
      </c>
      <c r="D956" s="4" t="s">
        <v>1973</v>
      </c>
      <c r="E956" s="5">
        <v>42986.882002314815</v>
      </c>
      <c r="F956" s="5">
        <v>44290.408715277779</v>
      </c>
      <c r="G956" s="13">
        <f t="shared" si="84"/>
        <v>1303.5267129629647</v>
      </c>
      <c r="H956" s="6" t="b">
        <v>0</v>
      </c>
      <c r="I956" s="6" t="b">
        <v>0</v>
      </c>
      <c r="J956" s="8">
        <v>333</v>
      </c>
      <c r="K956" s="8">
        <v>12</v>
      </c>
      <c r="L956" s="8">
        <v>40</v>
      </c>
      <c r="M956" s="8">
        <v>7</v>
      </c>
      <c r="N956" s="8">
        <v>0</v>
      </c>
      <c r="O956" s="8">
        <v>16</v>
      </c>
      <c r="P956" s="8">
        <v>17</v>
      </c>
      <c r="Q956" s="8">
        <v>0</v>
      </c>
      <c r="R956" s="8">
        <v>78</v>
      </c>
      <c r="S956" s="8">
        <v>4</v>
      </c>
      <c r="T956" s="3" t="s">
        <v>72</v>
      </c>
      <c r="U956" s="10">
        <v>531</v>
      </c>
      <c r="V956" s="32">
        <v>19</v>
      </c>
      <c r="W956" s="27">
        <v>3.5781544256120526E-2</v>
      </c>
      <c r="X956" s="34">
        <v>0</v>
      </c>
      <c r="Y956" s="27">
        <v>0</v>
      </c>
      <c r="Z956" s="27">
        <v>0</v>
      </c>
      <c r="AA956" s="35">
        <v>7</v>
      </c>
      <c r="AB956" s="27">
        <v>0.36842105263157893</v>
      </c>
      <c r="AC956" s="27">
        <f t="shared" si="85"/>
        <v>1.3182674199623353E-2</v>
      </c>
      <c r="AD956" s="36">
        <v>5</v>
      </c>
      <c r="AE956" s="27">
        <v>0.26315789473684209</v>
      </c>
      <c r="AF956" s="27">
        <f t="shared" si="86"/>
        <v>9.4161958568738224E-3</v>
      </c>
      <c r="AG956" s="37">
        <v>6</v>
      </c>
      <c r="AH956" s="27">
        <v>0.31578947368421051</v>
      </c>
      <c r="AI956" s="27">
        <f t="shared" si="87"/>
        <v>1.1299435028248588E-2</v>
      </c>
      <c r="AJ956" s="38">
        <v>0</v>
      </c>
      <c r="AK956" s="27">
        <v>0</v>
      </c>
      <c r="AL956" s="27">
        <f t="shared" si="88"/>
        <v>0</v>
      </c>
      <c r="AM956" s="40">
        <v>0</v>
      </c>
      <c r="AN956" s="27">
        <v>0</v>
      </c>
      <c r="AO956" s="27">
        <f t="shared" si="89"/>
        <v>0</v>
      </c>
      <c r="AP956" s="7" t="b">
        <v>1</v>
      </c>
      <c r="AQ956" s="6" t="b">
        <v>0</v>
      </c>
      <c r="AR956" s="6" t="b">
        <v>0</v>
      </c>
      <c r="AS956" s="6" t="b">
        <v>0</v>
      </c>
      <c r="AT956" s="7" t="b">
        <v>1</v>
      </c>
      <c r="AU956" s="6" t="b">
        <v>0</v>
      </c>
      <c r="AV956" s="6" t="b">
        <v>0</v>
      </c>
      <c r="AW956" s="6" t="b">
        <v>0</v>
      </c>
      <c r="AX956" s="6" t="b">
        <v>0</v>
      </c>
      <c r="AY956" s="6" t="b">
        <v>0</v>
      </c>
      <c r="AZ956" s="6" t="b">
        <v>0</v>
      </c>
      <c r="BA956" s="6" t="b">
        <v>0</v>
      </c>
      <c r="BB956" s="6" t="b">
        <v>0</v>
      </c>
    </row>
    <row r="957" spans="1:54" ht="15" x14ac:dyDescent="0.25">
      <c r="A957" s="3" t="s">
        <v>1974</v>
      </c>
      <c r="B957" s="3" t="str">
        <f ca="1">IFERROR(__xludf.DUMMYFUNCTION("SPLIT(A957,""/"")"),"shadowmoose")</f>
        <v>shadowmoose</v>
      </c>
      <c r="C957" s="3" t="str">
        <f ca="1">IFERROR(__xludf.DUMMYFUNCTION("""COMPUTED_VALUE"""),"RedditDownloader")</f>
        <v>RedditDownloader</v>
      </c>
      <c r="D957" s="4" t="s">
        <v>1975</v>
      </c>
      <c r="E957" s="5">
        <v>42887.919224537036</v>
      </c>
      <c r="F957" s="5">
        <v>44294.660590277781</v>
      </c>
      <c r="G957" s="13">
        <f t="shared" si="84"/>
        <v>1406.7413657407451</v>
      </c>
      <c r="H957" s="6" t="b">
        <v>0</v>
      </c>
      <c r="I957" s="6" t="b">
        <v>0</v>
      </c>
      <c r="J957" s="8">
        <v>533</v>
      </c>
      <c r="K957" s="8">
        <v>16</v>
      </c>
      <c r="L957" s="8">
        <v>43</v>
      </c>
      <c r="M957" s="8">
        <v>17</v>
      </c>
      <c r="N957" s="8">
        <v>2</v>
      </c>
      <c r="O957" s="8">
        <v>5</v>
      </c>
      <c r="P957" s="8">
        <v>41</v>
      </c>
      <c r="Q957" s="8">
        <v>0</v>
      </c>
      <c r="R957" s="8">
        <v>155</v>
      </c>
      <c r="S957" s="8">
        <v>56</v>
      </c>
      <c r="T957" s="11" t="s">
        <v>52</v>
      </c>
      <c r="U957" s="10">
        <v>5121</v>
      </c>
      <c r="V957" s="32">
        <v>16</v>
      </c>
      <c r="W957" s="27">
        <v>3.1243897676235112E-3</v>
      </c>
      <c r="X957" s="34">
        <v>0</v>
      </c>
      <c r="Y957" s="27">
        <v>0</v>
      </c>
      <c r="Z957" s="27">
        <v>0</v>
      </c>
      <c r="AA957" s="35">
        <v>0</v>
      </c>
      <c r="AB957" s="27">
        <v>0</v>
      </c>
      <c r="AC957" s="27">
        <f t="shared" si="85"/>
        <v>0</v>
      </c>
      <c r="AD957" s="36">
        <v>0</v>
      </c>
      <c r="AE957" s="27">
        <v>0</v>
      </c>
      <c r="AF957" s="27">
        <f t="shared" si="86"/>
        <v>0</v>
      </c>
      <c r="AG957" s="37">
        <v>16</v>
      </c>
      <c r="AH957" s="27">
        <v>1</v>
      </c>
      <c r="AI957" s="27">
        <f t="shared" si="87"/>
        <v>3.1243897676235112E-3</v>
      </c>
      <c r="AJ957" s="38">
        <v>0</v>
      </c>
      <c r="AK957" s="27">
        <v>0</v>
      </c>
      <c r="AL957" s="27">
        <f t="shared" si="88"/>
        <v>0</v>
      </c>
      <c r="AM957" s="40">
        <v>0</v>
      </c>
      <c r="AN957" s="27">
        <v>0</v>
      </c>
      <c r="AO957" s="27">
        <f t="shared" si="89"/>
        <v>0</v>
      </c>
      <c r="AP957" s="7" t="b">
        <v>1</v>
      </c>
      <c r="AQ957" s="6" t="b">
        <v>0</v>
      </c>
      <c r="AR957" s="6" t="b">
        <v>0</v>
      </c>
      <c r="AS957" s="6" t="b">
        <v>0</v>
      </c>
      <c r="AT957" s="7" t="b">
        <v>1</v>
      </c>
      <c r="AU957" s="6" t="b">
        <v>0</v>
      </c>
      <c r="AV957" s="6" t="b">
        <v>0</v>
      </c>
      <c r="AW957" s="6" t="b">
        <v>0</v>
      </c>
      <c r="AX957" s="6" t="b">
        <v>0</v>
      </c>
      <c r="AY957" s="6" t="b">
        <v>0</v>
      </c>
      <c r="AZ957" s="6" t="b">
        <v>0</v>
      </c>
      <c r="BA957" s="6" t="b">
        <v>0</v>
      </c>
      <c r="BB957" s="6" t="b">
        <v>0</v>
      </c>
    </row>
    <row r="958" spans="1:54" ht="15" x14ac:dyDescent="0.25">
      <c r="A958" s="3" t="s">
        <v>1976</v>
      </c>
      <c r="B958" s="3" t="str">
        <f ca="1">IFERROR(__xludf.DUMMYFUNCTION("SPLIT(A958,""/"")"),"ShangtongZhang")</f>
        <v>ShangtongZhang</v>
      </c>
      <c r="C958" s="3" t="str">
        <f ca="1">IFERROR(__xludf.DUMMYFUNCTION("""COMPUTED_VALUE"""),"DeepRL")</f>
        <v>DeepRL</v>
      </c>
      <c r="D958" s="4" t="s">
        <v>1977</v>
      </c>
      <c r="E958" s="5">
        <v>42845.833252314813</v>
      </c>
      <c r="F958" s="5">
        <v>44295.071979166663</v>
      </c>
      <c r="G958" s="13">
        <f t="shared" si="84"/>
        <v>1449.2387268518505</v>
      </c>
      <c r="H958" s="6" t="b">
        <v>0</v>
      </c>
      <c r="I958" s="6" t="b">
        <v>0</v>
      </c>
      <c r="J958" s="8">
        <v>2388</v>
      </c>
      <c r="K958" s="8">
        <v>86</v>
      </c>
      <c r="L958" s="8">
        <v>538</v>
      </c>
      <c r="M958" s="8">
        <v>7</v>
      </c>
      <c r="N958" s="8">
        <v>3</v>
      </c>
      <c r="O958" s="8">
        <v>3</v>
      </c>
      <c r="P958" s="8">
        <v>19</v>
      </c>
      <c r="Q958" s="8">
        <v>1</v>
      </c>
      <c r="R958" s="8">
        <v>88</v>
      </c>
      <c r="S958" s="8">
        <v>3</v>
      </c>
      <c r="T958" s="3" t="s">
        <v>72</v>
      </c>
      <c r="U958" s="10">
        <v>2828</v>
      </c>
      <c r="V958" s="32">
        <v>3</v>
      </c>
      <c r="W958" s="27">
        <v>1.0608203677510608E-3</v>
      </c>
      <c r="X958" s="34">
        <v>0</v>
      </c>
      <c r="Y958" s="27">
        <v>0</v>
      </c>
      <c r="Z958" s="27">
        <v>0</v>
      </c>
      <c r="AA958" s="35">
        <v>3</v>
      </c>
      <c r="AB958" s="27">
        <v>1</v>
      </c>
      <c r="AC958" s="27">
        <f t="shared" si="85"/>
        <v>1.0608203677510608E-3</v>
      </c>
      <c r="AD958" s="36">
        <v>0</v>
      </c>
      <c r="AE958" s="27">
        <v>0</v>
      </c>
      <c r="AF958" s="27">
        <f t="shared" si="86"/>
        <v>0</v>
      </c>
      <c r="AG958" s="37">
        <v>0</v>
      </c>
      <c r="AH958" s="27">
        <v>0</v>
      </c>
      <c r="AI958" s="27">
        <f t="shared" si="87"/>
        <v>0</v>
      </c>
      <c r="AJ958" s="38">
        <v>0</v>
      </c>
      <c r="AK958" s="27">
        <v>0</v>
      </c>
      <c r="AL958" s="27">
        <f t="shared" si="88"/>
        <v>0</v>
      </c>
      <c r="AM958" s="40">
        <v>0</v>
      </c>
      <c r="AN958" s="27">
        <v>0</v>
      </c>
      <c r="AO958" s="27">
        <f t="shared" si="89"/>
        <v>0</v>
      </c>
      <c r="AP958" s="7" t="b">
        <v>1</v>
      </c>
      <c r="AQ958" s="6" t="b">
        <v>0</v>
      </c>
      <c r="AR958" s="6" t="b">
        <v>0</v>
      </c>
      <c r="AS958" s="6" t="b">
        <v>0</v>
      </c>
      <c r="AT958" s="7" t="b">
        <v>1</v>
      </c>
      <c r="AU958" s="6" t="b">
        <v>0</v>
      </c>
      <c r="AV958" s="6" t="b">
        <v>0</v>
      </c>
      <c r="AW958" s="6" t="b">
        <v>0</v>
      </c>
      <c r="AX958" s="6" t="b">
        <v>0</v>
      </c>
      <c r="AY958" s="6" t="b">
        <v>0</v>
      </c>
      <c r="AZ958" s="6" t="b">
        <v>0</v>
      </c>
      <c r="BA958" s="6" t="b">
        <v>0</v>
      </c>
      <c r="BB958" s="6" t="b">
        <v>0</v>
      </c>
    </row>
    <row r="959" spans="1:54" ht="15" x14ac:dyDescent="0.25">
      <c r="A959" s="3" t="s">
        <v>1978</v>
      </c>
      <c r="B959" s="3" t="str">
        <f ca="1">IFERROR(__xludf.DUMMYFUNCTION("SPLIT(A959,""/"")"),"SharpAI")</f>
        <v>SharpAI</v>
      </c>
      <c r="C959" s="3" t="str">
        <f ca="1">IFERROR(__xludf.DUMMYFUNCTION("""COMPUTED_VALUE"""),"DeepCamera")</f>
        <v>DeepCamera</v>
      </c>
      <c r="D959" s="4" t="s">
        <v>1979</v>
      </c>
      <c r="E959" s="5">
        <v>43529.603738425925</v>
      </c>
      <c r="F959" s="5">
        <v>44291.326006944444</v>
      </c>
      <c r="G959" s="13">
        <f t="shared" si="84"/>
        <v>761.72226851851883</v>
      </c>
      <c r="H959" s="6" t="b">
        <v>0</v>
      </c>
      <c r="I959" s="7" t="b">
        <v>1</v>
      </c>
      <c r="J959" s="8">
        <v>766</v>
      </c>
      <c r="K959" s="8">
        <v>46</v>
      </c>
      <c r="L959" s="8">
        <v>108</v>
      </c>
      <c r="M959" s="8">
        <v>4</v>
      </c>
      <c r="N959" s="8">
        <v>1</v>
      </c>
      <c r="O959" s="8">
        <v>11</v>
      </c>
      <c r="P959" s="8">
        <v>27</v>
      </c>
      <c r="Q959" s="8">
        <v>0</v>
      </c>
      <c r="R959" s="8">
        <v>36</v>
      </c>
      <c r="S959" s="8">
        <v>0</v>
      </c>
      <c r="T959" s="3" t="s">
        <v>72</v>
      </c>
      <c r="U959" s="10">
        <v>23933</v>
      </c>
      <c r="V959" s="32">
        <v>22</v>
      </c>
      <c r="W959" s="27">
        <v>9.1923285839635646E-4</v>
      </c>
      <c r="X959" s="34">
        <v>0</v>
      </c>
      <c r="Y959" s="27">
        <v>0</v>
      </c>
      <c r="Z959" s="27">
        <v>0</v>
      </c>
      <c r="AA959" s="35">
        <v>1</v>
      </c>
      <c r="AB959" s="27">
        <v>4.5454545454545456E-2</v>
      </c>
      <c r="AC959" s="27">
        <f t="shared" si="85"/>
        <v>4.1783311745288929E-5</v>
      </c>
      <c r="AD959" s="36">
        <v>2</v>
      </c>
      <c r="AE959" s="27">
        <v>9.0909090909090912E-2</v>
      </c>
      <c r="AF959" s="27">
        <f t="shared" si="86"/>
        <v>8.3566623490577858E-5</v>
      </c>
      <c r="AG959" s="37">
        <v>0</v>
      </c>
      <c r="AH959" s="27">
        <v>0</v>
      </c>
      <c r="AI959" s="27">
        <f t="shared" si="87"/>
        <v>0</v>
      </c>
      <c r="AJ959" s="38">
        <v>19</v>
      </c>
      <c r="AK959" s="27">
        <v>0.86363636363636365</v>
      </c>
      <c r="AL959" s="27">
        <f t="shared" si="88"/>
        <v>7.9388292316048966E-4</v>
      </c>
      <c r="AM959" s="40">
        <v>0</v>
      </c>
      <c r="AN959" s="27">
        <v>0</v>
      </c>
      <c r="AO959" s="27">
        <f t="shared" si="89"/>
        <v>0</v>
      </c>
      <c r="AP959" s="7" t="b">
        <v>1</v>
      </c>
      <c r="AQ959" s="7" t="b">
        <v>1</v>
      </c>
      <c r="AR959" s="6" t="b">
        <v>0</v>
      </c>
      <c r="AS959" s="6" t="b">
        <v>0</v>
      </c>
      <c r="AT959" s="7" t="b">
        <v>1</v>
      </c>
      <c r="AU959" s="6" t="b">
        <v>0</v>
      </c>
      <c r="AV959" s="6" t="b">
        <v>0</v>
      </c>
      <c r="AW959" s="6" t="b">
        <v>0</v>
      </c>
      <c r="AX959" s="6" t="b">
        <v>0</v>
      </c>
      <c r="AY959" s="6" t="b">
        <v>0</v>
      </c>
      <c r="AZ959" s="6" t="b">
        <v>0</v>
      </c>
      <c r="BA959" s="6" t="b">
        <v>0</v>
      </c>
      <c r="BB959" s="6" t="b">
        <v>0</v>
      </c>
    </row>
    <row r="960" spans="1:54" ht="15" x14ac:dyDescent="0.25">
      <c r="A960" s="3" t="s">
        <v>1980</v>
      </c>
      <c r="B960" s="3" t="str">
        <f ca="1">IFERROR(__xludf.DUMMYFUNCTION("SPLIT(A960,""/"")"),"shenril")</f>
        <v>shenril</v>
      </c>
      <c r="C960" s="3" t="str">
        <f ca="1">IFERROR(__xludf.DUMMYFUNCTION("""COMPUTED_VALUE"""),"Sitadel")</f>
        <v>Sitadel</v>
      </c>
      <c r="D960" s="4" t="s">
        <v>1981</v>
      </c>
      <c r="E960" s="5">
        <v>43117.379444444443</v>
      </c>
      <c r="F960" s="5">
        <v>44294.979409722226</v>
      </c>
      <c r="G960" s="13">
        <f t="shared" si="84"/>
        <v>1177.5999652777828</v>
      </c>
      <c r="H960" s="6" t="b">
        <v>0</v>
      </c>
      <c r="I960" s="6" t="b">
        <v>0</v>
      </c>
      <c r="J960" s="8">
        <v>361</v>
      </c>
      <c r="K960" s="8">
        <v>18</v>
      </c>
      <c r="L960" s="8">
        <v>83</v>
      </c>
      <c r="M960" s="8">
        <v>0</v>
      </c>
      <c r="N960" s="8">
        <v>0</v>
      </c>
      <c r="O960" s="8">
        <v>3</v>
      </c>
      <c r="P960" s="8">
        <v>23</v>
      </c>
      <c r="Q960" s="8">
        <v>0</v>
      </c>
      <c r="R960" s="8">
        <v>21</v>
      </c>
      <c r="S960" s="8">
        <v>1</v>
      </c>
      <c r="T960" s="3" t="s">
        <v>49</v>
      </c>
      <c r="U960" s="10">
        <v>2378</v>
      </c>
      <c r="V960" s="32">
        <v>133</v>
      </c>
      <c r="W960" s="27">
        <v>5.5929352396972248E-2</v>
      </c>
      <c r="X960" s="34">
        <v>40</v>
      </c>
      <c r="Y960" s="27">
        <v>0.3007518796992481</v>
      </c>
      <c r="Z960" s="27">
        <v>1.6820857863751051E-2</v>
      </c>
      <c r="AA960" s="35">
        <v>30</v>
      </c>
      <c r="AB960" s="27">
        <v>0.22556390977443608</v>
      </c>
      <c r="AC960" s="27">
        <f t="shared" si="85"/>
        <v>1.2615643397813289E-2</v>
      </c>
      <c r="AD960" s="36">
        <v>0</v>
      </c>
      <c r="AE960" s="27">
        <v>0</v>
      </c>
      <c r="AF960" s="27">
        <f t="shared" si="86"/>
        <v>0</v>
      </c>
      <c r="AG960" s="37">
        <v>29</v>
      </c>
      <c r="AH960" s="27">
        <v>0.21804511278195488</v>
      </c>
      <c r="AI960" s="27">
        <f t="shared" si="87"/>
        <v>1.2195121951219513E-2</v>
      </c>
      <c r="AJ960" s="38">
        <v>0</v>
      </c>
      <c r="AK960" s="27">
        <v>0</v>
      </c>
      <c r="AL960" s="27">
        <f t="shared" si="88"/>
        <v>0</v>
      </c>
      <c r="AM960" s="40">
        <v>0</v>
      </c>
      <c r="AN960" s="27">
        <v>0</v>
      </c>
      <c r="AO960" s="27">
        <f t="shared" si="89"/>
        <v>0</v>
      </c>
      <c r="AP960" s="7" t="b">
        <v>1</v>
      </c>
      <c r="AQ960" s="6" t="b">
        <v>0</v>
      </c>
      <c r="AR960" s="6" t="b">
        <v>0</v>
      </c>
      <c r="AS960" s="6" t="b">
        <v>0</v>
      </c>
      <c r="AT960" s="7" t="b">
        <v>1</v>
      </c>
      <c r="AU960" s="6" t="b">
        <v>0</v>
      </c>
      <c r="AV960" s="6" t="b">
        <v>0</v>
      </c>
      <c r="AW960" s="6" t="b">
        <v>0</v>
      </c>
      <c r="AX960" s="6" t="b">
        <v>0</v>
      </c>
      <c r="AY960" s="6" t="b">
        <v>0</v>
      </c>
      <c r="AZ960" s="6" t="b">
        <v>0</v>
      </c>
      <c r="BA960" s="6" t="b">
        <v>0</v>
      </c>
      <c r="BB960" s="6" t="b">
        <v>0</v>
      </c>
    </row>
    <row r="961" spans="1:54" ht="15" x14ac:dyDescent="0.25">
      <c r="A961" s="3" t="s">
        <v>1982</v>
      </c>
      <c r="B961" s="3" t="str">
        <f ca="1">IFERROR(__xludf.DUMMYFUNCTION("SPLIT(A961,""/"")"),"shibing624")</f>
        <v>shibing624</v>
      </c>
      <c r="C961" s="3" t="str">
        <f ca="1">IFERROR(__xludf.DUMMYFUNCTION("""COMPUTED_VALUE"""),"pycorrector")</f>
        <v>pycorrector</v>
      </c>
      <c r="D961" s="4" t="s">
        <v>1983</v>
      </c>
      <c r="E961" s="5">
        <v>43160.463912037034</v>
      </c>
      <c r="F961" s="5">
        <v>44295.058055555557</v>
      </c>
      <c r="G961" s="13">
        <f t="shared" si="84"/>
        <v>1134.5941435185232</v>
      </c>
      <c r="H961" s="6" t="b">
        <v>0</v>
      </c>
      <c r="I961" s="6" t="b">
        <v>0</v>
      </c>
      <c r="J961" s="8">
        <v>2106</v>
      </c>
      <c r="K961" s="8">
        <v>70</v>
      </c>
      <c r="L961" s="8">
        <v>547</v>
      </c>
      <c r="M961" s="8">
        <v>1</v>
      </c>
      <c r="N961" s="8">
        <v>0</v>
      </c>
      <c r="O961" s="8">
        <v>9</v>
      </c>
      <c r="P961" s="8">
        <v>22</v>
      </c>
      <c r="Q961" s="8">
        <v>0</v>
      </c>
      <c r="R961" s="8">
        <v>175</v>
      </c>
      <c r="S961" s="8">
        <v>2</v>
      </c>
      <c r="T961" s="3" t="s">
        <v>69</v>
      </c>
      <c r="U961" s="10">
        <v>18540</v>
      </c>
      <c r="V961" s="32">
        <v>186</v>
      </c>
      <c r="W961" s="27">
        <v>1.0032362459546926E-2</v>
      </c>
      <c r="X961" s="34">
        <v>25</v>
      </c>
      <c r="Y961" s="27">
        <v>0.13440860215053763</v>
      </c>
      <c r="Z961" s="27">
        <v>1.348435814455232E-3</v>
      </c>
      <c r="AA961" s="35">
        <v>64</v>
      </c>
      <c r="AB961" s="27">
        <v>0.34408602150537637</v>
      </c>
      <c r="AC961" s="27">
        <f t="shared" si="85"/>
        <v>3.4519956850053938E-3</v>
      </c>
      <c r="AD961" s="36">
        <v>53</v>
      </c>
      <c r="AE961" s="27">
        <v>0.28494623655913981</v>
      </c>
      <c r="AF961" s="27">
        <f t="shared" si="86"/>
        <v>2.8586839266450917E-3</v>
      </c>
      <c r="AG961" s="37">
        <v>44</v>
      </c>
      <c r="AH961" s="27">
        <v>0.23655913978494625</v>
      </c>
      <c r="AI961" s="27">
        <f t="shared" si="87"/>
        <v>2.3732470334412083E-3</v>
      </c>
      <c r="AJ961" s="38">
        <v>0</v>
      </c>
      <c r="AK961" s="27">
        <v>0</v>
      </c>
      <c r="AL961" s="27">
        <f t="shared" si="88"/>
        <v>0</v>
      </c>
      <c r="AM961" s="40">
        <v>0</v>
      </c>
      <c r="AN961" s="27">
        <v>0</v>
      </c>
      <c r="AO961" s="27">
        <f t="shared" si="89"/>
        <v>0</v>
      </c>
      <c r="AP961" s="7" t="b">
        <v>1</v>
      </c>
      <c r="AQ961" s="6" t="b">
        <v>0</v>
      </c>
      <c r="AR961" s="6" t="b">
        <v>0</v>
      </c>
      <c r="AS961" s="6" t="b">
        <v>0</v>
      </c>
      <c r="AT961" s="7" t="b">
        <v>1</v>
      </c>
      <c r="AU961" s="6" t="b">
        <v>0</v>
      </c>
      <c r="AV961" s="6" t="b">
        <v>0</v>
      </c>
      <c r="AW961" s="6" t="b">
        <v>0</v>
      </c>
      <c r="AX961" s="6" t="b">
        <v>0</v>
      </c>
      <c r="AY961" s="6" t="b">
        <v>0</v>
      </c>
      <c r="AZ961" s="6" t="b">
        <v>0</v>
      </c>
      <c r="BA961" s="6" t="b">
        <v>0</v>
      </c>
      <c r="BB961" s="6" t="b">
        <v>0</v>
      </c>
    </row>
    <row r="962" spans="1:54" ht="15" x14ac:dyDescent="0.25">
      <c r="A962" s="3" t="s">
        <v>1984</v>
      </c>
      <c r="B962" s="3" t="str">
        <f ca="1">IFERROR(__xludf.DUMMYFUNCTION("SPLIT(A962,""/"")"),"shirosaidev")</f>
        <v>shirosaidev</v>
      </c>
      <c r="C962" s="3" t="str">
        <f ca="1">IFERROR(__xludf.DUMMYFUNCTION("""COMPUTED_VALUE"""),"stocksight")</f>
        <v>stocksight</v>
      </c>
      <c r="D962" s="4" t="s">
        <v>1985</v>
      </c>
      <c r="E962" s="5">
        <v>43003.145150462966</v>
      </c>
      <c r="F962" s="5">
        <v>44295.163738425923</v>
      </c>
      <c r="G962" s="13">
        <f t="shared" si="84"/>
        <v>1292.0185879629571</v>
      </c>
      <c r="H962" s="6" t="b">
        <v>0</v>
      </c>
      <c r="I962" s="6" t="b">
        <v>0</v>
      </c>
      <c r="J962" s="8">
        <v>1073</v>
      </c>
      <c r="K962" s="8">
        <v>92</v>
      </c>
      <c r="L962" s="8">
        <v>277</v>
      </c>
      <c r="M962" s="8">
        <v>8</v>
      </c>
      <c r="N962" s="8">
        <v>0</v>
      </c>
      <c r="O962" s="9">
        <v>0</v>
      </c>
      <c r="P962" s="8">
        <v>6</v>
      </c>
      <c r="Q962" s="8">
        <v>2</v>
      </c>
      <c r="R962" s="8">
        <v>23</v>
      </c>
      <c r="S962" s="8">
        <v>4</v>
      </c>
      <c r="T962" s="3" t="s">
        <v>69</v>
      </c>
      <c r="U962" s="10">
        <v>711</v>
      </c>
      <c r="V962" s="32">
        <v>78</v>
      </c>
      <c r="W962" s="27">
        <v>0.10970464135021098</v>
      </c>
      <c r="X962" s="34">
        <v>13</v>
      </c>
      <c r="Y962" s="27">
        <v>0.16666666666666666</v>
      </c>
      <c r="Z962" s="27">
        <v>1.8284106891701828E-2</v>
      </c>
      <c r="AA962" s="35">
        <v>47</v>
      </c>
      <c r="AB962" s="27">
        <v>0.60256410256410253</v>
      </c>
      <c r="AC962" s="27">
        <f t="shared" si="85"/>
        <v>6.6104078762306617E-2</v>
      </c>
      <c r="AD962" s="36">
        <v>12</v>
      </c>
      <c r="AE962" s="27">
        <v>0.15384615384615385</v>
      </c>
      <c r="AF962" s="27">
        <f t="shared" si="86"/>
        <v>1.6877637130801686E-2</v>
      </c>
      <c r="AG962" s="37">
        <v>5</v>
      </c>
      <c r="AH962" s="27">
        <v>6.4102564102564097E-2</v>
      </c>
      <c r="AI962" s="27">
        <f t="shared" si="87"/>
        <v>7.0323488045007029E-3</v>
      </c>
      <c r="AJ962" s="38">
        <v>0</v>
      </c>
      <c r="AK962" s="27">
        <v>0</v>
      </c>
      <c r="AL962" s="27">
        <f t="shared" si="88"/>
        <v>0</v>
      </c>
      <c r="AM962" s="40">
        <v>0</v>
      </c>
      <c r="AN962" s="27">
        <v>0</v>
      </c>
      <c r="AO962" s="27">
        <f t="shared" si="89"/>
        <v>0</v>
      </c>
      <c r="AP962" s="7" t="b">
        <v>1</v>
      </c>
      <c r="AQ962" s="7" t="b">
        <v>1</v>
      </c>
      <c r="AR962" s="6" t="b">
        <v>0</v>
      </c>
      <c r="AS962" s="6" t="b">
        <v>0</v>
      </c>
      <c r="AT962" s="7" t="b">
        <v>1</v>
      </c>
      <c r="AU962" s="6" t="b">
        <v>0</v>
      </c>
      <c r="AV962" s="6" t="b">
        <v>0</v>
      </c>
      <c r="AW962" s="6" t="b">
        <v>0</v>
      </c>
      <c r="AX962" s="6" t="b">
        <v>0</v>
      </c>
      <c r="AY962" s="6" t="b">
        <v>0</v>
      </c>
      <c r="AZ962" s="6" t="b">
        <v>0</v>
      </c>
      <c r="BA962" s="6" t="b">
        <v>0</v>
      </c>
      <c r="BB962" s="6" t="b">
        <v>0</v>
      </c>
    </row>
    <row r="963" spans="1:54" ht="15" x14ac:dyDescent="0.25">
      <c r="A963" s="3" t="s">
        <v>1986</v>
      </c>
      <c r="B963" s="3" t="str">
        <f ca="1">IFERROR(__xludf.DUMMYFUNCTION("SPLIT(A963,""/"")"),"shmilylty")</f>
        <v>shmilylty</v>
      </c>
      <c r="C963" s="3" t="str">
        <f ca="1">IFERROR(__xludf.DUMMYFUNCTION("""COMPUTED_VALUE"""),"OneForAll")</f>
        <v>OneForAll</v>
      </c>
      <c r="D963" s="4" t="s">
        <v>1987</v>
      </c>
      <c r="E963" s="5">
        <v>43444.405289351853</v>
      </c>
      <c r="F963" s="5">
        <v>44295.101331018515</v>
      </c>
      <c r="G963" s="13">
        <f t="shared" ref="G963:G1026" si="90">F963-E963</f>
        <v>850.6960416666625</v>
      </c>
      <c r="H963" s="6" t="b">
        <v>0</v>
      </c>
      <c r="I963" s="6" t="b">
        <v>0</v>
      </c>
      <c r="J963" s="8">
        <v>3350</v>
      </c>
      <c r="K963" s="8">
        <v>80</v>
      </c>
      <c r="L963" s="8">
        <v>628</v>
      </c>
      <c r="M963" s="8">
        <v>16</v>
      </c>
      <c r="N963" s="8">
        <v>0</v>
      </c>
      <c r="O963" s="8">
        <v>11</v>
      </c>
      <c r="P963" s="8">
        <v>31</v>
      </c>
      <c r="Q963" s="8">
        <v>0</v>
      </c>
      <c r="R963" s="8">
        <v>162</v>
      </c>
      <c r="S963" s="8">
        <v>18</v>
      </c>
      <c r="T963" s="3" t="s">
        <v>49</v>
      </c>
      <c r="U963" s="10">
        <v>6522</v>
      </c>
      <c r="V963" s="32">
        <v>256</v>
      </c>
      <c r="W963" s="27">
        <v>3.9251763262802823E-2</v>
      </c>
      <c r="X963" s="34">
        <v>79</v>
      </c>
      <c r="Y963" s="27">
        <v>0.30859375</v>
      </c>
      <c r="Z963" s="27">
        <v>1.2112848819380559E-2</v>
      </c>
      <c r="AA963" s="35">
        <v>48</v>
      </c>
      <c r="AB963" s="27">
        <v>0.1875</v>
      </c>
      <c r="AC963" s="27">
        <f t="shared" ref="AC963:AC1026" si="91">AA963/U963</f>
        <v>7.3597056117755289E-3</v>
      </c>
      <c r="AD963" s="36">
        <v>0</v>
      </c>
      <c r="AE963" s="27">
        <v>0</v>
      </c>
      <c r="AF963" s="27">
        <f t="shared" ref="AF963:AF1026" si="92">AD963/U963</f>
        <v>0</v>
      </c>
      <c r="AG963" s="37">
        <v>40</v>
      </c>
      <c r="AH963" s="27">
        <v>0.15625</v>
      </c>
      <c r="AI963" s="27">
        <f t="shared" ref="AI963:AI1026" si="93">AG963/U963</f>
        <v>6.1330880098129405E-3</v>
      </c>
      <c r="AJ963" s="38">
        <v>15</v>
      </c>
      <c r="AK963" s="27">
        <v>5.859375E-2</v>
      </c>
      <c r="AL963" s="27">
        <f t="shared" ref="AL963:AL1026" si="94">AJ963/U963</f>
        <v>2.2999080036798527E-3</v>
      </c>
      <c r="AM963" s="40">
        <v>74</v>
      </c>
      <c r="AN963" s="27">
        <v>0.2890625</v>
      </c>
      <c r="AO963" s="27">
        <f t="shared" ref="AO963:AO1026" si="95">AM963/U963</f>
        <v>1.134621281815394E-2</v>
      </c>
      <c r="AP963" s="7" t="b">
        <v>1</v>
      </c>
      <c r="AQ963" s="6" t="b">
        <v>0</v>
      </c>
      <c r="AR963" s="6" t="b">
        <v>0</v>
      </c>
      <c r="AS963" s="6" t="b">
        <v>0</v>
      </c>
      <c r="AT963" s="6" t="b">
        <v>0</v>
      </c>
      <c r="AU963" s="6" t="b">
        <v>0</v>
      </c>
      <c r="AV963" s="6" t="b">
        <v>0</v>
      </c>
      <c r="AW963" s="6" t="b">
        <v>0</v>
      </c>
      <c r="AX963" s="7" t="b">
        <v>1</v>
      </c>
      <c r="AY963" s="6" t="b">
        <v>0</v>
      </c>
      <c r="AZ963" s="6" t="b">
        <v>0</v>
      </c>
      <c r="BA963" s="6" t="b">
        <v>0</v>
      </c>
      <c r="BB963" s="6" t="b">
        <v>0</v>
      </c>
    </row>
    <row r="964" spans="1:54" ht="15" x14ac:dyDescent="0.25">
      <c r="A964" s="3" t="s">
        <v>1988</v>
      </c>
      <c r="B964" s="3" t="str">
        <f ca="1">IFERROR(__xludf.DUMMYFUNCTION("SPLIT(A964,""/"")"),"shuup")</f>
        <v>shuup</v>
      </c>
      <c r="C964" s="3" t="str">
        <f ca="1">IFERROR(__xludf.DUMMYFUNCTION("""COMPUTED_VALUE"""),"shuup")</f>
        <v>shuup</v>
      </c>
      <c r="D964" s="4" t="s">
        <v>1989</v>
      </c>
      <c r="E964" s="5">
        <v>42158.537048611113</v>
      </c>
      <c r="F964" s="5">
        <v>44294.87909722222</v>
      </c>
      <c r="G964" s="13">
        <f t="shared" si="90"/>
        <v>2136.3420486111063</v>
      </c>
      <c r="H964" s="6" t="b">
        <v>0</v>
      </c>
      <c r="I964" s="7" t="b">
        <v>1</v>
      </c>
      <c r="J964" s="8">
        <v>1553</v>
      </c>
      <c r="K964" s="8">
        <v>115</v>
      </c>
      <c r="L964" s="8">
        <v>792</v>
      </c>
      <c r="M964" s="8">
        <v>102</v>
      </c>
      <c r="N964" s="8">
        <v>62</v>
      </c>
      <c r="O964" s="8">
        <v>53</v>
      </c>
      <c r="P964" s="8">
        <v>2044</v>
      </c>
      <c r="Q964" s="8">
        <v>23</v>
      </c>
      <c r="R964" s="8">
        <v>413</v>
      </c>
      <c r="S964" s="8">
        <v>126</v>
      </c>
      <c r="T964" s="3" t="s">
        <v>92</v>
      </c>
      <c r="U964" s="10">
        <v>81597</v>
      </c>
      <c r="V964" s="32">
        <v>76</v>
      </c>
      <c r="W964" s="27">
        <v>9.3140679191636947E-4</v>
      </c>
      <c r="X964" s="34">
        <v>0</v>
      </c>
      <c r="Y964" s="27">
        <v>0</v>
      </c>
      <c r="Z964" s="27">
        <v>0</v>
      </c>
      <c r="AA964" s="35">
        <v>13</v>
      </c>
      <c r="AB964" s="27">
        <v>0.17105263157894737</v>
      </c>
      <c r="AC964" s="27">
        <f t="shared" si="91"/>
        <v>1.5931958282780004E-4</v>
      </c>
      <c r="AD964" s="36">
        <v>22</v>
      </c>
      <c r="AE964" s="27">
        <v>0.28947368421052633</v>
      </c>
      <c r="AF964" s="27">
        <f t="shared" si="92"/>
        <v>2.6961775555473856E-4</v>
      </c>
      <c r="AG964" s="37">
        <v>38</v>
      </c>
      <c r="AH964" s="27">
        <v>0.5</v>
      </c>
      <c r="AI964" s="27">
        <f t="shared" si="93"/>
        <v>4.6570339595818473E-4</v>
      </c>
      <c r="AJ964" s="38">
        <v>0</v>
      </c>
      <c r="AK964" s="27">
        <v>0</v>
      </c>
      <c r="AL964" s="27">
        <f t="shared" si="94"/>
        <v>0</v>
      </c>
      <c r="AM964" s="40">
        <v>3</v>
      </c>
      <c r="AN964" s="27">
        <v>3.9473684210526314E-2</v>
      </c>
      <c r="AO964" s="27">
        <f t="shared" si="95"/>
        <v>3.6766057575646162E-5</v>
      </c>
      <c r="AP964" s="7" t="b">
        <v>1</v>
      </c>
      <c r="AQ964" s="7" t="b">
        <v>1</v>
      </c>
      <c r="AR964" s="6" t="b">
        <v>0</v>
      </c>
      <c r="AS964" s="6" t="b">
        <v>0</v>
      </c>
      <c r="AT964" s="7" t="b">
        <v>1</v>
      </c>
      <c r="AU964" s="6" t="b">
        <v>0</v>
      </c>
      <c r="AV964" s="6" t="b">
        <v>0</v>
      </c>
      <c r="AW964" s="6" t="b">
        <v>0</v>
      </c>
      <c r="AX964" s="6" t="b">
        <v>0</v>
      </c>
      <c r="AY964" s="6" t="b">
        <v>0</v>
      </c>
      <c r="AZ964" s="6" t="b">
        <v>0</v>
      </c>
      <c r="BA964" s="6" t="b">
        <v>0</v>
      </c>
      <c r="BB964" s="6" t="b">
        <v>0</v>
      </c>
    </row>
    <row r="965" spans="1:54" ht="15" x14ac:dyDescent="0.25">
      <c r="A965" s="3" t="s">
        <v>1990</v>
      </c>
      <c r="B965" s="3" t="str">
        <f ca="1">IFERROR(__xludf.DUMMYFUNCTION("SPLIT(A965,""/"")"),"SickChill")</f>
        <v>SickChill</v>
      </c>
      <c r="C965" s="3" t="str">
        <f ca="1">IFERROR(__xludf.DUMMYFUNCTION("""COMPUTED_VALUE"""),"SickChill")</f>
        <v>SickChill</v>
      </c>
      <c r="D965" s="4" t="s">
        <v>1991</v>
      </c>
      <c r="E965" s="5">
        <v>42321.959282407406</v>
      </c>
      <c r="F965" s="5">
        <v>44293.297997685186</v>
      </c>
      <c r="G965" s="13">
        <f t="shared" si="90"/>
        <v>1971.3387152777796</v>
      </c>
      <c r="H965" s="6" t="b">
        <v>0</v>
      </c>
      <c r="I965" s="7" t="b">
        <v>1</v>
      </c>
      <c r="J965" s="8">
        <v>2077</v>
      </c>
      <c r="K965" s="8">
        <v>136</v>
      </c>
      <c r="L965" s="8">
        <v>614</v>
      </c>
      <c r="M965" s="8">
        <v>2</v>
      </c>
      <c r="N965" s="8">
        <v>361</v>
      </c>
      <c r="O965" s="8">
        <v>406</v>
      </c>
      <c r="P965" s="8">
        <v>2386</v>
      </c>
      <c r="Q965" s="8">
        <v>1</v>
      </c>
      <c r="R965" s="8">
        <v>4642</v>
      </c>
      <c r="S965" s="8">
        <v>61</v>
      </c>
      <c r="T965" s="3" t="s">
        <v>92</v>
      </c>
      <c r="U965" s="10">
        <v>438215</v>
      </c>
      <c r="V965" s="32">
        <v>3635</v>
      </c>
      <c r="W965" s="27">
        <v>8.2950150040505231E-3</v>
      </c>
      <c r="X965" s="34">
        <v>1504</v>
      </c>
      <c r="Y965" s="27">
        <v>0.41375515818431913</v>
      </c>
      <c r="Z965" s="27">
        <v>3.4321052451422246E-3</v>
      </c>
      <c r="AA965" s="35">
        <v>752</v>
      </c>
      <c r="AB965" s="27">
        <v>0.20687757909215956</v>
      </c>
      <c r="AC965" s="27">
        <f t="shared" si="91"/>
        <v>1.7160526225711123E-3</v>
      </c>
      <c r="AD965" s="36">
        <v>910</v>
      </c>
      <c r="AE965" s="27">
        <v>0.25034387895460797</v>
      </c>
      <c r="AF965" s="27">
        <f t="shared" si="92"/>
        <v>2.0766062321006811E-3</v>
      </c>
      <c r="AG965" s="37">
        <v>430</v>
      </c>
      <c r="AH965" s="27">
        <v>0.11829436038514443</v>
      </c>
      <c r="AI965" s="27">
        <f t="shared" si="93"/>
        <v>9.8125349428933284E-4</v>
      </c>
      <c r="AJ965" s="38">
        <v>4</v>
      </c>
      <c r="AK965" s="27">
        <v>1.1004126547455295E-3</v>
      </c>
      <c r="AL965" s="27">
        <f t="shared" si="94"/>
        <v>9.1279394817612351E-6</v>
      </c>
      <c r="AM965" s="40">
        <v>37</v>
      </c>
      <c r="AN965" s="27">
        <v>1.0178817056396148E-2</v>
      </c>
      <c r="AO965" s="27">
        <f t="shared" si="95"/>
        <v>8.4433440206291432E-5</v>
      </c>
      <c r="AP965" s="7" t="b">
        <v>1</v>
      </c>
      <c r="AQ965" s="7" t="b">
        <v>1</v>
      </c>
      <c r="AR965" s="6" t="b">
        <v>0</v>
      </c>
      <c r="AS965" s="6" t="b">
        <v>0</v>
      </c>
      <c r="AT965" s="7" t="b">
        <v>1</v>
      </c>
      <c r="AU965" s="6" t="b">
        <v>0</v>
      </c>
      <c r="AV965" s="6" t="b">
        <v>0</v>
      </c>
      <c r="AW965" s="6" t="b">
        <v>0</v>
      </c>
      <c r="AX965" s="6" t="b">
        <v>0</v>
      </c>
      <c r="AY965" s="6" t="b">
        <v>0</v>
      </c>
      <c r="AZ965" s="6" t="b">
        <v>0</v>
      </c>
      <c r="BA965" s="6" t="b">
        <v>0</v>
      </c>
      <c r="BB965" s="6" t="b">
        <v>0</v>
      </c>
    </row>
    <row r="966" spans="1:54" ht="15" x14ac:dyDescent="0.25">
      <c r="A966" s="3" t="s">
        <v>1992</v>
      </c>
      <c r="B966" s="3" t="str">
        <f ca="1">IFERROR(__xludf.DUMMYFUNCTION("SPLIT(A966,""/"")"),"SiCKRAGE")</f>
        <v>SiCKRAGE</v>
      </c>
      <c r="C966" s="3" t="str">
        <f ca="1">IFERROR(__xludf.DUMMYFUNCTION("""COMPUTED_VALUE"""),"SiCKRAGE")</f>
        <v>SiCKRAGE</v>
      </c>
      <c r="D966" s="4" t="s">
        <v>1993</v>
      </c>
      <c r="E966" s="5">
        <v>41708.222581018519</v>
      </c>
      <c r="F966" s="5">
        <v>44292.677893518521</v>
      </c>
      <c r="G966" s="13">
        <f t="shared" si="90"/>
        <v>2584.455312500002</v>
      </c>
      <c r="H966" s="6" t="b">
        <v>0</v>
      </c>
      <c r="I966" s="7" t="b">
        <v>1</v>
      </c>
      <c r="J966" s="8">
        <v>1529</v>
      </c>
      <c r="K966" s="8">
        <v>170</v>
      </c>
      <c r="L966" s="8">
        <v>707</v>
      </c>
      <c r="M966" s="8">
        <v>2</v>
      </c>
      <c r="N966" s="8">
        <v>517</v>
      </c>
      <c r="O966" s="8">
        <v>196</v>
      </c>
      <c r="P966" s="8">
        <v>2669</v>
      </c>
      <c r="Q966" s="8">
        <v>0</v>
      </c>
      <c r="R966" s="8">
        <v>0</v>
      </c>
      <c r="S966" s="8">
        <v>0</v>
      </c>
      <c r="T966" s="3" t="s">
        <v>49</v>
      </c>
      <c r="U966" s="10">
        <v>41032</v>
      </c>
      <c r="V966" s="32">
        <v>1722</v>
      </c>
      <c r="W966" s="27">
        <v>4.1967245077013063E-2</v>
      </c>
      <c r="X966" s="34">
        <v>948</v>
      </c>
      <c r="Y966" s="27">
        <v>0.55052264808362372</v>
      </c>
      <c r="Z966" s="27">
        <v>2.3103918892571653E-2</v>
      </c>
      <c r="AA966" s="35">
        <v>272</v>
      </c>
      <c r="AB966" s="27">
        <v>0.15795586527293845</v>
      </c>
      <c r="AC966" s="27">
        <f t="shared" si="91"/>
        <v>6.6289725092610642E-3</v>
      </c>
      <c r="AD966" s="36">
        <v>319</v>
      </c>
      <c r="AE966" s="27">
        <v>0.18524970963995355</v>
      </c>
      <c r="AF966" s="27">
        <f t="shared" si="92"/>
        <v>7.7744199649054397E-3</v>
      </c>
      <c r="AG966" s="37">
        <v>168</v>
      </c>
      <c r="AH966" s="27">
        <v>9.7560975609756101E-2</v>
      </c>
      <c r="AI966" s="27">
        <f t="shared" si="93"/>
        <v>4.094365373367128E-3</v>
      </c>
      <c r="AJ966" s="38">
        <v>2</v>
      </c>
      <c r="AK966" s="27">
        <v>1.1614401858304297E-3</v>
      </c>
      <c r="AL966" s="27">
        <f t="shared" si="94"/>
        <v>4.8742444921037236E-5</v>
      </c>
      <c r="AM966" s="40">
        <v>10</v>
      </c>
      <c r="AN966" s="27">
        <v>5.8072009291521487E-3</v>
      </c>
      <c r="AO966" s="27">
        <f t="shared" si="95"/>
        <v>2.4371222460518619E-4</v>
      </c>
      <c r="AP966" s="7" t="b">
        <v>1</v>
      </c>
      <c r="AQ966" s="7" t="b">
        <v>1</v>
      </c>
      <c r="AR966" s="6" t="b">
        <v>0</v>
      </c>
      <c r="AS966" s="6" t="b">
        <v>0</v>
      </c>
      <c r="AT966" s="7" t="b">
        <v>1</v>
      </c>
      <c r="AU966" s="6" t="b">
        <v>0</v>
      </c>
      <c r="AV966" s="6" t="b">
        <v>0</v>
      </c>
      <c r="AW966" s="6" t="b">
        <v>0</v>
      </c>
      <c r="AX966" s="6" t="b">
        <v>0</v>
      </c>
      <c r="AY966" s="6" t="b">
        <v>0</v>
      </c>
      <c r="AZ966" s="6" t="b">
        <v>0</v>
      </c>
      <c r="BA966" s="6" t="b">
        <v>0</v>
      </c>
      <c r="BB966" s="6" t="b">
        <v>0</v>
      </c>
    </row>
    <row r="967" spans="1:54" ht="15" x14ac:dyDescent="0.25">
      <c r="A967" s="3" t="s">
        <v>1994</v>
      </c>
      <c r="B967" s="3" t="str">
        <f ca="1">IFERROR(__xludf.DUMMYFUNCTION("SPLIT(A967,""/"")"),"sightmachine")</f>
        <v>sightmachine</v>
      </c>
      <c r="C967" s="3" t="str">
        <f ca="1">IFERROR(__xludf.DUMMYFUNCTION("""COMPUTED_VALUE"""),"SimpleCV")</f>
        <v>SimpleCV</v>
      </c>
      <c r="D967" s="4" t="s">
        <v>1995</v>
      </c>
      <c r="E967" s="5">
        <v>40771.752858796295</v>
      </c>
      <c r="F967" s="5">
        <v>44294.907569444447</v>
      </c>
      <c r="G967" s="13">
        <f t="shared" si="90"/>
        <v>3523.1547106481521</v>
      </c>
      <c r="H967" s="6" t="b">
        <v>0</v>
      </c>
      <c r="I967" s="7" t="b">
        <v>1</v>
      </c>
      <c r="J967" s="8">
        <v>2461</v>
      </c>
      <c r="K967" s="8">
        <v>195</v>
      </c>
      <c r="L967" s="8">
        <v>736</v>
      </c>
      <c r="M967" s="8">
        <v>0</v>
      </c>
      <c r="N967" s="8">
        <v>19</v>
      </c>
      <c r="O967" s="8">
        <v>69</v>
      </c>
      <c r="P967" s="8">
        <v>401</v>
      </c>
      <c r="Q967" s="8">
        <v>49</v>
      </c>
      <c r="R967" s="8">
        <v>326</v>
      </c>
      <c r="S967" s="8">
        <v>75</v>
      </c>
      <c r="T967" s="3" t="s">
        <v>57</v>
      </c>
      <c r="U967" s="10">
        <v>25710</v>
      </c>
      <c r="V967" s="32">
        <v>267</v>
      </c>
      <c r="W967" s="27">
        <v>1.0385064177362895E-2</v>
      </c>
      <c r="X967" s="34">
        <v>0</v>
      </c>
      <c r="Y967" s="27">
        <v>0</v>
      </c>
      <c r="Z967" s="27">
        <v>0</v>
      </c>
      <c r="AA967" s="35">
        <v>5</v>
      </c>
      <c r="AB967" s="27">
        <v>1.8726591760299626E-2</v>
      </c>
      <c r="AC967" s="27">
        <f t="shared" si="91"/>
        <v>1.9447685725398678E-4</v>
      </c>
      <c r="AD967" s="36">
        <v>259</v>
      </c>
      <c r="AE967" s="27">
        <v>0.97003745318352064</v>
      </c>
      <c r="AF967" s="27">
        <f t="shared" si="92"/>
        <v>1.0073901205756516E-2</v>
      </c>
      <c r="AG967" s="37">
        <v>2</v>
      </c>
      <c r="AH967" s="27">
        <v>7.4906367041198503E-3</v>
      </c>
      <c r="AI967" s="27">
        <f t="shared" si="93"/>
        <v>7.7790742901594705E-5</v>
      </c>
      <c r="AJ967" s="38">
        <v>0</v>
      </c>
      <c r="AK967" s="27">
        <v>0</v>
      </c>
      <c r="AL967" s="27">
        <f t="shared" si="94"/>
        <v>0</v>
      </c>
      <c r="AM967" s="40">
        <v>1</v>
      </c>
      <c r="AN967" s="27">
        <v>3.7453183520599251E-3</v>
      </c>
      <c r="AO967" s="27">
        <f t="shared" si="95"/>
        <v>3.8895371450797353E-5</v>
      </c>
      <c r="AP967" s="7" t="b">
        <v>1</v>
      </c>
      <c r="AQ967" s="6" t="b">
        <v>0</v>
      </c>
      <c r="AR967" s="6" t="b">
        <v>0</v>
      </c>
      <c r="AS967" s="6" t="b">
        <v>0</v>
      </c>
      <c r="AT967" s="7" t="b">
        <v>1</v>
      </c>
      <c r="AU967" s="6" t="b">
        <v>0</v>
      </c>
      <c r="AV967" s="6" t="b">
        <v>0</v>
      </c>
      <c r="AW967" s="6" t="b">
        <v>0</v>
      </c>
      <c r="AX967" s="6" t="b">
        <v>0</v>
      </c>
      <c r="AY967" s="6" t="b">
        <v>0</v>
      </c>
      <c r="AZ967" s="6" t="b">
        <v>0</v>
      </c>
      <c r="BA967" s="6" t="b">
        <v>0</v>
      </c>
      <c r="BB967" s="6" t="b">
        <v>0</v>
      </c>
    </row>
    <row r="968" spans="1:54" ht="15" x14ac:dyDescent="0.25">
      <c r="A968" s="3" t="s">
        <v>1996</v>
      </c>
      <c r="B968" s="3" t="str">
        <f ca="1">IFERROR(__xludf.DUMMYFUNCTION("SPLIT(A968,""/"")"),"signalfx")</f>
        <v>signalfx</v>
      </c>
      <c r="C968" s="3" t="str">
        <f ca="1">IFERROR(__xludf.DUMMYFUNCTION("""COMPUTED_VALUE"""),"maestro-ng")</f>
        <v>maestro-ng</v>
      </c>
      <c r="D968" s="4" t="s">
        <v>1997</v>
      </c>
      <c r="E968" s="5">
        <v>41586.975347222222</v>
      </c>
      <c r="F968" s="5">
        <v>44292.344178240739</v>
      </c>
      <c r="G968" s="13">
        <f t="shared" si="90"/>
        <v>2705.3688310185171</v>
      </c>
      <c r="H968" s="6" t="b">
        <v>0</v>
      </c>
      <c r="I968" s="7" t="b">
        <v>1</v>
      </c>
      <c r="J968" s="8">
        <v>678</v>
      </c>
      <c r="K968" s="8">
        <v>95</v>
      </c>
      <c r="L968" s="8">
        <v>84</v>
      </c>
      <c r="M968" s="8">
        <v>2</v>
      </c>
      <c r="N968" s="8">
        <v>5</v>
      </c>
      <c r="O968" s="8">
        <v>38</v>
      </c>
      <c r="P968" s="8">
        <v>88</v>
      </c>
      <c r="Q968" s="8">
        <v>0</v>
      </c>
      <c r="R968" s="8">
        <v>134</v>
      </c>
      <c r="S968" s="8">
        <v>25</v>
      </c>
      <c r="T968" s="3" t="s">
        <v>69</v>
      </c>
      <c r="U968" s="10">
        <v>2808</v>
      </c>
      <c r="V968" s="32">
        <v>7</v>
      </c>
      <c r="W968" s="27">
        <v>2.4928774928774928E-3</v>
      </c>
      <c r="X968" s="34">
        <v>0</v>
      </c>
      <c r="Y968" s="27">
        <v>0</v>
      </c>
      <c r="Z968" s="27">
        <v>0</v>
      </c>
      <c r="AA968" s="35">
        <v>0</v>
      </c>
      <c r="AB968" s="27">
        <v>0</v>
      </c>
      <c r="AC968" s="27">
        <f t="shared" si="91"/>
        <v>0</v>
      </c>
      <c r="AD968" s="36">
        <v>0</v>
      </c>
      <c r="AE968" s="27">
        <v>0</v>
      </c>
      <c r="AF968" s="27">
        <f t="shared" si="92"/>
        <v>0</v>
      </c>
      <c r="AG968" s="37">
        <v>5</v>
      </c>
      <c r="AH968" s="27">
        <v>0.7142857142857143</v>
      </c>
      <c r="AI968" s="27">
        <f t="shared" si="93"/>
        <v>1.7806267806267807E-3</v>
      </c>
      <c r="AJ968" s="38">
        <v>0</v>
      </c>
      <c r="AK968" s="27">
        <v>0</v>
      </c>
      <c r="AL968" s="27">
        <f t="shared" si="94"/>
        <v>0</v>
      </c>
      <c r="AM968" s="40">
        <v>2</v>
      </c>
      <c r="AN968" s="27">
        <v>0.2857142857142857</v>
      </c>
      <c r="AO968" s="27">
        <f t="shared" si="95"/>
        <v>7.1225071225071229E-4</v>
      </c>
      <c r="AP968" s="7" t="b">
        <v>1</v>
      </c>
      <c r="AQ968" s="6" t="b">
        <v>0</v>
      </c>
      <c r="AR968" s="6" t="b">
        <v>0</v>
      </c>
      <c r="AS968" s="6" t="b">
        <v>0</v>
      </c>
      <c r="AT968" s="7" t="b">
        <v>1</v>
      </c>
      <c r="AU968" s="6" t="b">
        <v>0</v>
      </c>
      <c r="AV968" s="6" t="b">
        <v>0</v>
      </c>
      <c r="AW968" s="6" t="b">
        <v>0</v>
      </c>
      <c r="AX968" s="6" t="b">
        <v>0</v>
      </c>
      <c r="AY968" s="6" t="b">
        <v>0</v>
      </c>
      <c r="AZ968" s="6" t="b">
        <v>0</v>
      </c>
      <c r="BA968" s="6" t="b">
        <v>0</v>
      </c>
      <c r="BB968" s="6" t="b">
        <v>0</v>
      </c>
    </row>
    <row r="969" spans="1:54" ht="15" x14ac:dyDescent="0.25">
      <c r="A969" s="3" t="s">
        <v>1998</v>
      </c>
      <c r="B969" s="3" t="str">
        <f ca="1">IFERROR(__xludf.DUMMYFUNCTION("SPLIT(A969,""/"")"),"simple-login")</f>
        <v>simple-login</v>
      </c>
      <c r="C969" s="3" t="str">
        <f ca="1">IFERROR(__xludf.DUMMYFUNCTION("""COMPUTED_VALUE"""),"app")</f>
        <v>app</v>
      </c>
      <c r="D969" s="4" t="s">
        <v>1999</v>
      </c>
      <c r="E969" s="5">
        <v>43817.677060185182</v>
      </c>
      <c r="F969" s="5">
        <v>44294.955208333333</v>
      </c>
      <c r="G969" s="13">
        <f t="shared" si="90"/>
        <v>477.27814814815065</v>
      </c>
      <c r="H969" s="6" t="b">
        <v>0</v>
      </c>
      <c r="I969" s="7" t="b">
        <v>1</v>
      </c>
      <c r="J969" s="8">
        <v>1095</v>
      </c>
      <c r="K969" s="8">
        <v>29</v>
      </c>
      <c r="L969" s="8">
        <v>107</v>
      </c>
      <c r="M969" s="8">
        <v>0</v>
      </c>
      <c r="N969" s="8">
        <v>30</v>
      </c>
      <c r="O969" s="8">
        <v>18</v>
      </c>
      <c r="P969" s="8">
        <v>244</v>
      </c>
      <c r="Q969" s="8">
        <v>3</v>
      </c>
      <c r="R969" s="8">
        <v>150</v>
      </c>
      <c r="S969" s="8">
        <v>6</v>
      </c>
      <c r="T969" s="3" t="s">
        <v>72</v>
      </c>
      <c r="U969" s="10">
        <v>13194</v>
      </c>
      <c r="V969" s="32">
        <v>167</v>
      </c>
      <c r="W969" s="27">
        <v>1.2657268455358497E-2</v>
      </c>
      <c r="X969" s="34">
        <v>45</v>
      </c>
      <c r="Y969" s="27">
        <v>0.26946107784431139</v>
      </c>
      <c r="Z969" s="27">
        <v>3.4106412005457027E-3</v>
      </c>
      <c r="AA969" s="35">
        <v>5</v>
      </c>
      <c r="AB969" s="27">
        <v>2.9940119760479042E-2</v>
      </c>
      <c r="AC969" s="27">
        <f t="shared" si="91"/>
        <v>3.7896013339396695E-4</v>
      </c>
      <c r="AD969" s="36">
        <v>65</v>
      </c>
      <c r="AE969" s="27">
        <v>0.38922155688622756</v>
      </c>
      <c r="AF969" s="27">
        <f t="shared" si="92"/>
        <v>4.9264817341215707E-3</v>
      </c>
      <c r="AG969" s="37">
        <v>51</v>
      </c>
      <c r="AH969" s="27">
        <v>0.30538922155688625</v>
      </c>
      <c r="AI969" s="27">
        <f t="shared" si="93"/>
        <v>3.865393360618463E-3</v>
      </c>
      <c r="AJ969" s="38">
        <v>0</v>
      </c>
      <c r="AK969" s="27">
        <v>0</v>
      </c>
      <c r="AL969" s="27">
        <f t="shared" si="94"/>
        <v>0</v>
      </c>
      <c r="AM969" s="40">
        <v>0</v>
      </c>
      <c r="AN969" s="27">
        <v>0</v>
      </c>
      <c r="AO969" s="27">
        <f t="shared" si="95"/>
        <v>0</v>
      </c>
      <c r="AP969" s="7" t="b">
        <v>1</v>
      </c>
      <c r="AQ969" s="6" t="b">
        <v>0</v>
      </c>
      <c r="AR969" s="6" t="b">
        <v>0</v>
      </c>
      <c r="AS969" s="6" t="b">
        <v>0</v>
      </c>
      <c r="AT969" s="7" t="b">
        <v>1</v>
      </c>
      <c r="AU969" s="6" t="b">
        <v>0</v>
      </c>
      <c r="AV969" s="6" t="b">
        <v>0</v>
      </c>
      <c r="AW969" s="6" t="b">
        <v>0</v>
      </c>
      <c r="AX969" s="6" t="b">
        <v>0</v>
      </c>
      <c r="AY969" s="6" t="b">
        <v>0</v>
      </c>
      <c r="AZ969" s="6" t="b">
        <v>0</v>
      </c>
      <c r="BA969" s="6" t="b">
        <v>0</v>
      </c>
      <c r="BB969" s="6" t="b">
        <v>0</v>
      </c>
    </row>
    <row r="970" spans="1:54" ht="15" x14ac:dyDescent="0.25">
      <c r="A970" s="3" t="s">
        <v>2000</v>
      </c>
      <c r="B970" s="3" t="str">
        <f ca="1">IFERROR(__xludf.DUMMYFUNCTION("SPLIT(A970,""/"")"),"SimplySecurity")</f>
        <v>SimplySecurity</v>
      </c>
      <c r="C970" s="3" t="str">
        <f ca="1">IFERROR(__xludf.DUMMYFUNCTION("""COMPUTED_VALUE"""),"SimplyEmail")</f>
        <v>SimplyEmail</v>
      </c>
      <c r="D970" s="4" t="s">
        <v>2001</v>
      </c>
      <c r="E970" s="5">
        <v>42307.133449074077</v>
      </c>
      <c r="F970" s="5">
        <v>44293.285416666666</v>
      </c>
      <c r="G970" s="13">
        <f t="shared" si="90"/>
        <v>1986.1519675925883</v>
      </c>
      <c r="H970" s="6" t="b">
        <v>0</v>
      </c>
      <c r="I970" s="7" t="b">
        <v>1</v>
      </c>
      <c r="J970" s="8">
        <v>784</v>
      </c>
      <c r="K970" s="8">
        <v>62</v>
      </c>
      <c r="L970" s="8">
        <v>193</v>
      </c>
      <c r="M970" s="8">
        <v>20</v>
      </c>
      <c r="N970" s="8">
        <v>0</v>
      </c>
      <c r="O970" s="8">
        <v>11</v>
      </c>
      <c r="P970" s="8">
        <v>44</v>
      </c>
      <c r="Q970" s="8">
        <v>4</v>
      </c>
      <c r="R970" s="8">
        <v>30</v>
      </c>
      <c r="S970" s="8">
        <v>18</v>
      </c>
      <c r="T970" s="3" t="s">
        <v>49</v>
      </c>
      <c r="U970" s="10">
        <v>4587</v>
      </c>
      <c r="V970" s="32">
        <v>176</v>
      </c>
      <c r="W970" s="27">
        <v>3.8369304556354913E-2</v>
      </c>
      <c r="X970" s="34">
        <v>65</v>
      </c>
      <c r="Y970" s="27">
        <v>0.36931818181818182</v>
      </c>
      <c r="Z970" s="27">
        <v>1.4170481796381078E-2</v>
      </c>
      <c r="AA970" s="35">
        <v>40</v>
      </c>
      <c r="AB970" s="27">
        <v>0.22727272727272727</v>
      </c>
      <c r="AC970" s="27">
        <f t="shared" si="91"/>
        <v>8.7202964900806625E-3</v>
      </c>
      <c r="AD970" s="36">
        <v>7</v>
      </c>
      <c r="AE970" s="27">
        <v>3.9772727272727272E-2</v>
      </c>
      <c r="AF970" s="27">
        <f t="shared" si="92"/>
        <v>1.526051885764116E-3</v>
      </c>
      <c r="AG970" s="37">
        <v>40</v>
      </c>
      <c r="AH970" s="27">
        <v>0.22727272727272727</v>
      </c>
      <c r="AI970" s="27">
        <f t="shared" si="93"/>
        <v>8.7202964900806625E-3</v>
      </c>
      <c r="AJ970" s="38">
        <v>24</v>
      </c>
      <c r="AK970" s="27">
        <v>0.13636363636363635</v>
      </c>
      <c r="AL970" s="27">
        <f t="shared" si="94"/>
        <v>5.232177894048398E-3</v>
      </c>
      <c r="AM970" s="40">
        <v>0</v>
      </c>
      <c r="AN970" s="27">
        <v>0</v>
      </c>
      <c r="AO970" s="27">
        <f t="shared" si="95"/>
        <v>0</v>
      </c>
      <c r="AP970" s="7" t="b">
        <v>1</v>
      </c>
      <c r="AQ970" s="6" t="b">
        <v>0</v>
      </c>
      <c r="AR970" s="6" t="b">
        <v>0</v>
      </c>
      <c r="AS970" s="6" t="b">
        <v>0</v>
      </c>
      <c r="AT970" s="7" t="b">
        <v>1</v>
      </c>
      <c r="AU970" s="6" t="b">
        <v>0</v>
      </c>
      <c r="AV970" s="6" t="b">
        <v>0</v>
      </c>
      <c r="AW970" s="6" t="b">
        <v>0</v>
      </c>
      <c r="AX970" s="6" t="b">
        <v>0</v>
      </c>
      <c r="AY970" s="6" t="b">
        <v>0</v>
      </c>
      <c r="AZ970" s="6" t="b">
        <v>0</v>
      </c>
      <c r="BA970" s="6" t="b">
        <v>0</v>
      </c>
      <c r="BB970" s="6" t="b">
        <v>0</v>
      </c>
    </row>
    <row r="971" spans="1:54" ht="15" x14ac:dyDescent="0.25">
      <c r="A971" s="3" t="s">
        <v>2002</v>
      </c>
      <c r="B971" s="3" t="str">
        <f ca="1">IFERROR(__xludf.DUMMYFUNCTION("SPLIT(A971,""/"")"),"sirfz")</f>
        <v>sirfz</v>
      </c>
      <c r="C971" s="3" t="str">
        <f ca="1">IFERROR(__xludf.DUMMYFUNCTION("""COMPUTED_VALUE"""),"tesserocr")</f>
        <v>tesserocr</v>
      </c>
      <c r="D971" s="4" t="s">
        <v>2003</v>
      </c>
      <c r="E971" s="5">
        <v>42355.978888888887</v>
      </c>
      <c r="F971" s="5">
        <v>44294.786122685182</v>
      </c>
      <c r="G971" s="13">
        <f t="shared" si="90"/>
        <v>1938.8072337962949</v>
      </c>
      <c r="H971" s="6" t="b">
        <v>0</v>
      </c>
      <c r="I971" s="6" t="b">
        <v>0</v>
      </c>
      <c r="J971" s="8">
        <v>1427</v>
      </c>
      <c r="K971" s="8">
        <v>51</v>
      </c>
      <c r="L971" s="8">
        <v>193</v>
      </c>
      <c r="M971" s="8">
        <v>12</v>
      </c>
      <c r="N971" s="8">
        <v>3</v>
      </c>
      <c r="O971" s="8">
        <v>22</v>
      </c>
      <c r="P971" s="8">
        <v>47</v>
      </c>
      <c r="Q971" s="8">
        <v>5</v>
      </c>
      <c r="R971" s="8">
        <v>205</v>
      </c>
      <c r="S971" s="8">
        <v>58</v>
      </c>
      <c r="T971" s="3" t="s">
        <v>72</v>
      </c>
      <c r="U971" s="10">
        <v>1794</v>
      </c>
      <c r="V971" s="32">
        <v>12</v>
      </c>
      <c r="W971" s="27">
        <v>6.688963210702341E-3</v>
      </c>
      <c r="X971" s="34">
        <v>2</v>
      </c>
      <c r="Y971" s="27">
        <v>0.16666666666666666</v>
      </c>
      <c r="Z971" s="27">
        <v>1.1148272017837235E-3</v>
      </c>
      <c r="AA971" s="35">
        <v>6</v>
      </c>
      <c r="AB971" s="27">
        <v>0.5</v>
      </c>
      <c r="AC971" s="27">
        <f t="shared" si="91"/>
        <v>3.3444816053511705E-3</v>
      </c>
      <c r="AD971" s="36">
        <v>4</v>
      </c>
      <c r="AE971" s="27">
        <v>0.33333333333333331</v>
      </c>
      <c r="AF971" s="27">
        <f t="shared" si="92"/>
        <v>2.229654403567447E-3</v>
      </c>
      <c r="AG971" s="37">
        <v>0</v>
      </c>
      <c r="AH971" s="27">
        <v>0</v>
      </c>
      <c r="AI971" s="27">
        <f t="shared" si="93"/>
        <v>0</v>
      </c>
      <c r="AJ971" s="38">
        <v>0</v>
      </c>
      <c r="AK971" s="27">
        <v>0</v>
      </c>
      <c r="AL971" s="27">
        <f t="shared" si="94"/>
        <v>0</v>
      </c>
      <c r="AM971" s="40">
        <v>0</v>
      </c>
      <c r="AN971" s="27">
        <v>0</v>
      </c>
      <c r="AO971" s="27">
        <f t="shared" si="95"/>
        <v>0</v>
      </c>
      <c r="AP971" s="7" t="b">
        <v>1</v>
      </c>
      <c r="AQ971" s="6" t="b">
        <v>0</v>
      </c>
      <c r="AR971" s="6" t="b">
        <v>0</v>
      </c>
      <c r="AS971" s="6" t="b">
        <v>0</v>
      </c>
      <c r="AT971" s="7" t="b">
        <v>1</v>
      </c>
      <c r="AU971" s="6" t="b">
        <v>0</v>
      </c>
      <c r="AV971" s="6" t="b">
        <v>0</v>
      </c>
      <c r="AW971" s="6" t="b">
        <v>0</v>
      </c>
      <c r="AX971" s="6" t="b">
        <v>0</v>
      </c>
      <c r="AY971" s="6" t="b">
        <v>0</v>
      </c>
      <c r="AZ971" s="6" t="b">
        <v>0</v>
      </c>
      <c r="BA971" s="6" t="b">
        <v>0</v>
      </c>
      <c r="BB971" s="6" t="b">
        <v>0</v>
      </c>
    </row>
    <row r="972" spans="1:54" ht="15" x14ac:dyDescent="0.25">
      <c r="A972" s="3" t="s">
        <v>2004</v>
      </c>
      <c r="B972" s="3" t="str">
        <f ca="1">IFERROR(__xludf.DUMMYFUNCTION("SPLIT(A972,""/"")"),"sissbruecker")</f>
        <v>sissbruecker</v>
      </c>
      <c r="C972" s="3" t="str">
        <f ca="1">IFERROR(__xludf.DUMMYFUNCTION("""COMPUTED_VALUE"""),"linkding")</f>
        <v>linkding</v>
      </c>
      <c r="D972" s="4" t="s">
        <v>2005</v>
      </c>
      <c r="E972" s="5">
        <v>43644.232210648152</v>
      </c>
      <c r="F972" s="5">
        <v>44295.111539351848</v>
      </c>
      <c r="G972" s="13">
        <f t="shared" si="90"/>
        <v>650.87932870369696</v>
      </c>
      <c r="H972" s="6" t="b">
        <v>0</v>
      </c>
      <c r="I972" s="6" t="b">
        <v>0</v>
      </c>
      <c r="J972" s="8">
        <v>637</v>
      </c>
      <c r="K972" s="8">
        <v>12</v>
      </c>
      <c r="L972" s="8">
        <v>42</v>
      </c>
      <c r="M972" s="8">
        <v>16</v>
      </c>
      <c r="N972" s="8">
        <v>0</v>
      </c>
      <c r="O972" s="8">
        <v>8</v>
      </c>
      <c r="P972" s="8">
        <v>49</v>
      </c>
      <c r="Q972" s="8">
        <v>5</v>
      </c>
      <c r="R972" s="8">
        <v>61</v>
      </c>
      <c r="S972" s="8">
        <v>15</v>
      </c>
      <c r="T972" s="3" t="s">
        <v>72</v>
      </c>
      <c r="U972" s="10">
        <v>1364</v>
      </c>
      <c r="V972" s="32">
        <v>7</v>
      </c>
      <c r="W972" s="27">
        <v>5.131964809384164E-3</v>
      </c>
      <c r="X972" s="34">
        <v>0</v>
      </c>
      <c r="Y972" s="27">
        <v>0</v>
      </c>
      <c r="Z972" s="27">
        <v>0</v>
      </c>
      <c r="AA972" s="35">
        <v>0</v>
      </c>
      <c r="AB972" s="27">
        <v>0</v>
      </c>
      <c r="AC972" s="27">
        <f t="shared" si="91"/>
        <v>0</v>
      </c>
      <c r="AD972" s="36">
        <v>0</v>
      </c>
      <c r="AE972" s="27">
        <v>0</v>
      </c>
      <c r="AF972" s="27">
        <f t="shared" si="92"/>
        <v>0</v>
      </c>
      <c r="AG972" s="37">
        <v>7</v>
      </c>
      <c r="AH972" s="27">
        <v>1</v>
      </c>
      <c r="AI972" s="27">
        <f t="shared" si="93"/>
        <v>5.131964809384164E-3</v>
      </c>
      <c r="AJ972" s="38">
        <v>0</v>
      </c>
      <c r="AK972" s="27">
        <v>0</v>
      </c>
      <c r="AL972" s="27">
        <f t="shared" si="94"/>
        <v>0</v>
      </c>
      <c r="AM972" s="40">
        <v>0</v>
      </c>
      <c r="AN972" s="27">
        <v>0</v>
      </c>
      <c r="AO972" s="27">
        <f t="shared" si="95"/>
        <v>0</v>
      </c>
      <c r="AP972" s="7" t="b">
        <v>1</v>
      </c>
      <c r="AQ972" s="7" t="b">
        <v>1</v>
      </c>
      <c r="AR972" s="6" t="b">
        <v>0</v>
      </c>
      <c r="AS972" s="6" t="b">
        <v>0</v>
      </c>
      <c r="AT972" s="7" t="b">
        <v>1</v>
      </c>
      <c r="AU972" s="6" t="b">
        <v>0</v>
      </c>
      <c r="AV972" s="6" t="b">
        <v>0</v>
      </c>
      <c r="AW972" s="6" t="b">
        <v>0</v>
      </c>
      <c r="AX972" s="6" t="b">
        <v>0</v>
      </c>
      <c r="AY972" s="6" t="b">
        <v>0</v>
      </c>
      <c r="AZ972" s="6" t="b">
        <v>0</v>
      </c>
      <c r="BA972" s="6" t="b">
        <v>0</v>
      </c>
      <c r="BB972" s="6" t="b">
        <v>0</v>
      </c>
    </row>
    <row r="973" spans="1:54" ht="15" x14ac:dyDescent="0.25">
      <c r="A973" s="3" t="s">
        <v>2006</v>
      </c>
      <c r="B973" s="3" t="str">
        <f ca="1">IFERROR(__xludf.DUMMYFUNCTION("SPLIT(A973,""/"")"),"Sitoi")</f>
        <v>Sitoi</v>
      </c>
      <c r="C973" s="3" t="str">
        <f ca="1">IFERROR(__xludf.DUMMYFUNCTION("""COMPUTED_VALUE"""),"dailycheckin")</f>
        <v>dailycheckin</v>
      </c>
      <c r="D973" s="4" t="s">
        <v>2007</v>
      </c>
      <c r="E973" s="5">
        <v>44167.094328703701</v>
      </c>
      <c r="F973" s="5">
        <v>44295.08898148148</v>
      </c>
      <c r="G973" s="13">
        <f t="shared" si="90"/>
        <v>127.99465277777927</v>
      </c>
      <c r="H973" s="6" t="b">
        <v>0</v>
      </c>
      <c r="I973" s="6" t="b">
        <v>0</v>
      </c>
      <c r="J973" s="8">
        <v>763</v>
      </c>
      <c r="K973" s="8">
        <v>23</v>
      </c>
      <c r="L973" s="8">
        <v>933</v>
      </c>
      <c r="M973" s="8">
        <v>0</v>
      </c>
      <c r="N973" s="8">
        <v>0</v>
      </c>
      <c r="O973" s="8">
        <v>3</v>
      </c>
      <c r="P973" s="8">
        <v>30</v>
      </c>
      <c r="Q973" s="8">
        <v>0</v>
      </c>
      <c r="R973" s="8">
        <v>100</v>
      </c>
      <c r="S973" s="8">
        <v>1</v>
      </c>
      <c r="T973" s="3" t="s">
        <v>72</v>
      </c>
      <c r="U973" s="10">
        <v>9472</v>
      </c>
      <c r="V973" s="32">
        <v>11</v>
      </c>
      <c r="W973" s="27">
        <v>1.1613175675675676E-3</v>
      </c>
      <c r="X973" s="34">
        <v>3</v>
      </c>
      <c r="Y973" s="27">
        <v>0.27272727272727271</v>
      </c>
      <c r="Z973" s="27">
        <v>3.1672297297297299E-4</v>
      </c>
      <c r="AA973" s="35">
        <v>0</v>
      </c>
      <c r="AB973" s="27">
        <v>0</v>
      </c>
      <c r="AC973" s="27">
        <f t="shared" si="91"/>
        <v>0</v>
      </c>
      <c r="AD973" s="36">
        <v>8</v>
      </c>
      <c r="AE973" s="27">
        <v>0.72727272727272729</v>
      </c>
      <c r="AF973" s="27">
        <f t="shared" si="92"/>
        <v>8.4459459459459464E-4</v>
      </c>
      <c r="AG973" s="37">
        <v>0</v>
      </c>
      <c r="AH973" s="27">
        <v>0</v>
      </c>
      <c r="AI973" s="27">
        <f t="shared" si="93"/>
        <v>0</v>
      </c>
      <c r="AJ973" s="38">
        <v>0</v>
      </c>
      <c r="AK973" s="27">
        <v>0</v>
      </c>
      <c r="AL973" s="27">
        <f t="shared" si="94"/>
        <v>0</v>
      </c>
      <c r="AM973" s="40">
        <v>0</v>
      </c>
      <c r="AN973" s="27">
        <v>0</v>
      </c>
      <c r="AO973" s="27">
        <f t="shared" si="95"/>
        <v>0</v>
      </c>
      <c r="AP973" s="7" t="b">
        <v>1</v>
      </c>
      <c r="AQ973" s="7" t="b">
        <v>1</v>
      </c>
      <c r="AR973" s="6" t="b">
        <v>0</v>
      </c>
      <c r="AS973" s="6" t="b">
        <v>0</v>
      </c>
      <c r="AT973" s="7" t="b">
        <v>1</v>
      </c>
      <c r="AU973" s="6" t="b">
        <v>0</v>
      </c>
      <c r="AV973" s="6" t="b">
        <v>0</v>
      </c>
      <c r="AW973" s="6" t="b">
        <v>0</v>
      </c>
      <c r="AX973" s="6" t="b">
        <v>0</v>
      </c>
      <c r="AY973" s="6" t="b">
        <v>0</v>
      </c>
      <c r="AZ973" s="6" t="b">
        <v>0</v>
      </c>
      <c r="BA973" s="6" t="b">
        <v>0</v>
      </c>
      <c r="BB973" s="6" t="b">
        <v>0</v>
      </c>
    </row>
    <row r="974" spans="1:54" ht="15" x14ac:dyDescent="0.25">
      <c r="A974" s="3" t="s">
        <v>2008</v>
      </c>
      <c r="B974" s="3" t="str">
        <f ca="1">IFERROR(__xludf.DUMMYFUNCTION("SPLIT(A974,""/"")"),"skoczen")</f>
        <v>skoczen</v>
      </c>
      <c r="C974" s="3" t="str">
        <f ca="1">IFERROR(__xludf.DUMMYFUNCTION("""COMPUTED_VALUE"""),"will")</f>
        <v>will</v>
      </c>
      <c r="D974" s="4" t="s">
        <v>2009</v>
      </c>
      <c r="E974" s="5">
        <v>41611.71398148148</v>
      </c>
      <c r="F974" s="5">
        <v>44290.547465277778</v>
      </c>
      <c r="G974" s="13">
        <f t="shared" si="90"/>
        <v>2678.8334837962975</v>
      </c>
      <c r="H974" s="6" t="b">
        <v>0</v>
      </c>
      <c r="I974" s="6" t="b">
        <v>0</v>
      </c>
      <c r="J974" s="8">
        <v>391</v>
      </c>
      <c r="K974" s="8">
        <v>21</v>
      </c>
      <c r="L974" s="8">
        <v>153</v>
      </c>
      <c r="M974" s="8">
        <v>0</v>
      </c>
      <c r="N974" s="8">
        <v>9</v>
      </c>
      <c r="O974" s="8">
        <v>54</v>
      </c>
      <c r="P974" s="8">
        <v>193</v>
      </c>
      <c r="Q974" s="8">
        <v>15</v>
      </c>
      <c r="R974" s="8">
        <v>245</v>
      </c>
      <c r="S974" s="8">
        <v>40</v>
      </c>
      <c r="T974" s="3" t="s">
        <v>72</v>
      </c>
      <c r="U974" s="10">
        <v>5488</v>
      </c>
      <c r="V974" s="32">
        <v>142</v>
      </c>
      <c r="W974" s="27">
        <v>2.5874635568513119E-2</v>
      </c>
      <c r="X974" s="34">
        <v>48</v>
      </c>
      <c r="Y974" s="27">
        <v>0.3380281690140845</v>
      </c>
      <c r="Z974" s="27">
        <v>8.7463556851311956E-3</v>
      </c>
      <c r="AA974" s="35">
        <v>22</v>
      </c>
      <c r="AB974" s="27">
        <v>0.15492957746478872</v>
      </c>
      <c r="AC974" s="27">
        <f t="shared" si="91"/>
        <v>4.0087463556851312E-3</v>
      </c>
      <c r="AD974" s="36">
        <v>11</v>
      </c>
      <c r="AE974" s="27">
        <v>7.746478873239436E-2</v>
      </c>
      <c r="AF974" s="27">
        <f t="shared" si="92"/>
        <v>2.0043731778425656E-3</v>
      </c>
      <c r="AG974" s="37">
        <v>31</v>
      </c>
      <c r="AH974" s="27">
        <v>0.21830985915492956</v>
      </c>
      <c r="AI974" s="27">
        <f t="shared" si="93"/>
        <v>5.6486880466472301E-3</v>
      </c>
      <c r="AJ974" s="38">
        <v>29</v>
      </c>
      <c r="AK974" s="27">
        <v>0.20422535211267606</v>
      </c>
      <c r="AL974" s="27">
        <f t="shared" si="94"/>
        <v>5.2842565597667635E-3</v>
      </c>
      <c r="AM974" s="40">
        <v>0</v>
      </c>
      <c r="AN974" s="27">
        <v>0</v>
      </c>
      <c r="AO974" s="27">
        <f t="shared" si="95"/>
        <v>0</v>
      </c>
      <c r="AP974" s="7" t="b">
        <v>1</v>
      </c>
      <c r="AQ974" s="7" t="b">
        <v>1</v>
      </c>
      <c r="AR974" s="6" t="b">
        <v>0</v>
      </c>
      <c r="AS974" s="6" t="b">
        <v>0</v>
      </c>
      <c r="AT974" s="7" t="b">
        <v>1</v>
      </c>
      <c r="AU974" s="6" t="b">
        <v>0</v>
      </c>
      <c r="AV974" s="6" t="b">
        <v>0</v>
      </c>
      <c r="AW974" s="6" t="b">
        <v>0</v>
      </c>
      <c r="AX974" s="6" t="b">
        <v>0</v>
      </c>
      <c r="AY974" s="6" t="b">
        <v>0</v>
      </c>
      <c r="AZ974" s="6" t="b">
        <v>0</v>
      </c>
      <c r="BA974" s="6" t="b">
        <v>0</v>
      </c>
      <c r="BB974" s="6" t="b">
        <v>0</v>
      </c>
    </row>
    <row r="975" spans="1:54" ht="15" x14ac:dyDescent="0.25">
      <c r="A975" s="3" t="s">
        <v>2010</v>
      </c>
      <c r="B975" s="3" t="str">
        <f ca="1">IFERROR(__xludf.DUMMYFUNCTION("SPLIT(A975,""/"")"),"smicallef")</f>
        <v>smicallef</v>
      </c>
      <c r="C975" s="3" t="str">
        <f ca="1">IFERROR(__xludf.DUMMYFUNCTION("""COMPUTED_VALUE"""),"spiderfoot")</f>
        <v>spiderfoot</v>
      </c>
      <c r="D975" s="4" t="s">
        <v>2011</v>
      </c>
      <c r="E975" s="5">
        <v>41027.298761574071</v>
      </c>
      <c r="F975" s="5">
        <v>44294.553055555552</v>
      </c>
      <c r="G975" s="13">
        <f t="shared" si="90"/>
        <v>3267.2542939814812</v>
      </c>
      <c r="H975" s="6" t="b">
        <v>0</v>
      </c>
      <c r="I975" s="6" t="b">
        <v>0</v>
      </c>
      <c r="J975" s="8">
        <v>5645</v>
      </c>
      <c r="K975" s="8">
        <v>285</v>
      </c>
      <c r="L975" s="8">
        <v>1054</v>
      </c>
      <c r="M975" s="8">
        <v>5</v>
      </c>
      <c r="N975" s="8">
        <v>12</v>
      </c>
      <c r="O975" s="8">
        <v>34</v>
      </c>
      <c r="P975" s="8">
        <v>800</v>
      </c>
      <c r="Q975" s="8">
        <v>3</v>
      </c>
      <c r="R975" s="8">
        <v>352</v>
      </c>
      <c r="S975" s="8">
        <v>57</v>
      </c>
      <c r="T975" s="3" t="s">
        <v>92</v>
      </c>
      <c r="U975" s="10">
        <v>39374</v>
      </c>
      <c r="V975" s="32">
        <v>1851</v>
      </c>
      <c r="W975" s="27">
        <v>4.7010717732513842E-2</v>
      </c>
      <c r="X975" s="34">
        <v>1155</v>
      </c>
      <c r="Y975" s="27">
        <v>0.62398703403565636</v>
      </c>
      <c r="Z975" s="27">
        <v>2.9334078325798752E-2</v>
      </c>
      <c r="AA975" s="35">
        <v>198</v>
      </c>
      <c r="AB975" s="27">
        <v>0.10696920583468396</v>
      </c>
      <c r="AC975" s="27">
        <f t="shared" si="91"/>
        <v>5.0286991415655E-3</v>
      </c>
      <c r="AD975" s="36">
        <v>2</v>
      </c>
      <c r="AE975" s="27">
        <v>1.0804970286331713E-3</v>
      </c>
      <c r="AF975" s="27">
        <f t="shared" si="92"/>
        <v>5.0794940823893938E-5</v>
      </c>
      <c r="AG975" s="37">
        <v>482</v>
      </c>
      <c r="AH975" s="27">
        <v>0.26039978390059426</v>
      </c>
      <c r="AI975" s="27">
        <f t="shared" si="93"/>
        <v>1.224158073855844E-2</v>
      </c>
      <c r="AJ975" s="38">
        <v>14</v>
      </c>
      <c r="AK975" s="27">
        <v>7.5634792004321992E-3</v>
      </c>
      <c r="AL975" s="27">
        <f t="shared" si="94"/>
        <v>3.5556458576725756E-4</v>
      </c>
      <c r="AM975" s="40">
        <v>0</v>
      </c>
      <c r="AN975" s="27">
        <v>0</v>
      </c>
      <c r="AO975" s="27">
        <f t="shared" si="95"/>
        <v>0</v>
      </c>
      <c r="AP975" s="7" t="b">
        <v>1</v>
      </c>
      <c r="AQ975" s="7" t="b">
        <v>1</v>
      </c>
      <c r="AR975" s="6" t="b">
        <v>0</v>
      </c>
      <c r="AS975" s="6" t="b">
        <v>0</v>
      </c>
      <c r="AT975" s="7" t="b">
        <v>1</v>
      </c>
      <c r="AU975" s="6" t="b">
        <v>0</v>
      </c>
      <c r="AV975" s="6" t="b">
        <v>0</v>
      </c>
      <c r="AW975" s="6" t="b">
        <v>0</v>
      </c>
      <c r="AX975" s="6" t="b">
        <v>0</v>
      </c>
      <c r="AY975" s="6" t="b">
        <v>0</v>
      </c>
      <c r="AZ975" s="6" t="b">
        <v>0</v>
      </c>
      <c r="BA975" s="6" t="b">
        <v>0</v>
      </c>
      <c r="BB975" s="6" t="b">
        <v>0</v>
      </c>
    </row>
    <row r="976" spans="1:54" ht="15" x14ac:dyDescent="0.25">
      <c r="A976" s="3" t="s">
        <v>2012</v>
      </c>
      <c r="B976" s="3" t="str">
        <f ca="1">IFERROR(__xludf.DUMMYFUNCTION("SPLIT(A976,""/"")"),"snakemake")</f>
        <v>snakemake</v>
      </c>
      <c r="C976" s="3" t="str">
        <f ca="1">IFERROR(__xludf.DUMMYFUNCTION("""COMPUTED_VALUE"""),"snakemake")</f>
        <v>snakemake</v>
      </c>
      <c r="D976" s="4" t="s">
        <v>2013</v>
      </c>
      <c r="E976" s="5">
        <v>43742.623738425929</v>
      </c>
      <c r="F976" s="5">
        <v>44295.139074074075</v>
      </c>
      <c r="G976" s="13">
        <f t="shared" si="90"/>
        <v>552.51533564814599</v>
      </c>
      <c r="H976" s="6" t="b">
        <v>0</v>
      </c>
      <c r="I976" s="7" t="b">
        <v>1</v>
      </c>
      <c r="J976" s="8">
        <v>921</v>
      </c>
      <c r="K976" s="8">
        <v>20</v>
      </c>
      <c r="L976" s="8">
        <v>201</v>
      </c>
      <c r="M976" s="8">
        <v>62</v>
      </c>
      <c r="N976" s="8">
        <v>26</v>
      </c>
      <c r="O976" s="8">
        <v>174</v>
      </c>
      <c r="P976" s="8">
        <v>358</v>
      </c>
      <c r="Q976" s="8">
        <v>28</v>
      </c>
      <c r="R976" s="8">
        <v>591</v>
      </c>
      <c r="S976" s="8">
        <v>369</v>
      </c>
      <c r="T976" s="3" t="s">
        <v>72</v>
      </c>
      <c r="U976" s="10">
        <v>17156</v>
      </c>
      <c r="V976" s="32">
        <v>318</v>
      </c>
      <c r="W976" s="27">
        <v>1.8535789228258336E-2</v>
      </c>
      <c r="X976" s="34">
        <v>71</v>
      </c>
      <c r="Y976" s="27">
        <v>0.22327044025157233</v>
      </c>
      <c r="Z976" s="27">
        <v>4.138493821403591E-3</v>
      </c>
      <c r="AA976" s="35">
        <v>119</v>
      </c>
      <c r="AB976" s="27">
        <v>0.37421383647798739</v>
      </c>
      <c r="AC976" s="27">
        <f t="shared" si="91"/>
        <v>6.9363487992539054E-3</v>
      </c>
      <c r="AD976" s="36">
        <v>59</v>
      </c>
      <c r="AE976" s="27">
        <v>0.18553459119496854</v>
      </c>
      <c r="AF976" s="27">
        <f t="shared" si="92"/>
        <v>3.4390300769410118E-3</v>
      </c>
      <c r="AG976" s="37">
        <v>67</v>
      </c>
      <c r="AH976" s="27">
        <v>0.21069182389937108</v>
      </c>
      <c r="AI976" s="27">
        <f t="shared" si="93"/>
        <v>3.9053392399160643E-3</v>
      </c>
      <c r="AJ976" s="38">
        <v>0</v>
      </c>
      <c r="AK976" s="27">
        <v>0</v>
      </c>
      <c r="AL976" s="27">
        <f t="shared" si="94"/>
        <v>0</v>
      </c>
      <c r="AM976" s="40">
        <v>0</v>
      </c>
      <c r="AN976" s="27">
        <v>0</v>
      </c>
      <c r="AO976" s="27">
        <f t="shared" si="95"/>
        <v>0</v>
      </c>
      <c r="AP976" s="7" t="b">
        <v>1</v>
      </c>
      <c r="AQ976" s="6" t="b">
        <v>0</v>
      </c>
      <c r="AR976" s="6" t="b">
        <v>0</v>
      </c>
      <c r="AS976" s="6" t="b">
        <v>0</v>
      </c>
      <c r="AT976" s="7" t="b">
        <v>1</v>
      </c>
      <c r="AU976" s="6" t="b">
        <v>0</v>
      </c>
      <c r="AV976" s="6" t="b">
        <v>0</v>
      </c>
      <c r="AW976" s="6" t="b">
        <v>0</v>
      </c>
      <c r="AX976" s="6" t="b">
        <v>0</v>
      </c>
      <c r="AY976" s="6" t="b">
        <v>0</v>
      </c>
      <c r="AZ976" s="6" t="b">
        <v>0</v>
      </c>
      <c r="BA976" s="6" t="b">
        <v>0</v>
      </c>
      <c r="BB976" s="6" t="b">
        <v>0</v>
      </c>
    </row>
    <row r="977" spans="1:54" ht="15" x14ac:dyDescent="0.25">
      <c r="A977" s="3" t="s">
        <v>2014</v>
      </c>
      <c r="B977" s="3" t="str">
        <f ca="1">IFERROR(__xludf.DUMMYFUNCTION("SPLIT(A977,""/"")"),"snapcore")</f>
        <v>snapcore</v>
      </c>
      <c r="C977" s="3" t="str">
        <f ca="1">IFERROR(__xludf.DUMMYFUNCTION("""COMPUTED_VALUE"""),"snapcraft")</f>
        <v>snapcraft</v>
      </c>
      <c r="D977" s="4" t="s">
        <v>2015</v>
      </c>
      <c r="E977" s="5">
        <v>42306.724479166667</v>
      </c>
      <c r="F977" s="5">
        <v>44294.741851851853</v>
      </c>
      <c r="G977" s="13">
        <f t="shared" si="90"/>
        <v>1988.0173726851863</v>
      </c>
      <c r="H977" s="6" t="b">
        <v>0</v>
      </c>
      <c r="I977" s="7" t="b">
        <v>1</v>
      </c>
      <c r="J977" s="8">
        <v>972</v>
      </c>
      <c r="K977" s="8">
        <v>41</v>
      </c>
      <c r="L977" s="8">
        <v>347</v>
      </c>
      <c r="M977" s="8">
        <v>79</v>
      </c>
      <c r="N977" s="8">
        <v>37</v>
      </c>
      <c r="O977" s="8">
        <v>163</v>
      </c>
      <c r="P977" s="8">
        <v>3279</v>
      </c>
      <c r="Q977" s="8">
        <v>12</v>
      </c>
      <c r="R977" s="8">
        <v>0</v>
      </c>
      <c r="S977" s="8">
        <v>0</v>
      </c>
      <c r="T977" s="3" t="s">
        <v>49</v>
      </c>
      <c r="U977" s="10">
        <v>49629</v>
      </c>
      <c r="V977" s="32">
        <v>393</v>
      </c>
      <c r="W977" s="27">
        <v>7.9187571782627086E-3</v>
      </c>
      <c r="X977" s="34">
        <v>154</v>
      </c>
      <c r="Y977" s="27">
        <v>0.39185750636132316</v>
      </c>
      <c r="Z977" s="27">
        <v>3.1030244413548531E-3</v>
      </c>
      <c r="AA977" s="35">
        <v>106</v>
      </c>
      <c r="AB977" s="27">
        <v>0.26972010178117051</v>
      </c>
      <c r="AC977" s="27">
        <f t="shared" si="91"/>
        <v>2.1358479921013925E-3</v>
      </c>
      <c r="AD977" s="36">
        <v>111</v>
      </c>
      <c r="AE977" s="27">
        <v>0.28244274809160308</v>
      </c>
      <c r="AF977" s="27">
        <f t="shared" si="92"/>
        <v>2.2365955388986276E-3</v>
      </c>
      <c r="AG977" s="37">
        <v>17</v>
      </c>
      <c r="AH977" s="27">
        <v>4.3256997455470736E-2</v>
      </c>
      <c r="AI977" s="27">
        <f t="shared" si="93"/>
        <v>3.4254165911060065E-4</v>
      </c>
      <c r="AJ977" s="38">
        <v>4</v>
      </c>
      <c r="AK977" s="27">
        <v>1.0178117048346057E-2</v>
      </c>
      <c r="AL977" s="27">
        <f t="shared" si="94"/>
        <v>8.0598037437788387E-5</v>
      </c>
      <c r="AM977" s="40">
        <v>0</v>
      </c>
      <c r="AN977" s="27">
        <v>0</v>
      </c>
      <c r="AO977" s="27">
        <f t="shared" si="95"/>
        <v>0</v>
      </c>
      <c r="AP977" s="7" t="b">
        <v>1</v>
      </c>
      <c r="AQ977" s="6" t="b">
        <v>0</v>
      </c>
      <c r="AR977" s="6" t="b">
        <v>0</v>
      </c>
      <c r="AS977" s="6" t="b">
        <v>0</v>
      </c>
      <c r="AT977" s="7" t="b">
        <v>1</v>
      </c>
      <c r="AU977" s="6" t="b">
        <v>0</v>
      </c>
      <c r="AV977" s="6" t="b">
        <v>0</v>
      </c>
      <c r="AW977" s="6" t="b">
        <v>0</v>
      </c>
      <c r="AX977" s="6" t="b">
        <v>0</v>
      </c>
      <c r="AY977" s="6" t="b">
        <v>0</v>
      </c>
      <c r="AZ977" s="6" t="b">
        <v>0</v>
      </c>
      <c r="BA977" s="6" t="b">
        <v>0</v>
      </c>
      <c r="BB977" s="6" t="b">
        <v>0</v>
      </c>
    </row>
    <row r="978" spans="1:54" ht="15" x14ac:dyDescent="0.25">
      <c r="A978" s="3" t="s">
        <v>2016</v>
      </c>
      <c r="B978" s="3" t="str">
        <f ca="1">IFERROR(__xludf.DUMMYFUNCTION("SPLIT(A978,""/"")"),"songcser")</f>
        <v>songcser</v>
      </c>
      <c r="C978" s="3" t="str">
        <f ca="1">IFERROR(__xludf.DUMMYFUNCTION("""COMPUTED_VALUE"""),"sanic-ms")</f>
        <v>sanic-ms</v>
      </c>
      <c r="D978" s="4" t="s">
        <v>2017</v>
      </c>
      <c r="E978" s="5">
        <v>42978.358587962961</v>
      </c>
      <c r="F978" s="5">
        <v>44289.702245370368</v>
      </c>
      <c r="G978" s="13">
        <f t="shared" si="90"/>
        <v>1311.3436574074076</v>
      </c>
      <c r="H978" s="6" t="b">
        <v>0</v>
      </c>
      <c r="I978" s="6" t="b">
        <v>0</v>
      </c>
      <c r="J978" s="8">
        <v>340</v>
      </c>
      <c r="K978" s="8">
        <v>19</v>
      </c>
      <c r="L978" s="8">
        <v>89</v>
      </c>
      <c r="M978" s="8">
        <v>0</v>
      </c>
      <c r="N978" s="8">
        <v>0</v>
      </c>
      <c r="O978" s="8">
        <v>2</v>
      </c>
      <c r="P978" s="8">
        <v>1</v>
      </c>
      <c r="Q978" s="8">
        <v>0</v>
      </c>
      <c r="R978" s="8">
        <v>15</v>
      </c>
      <c r="S978" s="8">
        <v>4</v>
      </c>
      <c r="T978" s="11" t="s">
        <v>52</v>
      </c>
      <c r="U978" s="10">
        <v>1526</v>
      </c>
      <c r="V978" s="32">
        <v>10</v>
      </c>
      <c r="W978" s="27">
        <v>6.55307994757536E-3</v>
      </c>
      <c r="X978" s="34">
        <v>0</v>
      </c>
      <c r="Y978" s="27">
        <v>0</v>
      </c>
      <c r="Z978" s="27">
        <v>0</v>
      </c>
      <c r="AA978" s="35">
        <v>8</v>
      </c>
      <c r="AB978" s="27">
        <v>0.8</v>
      </c>
      <c r="AC978" s="27">
        <f t="shared" si="91"/>
        <v>5.2424639580602884E-3</v>
      </c>
      <c r="AD978" s="36">
        <v>0</v>
      </c>
      <c r="AE978" s="27">
        <v>0</v>
      </c>
      <c r="AF978" s="27">
        <f t="shared" si="92"/>
        <v>0</v>
      </c>
      <c r="AG978" s="37">
        <v>2</v>
      </c>
      <c r="AH978" s="27">
        <v>0.2</v>
      </c>
      <c r="AI978" s="27">
        <f t="shared" si="93"/>
        <v>1.3106159895150721E-3</v>
      </c>
      <c r="AJ978" s="38">
        <v>0</v>
      </c>
      <c r="AK978" s="27">
        <v>0</v>
      </c>
      <c r="AL978" s="27">
        <f t="shared" si="94"/>
        <v>0</v>
      </c>
      <c r="AM978" s="40">
        <v>0</v>
      </c>
      <c r="AN978" s="27">
        <v>0</v>
      </c>
      <c r="AO978" s="27">
        <f t="shared" si="95"/>
        <v>0</v>
      </c>
      <c r="AP978" s="7" t="b">
        <v>1</v>
      </c>
      <c r="AQ978" s="7" t="b">
        <v>1</v>
      </c>
      <c r="AR978" s="6" t="b">
        <v>0</v>
      </c>
      <c r="AS978" s="6" t="b">
        <v>0</v>
      </c>
      <c r="AT978" s="7" t="b">
        <v>1</v>
      </c>
      <c r="AU978" s="6" t="b">
        <v>0</v>
      </c>
      <c r="AV978" s="6" t="b">
        <v>0</v>
      </c>
      <c r="AW978" s="6" t="b">
        <v>0</v>
      </c>
      <c r="AX978" s="6" t="b">
        <v>0</v>
      </c>
      <c r="AY978" s="6" t="b">
        <v>0</v>
      </c>
      <c r="AZ978" s="6" t="b">
        <v>0</v>
      </c>
      <c r="BA978" s="6" t="b">
        <v>0</v>
      </c>
      <c r="BB978" s="6" t="b">
        <v>0</v>
      </c>
    </row>
    <row r="979" spans="1:54" ht="15" x14ac:dyDescent="0.25">
      <c r="A979" s="3" t="s">
        <v>2018</v>
      </c>
      <c r="B979" s="3" t="str">
        <f ca="1">IFERROR(__xludf.DUMMYFUNCTION("SPLIT(A979,""/"")"),"sony")</f>
        <v>sony</v>
      </c>
      <c r="C979" s="3" t="str">
        <f ca="1">IFERROR(__xludf.DUMMYFUNCTION("""COMPUTED_VALUE"""),"nnabla")</f>
        <v>nnabla</v>
      </c>
      <c r="D979" s="4" t="s">
        <v>2019</v>
      </c>
      <c r="E979" s="5">
        <v>42912.046643518515</v>
      </c>
      <c r="F979" s="5">
        <v>44293.501712962963</v>
      </c>
      <c r="G979" s="13">
        <f t="shared" si="90"/>
        <v>1381.4550694444479</v>
      </c>
      <c r="H979" s="6" t="b">
        <v>0</v>
      </c>
      <c r="I979" s="7" t="b">
        <v>1</v>
      </c>
      <c r="J979" s="8">
        <v>2433</v>
      </c>
      <c r="K979" s="8">
        <v>167</v>
      </c>
      <c r="L979" s="8">
        <v>291</v>
      </c>
      <c r="M979" s="8">
        <v>49</v>
      </c>
      <c r="N979" s="8">
        <v>0</v>
      </c>
      <c r="O979" s="8">
        <v>48</v>
      </c>
      <c r="P979" s="8">
        <v>811</v>
      </c>
      <c r="Q979" s="8">
        <v>13</v>
      </c>
      <c r="R979" s="8">
        <v>47</v>
      </c>
      <c r="S979" s="8">
        <v>18</v>
      </c>
      <c r="T979" s="3" t="s">
        <v>69</v>
      </c>
      <c r="U979" s="10">
        <v>45578</v>
      </c>
      <c r="V979" s="32">
        <v>255</v>
      </c>
      <c r="W979" s="27">
        <v>5.5948045109482647E-3</v>
      </c>
      <c r="X979" s="34">
        <v>24</v>
      </c>
      <c r="Y979" s="27">
        <v>9.4117647058823528E-2</v>
      </c>
      <c r="Z979" s="27">
        <v>5.2656983632454256E-4</v>
      </c>
      <c r="AA979" s="35">
        <v>70</v>
      </c>
      <c r="AB979" s="27">
        <v>0.27450980392156865</v>
      </c>
      <c r="AC979" s="27">
        <f t="shared" si="91"/>
        <v>1.5358286892799158E-3</v>
      </c>
      <c r="AD979" s="36">
        <v>38</v>
      </c>
      <c r="AE979" s="27">
        <v>0.14901960784313725</v>
      </c>
      <c r="AF979" s="27">
        <f t="shared" si="92"/>
        <v>8.3373557418052566E-4</v>
      </c>
      <c r="AG979" s="37">
        <v>11</v>
      </c>
      <c r="AH979" s="27">
        <v>4.3137254901960784E-2</v>
      </c>
      <c r="AI979" s="27">
        <f t="shared" si="93"/>
        <v>2.4134450831541534E-4</v>
      </c>
      <c r="AJ979" s="38">
        <v>34</v>
      </c>
      <c r="AK979" s="27">
        <v>0.13333333333333333</v>
      </c>
      <c r="AL979" s="27">
        <f t="shared" si="94"/>
        <v>7.459739347931019E-4</v>
      </c>
      <c r="AM979" s="40">
        <v>78</v>
      </c>
      <c r="AN979" s="27">
        <v>0.30588235294117649</v>
      </c>
      <c r="AO979" s="27">
        <f t="shared" si="95"/>
        <v>1.7113519680547634E-3</v>
      </c>
      <c r="AP979" s="7" t="b">
        <v>1</v>
      </c>
      <c r="AQ979" s="6" t="b">
        <v>0</v>
      </c>
      <c r="AR979" s="6" t="b">
        <v>0</v>
      </c>
      <c r="AS979" s="6" t="b">
        <v>0</v>
      </c>
      <c r="AT979" s="7" t="b">
        <v>1</v>
      </c>
      <c r="AU979" s="6" t="b">
        <v>0</v>
      </c>
      <c r="AV979" s="6" t="b">
        <v>0</v>
      </c>
      <c r="AW979" s="6" t="b">
        <v>0</v>
      </c>
      <c r="AX979" s="6" t="b">
        <v>0</v>
      </c>
      <c r="AY979" s="6" t="b">
        <v>0</v>
      </c>
      <c r="AZ979" s="6" t="b">
        <v>0</v>
      </c>
      <c r="BA979" s="6" t="b">
        <v>0</v>
      </c>
      <c r="BB979" s="6" t="b">
        <v>0</v>
      </c>
    </row>
    <row r="980" spans="1:54" ht="15" x14ac:dyDescent="0.25">
      <c r="A980" s="3" t="s">
        <v>2020</v>
      </c>
      <c r="B980" s="3" t="str">
        <f ca="1">IFERROR(__xludf.DUMMYFUNCTION("SPLIT(A980,""/"")"),"spaam")</f>
        <v>spaam</v>
      </c>
      <c r="C980" s="3" t="str">
        <f ca="1">IFERROR(__xludf.DUMMYFUNCTION("""COMPUTED_VALUE"""),"svtplay-dl")</f>
        <v>svtplay-dl</v>
      </c>
      <c r="D980" s="4" t="s">
        <v>2021</v>
      </c>
      <c r="E980" s="5">
        <v>40603.700902777775</v>
      </c>
      <c r="F980" s="5">
        <v>44294.812488425923</v>
      </c>
      <c r="G980" s="13">
        <f t="shared" si="90"/>
        <v>3691.1115856481483</v>
      </c>
      <c r="H980" s="6" t="b">
        <v>0</v>
      </c>
      <c r="I980" s="6" t="b">
        <v>0</v>
      </c>
      <c r="J980" s="8">
        <v>528</v>
      </c>
      <c r="K980" s="8">
        <v>39</v>
      </c>
      <c r="L980" s="8">
        <v>102</v>
      </c>
      <c r="M980" s="8">
        <v>0</v>
      </c>
      <c r="N980" s="8">
        <v>27</v>
      </c>
      <c r="O980" s="8">
        <v>52</v>
      </c>
      <c r="P980" s="8">
        <v>208</v>
      </c>
      <c r="Q980" s="8">
        <v>12</v>
      </c>
      <c r="R980" s="8">
        <v>1109</v>
      </c>
      <c r="S980" s="8">
        <v>281</v>
      </c>
      <c r="T980" s="3" t="s">
        <v>72</v>
      </c>
      <c r="U980" s="10">
        <v>6975</v>
      </c>
      <c r="V980" s="32">
        <v>87</v>
      </c>
      <c r="W980" s="27">
        <v>1.2473118279569893E-2</v>
      </c>
      <c r="X980" s="34">
        <v>5</v>
      </c>
      <c r="Y980" s="27">
        <v>5.7471264367816091E-2</v>
      </c>
      <c r="Z980" s="27">
        <v>7.1684587813620072E-4</v>
      </c>
      <c r="AA980" s="35">
        <v>30</v>
      </c>
      <c r="AB980" s="27">
        <v>0.34482758620689657</v>
      </c>
      <c r="AC980" s="27">
        <f t="shared" si="91"/>
        <v>4.3010752688172043E-3</v>
      </c>
      <c r="AD980" s="36">
        <v>7</v>
      </c>
      <c r="AE980" s="27">
        <v>8.0459770114942528E-2</v>
      </c>
      <c r="AF980" s="27">
        <f t="shared" si="92"/>
        <v>1.003584229390681E-3</v>
      </c>
      <c r="AG980" s="37">
        <v>43</v>
      </c>
      <c r="AH980" s="27">
        <v>0.4942528735632184</v>
      </c>
      <c r="AI980" s="27">
        <f t="shared" si="93"/>
        <v>6.1648745519713262E-3</v>
      </c>
      <c r="AJ980" s="38">
        <v>0</v>
      </c>
      <c r="AK980" s="27">
        <v>0</v>
      </c>
      <c r="AL980" s="27">
        <f t="shared" si="94"/>
        <v>0</v>
      </c>
      <c r="AM980" s="40">
        <v>1</v>
      </c>
      <c r="AN980" s="27">
        <v>1.1494252873563218E-2</v>
      </c>
      <c r="AO980" s="27">
        <f t="shared" si="95"/>
        <v>1.4336917562724014E-4</v>
      </c>
      <c r="AP980" s="7" t="b">
        <v>1</v>
      </c>
      <c r="AQ980" s="6" t="b">
        <v>0</v>
      </c>
      <c r="AR980" s="6" t="b">
        <v>0</v>
      </c>
      <c r="AS980" s="6" t="b">
        <v>0</v>
      </c>
      <c r="AT980" s="7" t="b">
        <v>1</v>
      </c>
      <c r="AU980" s="6" t="b">
        <v>0</v>
      </c>
      <c r="AV980" s="6" t="b">
        <v>0</v>
      </c>
      <c r="AW980" s="6" t="b">
        <v>0</v>
      </c>
      <c r="AX980" s="6" t="b">
        <v>0</v>
      </c>
      <c r="AY980" s="6" t="b">
        <v>0</v>
      </c>
      <c r="AZ980" s="6" t="b">
        <v>0</v>
      </c>
      <c r="BA980" s="6" t="b">
        <v>0</v>
      </c>
      <c r="BB980" s="6" t="b">
        <v>0</v>
      </c>
    </row>
    <row r="981" spans="1:54" ht="15" x14ac:dyDescent="0.25">
      <c r="A981" s="3" t="s">
        <v>2022</v>
      </c>
      <c r="B981" s="3" t="str">
        <f ca="1">IFERROR(__xludf.DUMMYFUNCTION("SPLIT(A981,""/"")"),"spack")</f>
        <v>spack</v>
      </c>
      <c r="C981" s="3" t="str">
        <f ca="1">IFERROR(__xludf.DUMMYFUNCTION("""COMPUTED_VALUE"""),"spack")</f>
        <v>spack</v>
      </c>
      <c r="D981" s="4" t="s">
        <v>2023</v>
      </c>
      <c r="E981" s="5">
        <v>41647.390416666669</v>
      </c>
      <c r="F981" s="5">
        <v>44294.871307870373</v>
      </c>
      <c r="G981" s="13">
        <f t="shared" si="90"/>
        <v>2647.4808912037042</v>
      </c>
      <c r="H981" s="6" t="b">
        <v>0</v>
      </c>
      <c r="I981" s="7" t="b">
        <v>1</v>
      </c>
      <c r="J981" s="8">
        <v>2004</v>
      </c>
      <c r="K981" s="8">
        <v>89</v>
      </c>
      <c r="L981" s="8">
        <v>1169</v>
      </c>
      <c r="M981" s="8">
        <v>24</v>
      </c>
      <c r="N981" s="8">
        <v>209</v>
      </c>
      <c r="O981" s="8">
        <v>786</v>
      </c>
      <c r="P981" s="8">
        <v>17908</v>
      </c>
      <c r="Q981" s="8">
        <v>373</v>
      </c>
      <c r="R981" s="8">
        <v>4958</v>
      </c>
      <c r="S981" s="8">
        <v>1392</v>
      </c>
      <c r="T981" s="3" t="s">
        <v>92</v>
      </c>
      <c r="U981" s="10">
        <v>220314</v>
      </c>
      <c r="V981" s="32">
        <v>635</v>
      </c>
      <c r="W981" s="27">
        <v>2.8822498797171311E-3</v>
      </c>
      <c r="X981" s="34">
        <v>309</v>
      </c>
      <c r="Y981" s="27">
        <v>0.48661417322834644</v>
      </c>
      <c r="Z981" s="27">
        <v>1.4025436422560528E-3</v>
      </c>
      <c r="AA981" s="35">
        <v>38</v>
      </c>
      <c r="AB981" s="27">
        <v>5.9842519685039369E-2</v>
      </c>
      <c r="AC981" s="27">
        <f t="shared" si="91"/>
        <v>1.7248109516417476E-4</v>
      </c>
      <c r="AD981" s="36">
        <v>192</v>
      </c>
      <c r="AE981" s="27">
        <v>0.30236220472440944</v>
      </c>
      <c r="AF981" s="27">
        <f t="shared" si="92"/>
        <v>8.714834281979357E-4</v>
      </c>
      <c r="AG981" s="37">
        <v>64</v>
      </c>
      <c r="AH981" s="27">
        <v>0.10078740157480315</v>
      </c>
      <c r="AI981" s="27">
        <f t="shared" si="93"/>
        <v>2.9049447606597855E-4</v>
      </c>
      <c r="AJ981" s="38">
        <v>0</v>
      </c>
      <c r="AK981" s="27">
        <v>0</v>
      </c>
      <c r="AL981" s="27">
        <f t="shared" si="94"/>
        <v>0</v>
      </c>
      <c r="AM981" s="40">
        <v>2</v>
      </c>
      <c r="AN981" s="27">
        <v>3.1496062992125984E-3</v>
      </c>
      <c r="AO981" s="27">
        <f t="shared" si="95"/>
        <v>9.0779523770618297E-6</v>
      </c>
      <c r="AP981" s="7" t="b">
        <v>1</v>
      </c>
      <c r="AQ981" s="6" t="b">
        <v>0</v>
      </c>
      <c r="AR981" s="6" t="b">
        <v>0</v>
      </c>
      <c r="AS981" s="6" t="b">
        <v>0</v>
      </c>
      <c r="AT981" s="7" t="b">
        <v>1</v>
      </c>
      <c r="AU981" s="6" t="b">
        <v>0</v>
      </c>
      <c r="AV981" s="6" t="b">
        <v>0</v>
      </c>
      <c r="AW981" s="6" t="b">
        <v>0</v>
      </c>
      <c r="AX981" s="6" t="b">
        <v>0</v>
      </c>
      <c r="AY981" s="6" t="b">
        <v>0</v>
      </c>
      <c r="AZ981" s="6" t="b">
        <v>0</v>
      </c>
      <c r="BA981" s="6" t="b">
        <v>0</v>
      </c>
      <c r="BB981" s="6" t="b">
        <v>0</v>
      </c>
    </row>
    <row r="982" spans="1:54" ht="15" x14ac:dyDescent="0.25">
      <c r="A982" s="3" t="s">
        <v>2024</v>
      </c>
      <c r="B982" s="3" t="str">
        <f ca="1">IFERROR(__xludf.DUMMYFUNCTION("SPLIT(A982,""/"")"),"spesmilo")</f>
        <v>spesmilo</v>
      </c>
      <c r="C982" s="3" t="str">
        <f ca="1">IFERROR(__xludf.DUMMYFUNCTION("""COMPUTED_VALUE"""),"electrum")</f>
        <v>electrum</v>
      </c>
      <c r="D982" s="4" t="s">
        <v>2025</v>
      </c>
      <c r="E982" s="5">
        <v>41123.683680555558</v>
      </c>
      <c r="F982" s="5">
        <v>44294.903437499997</v>
      </c>
      <c r="G982" s="13">
        <f t="shared" si="90"/>
        <v>3171.2197569444397</v>
      </c>
      <c r="H982" s="6" t="b">
        <v>0</v>
      </c>
      <c r="I982" s="7" t="b">
        <v>1</v>
      </c>
      <c r="J982" s="8">
        <v>4754</v>
      </c>
      <c r="K982" s="8">
        <v>298</v>
      </c>
      <c r="L982" s="8">
        <v>1523</v>
      </c>
      <c r="M982" s="8">
        <v>0</v>
      </c>
      <c r="N982" s="8">
        <v>424</v>
      </c>
      <c r="O982" s="8">
        <v>284</v>
      </c>
      <c r="P982" s="8">
        <v>1789</v>
      </c>
      <c r="Q982" s="8">
        <v>45</v>
      </c>
      <c r="R982" s="8">
        <v>5334</v>
      </c>
      <c r="S982" s="8">
        <v>774</v>
      </c>
      <c r="T982" s="3" t="s">
        <v>72</v>
      </c>
      <c r="U982" s="10">
        <v>61485</v>
      </c>
      <c r="V982" s="32">
        <v>543</v>
      </c>
      <c r="W982" s="27">
        <v>8.831422298121493E-3</v>
      </c>
      <c r="X982" s="34">
        <v>24</v>
      </c>
      <c r="Y982" s="27">
        <v>4.4198895027624308E-2</v>
      </c>
      <c r="Z982" s="27">
        <v>3.9033910709929251E-4</v>
      </c>
      <c r="AA982" s="35">
        <v>390</v>
      </c>
      <c r="AB982" s="27">
        <v>0.71823204419889508</v>
      </c>
      <c r="AC982" s="27">
        <f t="shared" si="91"/>
        <v>6.3430104903635029E-3</v>
      </c>
      <c r="AD982" s="36">
        <v>27</v>
      </c>
      <c r="AE982" s="27">
        <v>4.9723756906077346E-2</v>
      </c>
      <c r="AF982" s="27">
        <f t="shared" si="92"/>
        <v>4.3913149548670407E-4</v>
      </c>
      <c r="AG982" s="37">
        <v>99</v>
      </c>
      <c r="AH982" s="27">
        <v>0.18232044198895028</v>
      </c>
      <c r="AI982" s="27">
        <f t="shared" si="93"/>
        <v>1.6101488167845816E-3</v>
      </c>
      <c r="AJ982" s="38">
        <v>0</v>
      </c>
      <c r="AK982" s="27">
        <v>0</v>
      </c>
      <c r="AL982" s="27">
        <f t="shared" si="94"/>
        <v>0</v>
      </c>
      <c r="AM982" s="40">
        <v>2</v>
      </c>
      <c r="AN982" s="27">
        <v>3.6832412523020259E-3</v>
      </c>
      <c r="AO982" s="27">
        <f t="shared" si="95"/>
        <v>3.2528258924941042E-5</v>
      </c>
      <c r="AP982" s="7" t="b">
        <v>1</v>
      </c>
      <c r="AQ982" s="6" t="b">
        <v>0</v>
      </c>
      <c r="AR982" s="6" t="b">
        <v>0</v>
      </c>
      <c r="AS982" s="6" t="b">
        <v>0</v>
      </c>
      <c r="AT982" s="7" t="b">
        <v>1</v>
      </c>
      <c r="AU982" s="6" t="b">
        <v>0</v>
      </c>
      <c r="AV982" s="6" t="b">
        <v>0</v>
      </c>
      <c r="AW982" s="6" t="b">
        <v>0</v>
      </c>
      <c r="AX982" s="6" t="b">
        <v>0</v>
      </c>
      <c r="AY982" s="6" t="b">
        <v>0</v>
      </c>
      <c r="AZ982" s="6" t="b">
        <v>0</v>
      </c>
      <c r="BA982" s="6" t="b">
        <v>0</v>
      </c>
      <c r="BB982" s="6" t="b">
        <v>0</v>
      </c>
    </row>
    <row r="983" spans="1:54" ht="15" x14ac:dyDescent="0.25">
      <c r="A983" s="3" t="s">
        <v>2026</v>
      </c>
      <c r="B983" s="3" t="str">
        <f ca="1">IFERROR(__xludf.DUMMYFUNCTION("SPLIT(A983,""/"")"),"SpiderClub")</f>
        <v>SpiderClub</v>
      </c>
      <c r="C983" s="3" t="str">
        <f ca="1">IFERROR(__xludf.DUMMYFUNCTION("""COMPUTED_VALUE"""),"haipproxy")</f>
        <v>haipproxy</v>
      </c>
      <c r="D983" s="4" t="s">
        <v>2027</v>
      </c>
      <c r="E983" s="5">
        <v>42994.301701388889</v>
      </c>
      <c r="F983" s="5">
        <v>44294.332118055558</v>
      </c>
      <c r="G983" s="13">
        <f t="shared" si="90"/>
        <v>1300.0304166666683</v>
      </c>
      <c r="H983" s="6" t="b">
        <v>0</v>
      </c>
      <c r="I983" s="7" t="b">
        <v>1</v>
      </c>
      <c r="J983" s="8">
        <v>4770</v>
      </c>
      <c r="K983" s="8">
        <v>205</v>
      </c>
      <c r="L983" s="8">
        <v>841</v>
      </c>
      <c r="M983" s="8">
        <v>1</v>
      </c>
      <c r="N983" s="8">
        <v>4</v>
      </c>
      <c r="O983" s="8">
        <v>8</v>
      </c>
      <c r="P983" s="8">
        <v>26</v>
      </c>
      <c r="Q983" s="8">
        <v>1</v>
      </c>
      <c r="R983" s="8">
        <v>92</v>
      </c>
      <c r="S983" s="8">
        <v>37</v>
      </c>
      <c r="T983" s="3" t="s">
        <v>72</v>
      </c>
      <c r="U983" s="10">
        <v>1675</v>
      </c>
      <c r="V983" s="32">
        <v>1</v>
      </c>
      <c r="W983" s="27">
        <v>5.9701492537313433E-4</v>
      </c>
      <c r="X983" s="34">
        <v>0</v>
      </c>
      <c r="Y983" s="27">
        <v>0</v>
      </c>
      <c r="Z983" s="27">
        <v>0</v>
      </c>
      <c r="AA983" s="35">
        <v>0</v>
      </c>
      <c r="AB983" s="27">
        <v>0</v>
      </c>
      <c r="AC983" s="27">
        <f t="shared" si="91"/>
        <v>0</v>
      </c>
      <c r="AD983" s="36">
        <v>0</v>
      </c>
      <c r="AE983" s="27">
        <v>0</v>
      </c>
      <c r="AF983" s="27">
        <f t="shared" si="92"/>
        <v>0</v>
      </c>
      <c r="AG983" s="37">
        <v>1</v>
      </c>
      <c r="AH983" s="27">
        <v>1</v>
      </c>
      <c r="AI983" s="27">
        <f t="shared" si="93"/>
        <v>5.9701492537313433E-4</v>
      </c>
      <c r="AJ983" s="38">
        <v>0</v>
      </c>
      <c r="AK983" s="27">
        <v>0</v>
      </c>
      <c r="AL983" s="27">
        <f t="shared" si="94"/>
        <v>0</v>
      </c>
      <c r="AM983" s="40">
        <v>0</v>
      </c>
      <c r="AN983" s="27">
        <v>0</v>
      </c>
      <c r="AO983" s="27">
        <f t="shared" si="95"/>
        <v>0</v>
      </c>
      <c r="AP983" s="7" t="b">
        <v>1</v>
      </c>
      <c r="AQ983" s="7" t="b">
        <v>1</v>
      </c>
      <c r="AR983" s="6" t="b">
        <v>0</v>
      </c>
      <c r="AS983" s="6" t="b">
        <v>0</v>
      </c>
      <c r="AT983" s="7" t="b">
        <v>1</v>
      </c>
      <c r="AU983" s="6" t="b">
        <v>0</v>
      </c>
      <c r="AV983" s="6" t="b">
        <v>0</v>
      </c>
      <c r="AW983" s="6" t="b">
        <v>0</v>
      </c>
      <c r="AX983" s="6" t="b">
        <v>0</v>
      </c>
      <c r="AY983" s="6" t="b">
        <v>0</v>
      </c>
      <c r="AZ983" s="6" t="b">
        <v>0</v>
      </c>
      <c r="BA983" s="6" t="b">
        <v>0</v>
      </c>
      <c r="BB983" s="6" t="b">
        <v>0</v>
      </c>
    </row>
    <row r="984" spans="1:54" ht="15" x14ac:dyDescent="0.25">
      <c r="A984" s="3" t="s">
        <v>2028</v>
      </c>
      <c r="B984" s="3" t="str">
        <f ca="1">IFERROR(__xludf.DUMMYFUNCTION("SPLIT(A984,""/"")"),"SpiderClub")</f>
        <v>SpiderClub</v>
      </c>
      <c r="C984" s="3" t="str">
        <f ca="1">IFERROR(__xludf.DUMMYFUNCTION("""COMPUTED_VALUE"""),"weibospider")</f>
        <v>weibospider</v>
      </c>
      <c r="D984" s="4" t="s">
        <v>2029</v>
      </c>
      <c r="E984" s="5">
        <v>42548.293124999997</v>
      </c>
      <c r="F984" s="5">
        <v>44293.949178240742</v>
      </c>
      <c r="G984" s="13">
        <f t="shared" si="90"/>
        <v>1745.6560532407457</v>
      </c>
      <c r="H984" s="6" t="b">
        <v>0</v>
      </c>
      <c r="I984" s="7" t="b">
        <v>1</v>
      </c>
      <c r="J984" s="8">
        <v>4607</v>
      </c>
      <c r="K984" s="8">
        <v>299</v>
      </c>
      <c r="L984" s="8">
        <v>1191</v>
      </c>
      <c r="M984" s="8">
        <v>0</v>
      </c>
      <c r="N984" s="8">
        <v>3</v>
      </c>
      <c r="O984" s="8">
        <v>13</v>
      </c>
      <c r="P984" s="8">
        <v>60</v>
      </c>
      <c r="Q984" s="8">
        <v>2</v>
      </c>
      <c r="R984" s="8">
        <v>156</v>
      </c>
      <c r="S984" s="8">
        <v>15</v>
      </c>
      <c r="T984" s="3" t="s">
        <v>72</v>
      </c>
      <c r="U984" s="10">
        <v>3360</v>
      </c>
      <c r="V984" s="32">
        <v>56</v>
      </c>
      <c r="W984" s="27">
        <v>1.6666666666666666E-2</v>
      </c>
      <c r="X984" s="34">
        <v>0</v>
      </c>
      <c r="Y984" s="27">
        <v>0</v>
      </c>
      <c r="Z984" s="27">
        <v>0</v>
      </c>
      <c r="AA984" s="35">
        <v>10</v>
      </c>
      <c r="AB984" s="27">
        <v>0.17857142857142858</v>
      </c>
      <c r="AC984" s="27">
        <f t="shared" si="91"/>
        <v>2.976190476190476E-3</v>
      </c>
      <c r="AD984" s="36">
        <v>12</v>
      </c>
      <c r="AE984" s="27">
        <v>0.21428571428571427</v>
      </c>
      <c r="AF984" s="27">
        <f t="shared" si="92"/>
        <v>3.5714285714285713E-3</v>
      </c>
      <c r="AG984" s="37">
        <v>30</v>
      </c>
      <c r="AH984" s="27">
        <v>0.5357142857142857</v>
      </c>
      <c r="AI984" s="27">
        <f t="shared" si="93"/>
        <v>8.9285714285714281E-3</v>
      </c>
      <c r="AJ984" s="38">
        <v>0</v>
      </c>
      <c r="AK984" s="27">
        <v>0</v>
      </c>
      <c r="AL984" s="27">
        <f t="shared" si="94"/>
        <v>0</v>
      </c>
      <c r="AM984" s="40">
        <v>0</v>
      </c>
      <c r="AN984" s="27">
        <v>0</v>
      </c>
      <c r="AO984" s="27">
        <f t="shared" si="95"/>
        <v>0</v>
      </c>
      <c r="AP984" s="7" t="b">
        <v>1</v>
      </c>
      <c r="AQ984" s="6" t="b">
        <v>0</v>
      </c>
      <c r="AR984" s="6" t="b">
        <v>0</v>
      </c>
      <c r="AS984" s="6" t="b">
        <v>0</v>
      </c>
      <c r="AT984" s="7" t="b">
        <v>1</v>
      </c>
      <c r="AU984" s="6" t="b">
        <v>0</v>
      </c>
      <c r="AV984" s="6" t="b">
        <v>0</v>
      </c>
      <c r="AW984" s="6" t="b">
        <v>0</v>
      </c>
      <c r="AX984" s="6" t="b">
        <v>0</v>
      </c>
      <c r="AY984" s="6" t="b">
        <v>0</v>
      </c>
      <c r="AZ984" s="6" t="b">
        <v>0</v>
      </c>
      <c r="BA984" s="6" t="b">
        <v>0</v>
      </c>
      <c r="BB984" s="6" t="b">
        <v>0</v>
      </c>
    </row>
    <row r="985" spans="1:54" ht="15" x14ac:dyDescent="0.25">
      <c r="A985" s="3" t="s">
        <v>2030</v>
      </c>
      <c r="B985" s="3" t="str">
        <f ca="1">IFERROR(__xludf.DUMMYFUNCTION("SPLIT(A985,""/"")"),"spiral-project")</f>
        <v>spiral-project</v>
      </c>
      <c r="C985" s="3" t="str">
        <f ca="1">IFERROR(__xludf.DUMMYFUNCTION("""COMPUTED_VALUE"""),"ihatemoney")</f>
        <v>ihatemoney</v>
      </c>
      <c r="D985" s="4" t="s">
        <v>2031</v>
      </c>
      <c r="E985" s="5">
        <v>40612.109965277778</v>
      </c>
      <c r="F985" s="5">
        <v>44293.562222222223</v>
      </c>
      <c r="G985" s="13">
        <f t="shared" si="90"/>
        <v>3681.4522569444453</v>
      </c>
      <c r="H985" s="6" t="b">
        <v>0</v>
      </c>
      <c r="I985" s="7" t="b">
        <v>1</v>
      </c>
      <c r="J985" s="8">
        <v>507</v>
      </c>
      <c r="K985" s="8">
        <v>22</v>
      </c>
      <c r="L985" s="8">
        <v>158</v>
      </c>
      <c r="M985" s="8">
        <v>3</v>
      </c>
      <c r="N985" s="8">
        <v>44</v>
      </c>
      <c r="O985" s="8">
        <v>87</v>
      </c>
      <c r="P985" s="8">
        <v>412</v>
      </c>
      <c r="Q985" s="8">
        <v>10</v>
      </c>
      <c r="R985" s="8">
        <v>324</v>
      </c>
      <c r="S985" s="8">
        <v>42</v>
      </c>
      <c r="T985" s="3" t="s">
        <v>92</v>
      </c>
      <c r="U985" s="10">
        <v>3259</v>
      </c>
      <c r="V985" s="32">
        <v>5</v>
      </c>
      <c r="W985" s="27">
        <v>1.5342129487572874E-3</v>
      </c>
      <c r="X985" s="34">
        <v>0</v>
      </c>
      <c r="Y985" s="27">
        <v>0</v>
      </c>
      <c r="Z985" s="27">
        <v>0</v>
      </c>
      <c r="AA985" s="35">
        <v>1</v>
      </c>
      <c r="AB985" s="27">
        <v>0.2</v>
      </c>
      <c r="AC985" s="27">
        <f t="shared" si="91"/>
        <v>3.0684258975145751E-4</v>
      </c>
      <c r="AD985" s="36">
        <v>4</v>
      </c>
      <c r="AE985" s="27">
        <v>0.8</v>
      </c>
      <c r="AF985" s="27">
        <f t="shared" si="92"/>
        <v>1.22737035900583E-3</v>
      </c>
      <c r="AG985" s="37">
        <v>0</v>
      </c>
      <c r="AH985" s="27">
        <v>0</v>
      </c>
      <c r="AI985" s="27">
        <f t="shared" si="93"/>
        <v>0</v>
      </c>
      <c r="AJ985" s="38">
        <v>0</v>
      </c>
      <c r="AK985" s="27">
        <v>0</v>
      </c>
      <c r="AL985" s="27">
        <f t="shared" si="94"/>
        <v>0</v>
      </c>
      <c r="AM985" s="40">
        <v>0</v>
      </c>
      <c r="AN985" s="27">
        <v>0</v>
      </c>
      <c r="AO985" s="27">
        <f t="shared" si="95"/>
        <v>0</v>
      </c>
      <c r="AP985" s="7" t="b">
        <v>1</v>
      </c>
      <c r="AQ985" s="6" t="b">
        <v>0</v>
      </c>
      <c r="AR985" s="6" t="b">
        <v>0</v>
      </c>
      <c r="AS985" s="6" t="b">
        <v>0</v>
      </c>
      <c r="AT985" s="7" t="b">
        <v>1</v>
      </c>
      <c r="AU985" s="6" t="b">
        <v>0</v>
      </c>
      <c r="AV985" s="6" t="b">
        <v>0</v>
      </c>
      <c r="AW985" s="6" t="b">
        <v>0</v>
      </c>
      <c r="AX985" s="6" t="b">
        <v>0</v>
      </c>
      <c r="AY985" s="6" t="b">
        <v>0</v>
      </c>
      <c r="AZ985" s="6" t="b">
        <v>0</v>
      </c>
      <c r="BA985" s="6" t="b">
        <v>0</v>
      </c>
      <c r="BB985" s="6" t="b">
        <v>0</v>
      </c>
    </row>
    <row r="986" spans="1:54" ht="15" x14ac:dyDescent="0.25">
      <c r="A986" s="3" t="s">
        <v>2032</v>
      </c>
      <c r="B986" s="3" t="str">
        <f ca="1">IFERROR(__xludf.DUMMYFUNCTION("SPLIT(A986,""/"")"),"splunk")</f>
        <v>splunk</v>
      </c>
      <c r="C986" s="3" t="str">
        <f ca="1">IFERROR(__xludf.DUMMYFUNCTION("""COMPUTED_VALUE"""),"splunk-sdk-python")</f>
        <v>splunk-sdk-python</v>
      </c>
      <c r="D986" s="4" t="s">
        <v>2033</v>
      </c>
      <c r="E986" s="5">
        <v>40622.972291666665</v>
      </c>
      <c r="F986" s="5">
        <v>44282.142013888886</v>
      </c>
      <c r="G986" s="13">
        <f t="shared" si="90"/>
        <v>3659.169722222221</v>
      </c>
      <c r="H986" s="6" t="b">
        <v>0</v>
      </c>
      <c r="I986" s="7" t="b">
        <v>1</v>
      </c>
      <c r="J986" s="8">
        <v>522</v>
      </c>
      <c r="K986" s="8">
        <v>100</v>
      </c>
      <c r="L986" s="8">
        <v>297</v>
      </c>
      <c r="M986" s="8">
        <v>10</v>
      </c>
      <c r="N986" s="8">
        <v>132</v>
      </c>
      <c r="O986" s="8">
        <v>50</v>
      </c>
      <c r="P986" s="8">
        <v>203</v>
      </c>
      <c r="Q986" s="8">
        <v>32</v>
      </c>
      <c r="R986" s="8">
        <v>170</v>
      </c>
      <c r="S986" s="8">
        <v>43</v>
      </c>
      <c r="T986" s="3" t="s">
        <v>69</v>
      </c>
      <c r="U986" s="10">
        <v>16097</v>
      </c>
      <c r="V986" s="32">
        <v>73</v>
      </c>
      <c r="W986" s="27">
        <v>4.5350065229545879E-3</v>
      </c>
      <c r="X986" s="34">
        <v>43</v>
      </c>
      <c r="Y986" s="27">
        <v>0.58904109589041098</v>
      </c>
      <c r="Z986" s="27">
        <v>2.6713052121513326E-3</v>
      </c>
      <c r="AA986" s="35">
        <v>9</v>
      </c>
      <c r="AB986" s="27">
        <v>0.12328767123287671</v>
      </c>
      <c r="AC986" s="27">
        <f t="shared" si="91"/>
        <v>5.591103932409766E-4</v>
      </c>
      <c r="AD986" s="36">
        <v>5</v>
      </c>
      <c r="AE986" s="27">
        <v>6.8493150684931503E-2</v>
      </c>
      <c r="AF986" s="27">
        <f t="shared" si="92"/>
        <v>3.1061688513387586E-4</v>
      </c>
      <c r="AG986" s="37">
        <v>14</v>
      </c>
      <c r="AH986" s="27">
        <v>0.19178082191780821</v>
      </c>
      <c r="AI986" s="27">
        <f t="shared" si="93"/>
        <v>8.6972727837485251E-4</v>
      </c>
      <c r="AJ986" s="38">
        <v>2</v>
      </c>
      <c r="AK986" s="27">
        <v>2.7397260273972601E-2</v>
      </c>
      <c r="AL986" s="27">
        <f t="shared" si="94"/>
        <v>1.2424675405355034E-4</v>
      </c>
      <c r="AM986" s="40">
        <v>0</v>
      </c>
      <c r="AN986" s="27">
        <v>0</v>
      </c>
      <c r="AO986" s="27">
        <f t="shared" si="95"/>
        <v>0</v>
      </c>
      <c r="AP986" s="6" t="b">
        <v>0</v>
      </c>
      <c r="AQ986" s="7" t="b">
        <v>1</v>
      </c>
      <c r="AR986" s="6" t="b">
        <v>0</v>
      </c>
      <c r="AS986" s="6" t="b">
        <v>0</v>
      </c>
      <c r="AT986" s="7" t="b">
        <v>1</v>
      </c>
      <c r="AU986" s="6" t="b">
        <v>0</v>
      </c>
      <c r="AV986" s="6" t="b">
        <v>0</v>
      </c>
      <c r="AW986" s="6" t="b">
        <v>0</v>
      </c>
      <c r="AX986" s="6" t="b">
        <v>0</v>
      </c>
      <c r="AY986" s="6" t="b">
        <v>0</v>
      </c>
      <c r="AZ986" s="6" t="b">
        <v>0</v>
      </c>
      <c r="BA986" s="6" t="b">
        <v>0</v>
      </c>
      <c r="BB986" s="6" t="b">
        <v>0</v>
      </c>
    </row>
    <row r="987" spans="1:54" ht="15" x14ac:dyDescent="0.25">
      <c r="A987" s="3" t="s">
        <v>2034</v>
      </c>
      <c r="B987" s="3" t="str">
        <f ca="1">IFERROR(__xludf.DUMMYFUNCTION("SPLIT(A987,""/"")"),"spotify")</f>
        <v>spotify</v>
      </c>
      <c r="C987" s="3" t="str">
        <f ca="1">IFERROR(__xludf.DUMMYFUNCTION("""COMPUTED_VALUE"""),"dh-virtualenv")</f>
        <v>dh-virtualenv</v>
      </c>
      <c r="D987" s="4" t="s">
        <v>2035</v>
      </c>
      <c r="E987" s="5">
        <v>41556.794247685182</v>
      </c>
      <c r="F987" s="5">
        <v>44294.81962962963</v>
      </c>
      <c r="G987" s="13">
        <f t="shared" si="90"/>
        <v>2738.0253819444479</v>
      </c>
      <c r="H987" s="6" t="b">
        <v>0</v>
      </c>
      <c r="I987" s="7" t="b">
        <v>1</v>
      </c>
      <c r="J987" s="8">
        <v>1435</v>
      </c>
      <c r="K987" s="8">
        <v>41</v>
      </c>
      <c r="L987" s="8">
        <v>157</v>
      </c>
      <c r="M987" s="8">
        <v>0</v>
      </c>
      <c r="N987" s="8">
        <v>4</v>
      </c>
      <c r="O987" s="8">
        <v>46</v>
      </c>
      <c r="P987" s="8">
        <v>143</v>
      </c>
      <c r="Q987" s="8">
        <v>4</v>
      </c>
      <c r="R987" s="8">
        <v>180</v>
      </c>
      <c r="S987" s="8">
        <v>24</v>
      </c>
      <c r="T987" s="3" t="s">
        <v>64</v>
      </c>
      <c r="U987" s="10">
        <v>974</v>
      </c>
      <c r="V987" s="32">
        <v>5</v>
      </c>
      <c r="W987" s="27">
        <v>5.1334702258726897E-3</v>
      </c>
      <c r="X987" s="34">
        <v>2</v>
      </c>
      <c r="Y987" s="27">
        <v>0.4</v>
      </c>
      <c r="Z987" s="27">
        <v>2.0533880903490761E-3</v>
      </c>
      <c r="AA987" s="35">
        <v>0</v>
      </c>
      <c r="AB987" s="27">
        <v>0</v>
      </c>
      <c r="AC987" s="27">
        <f t="shared" si="91"/>
        <v>0</v>
      </c>
      <c r="AD987" s="36">
        <v>2</v>
      </c>
      <c r="AE987" s="27">
        <v>0.4</v>
      </c>
      <c r="AF987" s="27">
        <f t="shared" si="92"/>
        <v>2.0533880903490761E-3</v>
      </c>
      <c r="AG987" s="37">
        <v>1</v>
      </c>
      <c r="AH987" s="27">
        <v>0.2</v>
      </c>
      <c r="AI987" s="27">
        <f t="shared" si="93"/>
        <v>1.026694045174538E-3</v>
      </c>
      <c r="AJ987" s="38">
        <v>0</v>
      </c>
      <c r="AK987" s="27">
        <v>0</v>
      </c>
      <c r="AL987" s="27">
        <f t="shared" si="94"/>
        <v>0</v>
      </c>
      <c r="AM987" s="40">
        <v>0</v>
      </c>
      <c r="AN987" s="27">
        <v>0</v>
      </c>
      <c r="AO987" s="27">
        <f t="shared" si="95"/>
        <v>0</v>
      </c>
      <c r="AP987" s="7" t="b">
        <v>1</v>
      </c>
      <c r="AQ987" s="6" t="b">
        <v>0</v>
      </c>
      <c r="AR987" s="6" t="b">
        <v>0</v>
      </c>
      <c r="AS987" s="6" t="b">
        <v>0</v>
      </c>
      <c r="AT987" s="7" t="b">
        <v>1</v>
      </c>
      <c r="AU987" s="6" t="b">
        <v>0</v>
      </c>
      <c r="AV987" s="6" t="b">
        <v>0</v>
      </c>
      <c r="AW987" s="6" t="b">
        <v>0</v>
      </c>
      <c r="AX987" s="6" t="b">
        <v>0</v>
      </c>
      <c r="AY987" s="6" t="b">
        <v>0</v>
      </c>
      <c r="AZ987" s="6" t="b">
        <v>0</v>
      </c>
      <c r="BA987" s="6" t="b">
        <v>0</v>
      </c>
      <c r="BB987" s="6" t="b">
        <v>0</v>
      </c>
    </row>
    <row r="988" spans="1:54" ht="15" x14ac:dyDescent="0.25">
      <c r="A988" s="3" t="s">
        <v>2036</v>
      </c>
      <c r="B988" s="3" t="str">
        <f ca="1">IFERROR(__xludf.DUMMYFUNCTION("SPLIT(A988,""/"")"),"spotify")</f>
        <v>spotify</v>
      </c>
      <c r="C988" s="3" t="str">
        <f ca="1">IFERROR(__xludf.DUMMYFUNCTION("""COMPUTED_VALUE"""),"klio")</f>
        <v>klio</v>
      </c>
      <c r="D988" s="4" t="s">
        <v>2037</v>
      </c>
      <c r="E988" s="5">
        <v>44050.918726851851</v>
      </c>
      <c r="F988" s="5">
        <v>44288.707604166666</v>
      </c>
      <c r="G988" s="13">
        <f t="shared" si="90"/>
        <v>237.78887731481518</v>
      </c>
      <c r="H988" s="6" t="b">
        <v>0</v>
      </c>
      <c r="I988" s="7" t="b">
        <v>1</v>
      </c>
      <c r="J988" s="8">
        <v>565</v>
      </c>
      <c r="K988" s="8">
        <v>23</v>
      </c>
      <c r="L988" s="8">
        <v>28</v>
      </c>
      <c r="M988" s="8">
        <v>0</v>
      </c>
      <c r="N988" s="8">
        <v>0</v>
      </c>
      <c r="O988" s="8">
        <v>8</v>
      </c>
      <c r="P988" s="8">
        <v>182</v>
      </c>
      <c r="Q988" s="8">
        <v>4</v>
      </c>
      <c r="R988" s="8">
        <v>6</v>
      </c>
      <c r="S988" s="8">
        <v>5</v>
      </c>
      <c r="T988" s="3" t="s">
        <v>69</v>
      </c>
      <c r="U988" s="10">
        <v>14446</v>
      </c>
      <c r="V988" s="32">
        <v>269</v>
      </c>
      <c r="W988" s="27">
        <v>1.8621071576907101E-2</v>
      </c>
      <c r="X988" s="34">
        <v>25</v>
      </c>
      <c r="Y988" s="27">
        <v>9.2936802973977689E-2</v>
      </c>
      <c r="Z988" s="27">
        <v>1.7305828603073514E-3</v>
      </c>
      <c r="AA988" s="35">
        <v>119</v>
      </c>
      <c r="AB988" s="27">
        <v>0.44237918215613381</v>
      </c>
      <c r="AC988" s="27">
        <f t="shared" si="91"/>
        <v>8.2375744150629936E-3</v>
      </c>
      <c r="AD988" s="36">
        <v>37</v>
      </c>
      <c r="AE988" s="27">
        <v>0.13754646840148699</v>
      </c>
      <c r="AF988" s="27">
        <f t="shared" si="92"/>
        <v>2.5612626332548803E-3</v>
      </c>
      <c r="AG988" s="37">
        <v>80</v>
      </c>
      <c r="AH988" s="27">
        <v>0.29739776951672864</v>
      </c>
      <c r="AI988" s="27">
        <f t="shared" si="93"/>
        <v>5.5378651529835246E-3</v>
      </c>
      <c r="AJ988" s="38">
        <v>0</v>
      </c>
      <c r="AK988" s="27">
        <v>0</v>
      </c>
      <c r="AL988" s="27">
        <f t="shared" si="94"/>
        <v>0</v>
      </c>
      <c r="AM988" s="40">
        <v>3</v>
      </c>
      <c r="AN988" s="27">
        <v>1.1152416356877323E-2</v>
      </c>
      <c r="AO988" s="27">
        <f t="shared" si="95"/>
        <v>2.0766994323688219E-4</v>
      </c>
      <c r="AP988" s="7" t="b">
        <v>1</v>
      </c>
      <c r="AQ988" s="6" t="b">
        <v>0</v>
      </c>
      <c r="AR988" s="6" t="b">
        <v>0</v>
      </c>
      <c r="AS988" s="6" t="b">
        <v>0</v>
      </c>
      <c r="AT988" s="7" t="b">
        <v>1</v>
      </c>
      <c r="AU988" s="6" t="b">
        <v>0</v>
      </c>
      <c r="AV988" s="6" t="b">
        <v>0</v>
      </c>
      <c r="AW988" s="6" t="b">
        <v>0</v>
      </c>
      <c r="AX988" s="6" t="b">
        <v>0</v>
      </c>
      <c r="AY988" s="6" t="b">
        <v>0</v>
      </c>
      <c r="AZ988" s="6" t="b">
        <v>0</v>
      </c>
      <c r="BA988" s="6" t="b">
        <v>0</v>
      </c>
      <c r="BB988" s="6" t="b">
        <v>0</v>
      </c>
    </row>
    <row r="989" spans="1:54" ht="15" x14ac:dyDescent="0.25">
      <c r="A989" s="3" t="s">
        <v>2038</v>
      </c>
      <c r="B989" s="3" t="str">
        <f ca="1">IFERROR(__xludf.DUMMYFUNCTION("SPLIT(A989,""/"")"),"spotify")</f>
        <v>spotify</v>
      </c>
      <c r="C989" s="3" t="str">
        <f ca="1">IFERROR(__xludf.DUMMYFUNCTION("""COMPUTED_VALUE"""),"snakebite")</f>
        <v>snakebite</v>
      </c>
      <c r="D989" s="4" t="s">
        <v>2039</v>
      </c>
      <c r="E989" s="5">
        <v>41401.405706018515</v>
      </c>
      <c r="F989" s="5">
        <v>44251.129027777781</v>
      </c>
      <c r="G989" s="13">
        <f t="shared" si="90"/>
        <v>2849.7233217592657</v>
      </c>
      <c r="H989" s="6" t="b">
        <v>0</v>
      </c>
      <c r="I989" s="7" t="b">
        <v>1</v>
      </c>
      <c r="J989" s="8">
        <v>828</v>
      </c>
      <c r="K989" s="8">
        <v>133</v>
      </c>
      <c r="L989" s="8">
        <v>200</v>
      </c>
      <c r="M989" s="8">
        <v>0</v>
      </c>
      <c r="N989" s="8">
        <v>0</v>
      </c>
      <c r="O989" s="8">
        <v>25</v>
      </c>
      <c r="P989" s="8">
        <v>126</v>
      </c>
      <c r="Q989" s="8">
        <v>11</v>
      </c>
      <c r="R989" s="8">
        <v>132</v>
      </c>
      <c r="S989" s="8">
        <v>59</v>
      </c>
      <c r="T989" s="3" t="s">
        <v>69</v>
      </c>
      <c r="U989" s="10">
        <v>5463</v>
      </c>
      <c r="V989" s="32">
        <v>51</v>
      </c>
      <c r="W989" s="27">
        <v>9.335529928610654E-3</v>
      </c>
      <c r="X989" s="34">
        <v>50</v>
      </c>
      <c r="Y989" s="27">
        <v>0.98039215686274506</v>
      </c>
      <c r="Z989" s="27">
        <v>9.1524803221673078E-3</v>
      </c>
      <c r="AA989" s="35">
        <v>0</v>
      </c>
      <c r="AB989" s="27">
        <v>0</v>
      </c>
      <c r="AC989" s="27">
        <f t="shared" si="91"/>
        <v>0</v>
      </c>
      <c r="AD989" s="36">
        <v>0</v>
      </c>
      <c r="AE989" s="27">
        <v>0</v>
      </c>
      <c r="AF989" s="27">
        <f t="shared" si="92"/>
        <v>0</v>
      </c>
      <c r="AG989" s="37">
        <v>1</v>
      </c>
      <c r="AH989" s="27">
        <v>1.9607843137254902E-2</v>
      </c>
      <c r="AI989" s="27">
        <f t="shared" si="93"/>
        <v>1.8304960644334616E-4</v>
      </c>
      <c r="AJ989" s="38">
        <v>0</v>
      </c>
      <c r="AK989" s="27">
        <v>0</v>
      </c>
      <c r="AL989" s="27">
        <f t="shared" si="94"/>
        <v>0</v>
      </c>
      <c r="AM989" s="40">
        <v>0</v>
      </c>
      <c r="AN989" s="27">
        <v>0</v>
      </c>
      <c r="AO989" s="27">
        <f t="shared" si="95"/>
        <v>0</v>
      </c>
      <c r="AP989" s="7" t="b">
        <v>1</v>
      </c>
      <c r="AQ989" s="6" t="b">
        <v>0</v>
      </c>
      <c r="AR989" s="6" t="b">
        <v>0</v>
      </c>
      <c r="AS989" s="6" t="b">
        <v>0</v>
      </c>
      <c r="AT989" s="7" t="b">
        <v>1</v>
      </c>
      <c r="AU989" s="6" t="b">
        <v>0</v>
      </c>
      <c r="AV989" s="6" t="b">
        <v>0</v>
      </c>
      <c r="AW989" s="6" t="b">
        <v>0</v>
      </c>
      <c r="AX989" s="6" t="b">
        <v>0</v>
      </c>
      <c r="AY989" s="6" t="b">
        <v>0</v>
      </c>
      <c r="AZ989" s="6" t="b">
        <v>0</v>
      </c>
      <c r="BA989" s="6" t="b">
        <v>0</v>
      </c>
      <c r="BB989" s="6" t="b">
        <v>0</v>
      </c>
    </row>
    <row r="990" spans="1:54" ht="15" x14ac:dyDescent="0.25">
      <c r="A990" s="3" t="s">
        <v>2040</v>
      </c>
      <c r="B990" s="3" t="str">
        <f ca="1">IFERROR(__xludf.DUMMYFUNCTION("SPLIT(A990,""/"")"),"spulec")</f>
        <v>spulec</v>
      </c>
      <c r="C990" s="3" t="str">
        <f ca="1">IFERROR(__xludf.DUMMYFUNCTION("""COMPUTED_VALUE"""),"moto")</f>
        <v>moto</v>
      </c>
      <c r="D990" s="4" t="s">
        <v>2041</v>
      </c>
      <c r="E990" s="5">
        <v>41323.882627314815</v>
      </c>
      <c r="F990" s="5">
        <v>44295.018206018518</v>
      </c>
      <c r="G990" s="13">
        <f t="shared" si="90"/>
        <v>2971.1355787037028</v>
      </c>
      <c r="H990" s="6" t="b">
        <v>0</v>
      </c>
      <c r="I990" s="6" t="b">
        <v>0</v>
      </c>
      <c r="J990" s="8">
        <v>4525</v>
      </c>
      <c r="K990" s="8">
        <v>64</v>
      </c>
      <c r="L990" s="8">
        <v>1322</v>
      </c>
      <c r="M990" s="8">
        <v>0</v>
      </c>
      <c r="N990" s="8">
        <v>35</v>
      </c>
      <c r="O990" s="8">
        <v>620</v>
      </c>
      <c r="P990" s="8">
        <v>2189</v>
      </c>
      <c r="Q990" s="8">
        <v>81</v>
      </c>
      <c r="R990" s="8">
        <v>1653</v>
      </c>
      <c r="S990" s="8">
        <v>230</v>
      </c>
      <c r="T990" s="3" t="s">
        <v>69</v>
      </c>
      <c r="U990" s="10">
        <v>108436</v>
      </c>
      <c r="V990" s="32">
        <v>18</v>
      </c>
      <c r="W990" s="27">
        <v>1.6599653251687631E-4</v>
      </c>
      <c r="X990" s="34">
        <v>9</v>
      </c>
      <c r="Y990" s="27">
        <v>0.5</v>
      </c>
      <c r="Z990" s="27">
        <v>8.2998266258438156E-5</v>
      </c>
      <c r="AA990" s="35">
        <v>0</v>
      </c>
      <c r="AB990" s="27">
        <v>0</v>
      </c>
      <c r="AC990" s="27">
        <f t="shared" si="91"/>
        <v>0</v>
      </c>
      <c r="AD990" s="36">
        <v>7</v>
      </c>
      <c r="AE990" s="27">
        <v>0.3888888888888889</v>
      </c>
      <c r="AF990" s="27">
        <f t="shared" si="92"/>
        <v>6.4554207089896344E-5</v>
      </c>
      <c r="AG990" s="37">
        <v>2</v>
      </c>
      <c r="AH990" s="27">
        <v>0.1111111111111111</v>
      </c>
      <c r="AI990" s="27">
        <f t="shared" si="93"/>
        <v>1.8444059168541813E-5</v>
      </c>
      <c r="AJ990" s="38">
        <v>0</v>
      </c>
      <c r="AK990" s="27">
        <v>0</v>
      </c>
      <c r="AL990" s="27">
        <f t="shared" si="94"/>
        <v>0</v>
      </c>
      <c r="AM990" s="40">
        <v>0</v>
      </c>
      <c r="AN990" s="27">
        <v>0</v>
      </c>
      <c r="AO990" s="27">
        <f t="shared" si="95"/>
        <v>0</v>
      </c>
      <c r="AP990" s="7" t="b">
        <v>1</v>
      </c>
      <c r="AQ990" s="6" t="b">
        <v>0</v>
      </c>
      <c r="AR990" s="6" t="b">
        <v>0</v>
      </c>
      <c r="AS990" s="6" t="b">
        <v>0</v>
      </c>
      <c r="AT990" s="7" t="b">
        <v>1</v>
      </c>
      <c r="AU990" s="6" t="b">
        <v>0</v>
      </c>
      <c r="AV990" s="6" t="b">
        <v>0</v>
      </c>
      <c r="AW990" s="6" t="b">
        <v>0</v>
      </c>
      <c r="AX990" s="6" t="b">
        <v>0</v>
      </c>
      <c r="AY990" s="6" t="b">
        <v>0</v>
      </c>
      <c r="AZ990" s="6" t="b">
        <v>0</v>
      </c>
      <c r="BA990" s="6" t="b">
        <v>0</v>
      </c>
      <c r="BB990" s="6" t="b">
        <v>0</v>
      </c>
    </row>
    <row r="991" spans="1:54" ht="15" x14ac:dyDescent="0.25">
      <c r="A991" s="3" t="s">
        <v>2042</v>
      </c>
      <c r="B991" s="3" t="str">
        <f ca="1">IFERROR(__xludf.DUMMYFUNCTION("SPLIT(A991,""/"")"),"sql-machine-learning")</f>
        <v>sql-machine-learning</v>
      </c>
      <c r="C991" s="3" t="str">
        <f ca="1">IFERROR(__xludf.DUMMYFUNCTION("""COMPUTED_VALUE"""),"elasticdl")</f>
        <v>elasticdl</v>
      </c>
      <c r="D991" s="4" t="s">
        <v>2043</v>
      </c>
      <c r="E991" s="5">
        <v>43395.995254629626</v>
      </c>
      <c r="F991" s="5">
        <v>44293.404039351852</v>
      </c>
      <c r="G991" s="13">
        <f t="shared" si="90"/>
        <v>897.40878472222539</v>
      </c>
      <c r="H991" s="6" t="b">
        <v>0</v>
      </c>
      <c r="I991" s="7" t="b">
        <v>1</v>
      </c>
      <c r="J991" s="8">
        <v>609</v>
      </c>
      <c r="K991" s="8">
        <v>45</v>
      </c>
      <c r="L991" s="8">
        <v>98</v>
      </c>
      <c r="M991" s="8">
        <v>2</v>
      </c>
      <c r="N991" s="8">
        <v>5</v>
      </c>
      <c r="O991" s="8">
        <v>22</v>
      </c>
      <c r="P991" s="8">
        <v>1697</v>
      </c>
      <c r="Q991" s="8">
        <v>1</v>
      </c>
      <c r="R991" s="8">
        <v>819</v>
      </c>
      <c r="S991" s="8">
        <v>91</v>
      </c>
      <c r="T991" s="3" t="s">
        <v>72</v>
      </c>
      <c r="U991" s="10">
        <v>13355</v>
      </c>
      <c r="V991" s="32">
        <v>143</v>
      </c>
      <c r="W991" s="27">
        <v>1.0707600149756646E-2</v>
      </c>
      <c r="X991" s="34">
        <v>3</v>
      </c>
      <c r="Y991" s="27">
        <v>2.097902097902098E-2</v>
      </c>
      <c r="Z991" s="27">
        <v>2.2463496817671285E-4</v>
      </c>
      <c r="AA991" s="35">
        <v>86</v>
      </c>
      <c r="AB991" s="27">
        <v>0.60139860139860135</v>
      </c>
      <c r="AC991" s="27">
        <f t="shared" si="91"/>
        <v>6.4395357543991011E-3</v>
      </c>
      <c r="AD991" s="36">
        <v>38</v>
      </c>
      <c r="AE991" s="27">
        <v>0.26573426573426573</v>
      </c>
      <c r="AF991" s="27">
        <f t="shared" si="92"/>
        <v>2.8453762635716959E-3</v>
      </c>
      <c r="AG991" s="37">
        <v>15</v>
      </c>
      <c r="AH991" s="27">
        <v>0.1048951048951049</v>
      </c>
      <c r="AI991" s="27">
        <f t="shared" si="93"/>
        <v>1.1231748408835642E-3</v>
      </c>
      <c r="AJ991" s="38">
        <v>0</v>
      </c>
      <c r="AK991" s="27">
        <v>0</v>
      </c>
      <c r="AL991" s="27">
        <f t="shared" si="94"/>
        <v>0</v>
      </c>
      <c r="AM991" s="40">
        <v>0</v>
      </c>
      <c r="AN991" s="27">
        <v>0</v>
      </c>
      <c r="AO991" s="27">
        <f t="shared" si="95"/>
        <v>0</v>
      </c>
      <c r="AP991" s="7" t="b">
        <v>1</v>
      </c>
      <c r="AQ991" s="6" t="b">
        <v>0</v>
      </c>
      <c r="AR991" s="6" t="b">
        <v>0</v>
      </c>
      <c r="AS991" s="6" t="b">
        <v>0</v>
      </c>
      <c r="AT991" s="7" t="b">
        <v>1</v>
      </c>
      <c r="AU991" s="6" t="b">
        <v>0</v>
      </c>
      <c r="AV991" s="6" t="b">
        <v>0</v>
      </c>
      <c r="AW991" s="6" t="b">
        <v>0</v>
      </c>
      <c r="AX991" s="6" t="b">
        <v>0</v>
      </c>
      <c r="AY991" s="6" t="b">
        <v>0</v>
      </c>
      <c r="AZ991" s="6" t="b">
        <v>0</v>
      </c>
      <c r="BA991" s="6" t="b">
        <v>0</v>
      </c>
      <c r="BB991" s="6" t="b">
        <v>0</v>
      </c>
    </row>
    <row r="992" spans="1:54" ht="15" x14ac:dyDescent="0.25">
      <c r="A992" s="3" t="s">
        <v>2044</v>
      </c>
      <c r="B992" s="3" t="str">
        <f ca="1">IFERROR(__xludf.DUMMYFUNCTION("SPLIT(A992,""/"")"),"Srinivas11789")</f>
        <v>Srinivas11789</v>
      </c>
      <c r="C992" s="3" t="str">
        <f ca="1">IFERROR(__xludf.DUMMYFUNCTION("""COMPUTED_VALUE"""),"PcapXray")</f>
        <v>PcapXray</v>
      </c>
      <c r="D992" s="4" t="s">
        <v>2045</v>
      </c>
      <c r="E992" s="5">
        <v>43010.199895833335</v>
      </c>
      <c r="F992" s="5">
        <v>44294.710995370369</v>
      </c>
      <c r="G992" s="13">
        <f t="shared" si="90"/>
        <v>1284.5110995370342</v>
      </c>
      <c r="H992" s="6" t="b">
        <v>0</v>
      </c>
      <c r="I992" s="6" t="b">
        <v>0</v>
      </c>
      <c r="J992" s="8">
        <v>1113</v>
      </c>
      <c r="K992" s="8">
        <v>70</v>
      </c>
      <c r="L992" s="8">
        <v>204</v>
      </c>
      <c r="M992" s="8">
        <v>15</v>
      </c>
      <c r="N992" s="8">
        <v>0</v>
      </c>
      <c r="O992" s="8">
        <v>2</v>
      </c>
      <c r="P992" s="8">
        <v>38</v>
      </c>
      <c r="Q992" s="8">
        <v>0</v>
      </c>
      <c r="R992" s="8">
        <v>19</v>
      </c>
      <c r="S992" s="8">
        <v>15</v>
      </c>
      <c r="T992" s="3" t="s">
        <v>64</v>
      </c>
      <c r="U992" s="10">
        <v>1947</v>
      </c>
      <c r="V992" s="32">
        <v>14</v>
      </c>
      <c r="W992" s="27">
        <v>7.1905495634309192E-3</v>
      </c>
      <c r="X992" s="34">
        <v>5</v>
      </c>
      <c r="Y992" s="27">
        <v>0.35714285714285715</v>
      </c>
      <c r="Z992" s="27">
        <v>2.5680534155110425E-3</v>
      </c>
      <c r="AA992" s="35">
        <v>7</v>
      </c>
      <c r="AB992" s="27">
        <v>0.5</v>
      </c>
      <c r="AC992" s="27">
        <f t="shared" si="91"/>
        <v>3.5952747817154596E-3</v>
      </c>
      <c r="AD992" s="36">
        <v>0</v>
      </c>
      <c r="AE992" s="27">
        <v>0</v>
      </c>
      <c r="AF992" s="27">
        <f t="shared" si="92"/>
        <v>0</v>
      </c>
      <c r="AG992" s="37">
        <v>2</v>
      </c>
      <c r="AH992" s="27">
        <v>0.14285714285714285</v>
      </c>
      <c r="AI992" s="27">
        <f t="shared" si="93"/>
        <v>1.0272213662044171E-3</v>
      </c>
      <c r="AJ992" s="38">
        <v>0</v>
      </c>
      <c r="AK992" s="27">
        <v>0</v>
      </c>
      <c r="AL992" s="27">
        <f t="shared" si="94"/>
        <v>0</v>
      </c>
      <c r="AM992" s="40">
        <v>0</v>
      </c>
      <c r="AN992" s="27">
        <v>0</v>
      </c>
      <c r="AO992" s="27">
        <f t="shared" si="95"/>
        <v>0</v>
      </c>
      <c r="AP992" s="7" t="b">
        <v>1</v>
      </c>
      <c r="AQ992" s="6" t="b">
        <v>0</v>
      </c>
      <c r="AR992" s="6" t="b">
        <v>0</v>
      </c>
      <c r="AS992" s="6" t="b">
        <v>0</v>
      </c>
      <c r="AT992" s="7" t="b">
        <v>1</v>
      </c>
      <c r="AU992" s="6" t="b">
        <v>0</v>
      </c>
      <c r="AV992" s="6" t="b">
        <v>0</v>
      </c>
      <c r="AW992" s="6" t="b">
        <v>0</v>
      </c>
      <c r="AX992" s="6" t="b">
        <v>0</v>
      </c>
      <c r="AY992" s="6" t="b">
        <v>0</v>
      </c>
      <c r="AZ992" s="6" t="b">
        <v>0</v>
      </c>
      <c r="BA992" s="6" t="b">
        <v>0</v>
      </c>
      <c r="BB992" s="6" t="b">
        <v>0</v>
      </c>
    </row>
    <row r="993" spans="1:54" ht="15" x14ac:dyDescent="0.25">
      <c r="A993" s="3" t="s">
        <v>2046</v>
      </c>
      <c r="B993" s="3" t="str">
        <f ca="1">IFERROR(__xludf.DUMMYFUNCTION("SPLIT(A993,""/"")"),"st4lk")</f>
        <v>st4lk</v>
      </c>
      <c r="C993" s="3" t="str">
        <f ca="1">IFERROR(__xludf.DUMMYFUNCTION("""COMPUTED_VALUE"""),"django-rest-social-auth")</f>
        <v>django-rest-social-auth</v>
      </c>
      <c r="D993" s="4" t="s">
        <v>2047</v>
      </c>
      <c r="E993" s="5">
        <v>42150.606168981481</v>
      </c>
      <c r="F993" s="5">
        <v>44294.744027777779</v>
      </c>
      <c r="G993" s="13">
        <f t="shared" si="90"/>
        <v>2144.1378587962972</v>
      </c>
      <c r="H993" s="6" t="b">
        <v>0</v>
      </c>
      <c r="I993" s="6" t="b">
        <v>0</v>
      </c>
      <c r="J993" s="8">
        <v>402</v>
      </c>
      <c r="K993" s="8">
        <v>15</v>
      </c>
      <c r="L993" s="8">
        <v>110</v>
      </c>
      <c r="M993" s="8">
        <v>10</v>
      </c>
      <c r="N993" s="8">
        <v>0</v>
      </c>
      <c r="O993" s="8">
        <v>22</v>
      </c>
      <c r="P993" s="8">
        <v>52</v>
      </c>
      <c r="Q993" s="8">
        <v>2</v>
      </c>
      <c r="R993" s="8">
        <v>94</v>
      </c>
      <c r="S993" s="8">
        <v>32</v>
      </c>
      <c r="T993" s="3" t="s">
        <v>72</v>
      </c>
      <c r="U993" s="10">
        <v>767</v>
      </c>
      <c r="V993" s="32">
        <v>8</v>
      </c>
      <c r="W993" s="27">
        <v>1.0430247718383311E-2</v>
      </c>
      <c r="X993" s="34">
        <v>0</v>
      </c>
      <c r="Y993" s="27">
        <v>0</v>
      </c>
      <c r="Z993" s="27">
        <v>0</v>
      </c>
      <c r="AA993" s="35">
        <v>0</v>
      </c>
      <c r="AB993" s="27">
        <v>0</v>
      </c>
      <c r="AC993" s="27">
        <f t="shared" si="91"/>
        <v>0</v>
      </c>
      <c r="AD993" s="36">
        <v>4</v>
      </c>
      <c r="AE993" s="27">
        <v>0.5</v>
      </c>
      <c r="AF993" s="27">
        <f t="shared" si="92"/>
        <v>5.2151238591916557E-3</v>
      </c>
      <c r="AG993" s="37">
        <v>4</v>
      </c>
      <c r="AH993" s="27">
        <v>0.5</v>
      </c>
      <c r="AI993" s="27">
        <f t="shared" si="93"/>
        <v>5.2151238591916557E-3</v>
      </c>
      <c r="AJ993" s="38">
        <v>0</v>
      </c>
      <c r="AK993" s="27">
        <v>0</v>
      </c>
      <c r="AL993" s="27">
        <f t="shared" si="94"/>
        <v>0</v>
      </c>
      <c r="AM993" s="40">
        <v>0</v>
      </c>
      <c r="AN993" s="27">
        <v>0</v>
      </c>
      <c r="AO993" s="27">
        <f t="shared" si="95"/>
        <v>0</v>
      </c>
      <c r="AP993" s="7" t="b">
        <v>1</v>
      </c>
      <c r="AQ993" s="6" t="b">
        <v>0</v>
      </c>
      <c r="AR993" s="6" t="b">
        <v>0</v>
      </c>
      <c r="AS993" s="6" t="b">
        <v>0</v>
      </c>
      <c r="AT993" s="7" t="b">
        <v>1</v>
      </c>
      <c r="AU993" s="6" t="b">
        <v>0</v>
      </c>
      <c r="AV993" s="6" t="b">
        <v>0</v>
      </c>
      <c r="AW993" s="6" t="b">
        <v>0</v>
      </c>
      <c r="AX993" s="6" t="b">
        <v>0</v>
      </c>
      <c r="AY993" s="6" t="b">
        <v>0</v>
      </c>
      <c r="AZ993" s="6" t="b">
        <v>0</v>
      </c>
      <c r="BA993" s="6" t="b">
        <v>0</v>
      </c>
      <c r="BB993" s="6" t="b">
        <v>0</v>
      </c>
    </row>
    <row r="994" spans="1:54" ht="15" x14ac:dyDescent="0.25">
      <c r="A994" s="3" t="s">
        <v>2048</v>
      </c>
      <c r="B994" s="3" t="str">
        <f ca="1">IFERROR(__xludf.DUMMYFUNCTION("SPLIT(A994,""/"")"),"Staffjoy")</f>
        <v>Staffjoy</v>
      </c>
      <c r="C994" s="3" t="str">
        <f ca="1">IFERROR(__xludf.DUMMYFUNCTION("""COMPUTED_VALUE"""),"suite")</f>
        <v>suite</v>
      </c>
      <c r="D994" s="4" t="s">
        <v>2049</v>
      </c>
      <c r="E994" s="5">
        <v>42790.196018518516</v>
      </c>
      <c r="F994" s="5">
        <v>44260.53564814815</v>
      </c>
      <c r="G994" s="13">
        <f t="shared" si="90"/>
        <v>1470.3396296296341</v>
      </c>
      <c r="H994" s="6" t="b">
        <v>0</v>
      </c>
      <c r="I994" s="7" t="b">
        <v>1</v>
      </c>
      <c r="J994" s="8">
        <v>814</v>
      </c>
      <c r="K994" s="8">
        <v>39</v>
      </c>
      <c r="L994" s="8">
        <v>211</v>
      </c>
      <c r="M994" s="8">
        <v>0</v>
      </c>
      <c r="N994" s="8">
        <v>0</v>
      </c>
      <c r="O994" s="8">
        <v>2</v>
      </c>
      <c r="P994" s="8">
        <v>3</v>
      </c>
      <c r="Q994" s="8">
        <v>0</v>
      </c>
      <c r="R994" s="8">
        <v>10</v>
      </c>
      <c r="S994" s="8">
        <v>6</v>
      </c>
      <c r="T994" s="3" t="s">
        <v>92</v>
      </c>
      <c r="U994" s="10">
        <v>8999</v>
      </c>
      <c r="V994" s="32">
        <v>115</v>
      </c>
      <c r="W994" s="27">
        <v>1.2779197688632071E-2</v>
      </c>
      <c r="X994" s="34">
        <v>21</v>
      </c>
      <c r="Y994" s="27">
        <v>0.18260869565217391</v>
      </c>
      <c r="Z994" s="27">
        <v>2.3335926214023781E-3</v>
      </c>
      <c r="AA994" s="35">
        <v>57</v>
      </c>
      <c r="AB994" s="27">
        <v>0.4956521739130435</v>
      </c>
      <c r="AC994" s="27">
        <f t="shared" si="91"/>
        <v>6.3340371152350262E-3</v>
      </c>
      <c r="AD994" s="36">
        <v>11</v>
      </c>
      <c r="AE994" s="27">
        <v>9.5652173913043481E-2</v>
      </c>
      <c r="AF994" s="27">
        <f t="shared" si="92"/>
        <v>1.2223580397821979E-3</v>
      </c>
      <c r="AG994" s="37">
        <v>26</v>
      </c>
      <c r="AH994" s="27">
        <v>0.22608695652173913</v>
      </c>
      <c r="AI994" s="27">
        <f t="shared" si="93"/>
        <v>2.8892099122124681E-3</v>
      </c>
      <c r="AJ994" s="38">
        <v>0</v>
      </c>
      <c r="AK994" s="27">
        <v>0</v>
      </c>
      <c r="AL994" s="27">
        <f t="shared" si="94"/>
        <v>0</v>
      </c>
      <c r="AM994" s="40">
        <v>0</v>
      </c>
      <c r="AN994" s="27">
        <v>0</v>
      </c>
      <c r="AO994" s="27">
        <f t="shared" si="95"/>
        <v>0</v>
      </c>
      <c r="AP994" s="7" t="b">
        <v>1</v>
      </c>
      <c r="AQ994" s="7" t="b">
        <v>1</v>
      </c>
      <c r="AR994" s="6" t="b">
        <v>0</v>
      </c>
      <c r="AS994" s="6" t="b">
        <v>0</v>
      </c>
      <c r="AT994" s="7" t="b">
        <v>1</v>
      </c>
      <c r="AU994" s="6" t="b">
        <v>0</v>
      </c>
      <c r="AV994" s="6" t="b">
        <v>0</v>
      </c>
      <c r="AW994" s="6" t="b">
        <v>0</v>
      </c>
      <c r="AX994" s="6" t="b">
        <v>0</v>
      </c>
      <c r="AY994" s="6" t="b">
        <v>0</v>
      </c>
      <c r="AZ994" s="6" t="b">
        <v>0</v>
      </c>
      <c r="BA994" s="6" t="b">
        <v>0</v>
      </c>
      <c r="BB994" s="6" t="b">
        <v>0</v>
      </c>
    </row>
    <row r="995" spans="1:54" ht="15" x14ac:dyDescent="0.25">
      <c r="A995" s="3" t="s">
        <v>2050</v>
      </c>
      <c r="B995" s="3" t="str">
        <f ca="1">IFERROR(__xludf.DUMMYFUNCTION("SPLIT(A995,""/"")"),"stellargraph")</f>
        <v>stellargraph</v>
      </c>
      <c r="C995" s="3" t="str">
        <f ca="1">IFERROR(__xludf.DUMMYFUNCTION("""COMPUTED_VALUE"""),"stellargraph")</f>
        <v>stellargraph</v>
      </c>
      <c r="D995" s="4" t="s">
        <v>2051</v>
      </c>
      <c r="E995" s="5">
        <v>43203.316562499997</v>
      </c>
      <c r="F995" s="5">
        <v>44295.165914351855</v>
      </c>
      <c r="G995" s="13">
        <f t="shared" si="90"/>
        <v>1091.849351851859</v>
      </c>
      <c r="H995" s="6" t="b">
        <v>0</v>
      </c>
      <c r="I995" s="7" t="b">
        <v>1</v>
      </c>
      <c r="J995" s="8">
        <v>1836</v>
      </c>
      <c r="K995" s="8">
        <v>57</v>
      </c>
      <c r="L995" s="8">
        <v>261</v>
      </c>
      <c r="M995" s="8">
        <v>25</v>
      </c>
      <c r="N995" s="8">
        <v>8</v>
      </c>
      <c r="O995" s="8">
        <v>28</v>
      </c>
      <c r="P995" s="8">
        <v>913</v>
      </c>
      <c r="Q995" s="8">
        <v>23</v>
      </c>
      <c r="R995" s="8">
        <v>919</v>
      </c>
      <c r="S995" s="8">
        <v>209</v>
      </c>
      <c r="T995" s="3" t="s">
        <v>69</v>
      </c>
      <c r="U995" s="10">
        <v>19715</v>
      </c>
      <c r="V995" s="32">
        <v>59</v>
      </c>
      <c r="W995" s="27">
        <v>2.9926451940147096E-3</v>
      </c>
      <c r="X995" s="34">
        <v>0</v>
      </c>
      <c r="Y995" s="27">
        <v>0</v>
      </c>
      <c r="Z995" s="27">
        <v>0</v>
      </c>
      <c r="AA995" s="35">
        <v>12</v>
      </c>
      <c r="AB995" s="27">
        <v>0.20338983050847459</v>
      </c>
      <c r="AC995" s="27">
        <f t="shared" si="91"/>
        <v>6.0867359878265281E-4</v>
      </c>
      <c r="AD995" s="36">
        <v>53</v>
      </c>
      <c r="AE995" s="27">
        <v>0.89830508474576276</v>
      </c>
      <c r="AF995" s="27">
        <f t="shared" si="92"/>
        <v>2.6883083946233834E-3</v>
      </c>
      <c r="AG995" s="37">
        <v>0</v>
      </c>
      <c r="AH995" s="27">
        <v>0</v>
      </c>
      <c r="AI995" s="27">
        <f t="shared" si="93"/>
        <v>0</v>
      </c>
      <c r="AJ995" s="38">
        <v>0</v>
      </c>
      <c r="AK995" s="27">
        <v>0</v>
      </c>
      <c r="AL995" s="27">
        <f t="shared" si="94"/>
        <v>0</v>
      </c>
      <c r="AM995" s="40">
        <v>0</v>
      </c>
      <c r="AN995" s="27">
        <v>0</v>
      </c>
      <c r="AO995" s="27">
        <f t="shared" si="95"/>
        <v>0</v>
      </c>
      <c r="AP995" s="7" t="b">
        <v>1</v>
      </c>
      <c r="AQ995" s="7" t="b">
        <v>1</v>
      </c>
      <c r="AR995" s="6" t="b">
        <v>0</v>
      </c>
      <c r="AS995" s="6" t="b">
        <v>0</v>
      </c>
      <c r="AT995" s="7" t="b">
        <v>1</v>
      </c>
      <c r="AU995" s="6" t="b">
        <v>0</v>
      </c>
      <c r="AV995" s="6" t="b">
        <v>0</v>
      </c>
      <c r="AW995" s="6" t="b">
        <v>0</v>
      </c>
      <c r="AX995" s="6" t="b">
        <v>0</v>
      </c>
      <c r="AY995" s="6" t="b">
        <v>0</v>
      </c>
      <c r="AZ995" s="6" t="b">
        <v>0</v>
      </c>
      <c r="BA995" s="6" t="b">
        <v>0</v>
      </c>
      <c r="BB995" s="6" t="b">
        <v>0</v>
      </c>
    </row>
    <row r="996" spans="1:54" ht="15" x14ac:dyDescent="0.25">
      <c r="A996" s="3" t="s">
        <v>2052</v>
      </c>
      <c r="B996" s="3" t="str">
        <f ca="1">IFERROR(__xludf.DUMMYFUNCTION("SPLIT(A996,""/"")"),"stevenleeg")</f>
        <v>stevenleeg</v>
      </c>
      <c r="C996" s="3" t="str">
        <f ca="1">IFERROR(__xludf.DUMMYFUNCTION("""COMPUTED_VALUE"""),"geemusic")</f>
        <v>geemusic</v>
      </c>
      <c r="D996" s="4" t="s">
        <v>2053</v>
      </c>
      <c r="E996" s="5">
        <v>42734.677314814813</v>
      </c>
      <c r="F996" s="5">
        <v>44280.090543981481</v>
      </c>
      <c r="G996" s="13">
        <f t="shared" si="90"/>
        <v>1545.4132291666683</v>
      </c>
      <c r="H996" s="6" t="b">
        <v>0</v>
      </c>
      <c r="I996" s="6" t="b">
        <v>0</v>
      </c>
      <c r="J996" s="8">
        <v>674</v>
      </c>
      <c r="K996" s="8">
        <v>74</v>
      </c>
      <c r="L996" s="8">
        <v>182</v>
      </c>
      <c r="M996" s="8">
        <v>0</v>
      </c>
      <c r="N996" s="8">
        <v>5</v>
      </c>
      <c r="O996" s="8">
        <v>25</v>
      </c>
      <c r="P996" s="8">
        <v>115</v>
      </c>
      <c r="Q996" s="8">
        <v>7</v>
      </c>
      <c r="R996" s="8">
        <v>195</v>
      </c>
      <c r="S996" s="8">
        <v>35</v>
      </c>
      <c r="T996" s="3" t="s">
        <v>49</v>
      </c>
      <c r="U996" s="10">
        <v>1040</v>
      </c>
      <c r="V996" s="32">
        <v>18</v>
      </c>
      <c r="W996" s="27">
        <v>1.7307692307692309E-2</v>
      </c>
      <c r="X996" s="34">
        <v>12</v>
      </c>
      <c r="Y996" s="27">
        <v>0.66666666666666663</v>
      </c>
      <c r="Z996" s="27">
        <v>1.1538461538461539E-2</v>
      </c>
      <c r="AA996" s="35">
        <v>0</v>
      </c>
      <c r="AB996" s="27">
        <v>0</v>
      </c>
      <c r="AC996" s="27">
        <f t="shared" si="91"/>
        <v>0</v>
      </c>
      <c r="AD996" s="36">
        <v>0</v>
      </c>
      <c r="AE996" s="27">
        <v>0</v>
      </c>
      <c r="AF996" s="27">
        <f t="shared" si="92"/>
        <v>0</v>
      </c>
      <c r="AG996" s="37">
        <v>0</v>
      </c>
      <c r="AH996" s="27">
        <v>0</v>
      </c>
      <c r="AI996" s="27">
        <f t="shared" si="93"/>
        <v>0</v>
      </c>
      <c r="AJ996" s="38">
        <v>0</v>
      </c>
      <c r="AK996" s="27">
        <v>0</v>
      </c>
      <c r="AL996" s="27">
        <f t="shared" si="94"/>
        <v>0</v>
      </c>
      <c r="AM996" s="40">
        <v>6</v>
      </c>
      <c r="AN996" s="27">
        <v>0.33333333333333331</v>
      </c>
      <c r="AO996" s="27">
        <f t="shared" si="95"/>
        <v>5.7692307692307696E-3</v>
      </c>
      <c r="AP996" s="7" t="b">
        <v>1</v>
      </c>
      <c r="AQ996" s="6" t="b">
        <v>0</v>
      </c>
      <c r="AR996" s="6" t="b">
        <v>0</v>
      </c>
      <c r="AS996" s="6" t="b">
        <v>0</v>
      </c>
      <c r="AT996" s="7" t="b">
        <v>1</v>
      </c>
      <c r="AU996" s="6" t="b">
        <v>0</v>
      </c>
      <c r="AV996" s="6" t="b">
        <v>0</v>
      </c>
      <c r="AW996" s="6" t="b">
        <v>0</v>
      </c>
      <c r="AX996" s="6" t="b">
        <v>0</v>
      </c>
      <c r="AY996" s="6" t="b">
        <v>0</v>
      </c>
      <c r="AZ996" s="6" t="b">
        <v>0</v>
      </c>
      <c r="BA996" s="6" t="b">
        <v>0</v>
      </c>
      <c r="BB996" s="6" t="b">
        <v>0</v>
      </c>
    </row>
    <row r="997" spans="1:54" ht="15" x14ac:dyDescent="0.25">
      <c r="A997" s="3" t="s">
        <v>2054</v>
      </c>
      <c r="B997" s="3" t="str">
        <f ca="1">IFERROR(__xludf.DUMMYFUNCTION("SPLIT(A997,""/"")"),"streamlit")</f>
        <v>streamlit</v>
      </c>
      <c r="C997" s="3" t="str">
        <f ca="1">IFERROR(__xludf.DUMMYFUNCTION("""COMPUTED_VALUE"""),"streamlit")</f>
        <v>streamlit</v>
      </c>
      <c r="D997" s="4" t="s">
        <v>2055</v>
      </c>
      <c r="E997" s="5">
        <v>43701.010324074072</v>
      </c>
      <c r="F997" s="5">
        <v>44295.135925925926</v>
      </c>
      <c r="G997" s="13">
        <f t="shared" si="90"/>
        <v>594.1256018518543</v>
      </c>
      <c r="H997" s="6" t="b">
        <v>0</v>
      </c>
      <c r="I997" s="7" t="b">
        <v>1</v>
      </c>
      <c r="J997" s="8">
        <v>14090</v>
      </c>
      <c r="K997" s="8">
        <v>253</v>
      </c>
      <c r="L997" s="8">
        <v>1193</v>
      </c>
      <c r="M997" s="8">
        <v>10</v>
      </c>
      <c r="N997" s="8">
        <v>5</v>
      </c>
      <c r="O997" s="8">
        <v>92</v>
      </c>
      <c r="P997" s="8">
        <v>1431</v>
      </c>
      <c r="Q997" s="8">
        <v>11</v>
      </c>
      <c r="R997" s="8">
        <v>1662</v>
      </c>
      <c r="S997" s="8">
        <v>493</v>
      </c>
      <c r="T997" s="3" t="s">
        <v>69</v>
      </c>
      <c r="U997" s="10">
        <v>19339</v>
      </c>
      <c r="V997" s="32">
        <v>162</v>
      </c>
      <c r="W997" s="27">
        <v>8.3768550597238742E-3</v>
      </c>
      <c r="X997" s="34">
        <v>80</v>
      </c>
      <c r="Y997" s="27">
        <v>0.49382716049382713</v>
      </c>
      <c r="Z997" s="27">
        <v>4.1367185480117898E-3</v>
      </c>
      <c r="AA997" s="35">
        <v>7</v>
      </c>
      <c r="AB997" s="27">
        <v>4.3209876543209874E-2</v>
      </c>
      <c r="AC997" s="27">
        <f t="shared" si="91"/>
        <v>3.6196287295103157E-4</v>
      </c>
      <c r="AD997" s="36">
        <v>29</v>
      </c>
      <c r="AE997" s="27">
        <v>0.17901234567901234</v>
      </c>
      <c r="AF997" s="27">
        <f t="shared" si="92"/>
        <v>1.4995604736542738E-3</v>
      </c>
      <c r="AG997" s="37">
        <v>35</v>
      </c>
      <c r="AH997" s="27">
        <v>0.21604938271604937</v>
      </c>
      <c r="AI997" s="27">
        <f t="shared" si="93"/>
        <v>1.809814364755158E-3</v>
      </c>
      <c r="AJ997" s="38">
        <v>1</v>
      </c>
      <c r="AK997" s="27">
        <v>6.1728395061728392E-3</v>
      </c>
      <c r="AL997" s="27">
        <f t="shared" si="94"/>
        <v>5.1708981850147369E-5</v>
      </c>
      <c r="AM997" s="40">
        <v>0</v>
      </c>
      <c r="AN997" s="27">
        <v>0</v>
      </c>
      <c r="AO997" s="27">
        <f t="shared" si="95"/>
        <v>0</v>
      </c>
      <c r="AP997" s="7" t="b">
        <v>1</v>
      </c>
      <c r="AQ997" s="7" t="b">
        <v>1</v>
      </c>
      <c r="AR997" s="6" t="b">
        <v>0</v>
      </c>
      <c r="AS997" s="6" t="b">
        <v>0</v>
      </c>
      <c r="AT997" s="7" t="b">
        <v>1</v>
      </c>
      <c r="AU997" s="6" t="b">
        <v>0</v>
      </c>
      <c r="AV997" s="6" t="b">
        <v>0</v>
      </c>
      <c r="AW997" s="6" t="b">
        <v>0</v>
      </c>
      <c r="AX997" s="6" t="b">
        <v>0</v>
      </c>
      <c r="AY997" s="6" t="b">
        <v>0</v>
      </c>
      <c r="AZ997" s="6" t="b">
        <v>0</v>
      </c>
      <c r="BA997" s="6" t="b">
        <v>0</v>
      </c>
      <c r="BB997" s="6" t="b">
        <v>0</v>
      </c>
    </row>
    <row r="998" spans="1:54" ht="15" x14ac:dyDescent="0.25">
      <c r="A998" s="3" t="s">
        <v>2056</v>
      </c>
      <c r="B998" s="3" t="str">
        <f ca="1">IFERROR(__xludf.DUMMYFUNCTION("SPLIT(A998,""/"")"),"striver-ing")</f>
        <v>striver-ing</v>
      </c>
      <c r="C998" s="3" t="str">
        <f ca="1">IFERROR(__xludf.DUMMYFUNCTION("""COMPUTED_VALUE"""),"wechat-spider")</f>
        <v>wechat-spider</v>
      </c>
      <c r="D998" s="4" t="s">
        <v>2057</v>
      </c>
      <c r="E998" s="5">
        <v>43062.161979166667</v>
      </c>
      <c r="F998" s="5">
        <v>44295.102754629632</v>
      </c>
      <c r="G998" s="13">
        <f t="shared" si="90"/>
        <v>1232.9407754629647</v>
      </c>
      <c r="H998" s="6" t="b">
        <v>0</v>
      </c>
      <c r="I998" s="7" t="b">
        <v>1</v>
      </c>
      <c r="J998" s="8">
        <v>941</v>
      </c>
      <c r="K998" s="8">
        <v>49</v>
      </c>
      <c r="L998" s="8">
        <v>301</v>
      </c>
      <c r="M998" s="8">
        <v>0</v>
      </c>
      <c r="N998" s="8">
        <v>0</v>
      </c>
      <c r="O998" s="8">
        <v>4</v>
      </c>
      <c r="P998" s="8">
        <v>4</v>
      </c>
      <c r="Q998" s="8">
        <v>2</v>
      </c>
      <c r="R998" s="8">
        <v>39</v>
      </c>
      <c r="S998" s="8">
        <v>29</v>
      </c>
      <c r="T998" s="11" t="s">
        <v>52</v>
      </c>
      <c r="U998" s="10">
        <v>1198</v>
      </c>
      <c r="V998" s="32">
        <v>31</v>
      </c>
      <c r="W998" s="27">
        <v>2.5876460767946578E-2</v>
      </c>
      <c r="X998" s="34">
        <v>6</v>
      </c>
      <c r="Y998" s="27">
        <v>0.19354838709677419</v>
      </c>
      <c r="Z998" s="27">
        <v>5.008347245409015E-3</v>
      </c>
      <c r="AA998" s="35">
        <v>13</v>
      </c>
      <c r="AB998" s="27">
        <v>0.41935483870967744</v>
      </c>
      <c r="AC998" s="27">
        <f t="shared" si="91"/>
        <v>1.0851419031719533E-2</v>
      </c>
      <c r="AD998" s="36">
        <v>0</v>
      </c>
      <c r="AE998" s="27">
        <v>0</v>
      </c>
      <c r="AF998" s="27">
        <f t="shared" si="92"/>
        <v>0</v>
      </c>
      <c r="AG998" s="37">
        <v>8</v>
      </c>
      <c r="AH998" s="27">
        <v>0.25806451612903225</v>
      </c>
      <c r="AI998" s="27">
        <f t="shared" si="93"/>
        <v>6.6777963272120202E-3</v>
      </c>
      <c r="AJ998" s="38">
        <v>0</v>
      </c>
      <c r="AK998" s="27">
        <v>0</v>
      </c>
      <c r="AL998" s="27">
        <f t="shared" si="94"/>
        <v>0</v>
      </c>
      <c r="AM998" s="40">
        <v>0</v>
      </c>
      <c r="AN998" s="27">
        <v>0</v>
      </c>
      <c r="AO998" s="27">
        <f t="shared" si="95"/>
        <v>0</v>
      </c>
      <c r="AP998" s="7" t="b">
        <v>1</v>
      </c>
      <c r="AQ998" s="7" t="b">
        <v>1</v>
      </c>
      <c r="AR998" s="6" t="b">
        <v>0</v>
      </c>
      <c r="AS998" s="6" t="b">
        <v>0</v>
      </c>
      <c r="AT998" s="7" t="b">
        <v>1</v>
      </c>
      <c r="AU998" s="6" t="b">
        <v>0</v>
      </c>
      <c r="AV998" s="6" t="b">
        <v>0</v>
      </c>
      <c r="AW998" s="6" t="b">
        <v>0</v>
      </c>
      <c r="AX998" s="6" t="b">
        <v>0</v>
      </c>
      <c r="AY998" s="6" t="b">
        <v>0</v>
      </c>
      <c r="AZ998" s="6" t="b">
        <v>0</v>
      </c>
      <c r="BA998" s="6" t="b">
        <v>0</v>
      </c>
      <c r="BB998" s="6" t="b">
        <v>0</v>
      </c>
    </row>
    <row r="999" spans="1:54" ht="15" x14ac:dyDescent="0.25">
      <c r="A999" s="3" t="s">
        <v>2058</v>
      </c>
      <c r="B999" s="3" t="str">
        <f ca="1">IFERROR(__xludf.DUMMYFUNCTION("SPLIT(A999,""/"")"),"studioml")</f>
        <v>studioml</v>
      </c>
      <c r="C999" s="3" t="str">
        <f ca="1">IFERROR(__xludf.DUMMYFUNCTION("""COMPUTED_VALUE"""),"studio")</f>
        <v>studio</v>
      </c>
      <c r="D999" s="4" t="s">
        <v>2059</v>
      </c>
      <c r="E999" s="5">
        <v>42870.076018518521</v>
      </c>
      <c r="F999" s="5">
        <v>44282.007164351853</v>
      </c>
      <c r="G999" s="13">
        <f t="shared" si="90"/>
        <v>1411.9311458333323</v>
      </c>
      <c r="H999" s="6" t="b">
        <v>0</v>
      </c>
      <c r="I999" s="7" t="b">
        <v>1</v>
      </c>
      <c r="J999" s="8">
        <v>371</v>
      </c>
      <c r="K999" s="8">
        <v>25</v>
      </c>
      <c r="L999" s="8">
        <v>48</v>
      </c>
      <c r="M999" s="8">
        <v>4</v>
      </c>
      <c r="N999" s="8">
        <v>3</v>
      </c>
      <c r="O999" s="8">
        <v>12</v>
      </c>
      <c r="P999" s="8">
        <v>219</v>
      </c>
      <c r="Q999" s="8">
        <v>0</v>
      </c>
      <c r="R999" s="8">
        <v>248</v>
      </c>
      <c r="S999" s="8">
        <v>56</v>
      </c>
      <c r="T999" s="3" t="s">
        <v>69</v>
      </c>
      <c r="U999" s="10">
        <v>9211</v>
      </c>
      <c r="V999" s="32">
        <v>315</v>
      </c>
      <c r="W999" s="27">
        <v>3.4198241233308002E-2</v>
      </c>
      <c r="X999" s="34">
        <v>114</v>
      </c>
      <c r="Y999" s="27">
        <v>0.3619047619047619</v>
      </c>
      <c r="Z999" s="27">
        <v>1.2376506351101943E-2</v>
      </c>
      <c r="AA999" s="35">
        <v>123</v>
      </c>
      <c r="AB999" s="27">
        <v>0.39047619047619048</v>
      </c>
      <c r="AC999" s="27">
        <f t="shared" si="91"/>
        <v>1.3353598957767887E-2</v>
      </c>
      <c r="AD999" s="36">
        <v>32</v>
      </c>
      <c r="AE999" s="27">
        <v>0.10158730158730159</v>
      </c>
      <c r="AF999" s="27">
        <f t="shared" si="92"/>
        <v>3.4741070459233525E-3</v>
      </c>
      <c r="AG999" s="37">
        <v>33</v>
      </c>
      <c r="AH999" s="27">
        <v>0.10476190476190476</v>
      </c>
      <c r="AI999" s="27">
        <f t="shared" si="93"/>
        <v>3.5826728911084573E-3</v>
      </c>
      <c r="AJ999" s="38">
        <v>0</v>
      </c>
      <c r="AK999" s="27">
        <v>0</v>
      </c>
      <c r="AL999" s="27">
        <f t="shared" si="94"/>
        <v>0</v>
      </c>
      <c r="AM999" s="40">
        <v>0</v>
      </c>
      <c r="AN999" s="27">
        <v>0</v>
      </c>
      <c r="AO999" s="27">
        <f t="shared" si="95"/>
        <v>0</v>
      </c>
      <c r="AP999" s="7" t="b">
        <v>1</v>
      </c>
      <c r="AQ999" s="6" t="b">
        <v>0</v>
      </c>
      <c r="AR999" s="6" t="b">
        <v>0</v>
      </c>
      <c r="AS999" s="6" t="b">
        <v>0</v>
      </c>
      <c r="AT999" s="7" t="b">
        <v>1</v>
      </c>
      <c r="AU999" s="6" t="b">
        <v>0</v>
      </c>
      <c r="AV999" s="6" t="b">
        <v>0</v>
      </c>
      <c r="AW999" s="6" t="b">
        <v>0</v>
      </c>
      <c r="AX999" s="6" t="b">
        <v>0</v>
      </c>
      <c r="AY999" s="6" t="b">
        <v>0</v>
      </c>
      <c r="AZ999" s="6" t="b">
        <v>0</v>
      </c>
      <c r="BA999" s="6" t="b">
        <v>0</v>
      </c>
      <c r="BB999" s="6" t="b">
        <v>0</v>
      </c>
    </row>
    <row r="1000" spans="1:54" ht="15" x14ac:dyDescent="0.25">
      <c r="A1000" s="3" t="s">
        <v>2060</v>
      </c>
      <c r="B1000" s="3" t="str">
        <f ca="1">IFERROR(__xludf.DUMMYFUNCTION("SPLIT(A1000,""/"")"),"superdesk")</f>
        <v>superdesk</v>
      </c>
      <c r="C1000" s="3" t="str">
        <f ca="1">IFERROR(__xludf.DUMMYFUNCTION("""COMPUTED_VALUE"""),"superdesk")</f>
        <v>superdesk</v>
      </c>
      <c r="D1000" s="4" t="s">
        <v>2061</v>
      </c>
      <c r="E1000" s="5">
        <v>41884.330752314818</v>
      </c>
      <c r="F1000" s="5">
        <v>44294.786064814813</v>
      </c>
      <c r="G1000" s="13">
        <f t="shared" si="90"/>
        <v>2410.4553124999948</v>
      </c>
      <c r="H1000" s="6" t="b">
        <v>0</v>
      </c>
      <c r="I1000" s="7" t="b">
        <v>1</v>
      </c>
      <c r="J1000" s="8">
        <v>572</v>
      </c>
      <c r="K1000" s="8">
        <v>59</v>
      </c>
      <c r="L1000" s="8">
        <v>172</v>
      </c>
      <c r="M1000" s="8">
        <v>61</v>
      </c>
      <c r="N1000" s="8">
        <v>16</v>
      </c>
      <c r="O1000" s="8">
        <v>48</v>
      </c>
      <c r="P1000" s="8">
        <v>3125</v>
      </c>
      <c r="Q1000" s="8">
        <v>2</v>
      </c>
      <c r="R1000" s="8">
        <v>106</v>
      </c>
      <c r="S1000" s="8">
        <v>30</v>
      </c>
      <c r="T1000" s="3" t="s">
        <v>366</v>
      </c>
      <c r="U1000" s="10">
        <v>182</v>
      </c>
      <c r="V1000" s="32">
        <v>0</v>
      </c>
      <c r="W1000" s="27">
        <v>0</v>
      </c>
      <c r="X1000" s="34">
        <v>0</v>
      </c>
      <c r="Y1000" s="27">
        <v>0</v>
      </c>
      <c r="Z1000" s="27">
        <v>0</v>
      </c>
      <c r="AA1000" s="35">
        <v>0</v>
      </c>
      <c r="AB1000" s="27">
        <v>0</v>
      </c>
      <c r="AC1000" s="27">
        <f t="shared" si="91"/>
        <v>0</v>
      </c>
      <c r="AD1000" s="36">
        <v>0</v>
      </c>
      <c r="AE1000" s="27">
        <v>0</v>
      </c>
      <c r="AF1000" s="27">
        <f t="shared" si="92"/>
        <v>0</v>
      </c>
      <c r="AG1000" s="37">
        <v>0</v>
      </c>
      <c r="AH1000" s="27">
        <v>0</v>
      </c>
      <c r="AI1000" s="27">
        <f t="shared" si="93"/>
        <v>0</v>
      </c>
      <c r="AJ1000" s="38">
        <v>0</v>
      </c>
      <c r="AK1000" s="27">
        <v>0</v>
      </c>
      <c r="AL1000" s="27">
        <f t="shared" si="94"/>
        <v>0</v>
      </c>
      <c r="AM1000" s="40">
        <v>0</v>
      </c>
      <c r="AN1000" s="27">
        <v>0</v>
      </c>
      <c r="AO1000" s="27">
        <f t="shared" si="95"/>
        <v>0</v>
      </c>
      <c r="AP1000" s="7" t="b">
        <v>1</v>
      </c>
      <c r="AQ1000" s="7" t="b">
        <v>1</v>
      </c>
      <c r="AR1000" s="6" t="b">
        <v>0</v>
      </c>
      <c r="AS1000" s="6" t="b">
        <v>0</v>
      </c>
      <c r="AT1000" s="7" t="b">
        <v>1</v>
      </c>
      <c r="AU1000" s="6" t="b">
        <v>0</v>
      </c>
      <c r="AV1000" s="6" t="b">
        <v>0</v>
      </c>
      <c r="AW1000" s="6" t="b">
        <v>0</v>
      </c>
      <c r="AX1000" s="6" t="b">
        <v>0</v>
      </c>
      <c r="AY1000" s="6" t="b">
        <v>0</v>
      </c>
      <c r="AZ1000" s="6" t="b">
        <v>0</v>
      </c>
      <c r="BA1000" s="6" t="b">
        <v>0</v>
      </c>
      <c r="BB1000" s="6" t="b">
        <v>0</v>
      </c>
    </row>
    <row r="1001" spans="1:54" ht="15" x14ac:dyDescent="0.25">
      <c r="A1001" s="3" t="s">
        <v>2062</v>
      </c>
      <c r="B1001" s="3" t="str">
        <f ca="1">IFERROR(__xludf.DUMMYFUNCTION("SPLIT(A1001,""/"")"),"svanoort")</f>
        <v>svanoort</v>
      </c>
      <c r="C1001" s="3" t="str">
        <f ca="1">IFERROR(__xludf.DUMMYFUNCTION("""COMPUTED_VALUE"""),"pyresttest")</f>
        <v>pyresttest</v>
      </c>
      <c r="D1001" s="4" t="s">
        <v>2063</v>
      </c>
      <c r="E1001" s="5">
        <v>41760.986226851855</v>
      </c>
      <c r="F1001" s="5">
        <v>44288.711284722223</v>
      </c>
      <c r="G1001" s="13">
        <f t="shared" si="90"/>
        <v>2527.7250578703679</v>
      </c>
      <c r="H1001" s="6" t="b">
        <v>0</v>
      </c>
      <c r="I1001" s="6" t="b">
        <v>0</v>
      </c>
      <c r="J1001" s="8">
        <v>1063</v>
      </c>
      <c r="K1001" s="8">
        <v>86</v>
      </c>
      <c r="L1001" s="8">
        <v>307</v>
      </c>
      <c r="M1001" s="8">
        <v>3</v>
      </c>
      <c r="N1001" s="8">
        <v>2</v>
      </c>
      <c r="O1001" s="8">
        <v>14</v>
      </c>
      <c r="P1001" s="8">
        <v>93</v>
      </c>
      <c r="Q1001" s="8">
        <v>22</v>
      </c>
      <c r="R1001" s="8">
        <v>223</v>
      </c>
      <c r="S1001" s="8">
        <v>109</v>
      </c>
      <c r="T1001" s="3" t="s">
        <v>69</v>
      </c>
      <c r="U1001" s="10">
        <v>4468</v>
      </c>
      <c r="V1001" s="32">
        <v>21</v>
      </c>
      <c r="W1001" s="27">
        <v>4.7000895255147716E-3</v>
      </c>
      <c r="X1001" s="34">
        <v>10</v>
      </c>
      <c r="Y1001" s="27">
        <v>0.47619047619047616</v>
      </c>
      <c r="Z1001" s="27">
        <v>2.2381378692927483E-3</v>
      </c>
      <c r="AA1001" s="35">
        <v>7</v>
      </c>
      <c r="AB1001" s="27">
        <v>0.33333333333333331</v>
      </c>
      <c r="AC1001" s="27">
        <f t="shared" si="91"/>
        <v>1.5666965085049239E-3</v>
      </c>
      <c r="AD1001" s="36">
        <v>0</v>
      </c>
      <c r="AE1001" s="27">
        <v>0</v>
      </c>
      <c r="AF1001" s="27">
        <f t="shared" si="92"/>
        <v>0</v>
      </c>
      <c r="AG1001" s="37">
        <v>4</v>
      </c>
      <c r="AH1001" s="27">
        <v>0.19047619047619047</v>
      </c>
      <c r="AI1001" s="27">
        <f t="shared" si="93"/>
        <v>8.9525514771709937E-4</v>
      </c>
      <c r="AJ1001" s="38">
        <v>0</v>
      </c>
      <c r="AK1001" s="27">
        <v>0</v>
      </c>
      <c r="AL1001" s="27">
        <f t="shared" si="94"/>
        <v>0</v>
      </c>
      <c r="AM1001" s="40">
        <v>0</v>
      </c>
      <c r="AN1001" s="27">
        <v>0</v>
      </c>
      <c r="AO1001" s="27">
        <f t="shared" si="95"/>
        <v>0</v>
      </c>
      <c r="AP1001" s="7" t="b">
        <v>1</v>
      </c>
      <c r="AQ1001" s="6" t="b">
        <v>0</v>
      </c>
      <c r="AR1001" s="6" t="b">
        <v>0</v>
      </c>
      <c r="AS1001" s="6" t="b">
        <v>0</v>
      </c>
      <c r="AT1001" s="7" t="b">
        <v>1</v>
      </c>
      <c r="AU1001" s="6" t="b">
        <v>0</v>
      </c>
      <c r="AV1001" s="6" t="b">
        <v>0</v>
      </c>
      <c r="AW1001" s="6" t="b">
        <v>0</v>
      </c>
      <c r="AX1001" s="6" t="b">
        <v>0</v>
      </c>
      <c r="AY1001" s="6" t="b">
        <v>0</v>
      </c>
      <c r="AZ1001" s="6" t="b">
        <v>0</v>
      </c>
      <c r="BA1001" s="6" t="b">
        <v>0</v>
      </c>
      <c r="BB1001" s="6" t="b">
        <v>0</v>
      </c>
    </row>
    <row r="1002" spans="1:54" ht="15" x14ac:dyDescent="0.25">
      <c r="A1002" s="3" t="s">
        <v>2064</v>
      </c>
      <c r="B1002" s="3" t="str">
        <f ca="1">IFERROR(__xludf.DUMMYFUNCTION("SPLIT(A1002,""/"")"),"swisskyrepo")</f>
        <v>swisskyrepo</v>
      </c>
      <c r="C1002" s="3" t="str">
        <f ca="1">IFERROR(__xludf.DUMMYFUNCTION("""COMPUTED_VALUE"""),"SSRFmap")</f>
        <v>SSRFmap</v>
      </c>
      <c r="D1002" s="4" t="s">
        <v>2065</v>
      </c>
      <c r="E1002" s="5">
        <v>43388.797523148147</v>
      </c>
      <c r="F1002" s="5">
        <v>44294.552997685183</v>
      </c>
      <c r="G1002" s="13">
        <f t="shared" si="90"/>
        <v>905.75547453703621</v>
      </c>
      <c r="H1002" s="6" t="b">
        <v>0</v>
      </c>
      <c r="I1002" s="6" t="b">
        <v>0</v>
      </c>
      <c r="J1002" s="8">
        <v>1370</v>
      </c>
      <c r="K1002" s="8">
        <v>44</v>
      </c>
      <c r="L1002" s="8">
        <v>265</v>
      </c>
      <c r="M1002" s="8">
        <v>0</v>
      </c>
      <c r="N1002" s="8">
        <v>2</v>
      </c>
      <c r="O1002" s="8">
        <v>11</v>
      </c>
      <c r="P1002" s="8">
        <v>17</v>
      </c>
      <c r="Q1002" s="8">
        <v>0</v>
      </c>
      <c r="R1002" s="8">
        <v>16</v>
      </c>
      <c r="S1002" s="8">
        <v>10</v>
      </c>
      <c r="T1002" s="3" t="s">
        <v>72</v>
      </c>
      <c r="U1002" s="10">
        <v>1273</v>
      </c>
      <c r="V1002" s="32">
        <v>78</v>
      </c>
      <c r="W1002" s="27">
        <v>6.1272584446190104E-2</v>
      </c>
      <c r="X1002" s="34">
        <v>0</v>
      </c>
      <c r="Y1002" s="27">
        <v>0</v>
      </c>
      <c r="Z1002" s="27">
        <v>0</v>
      </c>
      <c r="AA1002" s="35">
        <v>70</v>
      </c>
      <c r="AB1002" s="27">
        <v>0.89743589743589747</v>
      </c>
      <c r="AC1002" s="27">
        <f t="shared" si="91"/>
        <v>5.4988216810683423E-2</v>
      </c>
      <c r="AD1002" s="36">
        <v>3</v>
      </c>
      <c r="AE1002" s="27">
        <v>3.8461538461538464E-2</v>
      </c>
      <c r="AF1002" s="27">
        <f t="shared" si="92"/>
        <v>2.3566378633150041E-3</v>
      </c>
      <c r="AG1002" s="37">
        <v>4</v>
      </c>
      <c r="AH1002" s="27">
        <v>5.128205128205128E-2</v>
      </c>
      <c r="AI1002" s="27">
        <f t="shared" si="93"/>
        <v>3.1421838177533388E-3</v>
      </c>
      <c r="AJ1002" s="38">
        <v>0</v>
      </c>
      <c r="AK1002" s="27">
        <v>0</v>
      </c>
      <c r="AL1002" s="27">
        <f t="shared" si="94"/>
        <v>0</v>
      </c>
      <c r="AM1002" s="40">
        <v>0</v>
      </c>
      <c r="AN1002" s="27">
        <v>0</v>
      </c>
      <c r="AO1002" s="27">
        <f t="shared" si="95"/>
        <v>0</v>
      </c>
      <c r="AP1002" s="7" t="b">
        <v>1</v>
      </c>
      <c r="AQ1002" s="6" t="b">
        <v>0</v>
      </c>
      <c r="AR1002" s="6" t="b">
        <v>0</v>
      </c>
      <c r="AS1002" s="6" t="b">
        <v>0</v>
      </c>
      <c r="AT1002" s="7" t="b">
        <v>1</v>
      </c>
      <c r="AU1002" s="6" t="b">
        <v>0</v>
      </c>
      <c r="AV1002" s="6" t="b">
        <v>0</v>
      </c>
      <c r="AW1002" s="6" t="b">
        <v>0</v>
      </c>
      <c r="AX1002" s="6" t="b">
        <v>0</v>
      </c>
      <c r="AY1002" s="6" t="b">
        <v>0</v>
      </c>
      <c r="AZ1002" s="6" t="b">
        <v>0</v>
      </c>
      <c r="BA1002" s="6" t="b">
        <v>0</v>
      </c>
      <c r="BB1002" s="6" t="b">
        <v>0</v>
      </c>
    </row>
    <row r="1003" spans="1:54" ht="15" x14ac:dyDescent="0.25">
      <c r="A1003" s="3" t="s">
        <v>2066</v>
      </c>
      <c r="B1003" s="3" t="str">
        <f ca="1">IFERROR(__xludf.DUMMYFUNCTION("SPLIT(A1003,""/"")"),"SymbiFlow")</f>
        <v>SymbiFlow</v>
      </c>
      <c r="C1003" s="3" t="str">
        <f ca="1">IFERROR(__xludf.DUMMYFUNCTION("""COMPUTED_VALUE"""),"prjxray")</f>
        <v>prjxray</v>
      </c>
      <c r="D1003" s="4" t="s">
        <v>2067</v>
      </c>
      <c r="E1003" s="5">
        <v>43085.011331018519</v>
      </c>
      <c r="F1003" s="5">
        <v>44292.843969907408</v>
      </c>
      <c r="G1003" s="13">
        <f t="shared" si="90"/>
        <v>1207.8326388888891</v>
      </c>
      <c r="H1003" s="6" t="b">
        <v>0</v>
      </c>
      <c r="I1003" s="7" t="b">
        <v>1</v>
      </c>
      <c r="J1003" s="8">
        <v>494</v>
      </c>
      <c r="K1003" s="8">
        <v>59</v>
      </c>
      <c r="L1003" s="8">
        <v>77</v>
      </c>
      <c r="M1003" s="8">
        <v>0</v>
      </c>
      <c r="N1003" s="8">
        <v>10</v>
      </c>
      <c r="O1003" s="8">
        <v>38</v>
      </c>
      <c r="P1003" s="8">
        <v>1223</v>
      </c>
      <c r="Q1003" s="8">
        <v>16</v>
      </c>
      <c r="R1003" s="8">
        <v>422</v>
      </c>
      <c r="S1003" s="8">
        <v>82</v>
      </c>
      <c r="T1003" s="3" t="s">
        <v>1405</v>
      </c>
      <c r="U1003" s="10">
        <v>22105</v>
      </c>
      <c r="V1003" s="32">
        <v>11</v>
      </c>
      <c r="W1003" s="27">
        <v>4.9762497172585387E-4</v>
      </c>
      <c r="X1003" s="34">
        <v>0</v>
      </c>
      <c r="Y1003" s="27">
        <v>0</v>
      </c>
      <c r="Z1003" s="27">
        <v>0</v>
      </c>
      <c r="AA1003" s="35">
        <v>0</v>
      </c>
      <c r="AB1003" s="27">
        <v>0</v>
      </c>
      <c r="AC1003" s="27">
        <f t="shared" si="91"/>
        <v>0</v>
      </c>
      <c r="AD1003" s="36">
        <v>2</v>
      </c>
      <c r="AE1003" s="27">
        <v>0.18181818181818182</v>
      </c>
      <c r="AF1003" s="27">
        <f t="shared" si="92"/>
        <v>9.0477267586518882E-5</v>
      </c>
      <c r="AG1003" s="37">
        <v>2</v>
      </c>
      <c r="AH1003" s="27">
        <v>0.18181818181818182</v>
      </c>
      <c r="AI1003" s="27">
        <f t="shared" si="93"/>
        <v>9.0477267586518882E-5</v>
      </c>
      <c r="AJ1003" s="38">
        <v>4</v>
      </c>
      <c r="AK1003" s="27">
        <v>0.36363636363636365</v>
      </c>
      <c r="AL1003" s="27">
        <f t="shared" si="94"/>
        <v>1.8095453517303776E-4</v>
      </c>
      <c r="AM1003" s="40">
        <v>3</v>
      </c>
      <c r="AN1003" s="27">
        <v>0.27272727272727271</v>
      </c>
      <c r="AO1003" s="27">
        <f t="shared" si="95"/>
        <v>1.3571590137977834E-4</v>
      </c>
      <c r="AP1003" s="7" t="b">
        <v>1</v>
      </c>
      <c r="AQ1003" s="6" t="b">
        <v>0</v>
      </c>
      <c r="AR1003" s="6" t="b">
        <v>0</v>
      </c>
      <c r="AS1003" s="6" t="b">
        <v>0</v>
      </c>
      <c r="AT1003" s="7" t="b">
        <v>1</v>
      </c>
      <c r="AU1003" s="6" t="b">
        <v>0</v>
      </c>
      <c r="AV1003" s="6" t="b">
        <v>0</v>
      </c>
      <c r="AW1003" s="6" t="b">
        <v>0</v>
      </c>
      <c r="AX1003" s="6" t="b">
        <v>0</v>
      </c>
      <c r="AY1003" s="6" t="b">
        <v>0</v>
      </c>
      <c r="AZ1003" s="6" t="b">
        <v>0</v>
      </c>
      <c r="BA1003" s="6" t="b">
        <v>0</v>
      </c>
      <c r="BB1003" s="6" t="b">
        <v>0</v>
      </c>
    </row>
    <row r="1004" spans="1:54" ht="15" x14ac:dyDescent="0.25">
      <c r="A1004" s="3" t="s">
        <v>2068</v>
      </c>
      <c r="B1004" s="3" t="str">
        <f ca="1">IFERROR(__xludf.DUMMYFUNCTION("SPLIT(A1004,""/"")"),"sympy")</f>
        <v>sympy</v>
      </c>
      <c r="C1004" s="3" t="str">
        <f ca="1">IFERROR(__xludf.DUMMYFUNCTION("""COMPUTED_VALUE"""),"sympy")</f>
        <v>sympy</v>
      </c>
      <c r="D1004" s="4" t="s">
        <v>2069</v>
      </c>
      <c r="E1004" s="5">
        <v>40298.859189814815</v>
      </c>
      <c r="F1004" s="5">
        <v>44295.157453703701</v>
      </c>
      <c r="G1004" s="13">
        <f t="shared" si="90"/>
        <v>3996.2982638888861</v>
      </c>
      <c r="H1004" s="6" t="b">
        <v>0</v>
      </c>
      <c r="I1004" s="7" t="b">
        <v>1</v>
      </c>
      <c r="J1004" s="8">
        <v>7983</v>
      </c>
      <c r="K1004" s="8">
        <v>294</v>
      </c>
      <c r="L1004" s="8">
        <v>3291</v>
      </c>
      <c r="M1004" s="8">
        <v>32</v>
      </c>
      <c r="N1004" s="8">
        <v>146</v>
      </c>
      <c r="O1004" s="8">
        <v>969</v>
      </c>
      <c r="P1004" s="8">
        <v>10316</v>
      </c>
      <c r="Q1004" s="8">
        <v>509</v>
      </c>
      <c r="R1004" s="8">
        <v>10840</v>
      </c>
      <c r="S1004" s="8">
        <v>3637</v>
      </c>
      <c r="T1004" s="3" t="s">
        <v>92</v>
      </c>
      <c r="U1004" s="10">
        <v>377040</v>
      </c>
      <c r="V1004" s="32">
        <v>71</v>
      </c>
      <c r="W1004" s="27">
        <v>1.8830893273923192E-4</v>
      </c>
      <c r="X1004" s="34">
        <v>4</v>
      </c>
      <c r="Y1004" s="27">
        <v>5.6338028169014086E-2</v>
      </c>
      <c r="Z1004" s="27">
        <v>1.0608953957139827E-5</v>
      </c>
      <c r="AA1004" s="35">
        <v>1</v>
      </c>
      <c r="AB1004" s="27">
        <v>1.4084507042253521E-2</v>
      </c>
      <c r="AC1004" s="27">
        <f t="shared" si="91"/>
        <v>2.6522384892849567E-6</v>
      </c>
      <c r="AD1004" s="36">
        <v>55</v>
      </c>
      <c r="AE1004" s="27">
        <v>0.77464788732394363</v>
      </c>
      <c r="AF1004" s="27">
        <f t="shared" si="92"/>
        <v>1.4587311691067261E-4</v>
      </c>
      <c r="AG1004" s="37">
        <v>14</v>
      </c>
      <c r="AH1004" s="27">
        <v>0.19718309859154928</v>
      </c>
      <c r="AI1004" s="27">
        <f t="shared" si="93"/>
        <v>3.7131338849989389E-5</v>
      </c>
      <c r="AJ1004" s="38">
        <v>0</v>
      </c>
      <c r="AK1004" s="27">
        <v>0</v>
      </c>
      <c r="AL1004" s="27">
        <f t="shared" si="94"/>
        <v>0</v>
      </c>
      <c r="AM1004" s="40">
        <v>0</v>
      </c>
      <c r="AN1004" s="27">
        <v>0</v>
      </c>
      <c r="AO1004" s="27">
        <f t="shared" si="95"/>
        <v>0</v>
      </c>
      <c r="AP1004" s="7" t="b">
        <v>1</v>
      </c>
      <c r="AQ1004" s="6" t="b">
        <v>0</v>
      </c>
      <c r="AR1004" s="6" t="b">
        <v>0</v>
      </c>
      <c r="AS1004" s="6" t="b">
        <v>0</v>
      </c>
      <c r="AT1004" s="7" t="b">
        <v>1</v>
      </c>
      <c r="AU1004" s="6" t="b">
        <v>0</v>
      </c>
      <c r="AV1004" s="6" t="b">
        <v>0</v>
      </c>
      <c r="AW1004" s="6" t="b">
        <v>0</v>
      </c>
      <c r="AX1004" s="6" t="b">
        <v>0</v>
      </c>
      <c r="AY1004" s="6" t="b">
        <v>0</v>
      </c>
      <c r="AZ1004" s="6" t="b">
        <v>0</v>
      </c>
      <c r="BA1004" s="6" t="b">
        <v>0</v>
      </c>
      <c r="BB1004" s="6" t="b">
        <v>0</v>
      </c>
    </row>
    <row r="1005" spans="1:54" ht="15" x14ac:dyDescent="0.25">
      <c r="A1005" s="3" t="s">
        <v>2070</v>
      </c>
      <c r="B1005" s="3" t="str">
        <f ca="1">IFERROR(__xludf.DUMMYFUNCTION("SPLIT(A1005,""/"")"),"sympy")</f>
        <v>sympy</v>
      </c>
      <c r="C1005" s="3" t="str">
        <f ca="1">IFERROR(__xludf.DUMMYFUNCTION("""COMPUTED_VALUE"""),"sympy_gamma")</f>
        <v>sympy_gamma</v>
      </c>
      <c r="D1005" s="4" t="s">
        <v>2071</v>
      </c>
      <c r="E1005" s="5">
        <v>40107.212488425925</v>
      </c>
      <c r="F1005" s="5">
        <v>44293.323750000003</v>
      </c>
      <c r="G1005" s="13">
        <f t="shared" si="90"/>
        <v>4186.1112615740785</v>
      </c>
      <c r="H1005" s="6" t="b">
        <v>0</v>
      </c>
      <c r="I1005" s="7" t="b">
        <v>1</v>
      </c>
      <c r="J1005" s="8">
        <v>517</v>
      </c>
      <c r="K1005" s="8">
        <v>40</v>
      </c>
      <c r="L1005" s="8">
        <v>87</v>
      </c>
      <c r="M1005" s="8">
        <v>14</v>
      </c>
      <c r="N1005" s="8">
        <v>0</v>
      </c>
      <c r="O1005" s="8">
        <v>11</v>
      </c>
      <c r="P1005" s="8">
        <v>78</v>
      </c>
      <c r="Q1005" s="8">
        <v>8</v>
      </c>
      <c r="R1005" s="8">
        <v>99</v>
      </c>
      <c r="S1005" s="8">
        <v>70</v>
      </c>
      <c r="T1005" s="3" t="s">
        <v>92</v>
      </c>
      <c r="U1005" s="10">
        <v>2180</v>
      </c>
      <c r="V1005" s="32">
        <v>14</v>
      </c>
      <c r="W1005" s="27">
        <v>6.4220183486238536E-3</v>
      </c>
      <c r="X1005" s="34">
        <v>0</v>
      </c>
      <c r="Y1005" s="27">
        <v>0</v>
      </c>
      <c r="Z1005" s="27">
        <v>0</v>
      </c>
      <c r="AA1005" s="35">
        <v>4</v>
      </c>
      <c r="AB1005" s="27">
        <v>0.2857142857142857</v>
      </c>
      <c r="AC1005" s="27">
        <f t="shared" si="91"/>
        <v>1.834862385321101E-3</v>
      </c>
      <c r="AD1005" s="36">
        <v>0</v>
      </c>
      <c r="AE1005" s="27">
        <v>0</v>
      </c>
      <c r="AF1005" s="27">
        <f t="shared" si="92"/>
        <v>0</v>
      </c>
      <c r="AG1005" s="37">
        <v>7</v>
      </c>
      <c r="AH1005" s="27">
        <v>0.5</v>
      </c>
      <c r="AI1005" s="27">
        <f t="shared" si="93"/>
        <v>3.2110091743119268E-3</v>
      </c>
      <c r="AJ1005" s="38">
        <v>0</v>
      </c>
      <c r="AK1005" s="27">
        <v>0</v>
      </c>
      <c r="AL1005" s="27">
        <f t="shared" si="94"/>
        <v>0</v>
      </c>
      <c r="AM1005" s="40">
        <v>1</v>
      </c>
      <c r="AN1005" s="27">
        <v>7.1428571428571425E-2</v>
      </c>
      <c r="AO1005" s="27">
        <f t="shared" si="95"/>
        <v>4.5871559633027525E-4</v>
      </c>
      <c r="AP1005" s="7" t="b">
        <v>1</v>
      </c>
      <c r="AQ1005" s="7" t="b">
        <v>1</v>
      </c>
      <c r="AR1005" s="6" t="b">
        <v>0</v>
      </c>
      <c r="AS1005" s="6" t="b">
        <v>0</v>
      </c>
      <c r="AT1005" s="7" t="b">
        <v>1</v>
      </c>
      <c r="AU1005" s="6" t="b">
        <v>0</v>
      </c>
      <c r="AV1005" s="6" t="b">
        <v>0</v>
      </c>
      <c r="AW1005" s="6" t="b">
        <v>0</v>
      </c>
      <c r="AX1005" s="6" t="b">
        <v>0</v>
      </c>
      <c r="AY1005" s="6" t="b">
        <v>0</v>
      </c>
      <c r="AZ1005" s="6" t="b">
        <v>0</v>
      </c>
      <c r="BA1005" s="6" t="b">
        <v>0</v>
      </c>
      <c r="BB1005" s="6" t="b">
        <v>0</v>
      </c>
    </row>
    <row r="1006" spans="1:54" ht="15" x14ac:dyDescent="0.25">
      <c r="A1006" s="3" t="s">
        <v>2072</v>
      </c>
      <c r="B1006" s="3" t="str">
        <f ca="1">IFERROR(__xludf.DUMMYFUNCTION("SPLIT(A1006,""/"")"),"tableau")</f>
        <v>tableau</v>
      </c>
      <c r="C1006" s="3" t="str">
        <f ca="1">IFERROR(__xludf.DUMMYFUNCTION("""COMPUTED_VALUE"""),"TabPy")</f>
        <v>TabPy</v>
      </c>
      <c r="D1006" s="4" t="s">
        <v>2073</v>
      </c>
      <c r="E1006" s="5">
        <v>42640.893090277779</v>
      </c>
      <c r="F1006" s="5">
        <v>44295.051180555558</v>
      </c>
      <c r="G1006" s="13">
        <f t="shared" si="90"/>
        <v>1654.1580902777787</v>
      </c>
      <c r="H1006" s="6" t="b">
        <v>0</v>
      </c>
      <c r="I1006" s="7" t="b">
        <v>1</v>
      </c>
      <c r="J1006" s="8">
        <v>1053</v>
      </c>
      <c r="K1006" s="8">
        <v>109</v>
      </c>
      <c r="L1006" s="8">
        <v>388</v>
      </c>
      <c r="M1006" s="8">
        <v>16</v>
      </c>
      <c r="N1006" s="8">
        <v>3</v>
      </c>
      <c r="O1006" s="8">
        <v>29</v>
      </c>
      <c r="P1006" s="8">
        <v>222</v>
      </c>
      <c r="Q1006" s="8">
        <v>2</v>
      </c>
      <c r="R1006" s="8">
        <v>272</v>
      </c>
      <c r="S1006" s="8">
        <v>9</v>
      </c>
      <c r="T1006" s="3" t="s">
        <v>72</v>
      </c>
      <c r="U1006" s="10">
        <v>3868</v>
      </c>
      <c r="V1006" s="32">
        <v>172</v>
      </c>
      <c r="W1006" s="27">
        <v>4.4467425025853151E-2</v>
      </c>
      <c r="X1006" s="34">
        <v>41</v>
      </c>
      <c r="Y1006" s="27">
        <v>0.23837209302325582</v>
      </c>
      <c r="Z1006" s="27">
        <v>1.0599793174767322E-2</v>
      </c>
      <c r="AA1006" s="35">
        <v>54</v>
      </c>
      <c r="AB1006" s="27">
        <v>0.31395348837209303</v>
      </c>
      <c r="AC1006" s="27">
        <f t="shared" si="91"/>
        <v>1.3960703205791106E-2</v>
      </c>
      <c r="AD1006" s="36">
        <v>5</v>
      </c>
      <c r="AE1006" s="27">
        <v>2.9069767441860465E-2</v>
      </c>
      <c r="AF1006" s="27">
        <f t="shared" si="92"/>
        <v>1.2926577042399173E-3</v>
      </c>
      <c r="AG1006" s="37">
        <v>42</v>
      </c>
      <c r="AH1006" s="27">
        <v>0.2441860465116279</v>
      </c>
      <c r="AI1006" s="27">
        <f t="shared" si="93"/>
        <v>1.0858324715615306E-2</v>
      </c>
      <c r="AJ1006" s="38">
        <v>24</v>
      </c>
      <c r="AK1006" s="27">
        <v>0.13953488372093023</v>
      </c>
      <c r="AL1006" s="27">
        <f t="shared" si="94"/>
        <v>6.2047569803516025E-3</v>
      </c>
      <c r="AM1006" s="40">
        <v>1</v>
      </c>
      <c r="AN1006" s="27">
        <v>5.8139534883720929E-3</v>
      </c>
      <c r="AO1006" s="27">
        <f t="shared" si="95"/>
        <v>2.5853154084798347E-4</v>
      </c>
      <c r="AP1006" s="7" t="b">
        <v>1</v>
      </c>
      <c r="AQ1006" s="6" t="b">
        <v>0</v>
      </c>
      <c r="AR1006" s="6" t="b">
        <v>0</v>
      </c>
      <c r="AS1006" s="6" t="b">
        <v>0</v>
      </c>
      <c r="AT1006" s="7" t="b">
        <v>1</v>
      </c>
      <c r="AU1006" s="6" t="b">
        <v>0</v>
      </c>
      <c r="AV1006" s="6" t="b">
        <v>0</v>
      </c>
      <c r="AW1006" s="6" t="b">
        <v>0</v>
      </c>
      <c r="AX1006" s="6" t="b">
        <v>0</v>
      </c>
      <c r="AY1006" s="6" t="b">
        <v>0</v>
      </c>
      <c r="AZ1006" s="6" t="b">
        <v>0</v>
      </c>
      <c r="BA1006" s="6" t="b">
        <v>0</v>
      </c>
      <c r="BB1006" s="6" t="b">
        <v>0</v>
      </c>
    </row>
    <row r="1007" spans="1:54" ht="15" x14ac:dyDescent="0.25">
      <c r="A1007" s="3" t="s">
        <v>2074</v>
      </c>
      <c r="B1007" s="3" t="str">
        <f ca="1">IFERROR(__xludf.DUMMYFUNCTION("SPLIT(A1007,""/"")"),"tahoe-lafs")</f>
        <v>tahoe-lafs</v>
      </c>
      <c r="C1007" s="3" t="str">
        <f ca="1">IFERROR(__xludf.DUMMYFUNCTION("""COMPUTED_VALUE"""),"tahoe-lafs")</f>
        <v>tahoe-lafs</v>
      </c>
      <c r="D1007" s="4" t="s">
        <v>2075</v>
      </c>
      <c r="E1007" s="5">
        <v>40895.81521990741</v>
      </c>
      <c r="F1007" s="5">
        <v>44294.599548611113</v>
      </c>
      <c r="G1007" s="13">
        <f t="shared" si="90"/>
        <v>3398.7843287037031</v>
      </c>
      <c r="H1007" s="6" t="b">
        <v>0</v>
      </c>
      <c r="I1007" s="7" t="b">
        <v>1</v>
      </c>
      <c r="J1007" s="8">
        <v>1055</v>
      </c>
      <c r="K1007" s="8">
        <v>64</v>
      </c>
      <c r="L1007" s="8">
        <v>213</v>
      </c>
      <c r="M1007" s="8">
        <v>0</v>
      </c>
      <c r="N1007" s="8">
        <v>212</v>
      </c>
      <c r="O1007" s="8">
        <v>61</v>
      </c>
      <c r="P1007" s="8">
        <v>1035</v>
      </c>
      <c r="Q1007" s="8">
        <v>18</v>
      </c>
      <c r="R1007" s="8">
        <v>0</v>
      </c>
      <c r="S1007" s="8">
        <v>0</v>
      </c>
      <c r="T1007" s="3" t="s">
        <v>92</v>
      </c>
      <c r="U1007" s="10">
        <v>72194</v>
      </c>
      <c r="V1007" s="32">
        <v>393</v>
      </c>
      <c r="W1007" s="27">
        <v>5.4436656785882484E-3</v>
      </c>
      <c r="X1007" s="34">
        <v>0</v>
      </c>
      <c r="Y1007" s="27">
        <v>0</v>
      </c>
      <c r="Z1007" s="27">
        <v>0</v>
      </c>
      <c r="AA1007" s="35">
        <v>1</v>
      </c>
      <c r="AB1007" s="27">
        <v>2.5445292620865142E-3</v>
      </c>
      <c r="AC1007" s="27">
        <f t="shared" si="91"/>
        <v>1.3851566612183838E-5</v>
      </c>
      <c r="AD1007" s="36">
        <v>3</v>
      </c>
      <c r="AE1007" s="27">
        <v>7.6335877862595417E-3</v>
      </c>
      <c r="AF1007" s="27">
        <f t="shared" si="92"/>
        <v>4.1554699836551512E-5</v>
      </c>
      <c r="AG1007" s="37">
        <v>18</v>
      </c>
      <c r="AH1007" s="27">
        <v>4.5801526717557252E-2</v>
      </c>
      <c r="AI1007" s="27">
        <f t="shared" si="93"/>
        <v>2.4932819901930906E-4</v>
      </c>
      <c r="AJ1007" s="38">
        <v>1</v>
      </c>
      <c r="AK1007" s="27">
        <v>2.5445292620865142E-3</v>
      </c>
      <c r="AL1007" s="27">
        <f t="shared" si="94"/>
        <v>1.3851566612183838E-5</v>
      </c>
      <c r="AM1007" s="40">
        <v>370</v>
      </c>
      <c r="AN1007" s="27">
        <v>0.94147582697201015</v>
      </c>
      <c r="AO1007" s="27">
        <f t="shared" si="95"/>
        <v>5.1250796465080201E-3</v>
      </c>
      <c r="AP1007" s="7" t="b">
        <v>1</v>
      </c>
      <c r="AQ1007" s="7" t="b">
        <v>1</v>
      </c>
      <c r="AR1007" s="6" t="b">
        <v>0</v>
      </c>
      <c r="AS1007" s="6" t="b">
        <v>0</v>
      </c>
      <c r="AT1007" s="7" t="b">
        <v>1</v>
      </c>
      <c r="AU1007" s="6" t="b">
        <v>0</v>
      </c>
      <c r="AV1007" s="7" t="b">
        <v>1</v>
      </c>
      <c r="AW1007" s="6" t="b">
        <v>0</v>
      </c>
      <c r="AX1007" s="6" t="b">
        <v>0</v>
      </c>
      <c r="AY1007" s="6" t="b">
        <v>0</v>
      </c>
      <c r="AZ1007" s="6" t="b">
        <v>0</v>
      </c>
      <c r="BA1007" s="6" t="b">
        <v>0</v>
      </c>
      <c r="BB1007" s="6" t="b">
        <v>0</v>
      </c>
    </row>
    <row r="1008" spans="1:54" ht="15" x14ac:dyDescent="0.25">
      <c r="A1008" s="3" t="s">
        <v>2076</v>
      </c>
      <c r="B1008" s="3" t="str">
        <f ca="1">IFERROR(__xludf.DUMMYFUNCTION("SPLIT(A1008,""/"")"),"taigaio")</f>
        <v>taigaio</v>
      </c>
      <c r="C1008" s="3" t="str">
        <f ca="1">IFERROR(__xludf.DUMMYFUNCTION("""COMPUTED_VALUE"""),"taiga-back")</f>
        <v>taiga-back</v>
      </c>
      <c r="D1008" s="4" t="s">
        <v>2077</v>
      </c>
      <c r="E1008" s="5">
        <v>41352.634722222225</v>
      </c>
      <c r="F1008" s="5">
        <v>44293.933831018519</v>
      </c>
      <c r="G1008" s="13">
        <f t="shared" si="90"/>
        <v>2941.2991087962946</v>
      </c>
      <c r="H1008" s="6" t="b">
        <v>0</v>
      </c>
      <c r="I1008" s="7" t="b">
        <v>1</v>
      </c>
      <c r="J1008" s="8">
        <v>5600</v>
      </c>
      <c r="K1008" s="8">
        <v>266</v>
      </c>
      <c r="L1008" s="8">
        <v>1077</v>
      </c>
      <c r="M1008" s="8">
        <v>0</v>
      </c>
      <c r="N1008" s="8">
        <v>68</v>
      </c>
      <c r="O1008" s="8">
        <v>64</v>
      </c>
      <c r="P1008" s="8">
        <v>915</v>
      </c>
      <c r="Q1008" s="8">
        <v>6</v>
      </c>
      <c r="R1008" s="8">
        <v>694</v>
      </c>
      <c r="S1008" s="8">
        <v>187</v>
      </c>
      <c r="T1008" s="3" t="s">
        <v>366</v>
      </c>
      <c r="U1008" s="10">
        <v>58508</v>
      </c>
      <c r="V1008" s="32">
        <v>42</v>
      </c>
      <c r="W1008" s="27">
        <v>7.1785055035208857E-4</v>
      </c>
      <c r="X1008" s="34">
        <v>1</v>
      </c>
      <c r="Y1008" s="27">
        <v>2.3809523809523808E-2</v>
      </c>
      <c r="Z1008" s="27">
        <v>1.7091679770287825E-5</v>
      </c>
      <c r="AA1008" s="35">
        <v>0</v>
      </c>
      <c r="AB1008" s="27">
        <v>0</v>
      </c>
      <c r="AC1008" s="27">
        <f t="shared" si="91"/>
        <v>0</v>
      </c>
      <c r="AD1008" s="36">
        <v>22</v>
      </c>
      <c r="AE1008" s="27">
        <v>0.52380952380952384</v>
      </c>
      <c r="AF1008" s="27">
        <f t="shared" si="92"/>
        <v>3.7601695494633215E-4</v>
      </c>
      <c r="AG1008" s="37">
        <v>19</v>
      </c>
      <c r="AH1008" s="27">
        <v>0.45238095238095238</v>
      </c>
      <c r="AI1008" s="27">
        <f t="shared" si="93"/>
        <v>3.2474191563546868E-4</v>
      </c>
      <c r="AJ1008" s="38">
        <v>0</v>
      </c>
      <c r="AK1008" s="27">
        <v>0</v>
      </c>
      <c r="AL1008" s="27">
        <f t="shared" si="94"/>
        <v>0</v>
      </c>
      <c r="AM1008" s="40">
        <v>0</v>
      </c>
      <c r="AN1008" s="27">
        <v>0</v>
      </c>
      <c r="AO1008" s="27">
        <f t="shared" si="95"/>
        <v>0</v>
      </c>
      <c r="AP1008" s="7" t="b">
        <v>1</v>
      </c>
      <c r="AQ1008" s="6" t="b">
        <v>0</v>
      </c>
      <c r="AR1008" s="6" t="b">
        <v>0</v>
      </c>
      <c r="AS1008" s="6" t="b">
        <v>0</v>
      </c>
      <c r="AT1008" s="7" t="b">
        <v>1</v>
      </c>
      <c r="AU1008" s="6" t="b">
        <v>0</v>
      </c>
      <c r="AV1008" s="6" t="b">
        <v>0</v>
      </c>
      <c r="AW1008" s="6" t="b">
        <v>0</v>
      </c>
      <c r="AX1008" s="6" t="b">
        <v>0</v>
      </c>
      <c r="AY1008" s="6" t="b">
        <v>0</v>
      </c>
      <c r="AZ1008" s="6" t="b">
        <v>0</v>
      </c>
      <c r="BA1008" s="6" t="b">
        <v>0</v>
      </c>
      <c r="BB1008" s="6" t="b">
        <v>0</v>
      </c>
    </row>
    <row r="1009" spans="1:54" ht="15" x14ac:dyDescent="0.25">
      <c r="A1009" s="3" t="s">
        <v>2078</v>
      </c>
      <c r="B1009" s="3" t="str">
        <f ca="1">IFERROR(__xludf.DUMMYFUNCTION("SPLIT(A1009,""/"")"),"tankywoo")</f>
        <v>tankywoo</v>
      </c>
      <c r="C1009" s="3" t="str">
        <f ca="1">IFERROR(__xludf.DUMMYFUNCTION("""COMPUTED_VALUE"""),"simiki")</f>
        <v>simiki</v>
      </c>
      <c r="D1009" s="4" t="s">
        <v>2079</v>
      </c>
      <c r="E1009" s="5">
        <v>41559.090891203705</v>
      </c>
      <c r="F1009" s="5">
        <v>44295.065648148149</v>
      </c>
      <c r="G1009" s="13">
        <f t="shared" si="90"/>
        <v>2735.9747569444444</v>
      </c>
      <c r="H1009" s="6" t="b">
        <v>0</v>
      </c>
      <c r="I1009" s="6" t="b">
        <v>0</v>
      </c>
      <c r="J1009" s="8">
        <v>1088</v>
      </c>
      <c r="K1009" s="8">
        <v>52</v>
      </c>
      <c r="L1009" s="8">
        <v>155</v>
      </c>
      <c r="M1009" s="8">
        <v>0</v>
      </c>
      <c r="N1009" s="8">
        <v>15</v>
      </c>
      <c r="O1009" s="8">
        <v>11</v>
      </c>
      <c r="P1009" s="8">
        <v>27</v>
      </c>
      <c r="Q1009" s="8">
        <v>4</v>
      </c>
      <c r="R1009" s="8">
        <v>104</v>
      </c>
      <c r="S1009" s="8">
        <v>22</v>
      </c>
      <c r="T1009" s="3" t="s">
        <v>72</v>
      </c>
      <c r="U1009" s="10">
        <v>1874</v>
      </c>
      <c r="V1009" s="32">
        <v>50</v>
      </c>
      <c r="W1009" s="27">
        <v>2.6680896478121666E-2</v>
      </c>
      <c r="X1009" s="34">
        <v>10</v>
      </c>
      <c r="Y1009" s="27">
        <v>0.2</v>
      </c>
      <c r="Z1009" s="27">
        <v>5.3361792956243331E-3</v>
      </c>
      <c r="AA1009" s="35">
        <v>19</v>
      </c>
      <c r="AB1009" s="27">
        <v>0.38</v>
      </c>
      <c r="AC1009" s="27">
        <f t="shared" si="91"/>
        <v>1.0138740661686232E-2</v>
      </c>
      <c r="AD1009" s="36">
        <v>7</v>
      </c>
      <c r="AE1009" s="27">
        <v>0.14000000000000001</v>
      </c>
      <c r="AF1009" s="27">
        <f t="shared" si="92"/>
        <v>3.735325506937033E-3</v>
      </c>
      <c r="AG1009" s="37">
        <v>11</v>
      </c>
      <c r="AH1009" s="27">
        <v>0.22</v>
      </c>
      <c r="AI1009" s="27">
        <f t="shared" si="93"/>
        <v>5.8697972251867663E-3</v>
      </c>
      <c r="AJ1009" s="38">
        <v>1</v>
      </c>
      <c r="AK1009" s="27">
        <v>0.02</v>
      </c>
      <c r="AL1009" s="27">
        <f t="shared" si="94"/>
        <v>5.3361792956243333E-4</v>
      </c>
      <c r="AM1009" s="40">
        <v>0</v>
      </c>
      <c r="AN1009" s="27">
        <v>0</v>
      </c>
      <c r="AO1009" s="27">
        <f t="shared" si="95"/>
        <v>0</v>
      </c>
      <c r="AP1009" s="7" t="b">
        <v>1</v>
      </c>
      <c r="AQ1009" s="6" t="b">
        <v>0</v>
      </c>
      <c r="AR1009" s="6" t="b">
        <v>0</v>
      </c>
      <c r="AS1009" s="6" t="b">
        <v>0</v>
      </c>
      <c r="AT1009" s="7" t="b">
        <v>1</v>
      </c>
      <c r="AU1009" s="6" t="b">
        <v>0</v>
      </c>
      <c r="AV1009" s="6" t="b">
        <v>0</v>
      </c>
      <c r="AW1009" s="6" t="b">
        <v>0</v>
      </c>
      <c r="AX1009" s="6" t="b">
        <v>0</v>
      </c>
      <c r="AY1009" s="6" t="b">
        <v>0</v>
      </c>
      <c r="AZ1009" s="6" t="b">
        <v>0</v>
      </c>
      <c r="BA1009" s="6" t="b">
        <v>0</v>
      </c>
      <c r="BB1009" s="6" t="b">
        <v>0</v>
      </c>
    </row>
    <row r="1010" spans="1:54" ht="15" x14ac:dyDescent="0.25">
      <c r="A1010" s="3" t="s">
        <v>2080</v>
      </c>
      <c r="B1010" s="3" t="str">
        <f ca="1">IFERROR(__xludf.DUMMYFUNCTION("SPLIT(A1010,""/"")"),"taokong")</f>
        <v>taokong</v>
      </c>
      <c r="C1010" s="3" t="str">
        <f ca="1">IFERROR(__xludf.DUMMYFUNCTION("""COMPUTED_VALUE"""),"FoveaBox")</f>
        <v>FoveaBox</v>
      </c>
      <c r="D1010" s="4" t="s">
        <v>2081</v>
      </c>
      <c r="E1010" s="5">
        <v>43691.157523148147</v>
      </c>
      <c r="F1010" s="5">
        <v>44292.116203703707</v>
      </c>
      <c r="G1010" s="13">
        <f t="shared" si="90"/>
        <v>600.95868055555911</v>
      </c>
      <c r="H1010" s="6" t="b">
        <v>0</v>
      </c>
      <c r="I1010" s="6" t="b">
        <v>0</v>
      </c>
      <c r="J1010" s="8">
        <v>354</v>
      </c>
      <c r="K1010" s="8">
        <v>14</v>
      </c>
      <c r="L1010" s="8">
        <v>40</v>
      </c>
      <c r="M1010" s="8">
        <v>0</v>
      </c>
      <c r="N1010" s="8">
        <v>0</v>
      </c>
      <c r="O1010" s="9">
        <v>0</v>
      </c>
      <c r="P1010" s="8">
        <v>0</v>
      </c>
      <c r="Q1010" s="8">
        <v>0</v>
      </c>
      <c r="R1010" s="8">
        <v>14</v>
      </c>
      <c r="S1010" s="8">
        <v>4</v>
      </c>
      <c r="T1010" s="3" t="s">
        <v>69</v>
      </c>
      <c r="U1010" s="10">
        <v>13011</v>
      </c>
      <c r="V1010" s="32">
        <v>6</v>
      </c>
      <c r="W1010" s="27">
        <v>4.6114825916532167E-4</v>
      </c>
      <c r="X1010" s="34">
        <v>0</v>
      </c>
      <c r="Y1010" s="27">
        <v>0</v>
      </c>
      <c r="Z1010" s="27">
        <v>0</v>
      </c>
      <c r="AA1010" s="35">
        <v>3</v>
      </c>
      <c r="AB1010" s="27">
        <v>0.5</v>
      </c>
      <c r="AC1010" s="27">
        <f t="shared" si="91"/>
        <v>2.3057412958266084E-4</v>
      </c>
      <c r="AD1010" s="36">
        <v>3</v>
      </c>
      <c r="AE1010" s="27">
        <v>0.5</v>
      </c>
      <c r="AF1010" s="27">
        <f t="shared" si="92"/>
        <v>2.3057412958266084E-4</v>
      </c>
      <c r="AG1010" s="37">
        <v>0</v>
      </c>
      <c r="AH1010" s="27">
        <v>0</v>
      </c>
      <c r="AI1010" s="27">
        <f t="shared" si="93"/>
        <v>0</v>
      </c>
      <c r="AJ1010" s="38">
        <v>0</v>
      </c>
      <c r="AK1010" s="27">
        <v>0</v>
      </c>
      <c r="AL1010" s="27">
        <f t="shared" si="94"/>
        <v>0</v>
      </c>
      <c r="AM1010" s="40">
        <v>0</v>
      </c>
      <c r="AN1010" s="27">
        <v>0</v>
      </c>
      <c r="AO1010" s="27">
        <f t="shared" si="95"/>
        <v>0</v>
      </c>
      <c r="AP1010" s="7" t="b">
        <v>1</v>
      </c>
      <c r="AQ1010" s="6" t="b">
        <v>0</v>
      </c>
      <c r="AR1010" s="6" t="b">
        <v>0</v>
      </c>
      <c r="AS1010" s="6" t="b">
        <v>0</v>
      </c>
      <c r="AT1010" s="7" t="b">
        <v>1</v>
      </c>
      <c r="AU1010" s="6" t="b">
        <v>0</v>
      </c>
      <c r="AV1010" s="6" t="b">
        <v>0</v>
      </c>
      <c r="AW1010" s="6" t="b">
        <v>0</v>
      </c>
      <c r="AX1010" s="6" t="b">
        <v>0</v>
      </c>
      <c r="AY1010" s="6" t="b">
        <v>0</v>
      </c>
      <c r="AZ1010" s="6" t="b">
        <v>0</v>
      </c>
      <c r="BA1010" s="6" t="b">
        <v>0</v>
      </c>
      <c r="BB1010" s="6" t="b">
        <v>0</v>
      </c>
    </row>
    <row r="1011" spans="1:54" ht="15" x14ac:dyDescent="0.25">
      <c r="A1011" s="3" t="s">
        <v>2082</v>
      </c>
      <c r="B1011" s="3" t="str">
        <f ca="1">IFERROR(__xludf.DUMMYFUNCTION("SPLIT(A1011,""/"")"),"target")</f>
        <v>target</v>
      </c>
      <c r="C1011" s="3" t="str">
        <f ca="1">IFERROR(__xludf.DUMMYFUNCTION("""COMPUTED_VALUE"""),"strelka")</f>
        <v>strelka</v>
      </c>
      <c r="D1011" s="4" t="s">
        <v>2083</v>
      </c>
      <c r="E1011" s="5">
        <v>43363.77652777778</v>
      </c>
      <c r="F1011" s="5">
        <v>44293.894907407404</v>
      </c>
      <c r="G1011" s="13">
        <f t="shared" si="90"/>
        <v>930.11837962962454</v>
      </c>
      <c r="H1011" s="6" t="b">
        <v>0</v>
      </c>
      <c r="I1011" s="7" t="b">
        <v>1</v>
      </c>
      <c r="J1011" s="8">
        <v>392</v>
      </c>
      <c r="K1011" s="8">
        <v>30</v>
      </c>
      <c r="L1011" s="8">
        <v>55</v>
      </c>
      <c r="M1011" s="8">
        <v>10</v>
      </c>
      <c r="N1011" s="8">
        <v>0</v>
      </c>
      <c r="O1011" s="8">
        <v>14</v>
      </c>
      <c r="P1011" s="8">
        <v>132</v>
      </c>
      <c r="Q1011" s="8">
        <v>0</v>
      </c>
      <c r="R1011" s="8">
        <v>35</v>
      </c>
      <c r="S1011" s="8">
        <v>3</v>
      </c>
      <c r="T1011" s="3" t="s">
        <v>92</v>
      </c>
      <c r="U1011" s="10">
        <v>2772</v>
      </c>
      <c r="V1011" s="32">
        <v>1</v>
      </c>
      <c r="W1011" s="27">
        <v>3.6075036075036075E-4</v>
      </c>
      <c r="X1011" s="34">
        <v>0</v>
      </c>
      <c r="Y1011" s="27">
        <v>0</v>
      </c>
      <c r="Z1011" s="27">
        <v>0</v>
      </c>
      <c r="AA1011" s="35">
        <v>0</v>
      </c>
      <c r="AB1011" s="27">
        <v>0</v>
      </c>
      <c r="AC1011" s="27">
        <f t="shared" si="91"/>
        <v>0</v>
      </c>
      <c r="AD1011" s="36">
        <v>0</v>
      </c>
      <c r="AE1011" s="27">
        <v>0</v>
      </c>
      <c r="AF1011" s="27">
        <f t="shared" si="92"/>
        <v>0</v>
      </c>
      <c r="AG1011" s="37">
        <v>1</v>
      </c>
      <c r="AH1011" s="27">
        <v>1</v>
      </c>
      <c r="AI1011" s="27">
        <f t="shared" si="93"/>
        <v>3.6075036075036075E-4</v>
      </c>
      <c r="AJ1011" s="38">
        <v>0</v>
      </c>
      <c r="AK1011" s="27">
        <v>0</v>
      </c>
      <c r="AL1011" s="27">
        <f t="shared" si="94"/>
        <v>0</v>
      </c>
      <c r="AM1011" s="40">
        <v>0</v>
      </c>
      <c r="AN1011" s="27">
        <v>0</v>
      </c>
      <c r="AO1011" s="27">
        <f t="shared" si="95"/>
        <v>0</v>
      </c>
      <c r="AP1011" s="7" t="b">
        <v>1</v>
      </c>
      <c r="AQ1011" s="7" t="b">
        <v>1</v>
      </c>
      <c r="AR1011" s="6" t="b">
        <v>0</v>
      </c>
      <c r="AS1011" s="6" t="b">
        <v>0</v>
      </c>
      <c r="AT1011" s="7" t="b">
        <v>1</v>
      </c>
      <c r="AU1011" s="6" t="b">
        <v>0</v>
      </c>
      <c r="AV1011" s="6" t="b">
        <v>0</v>
      </c>
      <c r="AW1011" s="6" t="b">
        <v>0</v>
      </c>
      <c r="AX1011" s="6" t="b">
        <v>0</v>
      </c>
      <c r="AY1011" s="6" t="b">
        <v>0</v>
      </c>
      <c r="AZ1011" s="6" t="b">
        <v>0</v>
      </c>
      <c r="BA1011" s="6" t="b">
        <v>0</v>
      </c>
      <c r="BB1011" s="6" t="b">
        <v>0</v>
      </c>
    </row>
    <row r="1012" spans="1:54" ht="15" x14ac:dyDescent="0.25">
      <c r="A1012" s="3" t="s">
        <v>2084</v>
      </c>
      <c r="B1012" s="3" t="str">
        <f ca="1">IFERROR(__xludf.DUMMYFUNCTION("SPLIT(A1012,""/"")"),"TarrySingh")</f>
        <v>TarrySingh</v>
      </c>
      <c r="C1012" s="3" t="str">
        <f ca="1">IFERROR(__xludf.DUMMYFUNCTION("""COMPUTED_VALUE"""),"Artificial-Intelligence-Deep-Learning-Machine-Learning-Tutorials")</f>
        <v>Artificial-Intelligence-Deep-Learning-Machine-Learning-Tutorials</v>
      </c>
      <c r="D1012" s="4" t="s">
        <v>2085</v>
      </c>
      <c r="E1012" s="5">
        <v>42929.823622685188</v>
      </c>
      <c r="F1012" s="5">
        <v>44295.143958333334</v>
      </c>
      <c r="G1012" s="13">
        <f t="shared" si="90"/>
        <v>1365.3203356481463</v>
      </c>
      <c r="H1012" s="6" t="b">
        <v>0</v>
      </c>
      <c r="I1012" s="6" t="b">
        <v>0</v>
      </c>
      <c r="J1012" s="8">
        <v>2729</v>
      </c>
      <c r="K1012" s="8">
        <v>344</v>
      </c>
      <c r="L1012" s="8">
        <v>1233</v>
      </c>
      <c r="M1012" s="8">
        <v>0</v>
      </c>
      <c r="N1012" s="8">
        <v>0</v>
      </c>
      <c r="O1012" s="8">
        <v>3</v>
      </c>
      <c r="P1012" s="8">
        <v>166</v>
      </c>
      <c r="Q1012" s="8">
        <v>78</v>
      </c>
      <c r="R1012" s="8">
        <v>6</v>
      </c>
      <c r="S1012" s="8">
        <v>6</v>
      </c>
      <c r="T1012" s="3" t="s">
        <v>92</v>
      </c>
      <c r="U1012" s="10">
        <v>156140</v>
      </c>
      <c r="V1012" s="32">
        <v>1005</v>
      </c>
      <c r="W1012" s="27">
        <v>6.4365313180479054E-3</v>
      </c>
      <c r="X1012" s="34">
        <v>10</v>
      </c>
      <c r="Y1012" s="27">
        <v>9.9502487562189053E-3</v>
      </c>
      <c r="Z1012" s="27">
        <v>6.4045087741770203E-5</v>
      </c>
      <c r="AA1012" s="35">
        <v>845</v>
      </c>
      <c r="AB1012" s="27">
        <v>0.84079601990049746</v>
      </c>
      <c r="AC1012" s="27">
        <f t="shared" si="91"/>
        <v>5.4118099141795828E-3</v>
      </c>
      <c r="AD1012" s="36">
        <v>29</v>
      </c>
      <c r="AE1012" s="27">
        <v>2.8855721393034824E-2</v>
      </c>
      <c r="AF1012" s="27">
        <f t="shared" si="92"/>
        <v>1.8573075445113359E-4</v>
      </c>
      <c r="AG1012" s="37">
        <v>70</v>
      </c>
      <c r="AH1012" s="27">
        <v>6.965174129353234E-2</v>
      </c>
      <c r="AI1012" s="27">
        <f t="shared" si="93"/>
        <v>4.4831561419239146E-4</v>
      </c>
      <c r="AJ1012" s="38">
        <v>34</v>
      </c>
      <c r="AK1012" s="27">
        <v>3.3830845771144279E-2</v>
      </c>
      <c r="AL1012" s="27">
        <f t="shared" si="94"/>
        <v>2.177532983220187E-4</v>
      </c>
      <c r="AM1012" s="40">
        <v>15</v>
      </c>
      <c r="AN1012" s="27">
        <v>1.4925373134328358E-2</v>
      </c>
      <c r="AO1012" s="27">
        <f t="shared" si="95"/>
        <v>9.6067631612655312E-5</v>
      </c>
      <c r="AP1012" s="7" t="b">
        <v>1</v>
      </c>
      <c r="AQ1012" s="6" t="b">
        <v>0</v>
      </c>
      <c r="AR1012" s="6" t="b">
        <v>0</v>
      </c>
      <c r="AS1012" s="6" t="b">
        <v>0</v>
      </c>
      <c r="AT1012" s="7" t="b">
        <v>1</v>
      </c>
      <c r="AU1012" s="6" t="b">
        <v>0</v>
      </c>
      <c r="AV1012" s="6" t="b">
        <v>0</v>
      </c>
      <c r="AW1012" s="6" t="b">
        <v>0</v>
      </c>
      <c r="AX1012" s="6" t="b">
        <v>0</v>
      </c>
      <c r="AY1012" s="6" t="b">
        <v>0</v>
      </c>
      <c r="AZ1012" s="6" t="b">
        <v>0</v>
      </c>
      <c r="BA1012" s="6" t="b">
        <v>0</v>
      </c>
      <c r="BB1012" s="6" t="b">
        <v>0</v>
      </c>
    </row>
    <row r="1013" spans="1:54" ht="15" x14ac:dyDescent="0.25">
      <c r="A1013" s="3" t="s">
        <v>2086</v>
      </c>
      <c r="B1013" s="3" t="str">
        <f ca="1">IFERROR(__xludf.DUMMYFUNCTION("SPLIT(A1013,""/"")"),"tartiflette")</f>
        <v>tartiflette</v>
      </c>
      <c r="C1013" s="3" t="str">
        <f ca="1">IFERROR(__xludf.DUMMYFUNCTION("""COMPUTED_VALUE"""),"tartiflette")</f>
        <v>tartiflette</v>
      </c>
      <c r="D1013" s="4" t="s">
        <v>2087</v>
      </c>
      <c r="E1013" s="5">
        <v>43126.414004629631</v>
      </c>
      <c r="F1013" s="5">
        <v>44295.063090277778</v>
      </c>
      <c r="G1013" s="13">
        <f t="shared" si="90"/>
        <v>1168.6490856481469</v>
      </c>
      <c r="H1013" s="6" t="b">
        <v>0</v>
      </c>
      <c r="I1013" s="7" t="b">
        <v>1</v>
      </c>
      <c r="J1013" s="8">
        <v>735</v>
      </c>
      <c r="K1013" s="8">
        <v>26</v>
      </c>
      <c r="L1013" s="8">
        <v>35</v>
      </c>
      <c r="M1013" s="8">
        <v>41</v>
      </c>
      <c r="N1013" s="8">
        <v>0</v>
      </c>
      <c r="O1013" s="8">
        <v>17</v>
      </c>
      <c r="P1013" s="8">
        <v>345</v>
      </c>
      <c r="Q1013" s="8">
        <v>5</v>
      </c>
      <c r="R1013" s="8">
        <v>134</v>
      </c>
      <c r="S1013" s="8">
        <v>12</v>
      </c>
      <c r="T1013" s="3" t="s">
        <v>72</v>
      </c>
      <c r="U1013" s="10">
        <v>11889</v>
      </c>
      <c r="V1013" s="32">
        <v>0</v>
      </c>
      <c r="W1013" s="27">
        <v>0</v>
      </c>
      <c r="X1013" s="34">
        <v>0</v>
      </c>
      <c r="Y1013" s="27">
        <v>0</v>
      </c>
      <c r="Z1013" s="27">
        <v>0</v>
      </c>
      <c r="AA1013" s="35">
        <v>0</v>
      </c>
      <c r="AB1013" s="27">
        <v>0</v>
      </c>
      <c r="AC1013" s="27">
        <f t="shared" si="91"/>
        <v>0</v>
      </c>
      <c r="AD1013" s="36">
        <v>0</v>
      </c>
      <c r="AE1013" s="27">
        <v>0</v>
      </c>
      <c r="AF1013" s="27">
        <f t="shared" si="92"/>
        <v>0</v>
      </c>
      <c r="AG1013" s="37">
        <v>0</v>
      </c>
      <c r="AH1013" s="27">
        <v>0</v>
      </c>
      <c r="AI1013" s="27">
        <f t="shared" si="93"/>
        <v>0</v>
      </c>
      <c r="AJ1013" s="38">
        <v>0</v>
      </c>
      <c r="AK1013" s="27">
        <v>0</v>
      </c>
      <c r="AL1013" s="27">
        <f t="shared" si="94"/>
        <v>0</v>
      </c>
      <c r="AM1013" s="40">
        <v>0</v>
      </c>
      <c r="AN1013" s="27">
        <v>0</v>
      </c>
      <c r="AO1013" s="27">
        <f t="shared" si="95"/>
        <v>0</v>
      </c>
      <c r="AP1013" s="7" t="b">
        <v>1</v>
      </c>
      <c r="AQ1013" s="7" t="b">
        <v>1</v>
      </c>
      <c r="AR1013" s="6" t="b">
        <v>0</v>
      </c>
      <c r="AS1013" s="6" t="b">
        <v>0</v>
      </c>
      <c r="AT1013" s="7" t="b">
        <v>1</v>
      </c>
      <c r="AU1013" s="6" t="b">
        <v>0</v>
      </c>
      <c r="AV1013" s="6" t="b">
        <v>0</v>
      </c>
      <c r="AW1013" s="6" t="b">
        <v>0</v>
      </c>
      <c r="AX1013" s="6" t="b">
        <v>0</v>
      </c>
      <c r="AY1013" s="6" t="b">
        <v>0</v>
      </c>
      <c r="AZ1013" s="6" t="b">
        <v>0</v>
      </c>
      <c r="BA1013" s="6" t="b">
        <v>0</v>
      </c>
      <c r="BB1013" s="6" t="b">
        <v>0</v>
      </c>
    </row>
    <row r="1014" spans="1:54" ht="15" x14ac:dyDescent="0.25">
      <c r="A1014" s="3" t="s">
        <v>2088</v>
      </c>
      <c r="B1014" s="3" t="str">
        <f ca="1">IFERROR(__xludf.DUMMYFUNCTION("SPLIT(A1014,""/"")"),"taspinar")</f>
        <v>taspinar</v>
      </c>
      <c r="C1014" s="3" t="str">
        <f ca="1">IFERROR(__xludf.DUMMYFUNCTION("""COMPUTED_VALUE"""),"twitterscraper")</f>
        <v>twitterscraper</v>
      </c>
      <c r="D1014" s="4" t="s">
        <v>2089</v>
      </c>
      <c r="E1014" s="5">
        <v>42537.285532407404</v>
      </c>
      <c r="F1014" s="5">
        <v>44295.074756944443</v>
      </c>
      <c r="G1014" s="13">
        <f t="shared" si="90"/>
        <v>1757.7892245370385</v>
      </c>
      <c r="H1014" s="6" t="b">
        <v>0</v>
      </c>
      <c r="I1014" s="6" t="b">
        <v>0</v>
      </c>
      <c r="J1014" s="8">
        <v>1695</v>
      </c>
      <c r="K1014" s="8">
        <v>85</v>
      </c>
      <c r="L1014" s="8">
        <v>477</v>
      </c>
      <c r="M1014" s="8">
        <v>6</v>
      </c>
      <c r="N1014" s="8">
        <v>5</v>
      </c>
      <c r="O1014" s="8">
        <v>34</v>
      </c>
      <c r="P1014" s="8">
        <v>88</v>
      </c>
      <c r="Q1014" s="8">
        <v>13</v>
      </c>
      <c r="R1014" s="8">
        <v>268</v>
      </c>
      <c r="S1014" s="8">
        <v>115</v>
      </c>
      <c r="T1014" s="3" t="s">
        <v>72</v>
      </c>
      <c r="U1014" s="10">
        <v>583</v>
      </c>
      <c r="V1014" s="32">
        <v>38</v>
      </c>
      <c r="W1014" s="27">
        <v>6.5180102915951971E-2</v>
      </c>
      <c r="X1014" s="34">
        <v>0</v>
      </c>
      <c r="Y1014" s="27">
        <v>0</v>
      </c>
      <c r="Z1014" s="27">
        <v>0</v>
      </c>
      <c r="AA1014" s="35">
        <v>24</v>
      </c>
      <c r="AB1014" s="27">
        <v>0.63157894736842102</v>
      </c>
      <c r="AC1014" s="27">
        <f t="shared" si="91"/>
        <v>4.1166380789022301E-2</v>
      </c>
      <c r="AD1014" s="36">
        <v>0</v>
      </c>
      <c r="AE1014" s="27">
        <v>0</v>
      </c>
      <c r="AF1014" s="27">
        <f t="shared" si="92"/>
        <v>0</v>
      </c>
      <c r="AG1014" s="37">
        <v>14</v>
      </c>
      <c r="AH1014" s="27">
        <v>0.36842105263157893</v>
      </c>
      <c r="AI1014" s="27">
        <f t="shared" si="93"/>
        <v>2.4013722126929673E-2</v>
      </c>
      <c r="AJ1014" s="38">
        <v>0</v>
      </c>
      <c r="AK1014" s="27">
        <v>0</v>
      </c>
      <c r="AL1014" s="27">
        <f t="shared" si="94"/>
        <v>0</v>
      </c>
      <c r="AM1014" s="40">
        <v>0</v>
      </c>
      <c r="AN1014" s="27">
        <v>0</v>
      </c>
      <c r="AO1014" s="27">
        <f t="shared" si="95"/>
        <v>0</v>
      </c>
      <c r="AP1014" s="7" t="b">
        <v>1</v>
      </c>
      <c r="AQ1014" s="6" t="b">
        <v>0</v>
      </c>
      <c r="AR1014" s="6" t="b">
        <v>0</v>
      </c>
      <c r="AS1014" s="6" t="b">
        <v>0</v>
      </c>
      <c r="AT1014" s="7" t="b">
        <v>1</v>
      </c>
      <c r="AU1014" s="6" t="b">
        <v>0</v>
      </c>
      <c r="AV1014" s="6" t="b">
        <v>0</v>
      </c>
      <c r="AW1014" s="6" t="b">
        <v>0</v>
      </c>
      <c r="AX1014" s="6" t="b">
        <v>0</v>
      </c>
      <c r="AY1014" s="6" t="b">
        <v>0</v>
      </c>
      <c r="AZ1014" s="6" t="b">
        <v>0</v>
      </c>
      <c r="BA1014" s="6" t="b">
        <v>0</v>
      </c>
      <c r="BB1014" s="6" t="b">
        <v>0</v>
      </c>
    </row>
    <row r="1015" spans="1:54" ht="15" x14ac:dyDescent="0.25">
      <c r="A1015" s="3" t="s">
        <v>2090</v>
      </c>
      <c r="B1015" s="3" t="str">
        <f ca="1">IFERROR(__xludf.DUMMYFUNCTION("SPLIT(A1015,""/"")"),"Tautulli")</f>
        <v>Tautulli</v>
      </c>
      <c r="C1015" s="3" t="str">
        <f ca="1">IFERROR(__xludf.DUMMYFUNCTION("""COMPUTED_VALUE"""),"Tautulli")</f>
        <v>Tautulli</v>
      </c>
      <c r="D1015" s="4" t="s">
        <v>2091</v>
      </c>
      <c r="E1015" s="5">
        <v>42057.691736111112</v>
      </c>
      <c r="F1015" s="5">
        <v>44294.50949074074</v>
      </c>
      <c r="G1015" s="13">
        <f t="shared" si="90"/>
        <v>2236.8177546296283</v>
      </c>
      <c r="H1015" s="6" t="b">
        <v>0</v>
      </c>
      <c r="I1015" s="7" t="b">
        <v>1</v>
      </c>
      <c r="J1015" s="8">
        <v>3828</v>
      </c>
      <c r="K1015" s="8">
        <v>260</v>
      </c>
      <c r="L1015" s="8">
        <v>510</v>
      </c>
      <c r="M1015" s="8">
        <v>179</v>
      </c>
      <c r="N1015" s="8">
        <v>169</v>
      </c>
      <c r="O1015" s="8">
        <v>60</v>
      </c>
      <c r="P1015" s="8">
        <v>374</v>
      </c>
      <c r="Q1015" s="8">
        <v>2</v>
      </c>
      <c r="R1015" s="8">
        <v>1028</v>
      </c>
      <c r="S1015" s="8">
        <v>7</v>
      </c>
      <c r="T1015" s="3" t="s">
        <v>49</v>
      </c>
      <c r="U1015" s="10">
        <v>146888</v>
      </c>
      <c r="V1015" s="32">
        <v>1706</v>
      </c>
      <c r="W1015" s="27">
        <v>1.1614291160612166E-2</v>
      </c>
      <c r="X1015" s="34">
        <v>529</v>
      </c>
      <c r="Y1015" s="27">
        <v>0.31008206330597887</v>
      </c>
      <c r="Z1015" s="27">
        <v>3.6013833669190131E-3</v>
      </c>
      <c r="AA1015" s="35">
        <v>251</v>
      </c>
      <c r="AB1015" s="27">
        <v>0.14712778429073858</v>
      </c>
      <c r="AC1015" s="27">
        <f t="shared" si="91"/>
        <v>1.7087849245683785E-3</v>
      </c>
      <c r="AD1015" s="36">
        <v>411</v>
      </c>
      <c r="AE1015" s="27">
        <v>0.24091441969519342</v>
      </c>
      <c r="AF1015" s="27">
        <f t="shared" si="92"/>
        <v>2.7980502151298951E-3</v>
      </c>
      <c r="AG1015" s="37">
        <v>323</v>
      </c>
      <c r="AH1015" s="27">
        <v>0.18933177022274325</v>
      </c>
      <c r="AI1015" s="27">
        <f t="shared" si="93"/>
        <v>2.1989543053210609E-3</v>
      </c>
      <c r="AJ1015" s="38">
        <v>3</v>
      </c>
      <c r="AK1015" s="27">
        <v>1.7584994138335288E-3</v>
      </c>
      <c r="AL1015" s="27">
        <f t="shared" si="94"/>
        <v>2.042372419802843E-5</v>
      </c>
      <c r="AM1015" s="40">
        <v>181</v>
      </c>
      <c r="AN1015" s="27">
        <v>0.10609613130128957</v>
      </c>
      <c r="AO1015" s="27">
        <f t="shared" si="95"/>
        <v>1.2322313599477152E-3</v>
      </c>
      <c r="AP1015" s="7" t="b">
        <v>1</v>
      </c>
      <c r="AQ1015" s="6" t="b">
        <v>0</v>
      </c>
      <c r="AR1015" s="6" t="b">
        <v>0</v>
      </c>
      <c r="AS1015" s="6" t="b">
        <v>0</v>
      </c>
      <c r="AT1015" s="7" t="b">
        <v>1</v>
      </c>
      <c r="AU1015" s="6" t="b">
        <v>0</v>
      </c>
      <c r="AV1015" s="6" t="b">
        <v>0</v>
      </c>
      <c r="AW1015" s="6" t="b">
        <v>0</v>
      </c>
      <c r="AX1015" s="6" t="b">
        <v>0</v>
      </c>
      <c r="AY1015" s="6" t="b">
        <v>0</v>
      </c>
      <c r="AZ1015" s="6" t="b">
        <v>0</v>
      </c>
      <c r="BA1015" s="6" t="b">
        <v>0</v>
      </c>
      <c r="BB1015" s="6" t="b">
        <v>0</v>
      </c>
    </row>
    <row r="1016" spans="1:54" ht="15" x14ac:dyDescent="0.25">
      <c r="A1016" s="3" t="s">
        <v>2092</v>
      </c>
      <c r="B1016" s="3" t="str">
        <f ca="1">IFERROR(__xludf.DUMMYFUNCTION("SPLIT(A1016,""/"")"),"taverntesting")</f>
        <v>taverntesting</v>
      </c>
      <c r="C1016" s="3" t="str">
        <f ca="1">IFERROR(__xludf.DUMMYFUNCTION("""COMPUTED_VALUE"""),"tavern")</f>
        <v>tavern</v>
      </c>
      <c r="D1016" s="4" t="s">
        <v>2093</v>
      </c>
      <c r="E1016" s="5">
        <v>43040.619039351855</v>
      </c>
      <c r="F1016" s="5">
        <v>44292.179513888892</v>
      </c>
      <c r="G1016" s="13">
        <f t="shared" si="90"/>
        <v>1251.5604745370365</v>
      </c>
      <c r="H1016" s="6" t="b">
        <v>0</v>
      </c>
      <c r="I1016" s="7" t="b">
        <v>1</v>
      </c>
      <c r="J1016" s="8">
        <v>764</v>
      </c>
      <c r="K1016" s="8">
        <v>27</v>
      </c>
      <c r="L1016" s="8">
        <v>146</v>
      </c>
      <c r="M1016" s="8">
        <v>0</v>
      </c>
      <c r="N1016" s="8">
        <v>0</v>
      </c>
      <c r="O1016" s="8">
        <v>41</v>
      </c>
      <c r="P1016" s="8">
        <v>194</v>
      </c>
      <c r="Q1016" s="8">
        <v>10</v>
      </c>
      <c r="R1016" s="8">
        <v>473</v>
      </c>
      <c r="S1016" s="8">
        <v>36</v>
      </c>
      <c r="T1016" s="3" t="s">
        <v>72</v>
      </c>
      <c r="U1016" s="10">
        <v>5513</v>
      </c>
      <c r="V1016" s="32">
        <v>149</v>
      </c>
      <c r="W1016" s="27">
        <v>2.7027027027027029E-2</v>
      </c>
      <c r="X1016" s="34">
        <v>78</v>
      </c>
      <c r="Y1016" s="27">
        <v>0.52348993288590606</v>
      </c>
      <c r="Z1016" s="27">
        <v>1.4148376564483946E-2</v>
      </c>
      <c r="AA1016" s="35">
        <v>21</v>
      </c>
      <c r="AB1016" s="27">
        <v>0.14093959731543623</v>
      </c>
      <c r="AC1016" s="27">
        <f t="shared" si="91"/>
        <v>3.8091783058226011E-3</v>
      </c>
      <c r="AD1016" s="36">
        <v>16</v>
      </c>
      <c r="AE1016" s="27">
        <v>0.10738255033557047</v>
      </c>
      <c r="AF1016" s="27">
        <f t="shared" si="92"/>
        <v>2.9022310901505532E-3</v>
      </c>
      <c r="AG1016" s="37">
        <v>33</v>
      </c>
      <c r="AH1016" s="27">
        <v>0.22147651006711411</v>
      </c>
      <c r="AI1016" s="27">
        <f t="shared" si="93"/>
        <v>5.9858516234355163E-3</v>
      </c>
      <c r="AJ1016" s="38">
        <v>1</v>
      </c>
      <c r="AK1016" s="27">
        <v>6.7114093959731542E-3</v>
      </c>
      <c r="AL1016" s="27">
        <f t="shared" si="94"/>
        <v>1.8138944313440957E-4</v>
      </c>
      <c r="AM1016" s="40">
        <v>0</v>
      </c>
      <c r="AN1016" s="27">
        <v>0</v>
      </c>
      <c r="AO1016" s="27">
        <f t="shared" si="95"/>
        <v>0</v>
      </c>
      <c r="AP1016" s="7" t="b">
        <v>1</v>
      </c>
      <c r="AQ1016" s="7" t="b">
        <v>1</v>
      </c>
      <c r="AR1016" s="6" t="b">
        <v>0</v>
      </c>
      <c r="AS1016" s="6" t="b">
        <v>0</v>
      </c>
      <c r="AT1016" s="7" t="b">
        <v>1</v>
      </c>
      <c r="AU1016" s="6" t="b">
        <v>0</v>
      </c>
      <c r="AV1016" s="6" t="b">
        <v>0</v>
      </c>
      <c r="AW1016" s="6" t="b">
        <v>0</v>
      </c>
      <c r="AX1016" s="6" t="b">
        <v>0</v>
      </c>
      <c r="AY1016" s="6" t="b">
        <v>0</v>
      </c>
      <c r="AZ1016" s="6" t="b">
        <v>0</v>
      </c>
      <c r="BA1016" s="6" t="b">
        <v>0</v>
      </c>
      <c r="BB1016" s="6" t="b">
        <v>0</v>
      </c>
    </row>
    <row r="1017" spans="1:54" ht="15" x14ac:dyDescent="0.25">
      <c r="A1017" s="3" t="s">
        <v>2094</v>
      </c>
      <c r="B1017" s="3" t="str">
        <f ca="1">IFERROR(__xludf.DUMMYFUNCTION("SPLIT(A1017,""/"")"),"tdryer")</f>
        <v>tdryer</v>
      </c>
      <c r="C1017" s="3" t="str">
        <f ca="1">IFERROR(__xludf.DUMMYFUNCTION("""COMPUTED_VALUE"""),"hangups")</f>
        <v>hangups</v>
      </c>
      <c r="D1017" s="4" t="s">
        <v>2095</v>
      </c>
      <c r="E1017" s="5">
        <v>41760.991944444446</v>
      </c>
      <c r="F1017" s="5">
        <v>44294.670486111114</v>
      </c>
      <c r="G1017" s="13">
        <f t="shared" si="90"/>
        <v>2533.678541666668</v>
      </c>
      <c r="H1017" s="6" t="b">
        <v>0</v>
      </c>
      <c r="I1017" s="6" t="b">
        <v>0</v>
      </c>
      <c r="J1017" s="8">
        <v>1732</v>
      </c>
      <c r="K1017" s="8">
        <v>79</v>
      </c>
      <c r="L1017" s="8">
        <v>183</v>
      </c>
      <c r="M1017" s="8">
        <v>0</v>
      </c>
      <c r="N1017" s="8">
        <v>23</v>
      </c>
      <c r="O1017" s="8">
        <v>47</v>
      </c>
      <c r="P1017" s="8">
        <v>151</v>
      </c>
      <c r="Q1017" s="8">
        <v>7</v>
      </c>
      <c r="R1017" s="8">
        <v>360</v>
      </c>
      <c r="S1017" s="8">
        <v>99</v>
      </c>
      <c r="T1017" s="3" t="s">
        <v>72</v>
      </c>
      <c r="U1017" s="10">
        <v>4553</v>
      </c>
      <c r="V1017" s="32">
        <v>86</v>
      </c>
      <c r="W1017" s="27">
        <v>1.8888644849549746E-2</v>
      </c>
      <c r="X1017" s="34">
        <v>12</v>
      </c>
      <c r="Y1017" s="27">
        <v>0.13953488372093023</v>
      </c>
      <c r="Z1017" s="27">
        <v>2.6356248627278718E-3</v>
      </c>
      <c r="AA1017" s="35">
        <v>44</v>
      </c>
      <c r="AB1017" s="27">
        <v>0.51162790697674421</v>
      </c>
      <c r="AC1017" s="27">
        <f t="shared" si="91"/>
        <v>9.6639578300021962E-3</v>
      </c>
      <c r="AD1017" s="36">
        <v>29</v>
      </c>
      <c r="AE1017" s="27">
        <v>0.33720930232558138</v>
      </c>
      <c r="AF1017" s="27">
        <f t="shared" si="92"/>
        <v>6.369426751592357E-3</v>
      </c>
      <c r="AG1017" s="37">
        <v>1</v>
      </c>
      <c r="AH1017" s="27">
        <v>1.1627906976744186E-2</v>
      </c>
      <c r="AI1017" s="27">
        <f t="shared" si="93"/>
        <v>2.1963540522732265E-4</v>
      </c>
      <c r="AJ1017" s="38">
        <v>0</v>
      </c>
      <c r="AK1017" s="27">
        <v>0</v>
      </c>
      <c r="AL1017" s="27">
        <f t="shared" si="94"/>
        <v>0</v>
      </c>
      <c r="AM1017" s="40">
        <v>0</v>
      </c>
      <c r="AN1017" s="27">
        <v>0</v>
      </c>
      <c r="AO1017" s="27">
        <f t="shared" si="95"/>
        <v>0</v>
      </c>
      <c r="AP1017" s="7" t="b">
        <v>1</v>
      </c>
      <c r="AQ1017" s="6" t="b">
        <v>0</v>
      </c>
      <c r="AR1017" s="6" t="b">
        <v>0</v>
      </c>
      <c r="AS1017" s="6" t="b">
        <v>0</v>
      </c>
      <c r="AT1017" s="7" t="b">
        <v>1</v>
      </c>
      <c r="AU1017" s="6" t="b">
        <v>0</v>
      </c>
      <c r="AV1017" s="6" t="b">
        <v>0</v>
      </c>
      <c r="AW1017" s="6" t="b">
        <v>0</v>
      </c>
      <c r="AX1017" s="6" t="b">
        <v>0</v>
      </c>
      <c r="AY1017" s="6" t="b">
        <v>0</v>
      </c>
      <c r="AZ1017" s="6" t="b">
        <v>0</v>
      </c>
      <c r="BA1017" s="6" t="b">
        <v>0</v>
      </c>
      <c r="BB1017" s="6" t="b">
        <v>0</v>
      </c>
    </row>
    <row r="1018" spans="1:54" ht="15" x14ac:dyDescent="0.25">
      <c r="A1018" s="3" t="s">
        <v>2096</v>
      </c>
      <c r="B1018" s="3" t="str">
        <f ca="1">IFERROR(__xludf.DUMMYFUNCTION("SPLIT(A1018,""/"")"),"Tecnativa")</f>
        <v>Tecnativa</v>
      </c>
      <c r="C1018" s="3" t="str">
        <f ca="1">IFERROR(__xludf.DUMMYFUNCTION("""COMPUTED_VALUE"""),"docker-socket-proxy")</f>
        <v>docker-socket-proxy</v>
      </c>
      <c r="D1018" s="4" t="s">
        <v>2097</v>
      </c>
      <c r="E1018" s="5">
        <v>42823.398449074077</v>
      </c>
      <c r="F1018" s="5">
        <v>44293.082824074074</v>
      </c>
      <c r="G1018" s="13">
        <f t="shared" si="90"/>
        <v>1469.6843749999971</v>
      </c>
      <c r="H1018" s="6" t="b">
        <v>0</v>
      </c>
      <c r="I1018" s="7" t="b">
        <v>1</v>
      </c>
      <c r="J1018" s="8">
        <v>435</v>
      </c>
      <c r="K1018" s="8">
        <v>21</v>
      </c>
      <c r="L1018" s="8">
        <v>68</v>
      </c>
      <c r="M1018" s="8">
        <v>2</v>
      </c>
      <c r="N1018" s="8">
        <v>0</v>
      </c>
      <c r="O1018" s="8">
        <v>9</v>
      </c>
      <c r="P1018" s="8">
        <v>21</v>
      </c>
      <c r="Q1018" s="8">
        <v>3</v>
      </c>
      <c r="R1018" s="8">
        <v>21</v>
      </c>
      <c r="S1018" s="8">
        <v>5</v>
      </c>
      <c r="T1018" s="3" t="s">
        <v>69</v>
      </c>
      <c r="U1018" s="10">
        <v>72</v>
      </c>
      <c r="V1018" s="32">
        <v>3</v>
      </c>
      <c r="W1018" s="27">
        <v>4.1666666666666664E-2</v>
      </c>
      <c r="X1018" s="34">
        <v>0</v>
      </c>
      <c r="Y1018" s="27">
        <v>0</v>
      </c>
      <c r="Z1018" s="27">
        <v>0</v>
      </c>
      <c r="AA1018" s="35">
        <v>2</v>
      </c>
      <c r="AB1018" s="27">
        <v>0.66666666666666663</v>
      </c>
      <c r="AC1018" s="27">
        <f t="shared" si="91"/>
        <v>2.7777777777777776E-2</v>
      </c>
      <c r="AD1018" s="36">
        <v>1</v>
      </c>
      <c r="AE1018" s="27">
        <v>0.33333333333333331</v>
      </c>
      <c r="AF1018" s="27">
        <f t="shared" si="92"/>
        <v>1.3888888888888888E-2</v>
      </c>
      <c r="AG1018" s="37">
        <v>0</v>
      </c>
      <c r="AH1018" s="27">
        <v>0</v>
      </c>
      <c r="AI1018" s="27">
        <f t="shared" si="93"/>
        <v>0</v>
      </c>
      <c r="AJ1018" s="38">
        <v>0</v>
      </c>
      <c r="AK1018" s="27">
        <v>0</v>
      </c>
      <c r="AL1018" s="27">
        <f t="shared" si="94"/>
        <v>0</v>
      </c>
      <c r="AM1018" s="40">
        <v>0</v>
      </c>
      <c r="AN1018" s="27">
        <v>0</v>
      </c>
      <c r="AO1018" s="27">
        <f t="shared" si="95"/>
        <v>0</v>
      </c>
      <c r="AP1018" s="7" t="b">
        <v>1</v>
      </c>
      <c r="AQ1018" s="6" t="b">
        <v>0</v>
      </c>
      <c r="AR1018" s="6" t="b">
        <v>0</v>
      </c>
      <c r="AS1018" s="6" t="b">
        <v>0</v>
      </c>
      <c r="AT1018" s="7" t="b">
        <v>1</v>
      </c>
      <c r="AU1018" s="6" t="b">
        <v>0</v>
      </c>
      <c r="AV1018" s="6" t="b">
        <v>0</v>
      </c>
      <c r="AW1018" s="6" t="b">
        <v>0</v>
      </c>
      <c r="AX1018" s="6" t="b">
        <v>0</v>
      </c>
      <c r="AY1018" s="6" t="b">
        <v>0</v>
      </c>
      <c r="AZ1018" s="6" t="b">
        <v>0</v>
      </c>
      <c r="BA1018" s="6" t="b">
        <v>0</v>
      </c>
      <c r="BB1018" s="6" t="b">
        <v>0</v>
      </c>
    </row>
    <row r="1019" spans="1:54" ht="15" x14ac:dyDescent="0.25">
      <c r="A1019" s="3" t="s">
        <v>2098</v>
      </c>
      <c r="B1019" s="3" t="str">
        <f ca="1">IFERROR(__xludf.DUMMYFUNCTION("SPLIT(A1019,""/"")"),"tensorflow")</f>
        <v>tensorflow</v>
      </c>
      <c r="C1019" s="3" t="str">
        <f ca="1">IFERROR(__xludf.DUMMYFUNCTION("""COMPUTED_VALUE"""),"data-validation")</f>
        <v>data-validation</v>
      </c>
      <c r="D1019" s="4" t="s">
        <v>2099</v>
      </c>
      <c r="E1019" s="5">
        <v>43283.65766203704</v>
      </c>
      <c r="F1019" s="5">
        <v>44294.731145833335</v>
      </c>
      <c r="G1019" s="13">
        <f t="shared" si="90"/>
        <v>1011.0734837962955</v>
      </c>
      <c r="H1019" s="6" t="b">
        <v>0</v>
      </c>
      <c r="I1019" s="7" t="b">
        <v>1</v>
      </c>
      <c r="J1019" s="8">
        <v>535</v>
      </c>
      <c r="K1019" s="8">
        <v>47</v>
      </c>
      <c r="L1019" s="8">
        <v>95</v>
      </c>
      <c r="M1019" s="8">
        <v>25</v>
      </c>
      <c r="N1019" s="8">
        <v>6</v>
      </c>
      <c r="O1019" s="8">
        <v>18</v>
      </c>
      <c r="P1019" s="8">
        <v>48</v>
      </c>
      <c r="Q1019" s="8">
        <v>4</v>
      </c>
      <c r="R1019" s="8">
        <v>116</v>
      </c>
      <c r="S1019" s="8">
        <v>34</v>
      </c>
      <c r="T1019" s="3" t="s">
        <v>69</v>
      </c>
      <c r="U1019" s="10">
        <v>9013</v>
      </c>
      <c r="V1019" s="32">
        <v>3</v>
      </c>
      <c r="W1019" s="27">
        <v>3.3285254632197937E-4</v>
      </c>
      <c r="X1019" s="34">
        <v>0</v>
      </c>
      <c r="Y1019" s="27">
        <v>0</v>
      </c>
      <c r="Z1019" s="27">
        <v>0</v>
      </c>
      <c r="AA1019" s="35">
        <v>1</v>
      </c>
      <c r="AB1019" s="27">
        <v>0.33333333333333331</v>
      </c>
      <c r="AC1019" s="27">
        <f t="shared" si="91"/>
        <v>1.1095084877399312E-4</v>
      </c>
      <c r="AD1019" s="36">
        <v>2</v>
      </c>
      <c r="AE1019" s="27">
        <v>0.66666666666666663</v>
      </c>
      <c r="AF1019" s="27">
        <f t="shared" si="92"/>
        <v>2.2190169754798624E-4</v>
      </c>
      <c r="AG1019" s="37">
        <v>0</v>
      </c>
      <c r="AH1019" s="27">
        <v>0</v>
      </c>
      <c r="AI1019" s="27">
        <f t="shared" si="93"/>
        <v>0</v>
      </c>
      <c r="AJ1019" s="38">
        <v>0</v>
      </c>
      <c r="AK1019" s="27">
        <v>0</v>
      </c>
      <c r="AL1019" s="27">
        <f t="shared" si="94"/>
        <v>0</v>
      </c>
      <c r="AM1019" s="40">
        <v>0</v>
      </c>
      <c r="AN1019" s="27">
        <v>0</v>
      </c>
      <c r="AO1019" s="27">
        <f t="shared" si="95"/>
        <v>0</v>
      </c>
      <c r="AP1019" s="6" t="b">
        <v>0</v>
      </c>
      <c r="AQ1019" s="7" t="b">
        <v>1</v>
      </c>
      <c r="AR1019" s="6" t="b">
        <v>0</v>
      </c>
      <c r="AS1019" s="6" t="b">
        <v>0</v>
      </c>
      <c r="AT1019" s="7" t="b">
        <v>1</v>
      </c>
      <c r="AU1019" s="6" t="b">
        <v>0</v>
      </c>
      <c r="AV1019" s="6" t="b">
        <v>0</v>
      </c>
      <c r="AW1019" s="6" t="b">
        <v>0</v>
      </c>
      <c r="AX1019" s="6" t="b">
        <v>0</v>
      </c>
      <c r="AY1019" s="6" t="b">
        <v>0</v>
      </c>
      <c r="AZ1019" s="6" t="b">
        <v>0</v>
      </c>
      <c r="BA1019" s="6" t="b">
        <v>0</v>
      </c>
      <c r="BB1019" s="6" t="b">
        <v>0</v>
      </c>
    </row>
    <row r="1020" spans="1:54" ht="15" x14ac:dyDescent="0.25">
      <c r="A1020" s="3" t="s">
        <v>2100</v>
      </c>
      <c r="B1020" s="3" t="str">
        <f ca="1">IFERROR(__xludf.DUMMYFUNCTION("SPLIT(A1020,""/"")"),"tensorflow")</f>
        <v>tensorflow</v>
      </c>
      <c r="C1020" s="3" t="str">
        <f ca="1">IFERROR(__xludf.DUMMYFUNCTION("""COMPUTED_VALUE"""),"federated")</f>
        <v>federated</v>
      </c>
      <c r="D1020" s="4" t="s">
        <v>2101</v>
      </c>
      <c r="E1020" s="5">
        <v>43446.969155092593</v>
      </c>
      <c r="F1020" s="5">
        <v>44295.168738425928</v>
      </c>
      <c r="G1020" s="13">
        <f t="shared" si="90"/>
        <v>848.19958333333489</v>
      </c>
      <c r="H1020" s="6" t="b">
        <v>0</v>
      </c>
      <c r="I1020" s="7" t="b">
        <v>1</v>
      </c>
      <c r="J1020" s="8">
        <v>1493</v>
      </c>
      <c r="K1020" s="8">
        <v>65</v>
      </c>
      <c r="L1020" s="8">
        <v>348</v>
      </c>
      <c r="M1020" s="8">
        <v>21</v>
      </c>
      <c r="N1020" s="8">
        <v>6</v>
      </c>
      <c r="O1020" s="8">
        <v>72</v>
      </c>
      <c r="P1020" s="8">
        <v>1080</v>
      </c>
      <c r="Q1020" s="8">
        <v>27</v>
      </c>
      <c r="R1020" s="8">
        <v>233</v>
      </c>
      <c r="S1020" s="8">
        <v>47</v>
      </c>
      <c r="T1020" s="3" t="s">
        <v>69</v>
      </c>
      <c r="U1020" s="10">
        <v>52322</v>
      </c>
      <c r="V1020" s="32">
        <v>87</v>
      </c>
      <c r="W1020" s="27">
        <v>1.6627804747524942E-3</v>
      </c>
      <c r="X1020" s="34">
        <v>24</v>
      </c>
      <c r="Y1020" s="27">
        <v>0.27586206896551724</v>
      </c>
      <c r="Z1020" s="27">
        <v>4.5869806200068806E-4</v>
      </c>
      <c r="AA1020" s="35">
        <v>42</v>
      </c>
      <c r="AB1020" s="27">
        <v>0.48275862068965519</v>
      </c>
      <c r="AC1020" s="27">
        <f t="shared" si="91"/>
        <v>8.0272160850120412E-4</v>
      </c>
      <c r="AD1020" s="36">
        <v>15</v>
      </c>
      <c r="AE1020" s="27">
        <v>0.17241379310344829</v>
      </c>
      <c r="AF1020" s="27">
        <f t="shared" si="92"/>
        <v>2.8668628875043001E-4</v>
      </c>
      <c r="AG1020" s="37">
        <v>6</v>
      </c>
      <c r="AH1020" s="27">
        <v>6.8965517241379309E-2</v>
      </c>
      <c r="AI1020" s="27">
        <f t="shared" si="93"/>
        <v>1.1467451550017202E-4</v>
      </c>
      <c r="AJ1020" s="38">
        <v>0</v>
      </c>
      <c r="AK1020" s="27">
        <v>0</v>
      </c>
      <c r="AL1020" s="27">
        <f t="shared" si="94"/>
        <v>0</v>
      </c>
      <c r="AM1020" s="40">
        <v>0</v>
      </c>
      <c r="AN1020" s="27">
        <v>0</v>
      </c>
      <c r="AO1020" s="27">
        <f t="shared" si="95"/>
        <v>0</v>
      </c>
      <c r="AP1020" s="7" t="b">
        <v>1</v>
      </c>
      <c r="AQ1020" s="6" t="b">
        <v>0</v>
      </c>
      <c r="AR1020" s="6" t="b">
        <v>0</v>
      </c>
      <c r="AS1020" s="6" t="b">
        <v>0</v>
      </c>
      <c r="AT1020" s="7" t="b">
        <v>1</v>
      </c>
      <c r="AU1020" s="6" t="b">
        <v>0</v>
      </c>
      <c r="AV1020" s="6" t="b">
        <v>0</v>
      </c>
      <c r="AW1020" s="6" t="b">
        <v>0</v>
      </c>
      <c r="AX1020" s="6" t="b">
        <v>0</v>
      </c>
      <c r="AY1020" s="6" t="b">
        <v>0</v>
      </c>
      <c r="AZ1020" s="6" t="b">
        <v>0</v>
      </c>
      <c r="BA1020" s="6" t="b">
        <v>0</v>
      </c>
      <c r="BB1020" s="6" t="b">
        <v>0</v>
      </c>
    </row>
    <row r="1021" spans="1:54" ht="15" x14ac:dyDescent="0.25">
      <c r="A1021" s="3" t="s">
        <v>2102</v>
      </c>
      <c r="B1021" s="3" t="str">
        <f ca="1">IFERROR(__xludf.DUMMYFUNCTION("SPLIT(A1021,""/"")"),"tensorflow")</f>
        <v>tensorflow</v>
      </c>
      <c r="C1021" s="3" t="str">
        <f ca="1">IFERROR(__xludf.DUMMYFUNCTION("""COMPUTED_VALUE"""),"model-optimization")</f>
        <v>model-optimization</v>
      </c>
      <c r="D1021" s="4" t="s">
        <v>2103</v>
      </c>
      <c r="E1021" s="5">
        <v>43404.857268518521</v>
      </c>
      <c r="F1021" s="5">
        <v>44293.736296296294</v>
      </c>
      <c r="G1021" s="13">
        <f t="shared" si="90"/>
        <v>888.87902777777344</v>
      </c>
      <c r="H1021" s="6" t="b">
        <v>0</v>
      </c>
      <c r="I1021" s="7" t="b">
        <v>1</v>
      </c>
      <c r="J1021" s="8">
        <v>1018</v>
      </c>
      <c r="K1021" s="8">
        <v>131</v>
      </c>
      <c r="L1021" s="8">
        <v>225</v>
      </c>
      <c r="M1021" s="8">
        <v>13</v>
      </c>
      <c r="N1021" s="8">
        <v>3</v>
      </c>
      <c r="O1021" s="8">
        <v>44</v>
      </c>
      <c r="P1021" s="8">
        <v>485</v>
      </c>
      <c r="Q1021" s="8">
        <v>20</v>
      </c>
      <c r="R1021" s="8">
        <v>175</v>
      </c>
      <c r="S1021" s="8">
        <v>73</v>
      </c>
      <c r="T1021" s="3" t="s">
        <v>69</v>
      </c>
      <c r="U1021" s="10">
        <v>15611</v>
      </c>
      <c r="V1021" s="32">
        <v>2</v>
      </c>
      <c r="W1021" s="27">
        <v>1.2811479085260395E-4</v>
      </c>
      <c r="X1021" s="34">
        <v>0</v>
      </c>
      <c r="Y1021" s="27">
        <v>0</v>
      </c>
      <c r="Z1021" s="27">
        <v>0</v>
      </c>
      <c r="AA1021" s="35">
        <v>0</v>
      </c>
      <c r="AB1021" s="27">
        <v>0</v>
      </c>
      <c r="AC1021" s="27">
        <f t="shared" si="91"/>
        <v>0</v>
      </c>
      <c r="AD1021" s="36">
        <v>2</v>
      </c>
      <c r="AE1021" s="27">
        <v>1</v>
      </c>
      <c r="AF1021" s="27">
        <f t="shared" si="92"/>
        <v>1.2811479085260395E-4</v>
      </c>
      <c r="AG1021" s="37">
        <v>0</v>
      </c>
      <c r="AH1021" s="27">
        <v>0</v>
      </c>
      <c r="AI1021" s="27">
        <f t="shared" si="93"/>
        <v>0</v>
      </c>
      <c r="AJ1021" s="38">
        <v>0</v>
      </c>
      <c r="AK1021" s="27">
        <v>0</v>
      </c>
      <c r="AL1021" s="27">
        <f t="shared" si="94"/>
        <v>0</v>
      </c>
      <c r="AM1021" s="40">
        <v>0</v>
      </c>
      <c r="AN1021" s="27">
        <v>0</v>
      </c>
      <c r="AO1021" s="27">
        <f t="shared" si="95"/>
        <v>0</v>
      </c>
      <c r="AP1021" s="7" t="b">
        <v>1</v>
      </c>
      <c r="AQ1021" s="6" t="b">
        <v>0</v>
      </c>
      <c r="AR1021" s="6" t="b">
        <v>0</v>
      </c>
      <c r="AS1021" s="6" t="b">
        <v>0</v>
      </c>
      <c r="AT1021" s="7" t="b">
        <v>1</v>
      </c>
      <c r="AU1021" s="6" t="b">
        <v>0</v>
      </c>
      <c r="AV1021" s="6" t="b">
        <v>0</v>
      </c>
      <c r="AW1021" s="6" t="b">
        <v>0</v>
      </c>
      <c r="AX1021" s="6" t="b">
        <v>0</v>
      </c>
      <c r="AY1021" s="6" t="b">
        <v>0</v>
      </c>
      <c r="AZ1021" s="6" t="b">
        <v>0</v>
      </c>
      <c r="BA1021" s="6" t="b">
        <v>0</v>
      </c>
      <c r="BB1021" s="6" t="b">
        <v>0</v>
      </c>
    </row>
    <row r="1022" spans="1:54" ht="15" x14ac:dyDescent="0.25">
      <c r="A1022" s="3" t="s">
        <v>2104</v>
      </c>
      <c r="B1022" s="3" t="str">
        <f ca="1">IFERROR(__xludf.DUMMYFUNCTION("SPLIT(A1022,""/"")"),"tensorflow")</f>
        <v>tensorflow</v>
      </c>
      <c r="C1022" s="3" t="str">
        <f ca="1">IFERROR(__xludf.DUMMYFUNCTION("""COMPUTED_VALUE"""),"models")</f>
        <v>models</v>
      </c>
      <c r="D1022" s="4" t="s">
        <v>2105</v>
      </c>
      <c r="E1022" s="5">
        <v>42405.052314814813</v>
      </c>
      <c r="F1022" s="5">
        <v>44295.156030092592</v>
      </c>
      <c r="G1022" s="13">
        <f t="shared" si="90"/>
        <v>1890.103715277779</v>
      </c>
      <c r="H1022" s="6" t="b">
        <v>0</v>
      </c>
      <c r="I1022" s="7" t="b">
        <v>1</v>
      </c>
      <c r="J1022" s="8">
        <v>69409</v>
      </c>
      <c r="K1022" s="8">
        <v>2959</v>
      </c>
      <c r="L1022" s="8">
        <v>41646</v>
      </c>
      <c r="M1022" s="8">
        <v>14</v>
      </c>
      <c r="N1022" s="8">
        <v>160</v>
      </c>
      <c r="O1022" s="8">
        <v>709</v>
      </c>
      <c r="P1022" s="8">
        <v>3433</v>
      </c>
      <c r="Q1022" s="8">
        <v>157</v>
      </c>
      <c r="R1022" s="8">
        <v>6322</v>
      </c>
      <c r="S1022" s="8">
        <v>990</v>
      </c>
      <c r="T1022" s="3" t="s">
        <v>69</v>
      </c>
      <c r="U1022" s="10">
        <v>160998</v>
      </c>
      <c r="V1022" s="32">
        <v>1052</v>
      </c>
      <c r="W1022" s="27">
        <v>6.5342426613995202E-3</v>
      </c>
      <c r="X1022" s="34">
        <v>9</v>
      </c>
      <c r="Y1022" s="27">
        <v>8.555133079847909E-3</v>
      </c>
      <c r="Z1022" s="27">
        <v>5.5901315544292476E-5</v>
      </c>
      <c r="AA1022" s="35">
        <v>892</v>
      </c>
      <c r="AB1022" s="27">
        <v>0.84790874524714832</v>
      </c>
      <c r="AC1022" s="27">
        <f t="shared" si="91"/>
        <v>5.540441496167654E-3</v>
      </c>
      <c r="AD1022" s="36">
        <v>105</v>
      </c>
      <c r="AE1022" s="27">
        <v>9.9809885931558942E-2</v>
      </c>
      <c r="AF1022" s="27">
        <f t="shared" si="92"/>
        <v>6.5218201468341221E-4</v>
      </c>
      <c r="AG1022" s="37">
        <v>17</v>
      </c>
      <c r="AH1022" s="27">
        <v>1.6159695817490494E-2</v>
      </c>
      <c r="AI1022" s="27">
        <f t="shared" si="93"/>
        <v>1.0559137380588579E-4</v>
      </c>
      <c r="AJ1022" s="38">
        <v>2</v>
      </c>
      <c r="AK1022" s="27">
        <v>1.9011406844106464E-3</v>
      </c>
      <c r="AL1022" s="27">
        <f t="shared" si="94"/>
        <v>1.2422514565398328E-5</v>
      </c>
      <c r="AM1022" s="40">
        <v>31</v>
      </c>
      <c r="AN1022" s="27">
        <v>2.9467680608365018E-2</v>
      </c>
      <c r="AO1022" s="27">
        <f t="shared" si="95"/>
        <v>1.9254897576367408E-4</v>
      </c>
      <c r="AP1022" s="7" t="b">
        <v>1</v>
      </c>
      <c r="AQ1022" s="6" t="b">
        <v>0</v>
      </c>
      <c r="AR1022" s="6" t="b">
        <v>0</v>
      </c>
      <c r="AS1022" s="6" t="b">
        <v>0</v>
      </c>
      <c r="AT1022" s="7" t="b">
        <v>1</v>
      </c>
      <c r="AU1022" s="6" t="b">
        <v>0</v>
      </c>
      <c r="AV1022" s="6" t="b">
        <v>0</v>
      </c>
      <c r="AW1022" s="6" t="b">
        <v>0</v>
      </c>
      <c r="AX1022" s="6" t="b">
        <v>0</v>
      </c>
      <c r="AY1022" s="6" t="b">
        <v>0</v>
      </c>
      <c r="AZ1022" s="6" t="b">
        <v>0</v>
      </c>
      <c r="BA1022" s="6" t="b">
        <v>0</v>
      </c>
      <c r="BB1022" s="6" t="b">
        <v>0</v>
      </c>
    </row>
    <row r="1023" spans="1:54" ht="15" x14ac:dyDescent="0.25">
      <c r="A1023" s="3" t="s">
        <v>2106</v>
      </c>
      <c r="B1023" s="3" t="str">
        <f ca="1">IFERROR(__xludf.DUMMYFUNCTION("SPLIT(A1023,""/"")"),"tensorflow")</f>
        <v>tensorflow</v>
      </c>
      <c r="C1023" s="3" t="str">
        <f ca="1">IFERROR(__xludf.DUMMYFUNCTION("""COMPUTED_VALUE"""),"tfx")</f>
        <v>tfx</v>
      </c>
      <c r="D1023" s="4" t="s">
        <v>2107</v>
      </c>
      <c r="E1023" s="5">
        <v>43500.718472222223</v>
      </c>
      <c r="F1023" s="5">
        <v>44294.865358796298</v>
      </c>
      <c r="G1023" s="13">
        <f t="shared" si="90"/>
        <v>794.14688657407532</v>
      </c>
      <c r="H1023" s="6" t="b">
        <v>0</v>
      </c>
      <c r="I1023" s="7" t="b">
        <v>1</v>
      </c>
      <c r="J1023" s="8">
        <v>1379</v>
      </c>
      <c r="K1023" s="8">
        <v>97</v>
      </c>
      <c r="L1023" s="8">
        <v>411</v>
      </c>
      <c r="M1023" s="8">
        <v>42</v>
      </c>
      <c r="N1023" s="8">
        <v>6</v>
      </c>
      <c r="O1023" s="8">
        <v>100</v>
      </c>
      <c r="P1023" s="8">
        <v>2950</v>
      </c>
      <c r="Q1023" s="8">
        <v>43</v>
      </c>
      <c r="R1023" s="8">
        <v>549</v>
      </c>
      <c r="S1023" s="8">
        <v>209</v>
      </c>
      <c r="T1023" s="3" t="s">
        <v>69</v>
      </c>
      <c r="U1023" s="10">
        <v>44243</v>
      </c>
      <c r="V1023" s="32">
        <v>477</v>
      </c>
      <c r="W1023" s="27">
        <v>1.0781366543860046E-2</v>
      </c>
      <c r="X1023" s="34">
        <v>47</v>
      </c>
      <c r="Y1023" s="27">
        <v>9.853249475890985E-2</v>
      </c>
      <c r="Z1023" s="27">
        <v>1.0623149424767761E-3</v>
      </c>
      <c r="AA1023" s="35">
        <v>339</v>
      </c>
      <c r="AB1023" s="27">
        <v>0.71069182389937102</v>
      </c>
      <c r="AC1023" s="27">
        <f t="shared" si="91"/>
        <v>7.6622290531835544E-3</v>
      </c>
      <c r="AD1023" s="36">
        <v>59</v>
      </c>
      <c r="AE1023" s="27">
        <v>0.12368972746331237</v>
      </c>
      <c r="AF1023" s="27">
        <f t="shared" si="92"/>
        <v>1.3335442894921231E-3</v>
      </c>
      <c r="AG1023" s="37">
        <v>32</v>
      </c>
      <c r="AH1023" s="27">
        <v>6.7085953878406712E-2</v>
      </c>
      <c r="AI1023" s="27">
        <f t="shared" si="93"/>
        <v>7.2327825870759218E-4</v>
      </c>
      <c r="AJ1023" s="38">
        <v>0</v>
      </c>
      <c r="AK1023" s="27">
        <v>0</v>
      </c>
      <c r="AL1023" s="27">
        <f t="shared" si="94"/>
        <v>0</v>
      </c>
      <c r="AM1023" s="40">
        <v>0</v>
      </c>
      <c r="AN1023" s="27">
        <v>0</v>
      </c>
      <c r="AO1023" s="27">
        <f t="shared" si="95"/>
        <v>0</v>
      </c>
      <c r="AP1023" s="7" t="b">
        <v>1</v>
      </c>
      <c r="AQ1023" s="7" t="b">
        <v>1</v>
      </c>
      <c r="AR1023" s="6" t="b">
        <v>0</v>
      </c>
      <c r="AS1023" s="6" t="b">
        <v>0</v>
      </c>
      <c r="AT1023" s="7" t="b">
        <v>1</v>
      </c>
      <c r="AU1023" s="6" t="b">
        <v>0</v>
      </c>
      <c r="AV1023" s="6" t="b">
        <v>0</v>
      </c>
      <c r="AW1023" s="6" t="b">
        <v>0</v>
      </c>
      <c r="AX1023" s="6" t="b">
        <v>0</v>
      </c>
      <c r="AY1023" s="6" t="b">
        <v>0</v>
      </c>
      <c r="AZ1023" s="6" t="b">
        <v>0</v>
      </c>
      <c r="BA1023" s="6" t="b">
        <v>0</v>
      </c>
      <c r="BB1023" s="6" t="b">
        <v>0</v>
      </c>
    </row>
    <row r="1024" spans="1:54" ht="15" x14ac:dyDescent="0.25">
      <c r="A1024" s="3" t="s">
        <v>2108</v>
      </c>
      <c r="B1024" s="3" t="str">
        <f ca="1">IFERROR(__xludf.DUMMYFUNCTION("SPLIT(A1024,""/"")"),"tensorlayer")</f>
        <v>tensorlayer</v>
      </c>
      <c r="C1024" s="3" t="str">
        <f ca="1">IFERROR(__xludf.DUMMYFUNCTION("""COMPUTED_VALUE"""),"hyperpose")</f>
        <v>hyperpose</v>
      </c>
      <c r="D1024" s="4" t="s">
        <v>2109</v>
      </c>
      <c r="E1024" s="5">
        <v>43337.416076388887</v>
      </c>
      <c r="F1024" s="5">
        <v>44293.266388888886</v>
      </c>
      <c r="G1024" s="13">
        <f t="shared" si="90"/>
        <v>955.85031249999884</v>
      </c>
      <c r="H1024" s="6" t="b">
        <v>0</v>
      </c>
      <c r="I1024" s="7" t="b">
        <v>1</v>
      </c>
      <c r="J1024" s="8">
        <v>969</v>
      </c>
      <c r="K1024" s="8">
        <v>53</v>
      </c>
      <c r="L1024" s="8">
        <v>247</v>
      </c>
      <c r="M1024" s="8">
        <v>3</v>
      </c>
      <c r="N1024" s="8">
        <v>3</v>
      </c>
      <c r="O1024" s="8">
        <v>18</v>
      </c>
      <c r="P1024" s="8">
        <v>179</v>
      </c>
      <c r="Q1024" s="8">
        <v>1</v>
      </c>
      <c r="R1024" s="8">
        <v>170</v>
      </c>
      <c r="S1024" s="8">
        <v>24</v>
      </c>
      <c r="T1024" s="11" t="s">
        <v>52</v>
      </c>
      <c r="U1024" s="10">
        <v>8039</v>
      </c>
      <c r="V1024" s="32">
        <v>24</v>
      </c>
      <c r="W1024" s="27">
        <v>2.9854459509889289E-3</v>
      </c>
      <c r="X1024" s="34">
        <v>0</v>
      </c>
      <c r="Y1024" s="27">
        <v>0</v>
      </c>
      <c r="Z1024" s="27">
        <v>0</v>
      </c>
      <c r="AA1024" s="35">
        <v>24</v>
      </c>
      <c r="AB1024" s="27">
        <v>1</v>
      </c>
      <c r="AC1024" s="27">
        <f t="shared" si="91"/>
        <v>2.9854459509889289E-3</v>
      </c>
      <c r="AD1024" s="36">
        <v>0</v>
      </c>
      <c r="AE1024" s="27">
        <v>0</v>
      </c>
      <c r="AF1024" s="27">
        <f t="shared" si="92"/>
        <v>0</v>
      </c>
      <c r="AG1024" s="37">
        <v>0</v>
      </c>
      <c r="AH1024" s="27">
        <v>0</v>
      </c>
      <c r="AI1024" s="27">
        <f t="shared" si="93"/>
        <v>0</v>
      </c>
      <c r="AJ1024" s="38">
        <v>0</v>
      </c>
      <c r="AK1024" s="27">
        <v>0</v>
      </c>
      <c r="AL1024" s="27">
        <f t="shared" si="94"/>
        <v>0</v>
      </c>
      <c r="AM1024" s="40">
        <v>0</v>
      </c>
      <c r="AN1024" s="27">
        <v>0</v>
      </c>
      <c r="AO1024" s="27">
        <f t="shared" si="95"/>
        <v>0</v>
      </c>
      <c r="AP1024" s="7" t="b">
        <v>1</v>
      </c>
      <c r="AQ1024" s="6" t="b">
        <v>0</v>
      </c>
      <c r="AR1024" s="6" t="b">
        <v>0</v>
      </c>
      <c r="AS1024" s="6" t="b">
        <v>0</v>
      </c>
      <c r="AT1024" s="7" t="b">
        <v>1</v>
      </c>
      <c r="AU1024" s="6" t="b">
        <v>0</v>
      </c>
      <c r="AV1024" s="6" t="b">
        <v>0</v>
      </c>
      <c r="AW1024" s="6" t="b">
        <v>0</v>
      </c>
      <c r="AX1024" s="6" t="b">
        <v>0</v>
      </c>
      <c r="AY1024" s="6" t="b">
        <v>0</v>
      </c>
      <c r="AZ1024" s="6" t="b">
        <v>0</v>
      </c>
      <c r="BA1024" s="6" t="b">
        <v>0</v>
      </c>
      <c r="BB1024" s="6" t="b">
        <v>0</v>
      </c>
    </row>
    <row r="1025" spans="1:54" ht="15" x14ac:dyDescent="0.25">
      <c r="A1025" s="3" t="s">
        <v>2110</v>
      </c>
      <c r="B1025" s="3" t="str">
        <f ca="1">IFERROR(__xludf.DUMMYFUNCTION("SPLIT(A1025,""/"")"),"tensorlayer")</f>
        <v>tensorlayer</v>
      </c>
      <c r="C1025" s="3" t="str">
        <f ca="1">IFERROR(__xludf.DUMMYFUNCTION("""COMPUTED_VALUE"""),"tensorlayer")</f>
        <v>tensorlayer</v>
      </c>
      <c r="D1025" s="4" t="s">
        <v>2111</v>
      </c>
      <c r="E1025" s="5">
        <v>42528.66337962963</v>
      </c>
      <c r="F1025" s="5">
        <v>44294.853182870371</v>
      </c>
      <c r="G1025" s="13">
        <f t="shared" si="90"/>
        <v>1766.1898032407407</v>
      </c>
      <c r="H1025" s="6" t="b">
        <v>0</v>
      </c>
      <c r="I1025" s="7" t="b">
        <v>1</v>
      </c>
      <c r="J1025" s="8">
        <v>6547</v>
      </c>
      <c r="K1025" s="8">
        <v>462</v>
      </c>
      <c r="L1025" s="8">
        <v>1446</v>
      </c>
      <c r="M1025" s="8">
        <v>75</v>
      </c>
      <c r="N1025" s="8">
        <v>32</v>
      </c>
      <c r="O1025" s="8">
        <v>90</v>
      </c>
      <c r="P1025" s="8">
        <v>678</v>
      </c>
      <c r="Q1025" s="8">
        <v>5</v>
      </c>
      <c r="R1025" s="8">
        <v>448</v>
      </c>
      <c r="S1025" s="8">
        <v>15</v>
      </c>
      <c r="T1025" s="3" t="s">
        <v>92</v>
      </c>
      <c r="U1025" s="10">
        <v>25793</v>
      </c>
      <c r="V1025" s="32">
        <v>415</v>
      </c>
      <c r="W1025" s="27">
        <v>1.6089636723141936E-2</v>
      </c>
      <c r="X1025" s="34">
        <v>19</v>
      </c>
      <c r="Y1025" s="27">
        <v>4.5783132530120479E-2</v>
      </c>
      <c r="Z1025" s="27">
        <v>7.3663397045710074E-4</v>
      </c>
      <c r="AA1025" s="35">
        <v>367</v>
      </c>
      <c r="AB1025" s="27">
        <v>0.88433734939759034</v>
      </c>
      <c r="AC1025" s="27">
        <f t="shared" si="91"/>
        <v>1.4228666692513473E-2</v>
      </c>
      <c r="AD1025" s="36">
        <v>21</v>
      </c>
      <c r="AE1025" s="27">
        <v>5.0602409638554217E-2</v>
      </c>
      <c r="AF1025" s="27">
        <f t="shared" si="92"/>
        <v>8.1417438839995345E-4</v>
      </c>
      <c r="AG1025" s="37">
        <v>4</v>
      </c>
      <c r="AH1025" s="27">
        <v>9.6385542168674707E-3</v>
      </c>
      <c r="AI1025" s="27">
        <f t="shared" si="93"/>
        <v>1.5508083588570542E-4</v>
      </c>
      <c r="AJ1025" s="38">
        <v>3</v>
      </c>
      <c r="AK1025" s="27">
        <v>7.2289156626506026E-3</v>
      </c>
      <c r="AL1025" s="27">
        <f t="shared" si="94"/>
        <v>1.1631062691427906E-4</v>
      </c>
      <c r="AM1025" s="40">
        <v>0</v>
      </c>
      <c r="AN1025" s="27">
        <v>0</v>
      </c>
      <c r="AO1025" s="27">
        <f t="shared" si="95"/>
        <v>0</v>
      </c>
      <c r="AP1025" s="7" t="b">
        <v>1</v>
      </c>
      <c r="AQ1025" s="6" t="b">
        <v>0</v>
      </c>
      <c r="AR1025" s="6" t="b">
        <v>0</v>
      </c>
      <c r="AS1025" s="6" t="b">
        <v>0</v>
      </c>
      <c r="AT1025" s="7" t="b">
        <v>1</v>
      </c>
      <c r="AU1025" s="6" t="b">
        <v>0</v>
      </c>
      <c r="AV1025" s="6" t="b">
        <v>0</v>
      </c>
      <c r="AW1025" s="6" t="b">
        <v>0</v>
      </c>
      <c r="AX1025" s="6" t="b">
        <v>0</v>
      </c>
      <c r="AY1025" s="6" t="b">
        <v>0</v>
      </c>
      <c r="AZ1025" s="6" t="b">
        <v>0</v>
      </c>
      <c r="BA1025" s="6" t="b">
        <v>0</v>
      </c>
      <c r="BB1025" s="6" t="b">
        <v>0</v>
      </c>
    </row>
    <row r="1026" spans="1:54" ht="15" x14ac:dyDescent="0.25">
      <c r="A1026" s="3" t="s">
        <v>2112</v>
      </c>
      <c r="B1026" s="3" t="str">
        <f ca="1">IFERROR(__xludf.DUMMYFUNCTION("SPLIT(A1026,""/"")"),"TensorSpeech")</f>
        <v>TensorSpeech</v>
      </c>
      <c r="C1026" s="3" t="str">
        <f ca="1">IFERROR(__xludf.DUMMYFUNCTION("""COMPUTED_VALUE"""),"TensorFlowTTS")</f>
        <v>TensorFlowTTS</v>
      </c>
      <c r="D1026" s="4" t="s">
        <v>2113</v>
      </c>
      <c r="E1026" s="5">
        <v>43912.155671296299</v>
      </c>
      <c r="F1026" s="5">
        <v>44294.400393518517</v>
      </c>
      <c r="G1026" s="13">
        <f t="shared" si="90"/>
        <v>382.24472222221812</v>
      </c>
      <c r="H1026" s="6" t="b">
        <v>0</v>
      </c>
      <c r="I1026" s="7" t="b">
        <v>1</v>
      </c>
      <c r="J1026" s="8">
        <v>1787</v>
      </c>
      <c r="K1026" s="8">
        <v>67</v>
      </c>
      <c r="L1026" s="8">
        <v>337</v>
      </c>
      <c r="M1026" s="8">
        <v>5</v>
      </c>
      <c r="N1026" s="8">
        <v>7</v>
      </c>
      <c r="O1026" s="8">
        <v>25</v>
      </c>
      <c r="P1026" s="8">
        <v>98</v>
      </c>
      <c r="Q1026" s="8">
        <v>0</v>
      </c>
      <c r="R1026" s="8">
        <v>440</v>
      </c>
      <c r="S1026" s="8">
        <v>32</v>
      </c>
      <c r="T1026" s="3" t="s">
        <v>69</v>
      </c>
      <c r="U1026" s="10">
        <v>7864</v>
      </c>
      <c r="V1026" s="32">
        <v>80</v>
      </c>
      <c r="W1026" s="27">
        <v>1.0172939979654121E-2</v>
      </c>
      <c r="X1026" s="34">
        <v>0</v>
      </c>
      <c r="Y1026" s="27">
        <v>0</v>
      </c>
      <c r="Z1026" s="27">
        <v>0</v>
      </c>
      <c r="AA1026" s="35">
        <v>59</v>
      </c>
      <c r="AB1026" s="27">
        <v>0.73750000000000004</v>
      </c>
      <c r="AC1026" s="27">
        <f t="shared" si="91"/>
        <v>7.5025432349949137E-3</v>
      </c>
      <c r="AD1026" s="36">
        <v>21</v>
      </c>
      <c r="AE1026" s="27">
        <v>0.26250000000000001</v>
      </c>
      <c r="AF1026" s="27">
        <f t="shared" si="92"/>
        <v>2.6703967446592065E-3</v>
      </c>
      <c r="AG1026" s="37">
        <v>0</v>
      </c>
      <c r="AH1026" s="27">
        <v>0</v>
      </c>
      <c r="AI1026" s="27">
        <f t="shared" si="93"/>
        <v>0</v>
      </c>
      <c r="AJ1026" s="38">
        <v>0</v>
      </c>
      <c r="AK1026" s="27">
        <v>0</v>
      </c>
      <c r="AL1026" s="27">
        <f t="shared" si="94"/>
        <v>0</v>
      </c>
      <c r="AM1026" s="40">
        <v>0</v>
      </c>
      <c r="AN1026" s="27">
        <v>0</v>
      </c>
      <c r="AO1026" s="27">
        <f t="shared" si="95"/>
        <v>0</v>
      </c>
      <c r="AP1026" s="7" t="b">
        <v>1</v>
      </c>
      <c r="AQ1026" s="7" t="b">
        <v>1</v>
      </c>
      <c r="AR1026" s="6" t="b">
        <v>0</v>
      </c>
      <c r="AS1026" s="6" t="b">
        <v>0</v>
      </c>
      <c r="AT1026" s="7" t="b">
        <v>1</v>
      </c>
      <c r="AU1026" s="6" t="b">
        <v>0</v>
      </c>
      <c r="AV1026" s="6" t="b">
        <v>0</v>
      </c>
      <c r="AW1026" s="6" t="b">
        <v>0</v>
      </c>
      <c r="AX1026" s="6" t="b">
        <v>0</v>
      </c>
      <c r="AY1026" s="6" t="b">
        <v>0</v>
      </c>
      <c r="AZ1026" s="6" t="b">
        <v>0</v>
      </c>
      <c r="BA1026" s="6" t="b">
        <v>0</v>
      </c>
      <c r="BB1026" s="6" t="b">
        <v>0</v>
      </c>
    </row>
    <row r="1027" spans="1:54" ht="15" x14ac:dyDescent="0.25">
      <c r="A1027" s="3" t="s">
        <v>2114</v>
      </c>
      <c r="B1027" s="3" t="str">
        <f ca="1">IFERROR(__xludf.DUMMYFUNCTION("SPLIT(A1027,""/"")"),"tensortrade-org")</f>
        <v>tensortrade-org</v>
      </c>
      <c r="C1027" s="3" t="str">
        <f ca="1">IFERROR(__xludf.DUMMYFUNCTION("""COMPUTED_VALUE"""),"tensortrade")</f>
        <v>tensortrade</v>
      </c>
      <c r="D1027" s="4" t="s">
        <v>2115</v>
      </c>
      <c r="E1027" s="5">
        <v>43676.894814814812</v>
      </c>
      <c r="F1027" s="5">
        <v>44295.169189814813</v>
      </c>
      <c r="G1027" s="13">
        <f t="shared" ref="G1027:G1090" si="96">F1027-E1027</f>
        <v>618.27437500000087</v>
      </c>
      <c r="H1027" s="6" t="b">
        <v>0</v>
      </c>
      <c r="I1027" s="7" t="b">
        <v>1</v>
      </c>
      <c r="J1027" s="8">
        <v>3088</v>
      </c>
      <c r="K1027" s="8">
        <v>231</v>
      </c>
      <c r="L1027" s="8">
        <v>682</v>
      </c>
      <c r="M1027" s="8">
        <v>5</v>
      </c>
      <c r="N1027" s="8">
        <v>8</v>
      </c>
      <c r="O1027" s="8">
        <v>38</v>
      </c>
      <c r="P1027" s="8">
        <v>154</v>
      </c>
      <c r="Q1027" s="8">
        <v>6</v>
      </c>
      <c r="R1027" s="8">
        <v>163</v>
      </c>
      <c r="S1027" s="8">
        <v>21</v>
      </c>
      <c r="T1027" s="3" t="s">
        <v>69</v>
      </c>
      <c r="U1027" s="10">
        <v>7559</v>
      </c>
      <c r="V1027" s="32">
        <v>4</v>
      </c>
      <c r="W1027" s="27">
        <v>5.2917052520174627E-4</v>
      </c>
      <c r="X1027" s="34">
        <v>0</v>
      </c>
      <c r="Y1027" s="27">
        <v>0</v>
      </c>
      <c r="Z1027" s="27">
        <v>0</v>
      </c>
      <c r="AA1027" s="35">
        <v>2</v>
      </c>
      <c r="AB1027" s="27">
        <v>0.5</v>
      </c>
      <c r="AC1027" s="27">
        <f t="shared" ref="AC1027:AC1090" si="97">AA1027/U1027</f>
        <v>2.6458526260087314E-4</v>
      </c>
      <c r="AD1027" s="36">
        <v>2</v>
      </c>
      <c r="AE1027" s="27">
        <v>0.5</v>
      </c>
      <c r="AF1027" s="27">
        <f t="shared" ref="AF1027:AF1090" si="98">AD1027/U1027</f>
        <v>2.6458526260087314E-4</v>
      </c>
      <c r="AG1027" s="37">
        <v>0</v>
      </c>
      <c r="AH1027" s="27">
        <v>0</v>
      </c>
      <c r="AI1027" s="27">
        <f t="shared" ref="AI1027:AI1090" si="99">AG1027/U1027</f>
        <v>0</v>
      </c>
      <c r="AJ1027" s="38">
        <v>0</v>
      </c>
      <c r="AK1027" s="27">
        <v>0</v>
      </c>
      <c r="AL1027" s="27">
        <f t="shared" ref="AL1027:AL1090" si="100">AJ1027/U1027</f>
        <v>0</v>
      </c>
      <c r="AM1027" s="40">
        <v>0</v>
      </c>
      <c r="AN1027" s="27">
        <v>0</v>
      </c>
      <c r="AO1027" s="27">
        <f t="shared" ref="AO1027:AO1090" si="101">AM1027/U1027</f>
        <v>0</v>
      </c>
      <c r="AP1027" s="7" t="b">
        <v>1</v>
      </c>
      <c r="AQ1027" s="6" t="b">
        <v>0</v>
      </c>
      <c r="AR1027" s="6" t="b">
        <v>0</v>
      </c>
      <c r="AS1027" s="6" t="b">
        <v>0</v>
      </c>
      <c r="AT1027" s="7" t="b">
        <v>1</v>
      </c>
      <c r="AU1027" s="6" t="b">
        <v>0</v>
      </c>
      <c r="AV1027" s="6" t="b">
        <v>0</v>
      </c>
      <c r="AW1027" s="6" t="b">
        <v>0</v>
      </c>
      <c r="AX1027" s="6" t="b">
        <v>0</v>
      </c>
      <c r="AY1027" s="6" t="b">
        <v>0</v>
      </c>
      <c r="AZ1027" s="6" t="b">
        <v>0</v>
      </c>
      <c r="BA1027" s="6" t="b">
        <v>0</v>
      </c>
      <c r="BB1027" s="6" t="b">
        <v>0</v>
      </c>
    </row>
    <row r="1028" spans="1:54" ht="15" x14ac:dyDescent="0.25">
      <c r="A1028" s="3" t="s">
        <v>2116</v>
      </c>
      <c r="B1028" s="3" t="str">
        <f ca="1">IFERROR(__xludf.DUMMYFUNCTION("SPLIT(A1028,""/"")"),"tern-tools")</f>
        <v>tern-tools</v>
      </c>
      <c r="C1028" s="3" t="str">
        <f ca="1">IFERROR(__xludf.DUMMYFUNCTION("""COMPUTED_VALUE"""),"tern")</f>
        <v>tern</v>
      </c>
      <c r="D1028" s="4" t="s">
        <v>2117</v>
      </c>
      <c r="E1028" s="5">
        <v>43066.980752314812</v>
      </c>
      <c r="F1028" s="5">
        <v>44293.698055555556</v>
      </c>
      <c r="G1028" s="13">
        <f t="shared" si="96"/>
        <v>1226.7173032407445</v>
      </c>
      <c r="H1028" s="6" t="b">
        <v>0</v>
      </c>
      <c r="I1028" s="7" t="b">
        <v>1</v>
      </c>
      <c r="J1028" s="8">
        <v>512</v>
      </c>
      <c r="K1028" s="8">
        <v>24</v>
      </c>
      <c r="L1028" s="8">
        <v>109</v>
      </c>
      <c r="M1028" s="8">
        <v>13</v>
      </c>
      <c r="N1028" s="8">
        <v>6</v>
      </c>
      <c r="O1028" s="8">
        <v>47</v>
      </c>
      <c r="P1028" s="8">
        <v>547</v>
      </c>
      <c r="Q1028" s="8">
        <v>4</v>
      </c>
      <c r="R1028" s="8">
        <v>396</v>
      </c>
      <c r="S1028" s="8">
        <v>45</v>
      </c>
      <c r="T1028" s="3" t="s">
        <v>92</v>
      </c>
      <c r="U1028" s="10">
        <v>6221</v>
      </c>
      <c r="V1028" s="32">
        <v>88</v>
      </c>
      <c r="W1028" s="27">
        <v>1.414563574987944E-2</v>
      </c>
      <c r="X1028" s="34">
        <v>35</v>
      </c>
      <c r="Y1028" s="27">
        <v>0.39772727272727271</v>
      </c>
      <c r="Z1028" s="27">
        <v>5.6261051277929595E-3</v>
      </c>
      <c r="AA1028" s="35">
        <v>0</v>
      </c>
      <c r="AB1028" s="27">
        <v>0</v>
      </c>
      <c r="AC1028" s="27">
        <f t="shared" si="97"/>
        <v>0</v>
      </c>
      <c r="AD1028" s="36">
        <v>21</v>
      </c>
      <c r="AE1028" s="27">
        <v>0.23863636363636365</v>
      </c>
      <c r="AF1028" s="27">
        <f t="shared" si="98"/>
        <v>3.3756630766757756E-3</v>
      </c>
      <c r="AG1028" s="37">
        <v>16</v>
      </c>
      <c r="AH1028" s="27">
        <v>0.18181818181818182</v>
      </c>
      <c r="AI1028" s="27">
        <f t="shared" si="99"/>
        <v>2.571933772705353E-3</v>
      </c>
      <c r="AJ1028" s="38">
        <v>16</v>
      </c>
      <c r="AK1028" s="27">
        <v>0.18181818181818182</v>
      </c>
      <c r="AL1028" s="27">
        <f t="shared" si="100"/>
        <v>2.571933772705353E-3</v>
      </c>
      <c r="AM1028" s="40">
        <v>0</v>
      </c>
      <c r="AN1028" s="27">
        <v>0</v>
      </c>
      <c r="AO1028" s="27">
        <f t="shared" si="101"/>
        <v>0</v>
      </c>
      <c r="AP1028" s="7" t="b">
        <v>1</v>
      </c>
      <c r="AQ1028" s="6" t="b">
        <v>0</v>
      </c>
      <c r="AR1028" s="6" t="b">
        <v>0</v>
      </c>
      <c r="AS1028" s="6" t="b">
        <v>0</v>
      </c>
      <c r="AT1028" s="7" t="b">
        <v>1</v>
      </c>
      <c r="AU1028" s="6" t="b">
        <v>0</v>
      </c>
      <c r="AV1028" s="6" t="b">
        <v>0</v>
      </c>
      <c r="AW1028" s="6" t="b">
        <v>0</v>
      </c>
      <c r="AX1028" s="6" t="b">
        <v>0</v>
      </c>
      <c r="AY1028" s="6" t="b">
        <v>0</v>
      </c>
      <c r="AZ1028" s="6" t="b">
        <v>0</v>
      </c>
      <c r="BA1028" s="6" t="b">
        <v>0</v>
      </c>
      <c r="BB1028" s="6" t="b">
        <v>0</v>
      </c>
    </row>
    <row r="1029" spans="1:54" ht="15" x14ac:dyDescent="0.25">
      <c r="A1029" s="3" t="s">
        <v>2118</v>
      </c>
      <c r="B1029" s="3" t="str">
        <f ca="1">IFERROR(__xludf.DUMMYFUNCTION("SPLIT(A1029,""/"")"),"testerSunshine")</f>
        <v>testerSunshine</v>
      </c>
      <c r="C1029" s="8">
        <f ca="1">IFERROR(__xludf.DUMMYFUNCTION("""COMPUTED_VALUE"""),12306)</f>
        <v>12306</v>
      </c>
      <c r="D1029" s="4" t="s">
        <v>2119</v>
      </c>
      <c r="E1029" s="5">
        <v>42872.516435185185</v>
      </c>
      <c r="F1029" s="5">
        <v>44295.113877314812</v>
      </c>
      <c r="G1029" s="13">
        <f t="shared" si="96"/>
        <v>1422.5974421296269</v>
      </c>
      <c r="H1029" s="6" t="b">
        <v>0</v>
      </c>
      <c r="I1029" s="6" t="b">
        <v>0</v>
      </c>
      <c r="J1029" s="8">
        <v>29491</v>
      </c>
      <c r="K1029" s="8">
        <v>863</v>
      </c>
      <c r="L1029" s="8">
        <v>9233</v>
      </c>
      <c r="M1029" s="8">
        <v>1</v>
      </c>
      <c r="N1029" s="8">
        <v>9</v>
      </c>
      <c r="O1029" s="8">
        <v>23</v>
      </c>
      <c r="P1029" s="8">
        <v>138</v>
      </c>
      <c r="Q1029" s="8">
        <v>60</v>
      </c>
      <c r="R1029" s="8">
        <v>659</v>
      </c>
      <c r="S1029" s="8">
        <v>198</v>
      </c>
      <c r="T1029" s="3" t="s">
        <v>72</v>
      </c>
      <c r="U1029" s="10">
        <v>2498</v>
      </c>
      <c r="V1029" s="32">
        <v>3</v>
      </c>
      <c r="W1029" s="27">
        <v>1.2009607686148918E-3</v>
      </c>
      <c r="X1029" s="34">
        <v>0</v>
      </c>
      <c r="Y1029" s="27">
        <v>0</v>
      </c>
      <c r="Z1029" s="27">
        <v>0</v>
      </c>
      <c r="AA1029" s="35">
        <v>0</v>
      </c>
      <c r="AB1029" s="27">
        <v>0</v>
      </c>
      <c r="AC1029" s="27">
        <f t="shared" si="97"/>
        <v>0</v>
      </c>
      <c r="AD1029" s="36">
        <v>0</v>
      </c>
      <c r="AE1029" s="27">
        <v>0</v>
      </c>
      <c r="AF1029" s="27">
        <f t="shared" si="98"/>
        <v>0</v>
      </c>
      <c r="AG1029" s="37">
        <v>0</v>
      </c>
      <c r="AH1029" s="27">
        <v>0</v>
      </c>
      <c r="AI1029" s="27">
        <f t="shared" si="99"/>
        <v>0</v>
      </c>
      <c r="AJ1029" s="38">
        <v>0</v>
      </c>
      <c r="AK1029" s="27">
        <v>0</v>
      </c>
      <c r="AL1029" s="27">
        <f t="shared" si="100"/>
        <v>0</v>
      </c>
      <c r="AM1029" s="40">
        <v>3</v>
      </c>
      <c r="AN1029" s="27">
        <v>1</v>
      </c>
      <c r="AO1029" s="27">
        <f t="shared" si="101"/>
        <v>1.2009607686148918E-3</v>
      </c>
      <c r="AP1029" s="7" t="b">
        <v>1</v>
      </c>
      <c r="AQ1029" s="7" t="b">
        <v>1</v>
      </c>
      <c r="AR1029" s="6" t="b">
        <v>0</v>
      </c>
      <c r="AS1029" s="6" t="b">
        <v>0</v>
      </c>
      <c r="AT1029" s="7" t="b">
        <v>1</v>
      </c>
      <c r="AU1029" s="6" t="b">
        <v>0</v>
      </c>
      <c r="AV1029" s="6" t="b">
        <v>0</v>
      </c>
      <c r="AW1029" s="6" t="b">
        <v>0</v>
      </c>
      <c r="AX1029" s="6" t="b">
        <v>0</v>
      </c>
      <c r="AY1029" s="6" t="b">
        <v>0</v>
      </c>
      <c r="AZ1029" s="6" t="b">
        <v>0</v>
      </c>
      <c r="BA1029" s="6" t="b">
        <v>0</v>
      </c>
      <c r="BB1029" s="6" t="b">
        <v>0</v>
      </c>
    </row>
    <row r="1030" spans="1:54" ht="15" x14ac:dyDescent="0.25">
      <c r="A1030" s="3" t="s">
        <v>2120</v>
      </c>
      <c r="B1030" s="3" t="str">
        <f ca="1">IFERROR(__xludf.DUMMYFUNCTION("SPLIT(A1030,""/"")"),"tf-encrypted")</f>
        <v>tf-encrypted</v>
      </c>
      <c r="C1030" s="3" t="str">
        <f ca="1">IFERROR(__xludf.DUMMYFUNCTION("""COMPUTED_VALUE"""),"tf-encrypted")</f>
        <v>tf-encrypted</v>
      </c>
      <c r="D1030" s="4" t="s">
        <v>2121</v>
      </c>
      <c r="E1030" s="5">
        <v>43180.765428240738</v>
      </c>
      <c r="F1030" s="5">
        <v>44294.727303240739</v>
      </c>
      <c r="G1030" s="13">
        <f t="shared" si="96"/>
        <v>1113.9618750000009</v>
      </c>
      <c r="H1030" s="6" t="b">
        <v>0</v>
      </c>
      <c r="I1030" s="7" t="b">
        <v>1</v>
      </c>
      <c r="J1030" s="8">
        <v>839</v>
      </c>
      <c r="K1030" s="8">
        <v>46</v>
      </c>
      <c r="L1030" s="8">
        <v>139</v>
      </c>
      <c r="M1030" s="8">
        <v>0</v>
      </c>
      <c r="N1030" s="8">
        <v>1</v>
      </c>
      <c r="O1030" s="8">
        <v>24</v>
      </c>
      <c r="P1030" s="8">
        <v>439</v>
      </c>
      <c r="Q1030" s="8">
        <v>1</v>
      </c>
      <c r="R1030" s="8">
        <v>398</v>
      </c>
      <c r="S1030" s="8">
        <v>167</v>
      </c>
      <c r="T1030" s="3" t="s">
        <v>69</v>
      </c>
      <c r="U1030" s="10">
        <v>15333</v>
      </c>
      <c r="V1030" s="32">
        <v>20</v>
      </c>
      <c r="W1030" s="27">
        <v>1.3043761820909149E-3</v>
      </c>
      <c r="X1030" s="34">
        <v>2</v>
      </c>
      <c r="Y1030" s="27">
        <v>0.1</v>
      </c>
      <c r="Z1030" s="27">
        <v>1.3043761820909151E-4</v>
      </c>
      <c r="AA1030" s="35">
        <v>8</v>
      </c>
      <c r="AB1030" s="27">
        <v>0.4</v>
      </c>
      <c r="AC1030" s="27">
        <f t="shared" si="97"/>
        <v>5.2175047283636606E-4</v>
      </c>
      <c r="AD1030" s="36">
        <v>9</v>
      </c>
      <c r="AE1030" s="27">
        <v>0.45</v>
      </c>
      <c r="AF1030" s="27">
        <f t="shared" si="98"/>
        <v>5.8696928194091171E-4</v>
      </c>
      <c r="AG1030" s="37">
        <v>1</v>
      </c>
      <c r="AH1030" s="27">
        <v>0.05</v>
      </c>
      <c r="AI1030" s="27">
        <f t="shared" si="99"/>
        <v>6.5218809104545757E-5</v>
      </c>
      <c r="AJ1030" s="38">
        <v>0</v>
      </c>
      <c r="AK1030" s="27">
        <v>0</v>
      </c>
      <c r="AL1030" s="27">
        <f t="shared" si="100"/>
        <v>0</v>
      </c>
      <c r="AM1030" s="40">
        <v>0</v>
      </c>
      <c r="AN1030" s="27">
        <v>0</v>
      </c>
      <c r="AO1030" s="27">
        <f t="shared" si="101"/>
        <v>0</v>
      </c>
      <c r="AP1030" s="7" t="b">
        <v>1</v>
      </c>
      <c r="AQ1030" s="7" t="b">
        <v>1</v>
      </c>
      <c r="AR1030" s="6" t="b">
        <v>0</v>
      </c>
      <c r="AS1030" s="6" t="b">
        <v>0</v>
      </c>
      <c r="AT1030" s="7" t="b">
        <v>1</v>
      </c>
      <c r="AU1030" s="6" t="b">
        <v>0</v>
      </c>
      <c r="AV1030" s="6" t="b">
        <v>0</v>
      </c>
      <c r="AW1030" s="6" t="b">
        <v>0</v>
      </c>
      <c r="AX1030" s="6" t="b">
        <v>0</v>
      </c>
      <c r="AY1030" s="6" t="b">
        <v>0</v>
      </c>
      <c r="AZ1030" s="6" t="b">
        <v>0</v>
      </c>
      <c r="BA1030" s="6" t="b">
        <v>0</v>
      </c>
      <c r="BB1030" s="6" t="b">
        <v>0</v>
      </c>
    </row>
    <row r="1031" spans="1:54" ht="15" x14ac:dyDescent="0.25">
      <c r="A1031" s="3" t="s">
        <v>2122</v>
      </c>
      <c r="B1031" s="3" t="str">
        <f ca="1">IFERROR(__xludf.DUMMYFUNCTION("SPLIT(A1031,""/"")"),"tgbot-collection")</f>
        <v>tgbot-collection</v>
      </c>
      <c r="C1031" s="3" t="str">
        <f ca="1">IFERROR(__xludf.DUMMYFUNCTION("""COMPUTED_VALUE"""),"YYeTsBot")</f>
        <v>YYeTsBot</v>
      </c>
      <c r="D1031" s="4" t="s">
        <v>2123</v>
      </c>
      <c r="E1031" s="5">
        <v>43692.327037037037</v>
      </c>
      <c r="F1031" s="5">
        <v>44295.13181712963</v>
      </c>
      <c r="G1031" s="13">
        <f t="shared" si="96"/>
        <v>602.80478009259241</v>
      </c>
      <c r="H1031" s="6" t="b">
        <v>0</v>
      </c>
      <c r="I1031" s="7" t="b">
        <v>1</v>
      </c>
      <c r="J1031" s="8">
        <v>4164</v>
      </c>
      <c r="K1031" s="8">
        <v>103</v>
      </c>
      <c r="L1031" s="8">
        <v>680</v>
      </c>
      <c r="M1031" s="8">
        <v>0</v>
      </c>
      <c r="N1031" s="8">
        <v>0</v>
      </c>
      <c r="O1031" s="8">
        <v>4</v>
      </c>
      <c r="P1031" s="8">
        <v>6</v>
      </c>
      <c r="Q1031" s="8">
        <v>0</v>
      </c>
      <c r="R1031" s="8">
        <v>17</v>
      </c>
      <c r="S1031" s="8">
        <v>1</v>
      </c>
      <c r="T1031" s="3" t="s">
        <v>72</v>
      </c>
      <c r="U1031" s="10">
        <v>1499</v>
      </c>
      <c r="V1031" s="32">
        <v>50</v>
      </c>
      <c r="W1031" s="27">
        <v>3.3355570380253503E-2</v>
      </c>
      <c r="X1031" s="34">
        <v>3</v>
      </c>
      <c r="Y1031" s="27">
        <v>0.06</v>
      </c>
      <c r="Z1031" s="27">
        <v>2.0013342228152103E-3</v>
      </c>
      <c r="AA1031" s="35">
        <v>35</v>
      </c>
      <c r="AB1031" s="27">
        <v>0.7</v>
      </c>
      <c r="AC1031" s="27">
        <f t="shared" si="97"/>
        <v>2.3348899266177451E-2</v>
      </c>
      <c r="AD1031" s="36">
        <v>6</v>
      </c>
      <c r="AE1031" s="27">
        <v>0.12</v>
      </c>
      <c r="AF1031" s="27">
        <f t="shared" si="98"/>
        <v>4.0026684456304206E-3</v>
      </c>
      <c r="AG1031" s="37">
        <v>6</v>
      </c>
      <c r="AH1031" s="27">
        <v>0.12</v>
      </c>
      <c r="AI1031" s="27">
        <f t="shared" si="99"/>
        <v>4.0026684456304206E-3</v>
      </c>
      <c r="AJ1031" s="38">
        <v>0</v>
      </c>
      <c r="AK1031" s="27">
        <v>0</v>
      </c>
      <c r="AL1031" s="27">
        <f t="shared" si="100"/>
        <v>0</v>
      </c>
      <c r="AM1031" s="40">
        <v>0</v>
      </c>
      <c r="AN1031" s="27">
        <v>0</v>
      </c>
      <c r="AO1031" s="27">
        <f t="shared" si="101"/>
        <v>0</v>
      </c>
      <c r="AP1031" s="7" t="b">
        <v>1</v>
      </c>
      <c r="AQ1031" s="7" t="b">
        <v>1</v>
      </c>
      <c r="AR1031" s="6" t="b">
        <v>0</v>
      </c>
      <c r="AS1031" s="6" t="b">
        <v>0</v>
      </c>
      <c r="AT1031" s="7" t="b">
        <v>1</v>
      </c>
      <c r="AU1031" s="6" t="b">
        <v>0</v>
      </c>
      <c r="AV1031" s="6" t="b">
        <v>0</v>
      </c>
      <c r="AW1031" s="6" t="b">
        <v>0</v>
      </c>
      <c r="AX1031" s="6" t="b">
        <v>0</v>
      </c>
      <c r="AY1031" s="6" t="b">
        <v>0</v>
      </c>
      <c r="AZ1031" s="6" t="b">
        <v>0</v>
      </c>
      <c r="BA1031" s="6" t="b">
        <v>0</v>
      </c>
      <c r="BB1031" s="6" t="b">
        <v>0</v>
      </c>
    </row>
    <row r="1032" spans="1:54" ht="15" x14ac:dyDescent="0.25">
      <c r="A1032" s="3" t="s">
        <v>2124</v>
      </c>
      <c r="B1032" s="3" t="str">
        <f ca="1">IFERROR(__xludf.DUMMYFUNCTION("SPLIT(A1032,""/"")"),"the-paperless-project")</f>
        <v>the-paperless-project</v>
      </c>
      <c r="C1032" s="3" t="str">
        <f ca="1">IFERROR(__xludf.DUMMYFUNCTION("""COMPUTED_VALUE"""),"paperless")</f>
        <v>paperless</v>
      </c>
      <c r="D1032" s="4" t="s">
        <v>2125</v>
      </c>
      <c r="E1032" s="5">
        <v>42358.537824074076</v>
      </c>
      <c r="F1032" s="5">
        <v>44294.991747685184</v>
      </c>
      <c r="G1032" s="13">
        <f t="shared" si="96"/>
        <v>1936.4539236111086</v>
      </c>
      <c r="H1032" s="6" t="b">
        <v>0</v>
      </c>
      <c r="I1032" s="7" t="b">
        <v>1</v>
      </c>
      <c r="J1032" s="8">
        <v>7566</v>
      </c>
      <c r="K1032" s="8">
        <v>185</v>
      </c>
      <c r="L1032" s="8">
        <v>509</v>
      </c>
      <c r="M1032" s="8">
        <v>27</v>
      </c>
      <c r="N1032" s="8">
        <v>8</v>
      </c>
      <c r="O1032" s="8">
        <v>93</v>
      </c>
      <c r="P1032" s="8">
        <v>270</v>
      </c>
      <c r="Q1032" s="8">
        <v>23</v>
      </c>
      <c r="R1032" s="8">
        <v>452</v>
      </c>
      <c r="S1032" s="8">
        <v>157</v>
      </c>
      <c r="T1032" s="3" t="s">
        <v>49</v>
      </c>
      <c r="U1032" s="10">
        <v>3568</v>
      </c>
      <c r="V1032" s="32">
        <v>50</v>
      </c>
      <c r="W1032" s="27">
        <v>1.4013452914798207E-2</v>
      </c>
      <c r="X1032" s="34">
        <v>9</v>
      </c>
      <c r="Y1032" s="27">
        <v>0.18</v>
      </c>
      <c r="Z1032" s="27">
        <v>2.522421524663677E-3</v>
      </c>
      <c r="AA1032" s="35">
        <v>20</v>
      </c>
      <c r="AB1032" s="27">
        <v>0.4</v>
      </c>
      <c r="AC1032" s="27">
        <f t="shared" si="97"/>
        <v>5.6053811659192822E-3</v>
      </c>
      <c r="AD1032" s="36">
        <v>10</v>
      </c>
      <c r="AE1032" s="27">
        <v>0.2</v>
      </c>
      <c r="AF1032" s="27">
        <f t="shared" si="98"/>
        <v>2.8026905829596411E-3</v>
      </c>
      <c r="AG1032" s="37">
        <v>9</v>
      </c>
      <c r="AH1032" s="27">
        <v>0.18</v>
      </c>
      <c r="AI1032" s="27">
        <f t="shared" si="99"/>
        <v>2.522421524663677E-3</v>
      </c>
      <c r="AJ1032" s="38">
        <v>2</v>
      </c>
      <c r="AK1032" s="27">
        <v>0.04</v>
      </c>
      <c r="AL1032" s="27">
        <f t="shared" si="100"/>
        <v>5.6053811659192824E-4</v>
      </c>
      <c r="AM1032" s="40">
        <v>0</v>
      </c>
      <c r="AN1032" s="27">
        <v>0</v>
      </c>
      <c r="AO1032" s="27">
        <f t="shared" si="101"/>
        <v>0</v>
      </c>
      <c r="AP1032" s="7" t="b">
        <v>1</v>
      </c>
      <c r="AQ1032" s="7" t="b">
        <v>1</v>
      </c>
      <c r="AR1032" s="6" t="b">
        <v>0</v>
      </c>
      <c r="AS1032" s="6" t="b">
        <v>0</v>
      </c>
      <c r="AT1032" s="7" t="b">
        <v>1</v>
      </c>
      <c r="AU1032" s="6" t="b">
        <v>0</v>
      </c>
      <c r="AV1032" s="6" t="b">
        <v>0</v>
      </c>
      <c r="AW1032" s="6" t="b">
        <v>0</v>
      </c>
      <c r="AX1032" s="6" t="b">
        <v>0</v>
      </c>
      <c r="AY1032" s="6" t="b">
        <v>0</v>
      </c>
      <c r="AZ1032" s="6" t="b">
        <v>0</v>
      </c>
      <c r="BA1032" s="6" t="b">
        <v>0</v>
      </c>
      <c r="BB1032" s="6" t="b">
        <v>0</v>
      </c>
    </row>
    <row r="1033" spans="1:54" ht="15" x14ac:dyDescent="0.25">
      <c r="A1033" s="3" t="s">
        <v>2126</v>
      </c>
      <c r="B1033" s="3" t="str">
        <f ca="1">IFERROR(__xludf.DUMMYFUNCTION("SPLIT(A1033,""/"")"),"TheKevJames")</f>
        <v>TheKevJames</v>
      </c>
      <c r="C1033" s="3" t="str">
        <f ca="1">IFERROR(__xludf.DUMMYFUNCTION("""COMPUTED_VALUE"""),"coveralls-python")</f>
        <v>coveralls-python</v>
      </c>
      <c r="D1033" s="4" t="s">
        <v>2127</v>
      </c>
      <c r="E1033" s="5">
        <v>41311.867118055554</v>
      </c>
      <c r="F1033" s="5">
        <v>44288.461875000001</v>
      </c>
      <c r="G1033" s="13">
        <f t="shared" si="96"/>
        <v>2976.594756944447</v>
      </c>
      <c r="H1033" s="6" t="b">
        <v>0</v>
      </c>
      <c r="I1033" s="6" t="b">
        <v>0</v>
      </c>
      <c r="J1033" s="8">
        <v>457</v>
      </c>
      <c r="K1033" s="8">
        <v>5</v>
      </c>
      <c r="L1033" s="8">
        <v>167</v>
      </c>
      <c r="M1033" s="8">
        <v>23</v>
      </c>
      <c r="N1033" s="8">
        <v>14</v>
      </c>
      <c r="O1033" s="8">
        <v>55</v>
      </c>
      <c r="P1033" s="8">
        <v>140</v>
      </c>
      <c r="Q1033" s="8">
        <v>3</v>
      </c>
      <c r="R1033" s="8">
        <v>137</v>
      </c>
      <c r="S1033" s="8">
        <v>5</v>
      </c>
      <c r="T1033" s="3" t="s">
        <v>72</v>
      </c>
      <c r="U1033" s="10">
        <v>988</v>
      </c>
      <c r="V1033" s="32">
        <v>26</v>
      </c>
      <c r="W1033" s="27">
        <v>2.6315789473684209E-2</v>
      </c>
      <c r="X1033" s="34">
        <v>5</v>
      </c>
      <c r="Y1033" s="27">
        <v>0.19230769230769232</v>
      </c>
      <c r="Z1033" s="27">
        <v>5.0607287449392713E-3</v>
      </c>
      <c r="AA1033" s="35">
        <v>9</v>
      </c>
      <c r="AB1033" s="27">
        <v>0.34615384615384615</v>
      </c>
      <c r="AC1033" s="27">
        <f t="shared" si="97"/>
        <v>9.1093117408906875E-3</v>
      </c>
      <c r="AD1033" s="36">
        <v>7</v>
      </c>
      <c r="AE1033" s="27">
        <v>0.26923076923076922</v>
      </c>
      <c r="AF1033" s="27">
        <f t="shared" si="98"/>
        <v>7.0850202429149798E-3</v>
      </c>
      <c r="AG1033" s="37">
        <v>4</v>
      </c>
      <c r="AH1033" s="27">
        <v>0.15384615384615385</v>
      </c>
      <c r="AI1033" s="27">
        <f t="shared" si="99"/>
        <v>4.048582995951417E-3</v>
      </c>
      <c r="AJ1033" s="38">
        <v>0</v>
      </c>
      <c r="AK1033" s="27">
        <v>0</v>
      </c>
      <c r="AL1033" s="27">
        <f t="shared" si="100"/>
        <v>0</v>
      </c>
      <c r="AM1033" s="40">
        <v>0</v>
      </c>
      <c r="AN1033" s="27">
        <v>0</v>
      </c>
      <c r="AO1033" s="27">
        <f t="shared" si="101"/>
        <v>0</v>
      </c>
      <c r="AP1033" s="7" t="b">
        <v>1</v>
      </c>
      <c r="AQ1033" s="6" t="b">
        <v>0</v>
      </c>
      <c r="AR1033" s="6" t="b">
        <v>0</v>
      </c>
      <c r="AS1033" s="6" t="b">
        <v>0</v>
      </c>
      <c r="AT1033" s="7" t="b">
        <v>1</v>
      </c>
      <c r="AU1033" s="6" t="b">
        <v>0</v>
      </c>
      <c r="AV1033" s="6" t="b">
        <v>0</v>
      </c>
      <c r="AW1033" s="6" t="b">
        <v>0</v>
      </c>
      <c r="AX1033" s="6" t="b">
        <v>0</v>
      </c>
      <c r="AY1033" s="6" t="b">
        <v>0</v>
      </c>
      <c r="AZ1033" s="6" t="b">
        <v>0</v>
      </c>
      <c r="BA1033" s="6" t="b">
        <v>0</v>
      </c>
      <c r="BB1033" s="6" t="b">
        <v>0</v>
      </c>
    </row>
    <row r="1034" spans="1:54" ht="15" x14ac:dyDescent="0.25">
      <c r="A1034" s="3" t="s">
        <v>2128</v>
      </c>
      <c r="B1034" s="3" t="str">
        <f ca="1">IFERROR(__xludf.DUMMYFUNCTION("SPLIT(A1034,""/"")"),"theotherp")</f>
        <v>theotherp</v>
      </c>
      <c r="C1034" s="3" t="str">
        <f ca="1">IFERROR(__xludf.DUMMYFUNCTION("""COMPUTED_VALUE"""),"nzbhydra")</f>
        <v>nzbhydra</v>
      </c>
      <c r="D1034" s="4" t="s">
        <v>2129</v>
      </c>
      <c r="E1034" s="5">
        <v>42311.85460648148</v>
      </c>
      <c r="F1034" s="5">
        <v>44279.923125000001</v>
      </c>
      <c r="G1034" s="13">
        <f t="shared" si="96"/>
        <v>1968.0685185185212</v>
      </c>
      <c r="H1034" s="6" t="b">
        <v>0</v>
      </c>
      <c r="I1034" s="6" t="b">
        <v>0</v>
      </c>
      <c r="J1034" s="8">
        <v>547</v>
      </c>
      <c r="K1034" s="8">
        <v>38</v>
      </c>
      <c r="L1034" s="8">
        <v>52</v>
      </c>
      <c r="M1034" s="8">
        <v>46</v>
      </c>
      <c r="N1034" s="8">
        <v>47</v>
      </c>
      <c r="O1034" s="8">
        <v>20</v>
      </c>
      <c r="P1034" s="8">
        <v>46</v>
      </c>
      <c r="Q1034" s="8">
        <v>1</v>
      </c>
      <c r="R1034" s="8">
        <v>0</v>
      </c>
      <c r="S1034" s="8">
        <v>0</v>
      </c>
      <c r="T1034" s="3" t="s">
        <v>92</v>
      </c>
      <c r="U1034" s="10">
        <v>204153</v>
      </c>
      <c r="V1034" s="32">
        <v>1338</v>
      </c>
      <c r="W1034" s="27">
        <v>6.5539080983380111E-3</v>
      </c>
      <c r="X1034" s="34">
        <v>291</v>
      </c>
      <c r="Y1034" s="27">
        <v>0.21748878923766815</v>
      </c>
      <c r="Z1034" s="27">
        <v>1.4254015370824822E-3</v>
      </c>
      <c r="AA1034" s="35">
        <v>311</v>
      </c>
      <c r="AB1034" s="27">
        <v>0.23243647234678624</v>
      </c>
      <c r="AC1034" s="27">
        <f t="shared" si="97"/>
        <v>1.5233672784627215E-3</v>
      </c>
      <c r="AD1034" s="36">
        <v>239</v>
      </c>
      <c r="AE1034" s="27">
        <v>0.17862481315396114</v>
      </c>
      <c r="AF1034" s="27">
        <f t="shared" si="98"/>
        <v>1.17069060949386E-3</v>
      </c>
      <c r="AG1034" s="37">
        <v>317</v>
      </c>
      <c r="AH1034" s="27">
        <v>0.23692077727952168</v>
      </c>
      <c r="AI1034" s="27">
        <f t="shared" si="99"/>
        <v>1.5527570008767933E-3</v>
      </c>
      <c r="AJ1034" s="38">
        <v>2</v>
      </c>
      <c r="AK1034" s="27">
        <v>1.4947683109118087E-3</v>
      </c>
      <c r="AL1034" s="27">
        <f t="shared" si="100"/>
        <v>9.7965741380239333E-6</v>
      </c>
      <c r="AM1034" s="40">
        <v>177</v>
      </c>
      <c r="AN1034" s="27">
        <v>0.13228699551569506</v>
      </c>
      <c r="AO1034" s="27">
        <f t="shared" si="101"/>
        <v>8.6699681121511806E-4</v>
      </c>
      <c r="AP1034" s="7" t="b">
        <v>1</v>
      </c>
      <c r="AQ1034" s="7" t="b">
        <v>1</v>
      </c>
      <c r="AR1034" s="6" t="b">
        <v>0</v>
      </c>
      <c r="AS1034" s="6" t="b">
        <v>0</v>
      </c>
      <c r="AT1034" s="7" t="b">
        <v>1</v>
      </c>
      <c r="AU1034" s="6" t="b">
        <v>0</v>
      </c>
      <c r="AV1034" s="6" t="b">
        <v>0</v>
      </c>
      <c r="AW1034" s="6" t="b">
        <v>0</v>
      </c>
      <c r="AX1034" s="6" t="b">
        <v>0</v>
      </c>
      <c r="AY1034" s="6" t="b">
        <v>0</v>
      </c>
      <c r="AZ1034" s="6" t="b">
        <v>0</v>
      </c>
      <c r="BA1034" s="6" t="b">
        <v>0</v>
      </c>
      <c r="BB1034" s="6" t="b">
        <v>0</v>
      </c>
    </row>
    <row r="1035" spans="1:54" ht="15" x14ac:dyDescent="0.25">
      <c r="A1035" s="3" t="s">
        <v>2130</v>
      </c>
      <c r="B1035" s="3" t="str">
        <f ca="1">IFERROR(__xludf.DUMMYFUNCTION("SPLIT(A1035,""/"")"),"thingsboard")</f>
        <v>thingsboard</v>
      </c>
      <c r="C1035" s="3" t="str">
        <f ca="1">IFERROR(__xludf.DUMMYFUNCTION("""COMPUTED_VALUE"""),"thingsboard-gateway")</f>
        <v>thingsboard-gateway</v>
      </c>
      <c r="D1035" s="4" t="s">
        <v>2131</v>
      </c>
      <c r="E1035" s="5">
        <v>42740.236840277779</v>
      </c>
      <c r="F1035" s="5">
        <v>44295.050300925926</v>
      </c>
      <c r="G1035" s="13">
        <f t="shared" si="96"/>
        <v>1554.8134606481472</v>
      </c>
      <c r="H1035" s="6" t="b">
        <v>0</v>
      </c>
      <c r="I1035" s="7" t="b">
        <v>1</v>
      </c>
      <c r="J1035" s="8">
        <v>808</v>
      </c>
      <c r="K1035" s="8">
        <v>81</v>
      </c>
      <c r="L1035" s="8">
        <v>388</v>
      </c>
      <c r="M1035" s="8">
        <v>48</v>
      </c>
      <c r="N1035" s="8">
        <v>6</v>
      </c>
      <c r="O1035" s="8">
        <v>23</v>
      </c>
      <c r="P1035" s="8">
        <v>106</v>
      </c>
      <c r="Q1035" s="8">
        <v>3</v>
      </c>
      <c r="R1035" s="8">
        <v>389</v>
      </c>
      <c r="S1035" s="8">
        <v>37</v>
      </c>
      <c r="T1035" s="3" t="s">
        <v>69</v>
      </c>
      <c r="U1035" s="10">
        <v>7679</v>
      </c>
      <c r="V1035" s="32">
        <v>649</v>
      </c>
      <c r="W1035" s="27">
        <v>8.4516213048574027E-2</v>
      </c>
      <c r="X1035" s="34">
        <v>203</v>
      </c>
      <c r="Y1035" s="27">
        <v>0.31278890600924497</v>
      </c>
      <c r="Z1035" s="27">
        <v>2.6435733819507749E-2</v>
      </c>
      <c r="AA1035" s="35">
        <v>83</v>
      </c>
      <c r="AB1035" s="27">
        <v>0.12788906009244994</v>
      </c>
      <c r="AC1035" s="27">
        <f t="shared" si="97"/>
        <v>1.0808699049355384E-2</v>
      </c>
      <c r="AD1035" s="36">
        <v>43</v>
      </c>
      <c r="AE1035" s="27">
        <v>6.6255778120184905E-2</v>
      </c>
      <c r="AF1035" s="27">
        <f t="shared" si="98"/>
        <v>5.5996874593045969E-3</v>
      </c>
      <c r="AG1035" s="37">
        <v>168</v>
      </c>
      <c r="AH1035" s="27">
        <v>0.25885978428351308</v>
      </c>
      <c r="AI1035" s="27">
        <f t="shared" si="99"/>
        <v>2.187784867821331E-2</v>
      </c>
      <c r="AJ1035" s="38">
        <v>0</v>
      </c>
      <c r="AK1035" s="27">
        <v>0</v>
      </c>
      <c r="AL1035" s="27">
        <f t="shared" si="100"/>
        <v>0</v>
      </c>
      <c r="AM1035" s="40">
        <v>0</v>
      </c>
      <c r="AN1035" s="27">
        <v>0</v>
      </c>
      <c r="AO1035" s="27">
        <f t="shared" si="101"/>
        <v>0</v>
      </c>
      <c r="AP1035" s="7" t="b">
        <v>1</v>
      </c>
      <c r="AQ1035" s="7" t="b">
        <v>1</v>
      </c>
      <c r="AR1035" s="6" t="b">
        <v>0</v>
      </c>
      <c r="AS1035" s="6" t="b">
        <v>0</v>
      </c>
      <c r="AT1035" s="7" t="b">
        <v>1</v>
      </c>
      <c r="AU1035" s="6" t="b">
        <v>0</v>
      </c>
      <c r="AV1035" s="6" t="b">
        <v>0</v>
      </c>
      <c r="AW1035" s="6" t="b">
        <v>0</v>
      </c>
      <c r="AX1035" s="6" t="b">
        <v>0</v>
      </c>
      <c r="AY1035" s="6" t="b">
        <v>0</v>
      </c>
      <c r="AZ1035" s="6" t="b">
        <v>0</v>
      </c>
      <c r="BA1035" s="6" t="b">
        <v>0</v>
      </c>
      <c r="BB1035" s="6" t="b">
        <v>0</v>
      </c>
    </row>
    <row r="1036" spans="1:54" ht="15" x14ac:dyDescent="0.25">
      <c r="A1036" s="3" t="s">
        <v>2132</v>
      </c>
      <c r="B1036" s="3" t="str">
        <f ca="1">IFERROR(__xludf.DUMMYFUNCTION("SPLIT(A1036,""/"")"),"thinkst")</f>
        <v>thinkst</v>
      </c>
      <c r="C1036" s="3" t="str">
        <f ca="1">IFERROR(__xludf.DUMMYFUNCTION("""COMPUTED_VALUE"""),"opencanary")</f>
        <v>opencanary</v>
      </c>
      <c r="D1036" s="4" t="s">
        <v>2133</v>
      </c>
      <c r="E1036" s="5">
        <v>42221.613993055558</v>
      </c>
      <c r="F1036" s="5">
        <v>44292.826435185183</v>
      </c>
      <c r="G1036" s="13">
        <f t="shared" si="96"/>
        <v>2071.2124421296248</v>
      </c>
      <c r="H1036" s="6" t="b">
        <v>0</v>
      </c>
      <c r="I1036" s="7" t="b">
        <v>1</v>
      </c>
      <c r="J1036" s="8">
        <v>1148</v>
      </c>
      <c r="K1036" s="8">
        <v>65</v>
      </c>
      <c r="L1036" s="8">
        <v>189</v>
      </c>
      <c r="M1036" s="8">
        <v>0</v>
      </c>
      <c r="N1036" s="8">
        <v>0</v>
      </c>
      <c r="O1036" s="8">
        <v>22</v>
      </c>
      <c r="P1036" s="8">
        <v>31</v>
      </c>
      <c r="Q1036" s="8">
        <v>0</v>
      </c>
      <c r="R1036" s="8">
        <v>100</v>
      </c>
      <c r="S1036" s="8">
        <v>23</v>
      </c>
      <c r="T1036" s="3" t="s">
        <v>57</v>
      </c>
      <c r="U1036" s="10">
        <v>3010</v>
      </c>
      <c r="V1036" s="32">
        <v>29</v>
      </c>
      <c r="W1036" s="27">
        <v>9.6345514950166109E-3</v>
      </c>
      <c r="X1036" s="34">
        <v>0</v>
      </c>
      <c r="Y1036" s="27">
        <v>0</v>
      </c>
      <c r="Z1036" s="27">
        <v>0</v>
      </c>
      <c r="AA1036" s="35">
        <v>0</v>
      </c>
      <c r="AB1036" s="27">
        <v>0</v>
      </c>
      <c r="AC1036" s="27">
        <f t="shared" si="97"/>
        <v>0</v>
      </c>
      <c r="AD1036" s="36">
        <v>3</v>
      </c>
      <c r="AE1036" s="27">
        <v>0.10344827586206896</v>
      </c>
      <c r="AF1036" s="27">
        <f t="shared" si="98"/>
        <v>9.9667774086378727E-4</v>
      </c>
      <c r="AG1036" s="37">
        <v>1</v>
      </c>
      <c r="AH1036" s="27">
        <v>3.4482758620689655E-2</v>
      </c>
      <c r="AI1036" s="27">
        <f t="shared" si="99"/>
        <v>3.3222591362126248E-4</v>
      </c>
      <c r="AJ1036" s="38">
        <v>0</v>
      </c>
      <c r="AK1036" s="27">
        <v>0</v>
      </c>
      <c r="AL1036" s="27">
        <f t="shared" si="100"/>
        <v>0</v>
      </c>
      <c r="AM1036" s="40">
        <v>25</v>
      </c>
      <c r="AN1036" s="27">
        <v>0.86206896551724133</v>
      </c>
      <c r="AO1036" s="27">
        <f t="shared" si="101"/>
        <v>8.3056478405315621E-3</v>
      </c>
      <c r="AP1036" s="6" t="b">
        <v>0</v>
      </c>
      <c r="AQ1036" s="7" t="b">
        <v>1</v>
      </c>
      <c r="AR1036" s="6" t="b">
        <v>0</v>
      </c>
      <c r="AS1036" s="6" t="b">
        <v>0</v>
      </c>
      <c r="AT1036" s="7" t="b">
        <v>1</v>
      </c>
      <c r="AU1036" s="6" t="b">
        <v>0</v>
      </c>
      <c r="AV1036" s="6" t="b">
        <v>0</v>
      </c>
      <c r="AW1036" s="6" t="b">
        <v>0</v>
      </c>
      <c r="AX1036" s="6" t="b">
        <v>0</v>
      </c>
      <c r="AY1036" s="6" t="b">
        <v>0</v>
      </c>
      <c r="AZ1036" s="6" t="b">
        <v>0</v>
      </c>
      <c r="BA1036" s="6" t="b">
        <v>0</v>
      </c>
      <c r="BB1036" s="6" t="b">
        <v>0</v>
      </c>
    </row>
    <row r="1037" spans="1:54" ht="15" x14ac:dyDescent="0.25">
      <c r="A1037" s="3" t="s">
        <v>2134</v>
      </c>
      <c r="B1037" s="3" t="str">
        <f ca="1">IFERROR(__xludf.DUMMYFUNCTION("SPLIT(A1037,""/"")"),"thomasloven")</f>
        <v>thomasloven</v>
      </c>
      <c r="C1037" s="3" t="str">
        <f ca="1">IFERROR(__xludf.DUMMYFUNCTION("""COMPUTED_VALUE"""),"hass-browser_mod")</f>
        <v>hass-browser_mod</v>
      </c>
      <c r="D1037" s="4" t="s">
        <v>2135</v>
      </c>
      <c r="E1037" s="5">
        <v>43643.747245370374</v>
      </c>
      <c r="F1037" s="5">
        <v>44294.071504629632</v>
      </c>
      <c r="G1037" s="13">
        <f t="shared" si="96"/>
        <v>650.32425925925781</v>
      </c>
      <c r="H1037" s="6" t="b">
        <v>0</v>
      </c>
      <c r="I1037" s="6" t="b">
        <v>0</v>
      </c>
      <c r="J1037" s="8">
        <v>390</v>
      </c>
      <c r="K1037" s="8">
        <v>16</v>
      </c>
      <c r="L1037" s="8">
        <v>53</v>
      </c>
      <c r="M1037" s="8">
        <v>37</v>
      </c>
      <c r="N1037" s="8">
        <v>0</v>
      </c>
      <c r="O1037" s="8">
        <v>7</v>
      </c>
      <c r="P1037" s="8">
        <v>25</v>
      </c>
      <c r="Q1037" s="8">
        <v>2</v>
      </c>
      <c r="R1037" s="8">
        <v>184</v>
      </c>
      <c r="S1037" s="8">
        <v>22</v>
      </c>
      <c r="T1037" s="3" t="s">
        <v>72</v>
      </c>
      <c r="U1037" s="10">
        <v>462</v>
      </c>
      <c r="V1037" s="32">
        <v>0</v>
      </c>
      <c r="W1037" s="27">
        <v>0</v>
      </c>
      <c r="X1037" s="34">
        <v>0</v>
      </c>
      <c r="Y1037" s="27">
        <v>0</v>
      </c>
      <c r="Z1037" s="27">
        <v>0</v>
      </c>
      <c r="AA1037" s="35">
        <v>0</v>
      </c>
      <c r="AB1037" s="27">
        <v>0</v>
      </c>
      <c r="AC1037" s="27">
        <f t="shared" si="97"/>
        <v>0</v>
      </c>
      <c r="AD1037" s="36">
        <v>0</v>
      </c>
      <c r="AE1037" s="27">
        <v>0</v>
      </c>
      <c r="AF1037" s="27">
        <f t="shared" si="98"/>
        <v>0</v>
      </c>
      <c r="AG1037" s="37">
        <v>0</v>
      </c>
      <c r="AH1037" s="27">
        <v>0</v>
      </c>
      <c r="AI1037" s="27">
        <f t="shared" si="99"/>
        <v>0</v>
      </c>
      <c r="AJ1037" s="38">
        <v>0</v>
      </c>
      <c r="AK1037" s="27">
        <v>0</v>
      </c>
      <c r="AL1037" s="27">
        <f t="shared" si="100"/>
        <v>0</v>
      </c>
      <c r="AM1037" s="40">
        <v>0</v>
      </c>
      <c r="AN1037" s="27">
        <v>0</v>
      </c>
      <c r="AO1037" s="27">
        <f t="shared" si="101"/>
        <v>0</v>
      </c>
      <c r="AP1037" s="6" t="b">
        <v>0</v>
      </c>
      <c r="AQ1037" s="7" t="b">
        <v>1</v>
      </c>
      <c r="AR1037" s="6" t="b">
        <v>0</v>
      </c>
      <c r="AS1037" s="6" t="b">
        <v>0</v>
      </c>
      <c r="AT1037" s="7" t="b">
        <v>1</v>
      </c>
      <c r="AU1037" s="6" t="b">
        <v>0</v>
      </c>
      <c r="AV1037" s="6" t="b">
        <v>0</v>
      </c>
      <c r="AW1037" s="6" t="b">
        <v>0</v>
      </c>
      <c r="AX1037" s="6" t="b">
        <v>0</v>
      </c>
      <c r="AY1037" s="6" t="b">
        <v>0</v>
      </c>
      <c r="AZ1037" s="6" t="b">
        <v>0</v>
      </c>
      <c r="BA1037" s="6" t="b">
        <v>0</v>
      </c>
      <c r="BB1037" s="6" t="b">
        <v>0</v>
      </c>
    </row>
    <row r="1038" spans="1:54" ht="15" x14ac:dyDescent="0.25">
      <c r="A1038" s="3" t="s">
        <v>2136</v>
      </c>
      <c r="B1038" s="3" t="str">
        <f ca="1">IFERROR(__xludf.DUMMYFUNCTION("SPLIT(A1038,""/"")"),"thp")</f>
        <v>thp</v>
      </c>
      <c r="C1038" s="3" t="str">
        <f ca="1">IFERROR(__xludf.DUMMYFUNCTION("""COMPUTED_VALUE"""),"urlwatch")</f>
        <v>urlwatch</v>
      </c>
      <c r="D1038" s="4" t="s">
        <v>2137</v>
      </c>
      <c r="E1038" s="5">
        <v>41668.779398148145</v>
      </c>
      <c r="F1038" s="5">
        <v>44295.065266203703</v>
      </c>
      <c r="G1038" s="13">
        <f t="shared" si="96"/>
        <v>2626.2858680555582</v>
      </c>
      <c r="H1038" s="6" t="b">
        <v>0</v>
      </c>
      <c r="I1038" s="6" t="b">
        <v>0</v>
      </c>
      <c r="J1038" s="8">
        <v>2067</v>
      </c>
      <c r="K1038" s="8">
        <v>71</v>
      </c>
      <c r="L1038" s="8">
        <v>286</v>
      </c>
      <c r="M1038" s="8">
        <v>0</v>
      </c>
      <c r="N1038" s="8">
        <v>3</v>
      </c>
      <c r="O1038" s="8">
        <v>59</v>
      </c>
      <c r="P1038" s="8">
        <v>241</v>
      </c>
      <c r="Q1038" s="8">
        <v>9</v>
      </c>
      <c r="R1038" s="8">
        <v>392</v>
      </c>
      <c r="S1038" s="8">
        <v>54</v>
      </c>
      <c r="T1038" s="3" t="s">
        <v>92</v>
      </c>
      <c r="U1038" s="10">
        <v>3138</v>
      </c>
      <c r="V1038" s="32">
        <v>72</v>
      </c>
      <c r="W1038" s="27">
        <v>2.2944550669216062E-2</v>
      </c>
      <c r="X1038" s="34">
        <v>26</v>
      </c>
      <c r="Y1038" s="27">
        <v>0.3611111111111111</v>
      </c>
      <c r="Z1038" s="27">
        <v>8.2855321861057991E-3</v>
      </c>
      <c r="AA1038" s="35">
        <v>26</v>
      </c>
      <c r="AB1038" s="27">
        <v>0.3611111111111111</v>
      </c>
      <c r="AC1038" s="27">
        <f t="shared" si="97"/>
        <v>8.2855321861057991E-3</v>
      </c>
      <c r="AD1038" s="36">
        <v>6</v>
      </c>
      <c r="AE1038" s="27">
        <v>8.3333333333333329E-2</v>
      </c>
      <c r="AF1038" s="27">
        <f t="shared" si="98"/>
        <v>1.9120458891013384E-3</v>
      </c>
      <c r="AG1038" s="37">
        <v>14</v>
      </c>
      <c r="AH1038" s="27">
        <v>0.19444444444444445</v>
      </c>
      <c r="AI1038" s="27">
        <f t="shared" si="99"/>
        <v>4.4614404079031233E-3</v>
      </c>
      <c r="AJ1038" s="38">
        <v>0</v>
      </c>
      <c r="AK1038" s="27">
        <v>0</v>
      </c>
      <c r="AL1038" s="27">
        <f t="shared" si="100"/>
        <v>0</v>
      </c>
      <c r="AM1038" s="40">
        <v>0</v>
      </c>
      <c r="AN1038" s="27">
        <v>0</v>
      </c>
      <c r="AO1038" s="27">
        <f t="shared" si="101"/>
        <v>0</v>
      </c>
      <c r="AP1038" s="7" t="b">
        <v>1</v>
      </c>
      <c r="AQ1038" s="6" t="b">
        <v>0</v>
      </c>
      <c r="AR1038" s="6" t="b">
        <v>0</v>
      </c>
      <c r="AS1038" s="6" t="b">
        <v>0</v>
      </c>
      <c r="AT1038" s="7" t="b">
        <v>1</v>
      </c>
      <c r="AU1038" s="6" t="b">
        <v>0</v>
      </c>
      <c r="AV1038" s="6" t="b">
        <v>0</v>
      </c>
      <c r="AW1038" s="6" t="b">
        <v>0</v>
      </c>
      <c r="AX1038" s="6" t="b">
        <v>0</v>
      </c>
      <c r="AY1038" s="6" t="b">
        <v>0</v>
      </c>
      <c r="AZ1038" s="6" t="b">
        <v>0</v>
      </c>
      <c r="BA1038" s="6" t="b">
        <v>0</v>
      </c>
      <c r="BB1038" s="6" t="b">
        <v>0</v>
      </c>
    </row>
    <row r="1039" spans="1:54" ht="15" x14ac:dyDescent="0.25">
      <c r="A1039" s="3" t="s">
        <v>2138</v>
      </c>
      <c r="B1039" s="3" t="str">
        <f ca="1">IFERROR(__xludf.DUMMYFUNCTION("SPLIT(A1039,""/"")"),"threat9")</f>
        <v>threat9</v>
      </c>
      <c r="C1039" s="3" t="str">
        <f ca="1">IFERROR(__xludf.DUMMYFUNCTION("""COMPUTED_VALUE"""),"routersploit")</f>
        <v>routersploit</v>
      </c>
      <c r="D1039" s="4" t="s">
        <v>2139</v>
      </c>
      <c r="E1039" s="5">
        <v>42459.488333333335</v>
      </c>
      <c r="F1039" s="5">
        <v>44294.511157407411</v>
      </c>
      <c r="G1039" s="13">
        <f t="shared" si="96"/>
        <v>1835.0228240740762</v>
      </c>
      <c r="H1039" s="6" t="b">
        <v>0</v>
      </c>
      <c r="I1039" s="7" t="b">
        <v>1</v>
      </c>
      <c r="J1039" s="8">
        <v>9302</v>
      </c>
      <c r="K1039" s="8">
        <v>615</v>
      </c>
      <c r="L1039" s="8">
        <v>1877</v>
      </c>
      <c r="M1039" s="8">
        <v>10</v>
      </c>
      <c r="N1039" s="8">
        <v>15</v>
      </c>
      <c r="O1039" s="8">
        <v>63</v>
      </c>
      <c r="P1039" s="8">
        <v>311</v>
      </c>
      <c r="Q1039" s="8">
        <v>10</v>
      </c>
      <c r="R1039" s="8">
        <v>417</v>
      </c>
      <c r="S1039" s="8">
        <v>82</v>
      </c>
      <c r="T1039" s="3" t="s">
        <v>92</v>
      </c>
      <c r="U1039" s="10">
        <v>15546</v>
      </c>
      <c r="V1039" s="32">
        <v>0</v>
      </c>
      <c r="W1039" s="27">
        <v>0</v>
      </c>
      <c r="X1039" s="34">
        <v>0</v>
      </c>
      <c r="Y1039" s="27">
        <v>0</v>
      </c>
      <c r="Z1039" s="27">
        <v>0</v>
      </c>
      <c r="AA1039" s="35">
        <v>1</v>
      </c>
      <c r="AB1039" s="27">
        <v>0</v>
      </c>
      <c r="AC1039" s="27">
        <f t="shared" si="97"/>
        <v>6.4325228354560662E-5</v>
      </c>
      <c r="AD1039" s="36">
        <v>0</v>
      </c>
      <c r="AE1039" s="27">
        <v>0</v>
      </c>
      <c r="AF1039" s="27">
        <f t="shared" si="98"/>
        <v>0</v>
      </c>
      <c r="AG1039" s="37">
        <v>0</v>
      </c>
      <c r="AH1039" s="27">
        <v>0</v>
      </c>
      <c r="AI1039" s="27">
        <f t="shared" si="99"/>
        <v>0</v>
      </c>
      <c r="AJ1039" s="38">
        <v>0</v>
      </c>
      <c r="AK1039" s="27">
        <v>0</v>
      </c>
      <c r="AL1039" s="27">
        <f t="shared" si="100"/>
        <v>0</v>
      </c>
      <c r="AM1039" s="40">
        <v>0</v>
      </c>
      <c r="AN1039" s="27">
        <v>0</v>
      </c>
      <c r="AO1039" s="27">
        <f t="shared" si="101"/>
        <v>0</v>
      </c>
      <c r="AP1039" s="7" t="b">
        <v>1</v>
      </c>
      <c r="AQ1039" s="6" t="b">
        <v>0</v>
      </c>
      <c r="AR1039" s="6" t="b">
        <v>0</v>
      </c>
      <c r="AS1039" s="6" t="b">
        <v>0</v>
      </c>
      <c r="AT1039" s="7" t="b">
        <v>1</v>
      </c>
      <c r="AU1039" s="6" t="b">
        <v>0</v>
      </c>
      <c r="AV1039" s="6" t="b">
        <v>0</v>
      </c>
      <c r="AW1039" s="6" t="b">
        <v>0</v>
      </c>
      <c r="AX1039" s="6" t="b">
        <v>0</v>
      </c>
      <c r="AY1039" s="6" t="b">
        <v>0</v>
      </c>
      <c r="AZ1039" s="6" t="b">
        <v>0</v>
      </c>
      <c r="BA1039" s="6" t="b">
        <v>0</v>
      </c>
      <c r="BB1039" s="6" t="b">
        <v>0</v>
      </c>
    </row>
    <row r="1040" spans="1:54" ht="15" x14ac:dyDescent="0.25">
      <c r="A1040" s="3" t="s">
        <v>2140</v>
      </c>
      <c r="B1040" s="3" t="str">
        <f ca="1">IFERROR(__xludf.DUMMYFUNCTION("SPLIT(A1040,""/"")"),"THUDM")</f>
        <v>THUDM</v>
      </c>
      <c r="C1040" s="3" t="str">
        <f ca="1">IFERROR(__xludf.DUMMYFUNCTION("""COMPUTED_VALUE"""),"cogdl")</f>
        <v>cogdl</v>
      </c>
      <c r="D1040" s="4" t="s">
        <v>2141</v>
      </c>
      <c r="E1040" s="5">
        <v>43542.645543981482</v>
      </c>
      <c r="F1040" s="5">
        <v>44293.251574074071</v>
      </c>
      <c r="G1040" s="13">
        <f t="shared" si="96"/>
        <v>750.60603009258921</v>
      </c>
      <c r="H1040" s="6" t="b">
        <v>0</v>
      </c>
      <c r="I1040" s="7" t="b">
        <v>1</v>
      </c>
      <c r="J1040" s="8">
        <v>632</v>
      </c>
      <c r="K1040" s="8">
        <v>26</v>
      </c>
      <c r="L1040" s="8">
        <v>161</v>
      </c>
      <c r="M1040" s="8">
        <v>5</v>
      </c>
      <c r="N1040" s="8">
        <v>0</v>
      </c>
      <c r="O1040" s="8">
        <v>27</v>
      </c>
      <c r="P1040" s="8">
        <v>171</v>
      </c>
      <c r="Q1040" s="8">
        <v>12</v>
      </c>
      <c r="R1040" s="8">
        <v>46</v>
      </c>
      <c r="S1040" s="8">
        <v>0</v>
      </c>
      <c r="T1040" s="3" t="s">
        <v>72</v>
      </c>
      <c r="U1040" s="10">
        <v>20188</v>
      </c>
      <c r="V1040" s="32">
        <v>26</v>
      </c>
      <c r="W1040" s="27">
        <v>1.2878937982960174E-3</v>
      </c>
      <c r="X1040" s="34">
        <v>0</v>
      </c>
      <c r="Y1040" s="27">
        <v>0</v>
      </c>
      <c r="Z1040" s="27">
        <v>0</v>
      </c>
      <c r="AA1040" s="35">
        <v>25</v>
      </c>
      <c r="AB1040" s="27">
        <v>0.96153846153846156</v>
      </c>
      <c r="AC1040" s="27">
        <f t="shared" si="97"/>
        <v>1.2383594214384784E-3</v>
      </c>
      <c r="AD1040" s="36">
        <v>0</v>
      </c>
      <c r="AE1040" s="27">
        <v>0</v>
      </c>
      <c r="AF1040" s="27">
        <f t="shared" si="98"/>
        <v>0</v>
      </c>
      <c r="AG1040" s="37">
        <v>0</v>
      </c>
      <c r="AH1040" s="27">
        <v>0</v>
      </c>
      <c r="AI1040" s="27">
        <f t="shared" si="99"/>
        <v>0</v>
      </c>
      <c r="AJ1040" s="38">
        <v>0</v>
      </c>
      <c r="AK1040" s="27">
        <v>0</v>
      </c>
      <c r="AL1040" s="27">
        <f t="shared" si="100"/>
        <v>0</v>
      </c>
      <c r="AM1040" s="40">
        <v>1</v>
      </c>
      <c r="AN1040" s="27">
        <v>3.8461538461538464E-2</v>
      </c>
      <c r="AO1040" s="27">
        <f t="shared" si="101"/>
        <v>4.953437685753913E-5</v>
      </c>
      <c r="AP1040" s="7" t="b">
        <v>1</v>
      </c>
      <c r="AQ1040" s="6" t="b">
        <v>0</v>
      </c>
      <c r="AR1040" s="6" t="b">
        <v>0</v>
      </c>
      <c r="AS1040" s="6" t="b">
        <v>0</v>
      </c>
      <c r="AT1040" s="7" t="b">
        <v>1</v>
      </c>
      <c r="AU1040" s="6" t="b">
        <v>0</v>
      </c>
      <c r="AV1040" s="6" t="b">
        <v>0</v>
      </c>
      <c r="AW1040" s="6" t="b">
        <v>0</v>
      </c>
      <c r="AX1040" s="6" t="b">
        <v>0</v>
      </c>
      <c r="AY1040" s="6" t="b">
        <v>0</v>
      </c>
      <c r="AZ1040" s="6" t="b">
        <v>0</v>
      </c>
      <c r="BA1040" s="6" t="b">
        <v>0</v>
      </c>
      <c r="BB1040" s="6" t="b">
        <v>0</v>
      </c>
    </row>
    <row r="1041" spans="1:54" ht="15" x14ac:dyDescent="0.25">
      <c r="A1041" s="3" t="s">
        <v>2142</v>
      </c>
      <c r="B1041" s="3" t="str">
        <f ca="1">IFERROR(__xludf.DUMMYFUNCTION("SPLIT(A1041,""/"")"),"thushv89")</f>
        <v>thushv89</v>
      </c>
      <c r="C1041" s="3" t="str">
        <f ca="1">IFERROR(__xludf.DUMMYFUNCTION("""COMPUTED_VALUE"""),"attention_keras")</f>
        <v>attention_keras</v>
      </c>
      <c r="D1041" s="4" t="s">
        <v>2143</v>
      </c>
      <c r="E1041" s="5">
        <v>43540.963425925926</v>
      </c>
      <c r="F1041" s="5">
        <v>44287.721099537041</v>
      </c>
      <c r="G1041" s="13">
        <f t="shared" si="96"/>
        <v>746.75767361111502</v>
      </c>
      <c r="H1041" s="6" t="b">
        <v>0</v>
      </c>
      <c r="I1041" s="6" t="b">
        <v>0</v>
      </c>
      <c r="J1041" s="8">
        <v>354</v>
      </c>
      <c r="K1041" s="8">
        <v>11</v>
      </c>
      <c r="L1041" s="8">
        <v>207</v>
      </c>
      <c r="M1041" s="8">
        <v>1</v>
      </c>
      <c r="N1041" s="8">
        <v>0</v>
      </c>
      <c r="O1041" s="9">
        <v>0</v>
      </c>
      <c r="P1041" s="8">
        <v>19</v>
      </c>
      <c r="Q1041" s="8">
        <v>6</v>
      </c>
      <c r="R1041" s="8">
        <v>30</v>
      </c>
      <c r="S1041" s="8">
        <v>5</v>
      </c>
      <c r="T1041" s="3" t="s">
        <v>72</v>
      </c>
      <c r="U1041" s="10">
        <v>616</v>
      </c>
      <c r="V1041" s="32">
        <v>32</v>
      </c>
      <c r="W1041" s="27">
        <v>5.1948051948051951E-2</v>
      </c>
      <c r="X1041" s="34">
        <v>6</v>
      </c>
      <c r="Y1041" s="27">
        <v>0.1875</v>
      </c>
      <c r="Z1041" s="27">
        <v>9.74025974025974E-3</v>
      </c>
      <c r="AA1041" s="35">
        <v>26</v>
      </c>
      <c r="AB1041" s="27">
        <v>0.8125</v>
      </c>
      <c r="AC1041" s="27">
        <f t="shared" si="97"/>
        <v>4.2207792207792208E-2</v>
      </c>
      <c r="AD1041" s="36">
        <v>0</v>
      </c>
      <c r="AE1041" s="27">
        <v>0</v>
      </c>
      <c r="AF1041" s="27">
        <f t="shared" si="98"/>
        <v>0</v>
      </c>
      <c r="AG1041" s="37">
        <v>0</v>
      </c>
      <c r="AH1041" s="27">
        <v>0</v>
      </c>
      <c r="AI1041" s="27">
        <f t="shared" si="99"/>
        <v>0</v>
      </c>
      <c r="AJ1041" s="38">
        <v>0</v>
      </c>
      <c r="AK1041" s="27">
        <v>0</v>
      </c>
      <c r="AL1041" s="27">
        <f t="shared" si="100"/>
        <v>0</v>
      </c>
      <c r="AM1041" s="40">
        <v>0</v>
      </c>
      <c r="AN1041" s="27">
        <v>0</v>
      </c>
      <c r="AO1041" s="27">
        <f t="shared" si="101"/>
        <v>0</v>
      </c>
      <c r="AP1041" s="7" t="b">
        <v>1</v>
      </c>
      <c r="AQ1041" s="6" t="b">
        <v>0</v>
      </c>
      <c r="AR1041" s="6" t="b">
        <v>0</v>
      </c>
      <c r="AS1041" s="6" t="b">
        <v>0</v>
      </c>
      <c r="AT1041" s="7" t="b">
        <v>1</v>
      </c>
      <c r="AU1041" s="6" t="b">
        <v>0</v>
      </c>
      <c r="AV1041" s="6" t="b">
        <v>0</v>
      </c>
      <c r="AW1041" s="6" t="b">
        <v>0</v>
      </c>
      <c r="AX1041" s="6" t="b">
        <v>0</v>
      </c>
      <c r="AY1041" s="6" t="b">
        <v>0</v>
      </c>
      <c r="AZ1041" s="6" t="b">
        <v>0</v>
      </c>
      <c r="BA1041" s="6" t="b">
        <v>0</v>
      </c>
      <c r="BB1041" s="6" t="b">
        <v>0</v>
      </c>
    </row>
    <row r="1042" spans="1:54" ht="15" x14ac:dyDescent="0.25">
      <c r="A1042" s="3" t="s">
        <v>2144</v>
      </c>
      <c r="B1042" s="3" t="str">
        <f ca="1">IFERROR(__xludf.DUMMYFUNCTION("SPLIT(A1042,""/"")"),"tiangolo")</f>
        <v>tiangolo</v>
      </c>
      <c r="C1042" s="3" t="str">
        <f ca="1">IFERROR(__xludf.DUMMYFUNCTION("""COMPUTED_VALUE"""),"fastapi")</f>
        <v>fastapi</v>
      </c>
      <c r="D1042" s="4" t="s">
        <v>2145</v>
      </c>
      <c r="E1042" s="5">
        <v>43442.348460648151</v>
      </c>
      <c r="F1042" s="5">
        <v>44295.179467592592</v>
      </c>
      <c r="G1042" s="13">
        <f t="shared" si="96"/>
        <v>852.83100694444147</v>
      </c>
      <c r="H1042" s="6" t="b">
        <v>0</v>
      </c>
      <c r="I1042" s="6" t="b">
        <v>0</v>
      </c>
      <c r="J1042" s="8">
        <v>29434</v>
      </c>
      <c r="K1042" s="8">
        <v>493</v>
      </c>
      <c r="L1042" s="8">
        <v>2000</v>
      </c>
      <c r="M1042" s="8">
        <v>99</v>
      </c>
      <c r="N1042" s="8">
        <v>559</v>
      </c>
      <c r="O1042" s="8">
        <v>219</v>
      </c>
      <c r="P1042" s="8">
        <v>1014</v>
      </c>
      <c r="Q1042" s="8">
        <v>251</v>
      </c>
      <c r="R1042" s="8">
        <v>1963</v>
      </c>
      <c r="S1042" s="8">
        <v>534</v>
      </c>
      <c r="T1042" s="3" t="s">
        <v>72</v>
      </c>
      <c r="U1042" s="10">
        <v>12845</v>
      </c>
      <c r="V1042" s="32">
        <v>31</v>
      </c>
      <c r="W1042" s="27">
        <v>2.413390424289607E-3</v>
      </c>
      <c r="X1042" s="34">
        <v>0</v>
      </c>
      <c r="Y1042" s="27">
        <v>0</v>
      </c>
      <c r="Z1042" s="27">
        <v>0</v>
      </c>
      <c r="AA1042" s="35">
        <v>22</v>
      </c>
      <c r="AB1042" s="27">
        <v>0.70967741935483875</v>
      </c>
      <c r="AC1042" s="27">
        <f t="shared" si="97"/>
        <v>1.7127286882055275E-3</v>
      </c>
      <c r="AD1042" s="36">
        <v>2</v>
      </c>
      <c r="AE1042" s="27">
        <v>6.4516129032258063E-2</v>
      </c>
      <c r="AF1042" s="27">
        <f t="shared" si="98"/>
        <v>1.557026080186843E-4</v>
      </c>
      <c r="AG1042" s="37">
        <v>7</v>
      </c>
      <c r="AH1042" s="27">
        <v>0.22580645161290322</v>
      </c>
      <c r="AI1042" s="27">
        <f t="shared" si="99"/>
        <v>5.4495912806539512E-4</v>
      </c>
      <c r="AJ1042" s="38">
        <v>0</v>
      </c>
      <c r="AK1042" s="27">
        <v>0</v>
      </c>
      <c r="AL1042" s="27">
        <f t="shared" si="100"/>
        <v>0</v>
      </c>
      <c r="AM1042" s="40">
        <v>0</v>
      </c>
      <c r="AN1042" s="27">
        <v>0</v>
      </c>
      <c r="AO1042" s="27">
        <f t="shared" si="101"/>
        <v>0</v>
      </c>
      <c r="AP1042" s="7" t="b">
        <v>1</v>
      </c>
      <c r="AQ1042" s="6" t="b">
        <v>0</v>
      </c>
      <c r="AR1042" s="6" t="b">
        <v>0</v>
      </c>
      <c r="AS1042" s="6" t="b">
        <v>0</v>
      </c>
      <c r="AT1042" s="7" t="b">
        <v>1</v>
      </c>
      <c r="AU1042" s="6" t="b">
        <v>0</v>
      </c>
      <c r="AV1042" s="6" t="b">
        <v>0</v>
      </c>
      <c r="AW1042" s="6" t="b">
        <v>0</v>
      </c>
      <c r="AX1042" s="6" t="b">
        <v>0</v>
      </c>
      <c r="AY1042" s="6" t="b">
        <v>0</v>
      </c>
      <c r="AZ1042" s="6" t="b">
        <v>0</v>
      </c>
      <c r="BA1042" s="6" t="b">
        <v>0</v>
      </c>
      <c r="BB1042" s="6" t="b">
        <v>0</v>
      </c>
    </row>
    <row r="1043" spans="1:54" ht="15" x14ac:dyDescent="0.25">
      <c r="A1043" s="3" t="s">
        <v>2146</v>
      </c>
      <c r="B1043" s="3" t="str">
        <f ca="1">IFERROR(__xludf.DUMMYFUNCTION("SPLIT(A1043,""/"")"),"tiangolo")</f>
        <v>tiangolo</v>
      </c>
      <c r="C1043" s="3" t="str">
        <f ca="1">IFERROR(__xludf.DUMMYFUNCTION("""COMPUTED_VALUE"""),"full-stack")</f>
        <v>full-stack</v>
      </c>
      <c r="D1043" s="4" t="s">
        <v>2147</v>
      </c>
      <c r="E1043" s="5">
        <v>43159.565381944441</v>
      </c>
      <c r="F1043" s="5">
        <v>44293.880902777775</v>
      </c>
      <c r="G1043" s="13">
        <f t="shared" si="96"/>
        <v>1134.3155208333337</v>
      </c>
      <c r="H1043" s="6" t="b">
        <v>0</v>
      </c>
      <c r="I1043" s="6" t="b">
        <v>0</v>
      </c>
      <c r="J1043" s="8">
        <v>458</v>
      </c>
      <c r="K1043" s="8">
        <v>23</v>
      </c>
      <c r="L1043" s="8">
        <v>59</v>
      </c>
      <c r="M1043" s="8">
        <v>3</v>
      </c>
      <c r="N1043" s="8">
        <v>0</v>
      </c>
      <c r="O1043" s="8">
        <v>6</v>
      </c>
      <c r="P1043" s="8">
        <v>10</v>
      </c>
      <c r="Q1043" s="8">
        <v>0</v>
      </c>
      <c r="R1043" s="8">
        <v>16</v>
      </c>
      <c r="S1043" s="8">
        <v>1</v>
      </c>
      <c r="T1043" s="3" t="s">
        <v>72</v>
      </c>
      <c r="U1043" s="10">
        <v>755</v>
      </c>
      <c r="V1043" s="32">
        <v>6</v>
      </c>
      <c r="W1043" s="27">
        <v>7.9470198675496689E-3</v>
      </c>
      <c r="X1043" s="34">
        <v>0</v>
      </c>
      <c r="Y1043" s="27">
        <v>0</v>
      </c>
      <c r="Z1043" s="27">
        <v>0</v>
      </c>
      <c r="AA1043" s="35">
        <v>6</v>
      </c>
      <c r="AB1043" s="27">
        <v>1</v>
      </c>
      <c r="AC1043" s="27">
        <f t="shared" si="97"/>
        <v>7.9470198675496689E-3</v>
      </c>
      <c r="AD1043" s="36">
        <v>0</v>
      </c>
      <c r="AE1043" s="27">
        <v>0</v>
      </c>
      <c r="AF1043" s="27">
        <f t="shared" si="98"/>
        <v>0</v>
      </c>
      <c r="AG1043" s="37">
        <v>0</v>
      </c>
      <c r="AH1043" s="27">
        <v>0</v>
      </c>
      <c r="AI1043" s="27">
        <f t="shared" si="99"/>
        <v>0</v>
      </c>
      <c r="AJ1043" s="38">
        <v>0</v>
      </c>
      <c r="AK1043" s="27">
        <v>0</v>
      </c>
      <c r="AL1043" s="27">
        <f t="shared" si="100"/>
        <v>0</v>
      </c>
      <c r="AM1043" s="40">
        <v>0</v>
      </c>
      <c r="AN1043" s="27">
        <v>0</v>
      </c>
      <c r="AO1043" s="27">
        <f t="shared" si="101"/>
        <v>0</v>
      </c>
      <c r="AP1043" s="7" t="b">
        <v>1</v>
      </c>
      <c r="AQ1043" s="6" t="b">
        <v>0</v>
      </c>
      <c r="AR1043" s="6" t="b">
        <v>0</v>
      </c>
      <c r="AS1043" s="6" t="b">
        <v>0</v>
      </c>
      <c r="AT1043" s="7" t="b">
        <v>1</v>
      </c>
      <c r="AU1043" s="6" t="b">
        <v>0</v>
      </c>
      <c r="AV1043" s="6" t="b">
        <v>0</v>
      </c>
      <c r="AW1043" s="6" t="b">
        <v>0</v>
      </c>
      <c r="AX1043" s="6" t="b">
        <v>0</v>
      </c>
      <c r="AY1043" s="6" t="b">
        <v>0</v>
      </c>
      <c r="AZ1043" s="6" t="b">
        <v>0</v>
      </c>
      <c r="BA1043" s="6" t="b">
        <v>0</v>
      </c>
      <c r="BB1043" s="6" t="b">
        <v>0</v>
      </c>
    </row>
    <row r="1044" spans="1:54" ht="15" x14ac:dyDescent="0.25">
      <c r="A1044" s="3" t="s">
        <v>2148</v>
      </c>
      <c r="B1044" s="3" t="str">
        <f ca="1">IFERROR(__xludf.DUMMYFUNCTION("SPLIT(A1044,""/"")"),"tiangolo")</f>
        <v>tiangolo</v>
      </c>
      <c r="C1044" s="3" t="str">
        <f ca="1">IFERROR(__xludf.DUMMYFUNCTION("""COMPUTED_VALUE"""),"full-stack-fastapi-postgresql")</f>
        <v>full-stack-fastapi-postgresql</v>
      </c>
      <c r="D1044" s="4" t="s">
        <v>2149</v>
      </c>
      <c r="E1044" s="5">
        <v>43519.630949074075</v>
      </c>
      <c r="F1044" s="5">
        <v>44295.050451388888</v>
      </c>
      <c r="G1044" s="13">
        <f t="shared" si="96"/>
        <v>775.41950231481314</v>
      </c>
      <c r="H1044" s="6" t="b">
        <v>0</v>
      </c>
      <c r="I1044" s="6" t="b">
        <v>0</v>
      </c>
      <c r="J1044" s="8">
        <v>5271</v>
      </c>
      <c r="K1044" s="8">
        <v>123</v>
      </c>
      <c r="L1044" s="8">
        <v>820</v>
      </c>
      <c r="M1044" s="8">
        <v>6</v>
      </c>
      <c r="N1044" s="8">
        <v>2</v>
      </c>
      <c r="O1044" s="8">
        <v>17</v>
      </c>
      <c r="P1044" s="8">
        <v>110</v>
      </c>
      <c r="Q1044" s="8">
        <v>32</v>
      </c>
      <c r="R1044" s="8">
        <v>251</v>
      </c>
      <c r="S1044" s="8">
        <v>94</v>
      </c>
      <c r="T1044" s="3" t="s">
        <v>72</v>
      </c>
      <c r="U1044" s="10">
        <v>1143</v>
      </c>
      <c r="V1044" s="32">
        <v>12</v>
      </c>
      <c r="W1044" s="27">
        <v>1.0498687664041995E-2</v>
      </c>
      <c r="X1044" s="34">
        <v>0</v>
      </c>
      <c r="Y1044" s="27">
        <v>0</v>
      </c>
      <c r="Z1044" s="27">
        <v>0</v>
      </c>
      <c r="AA1044" s="35">
        <v>9</v>
      </c>
      <c r="AB1044" s="27">
        <v>0.75</v>
      </c>
      <c r="AC1044" s="27">
        <f t="shared" si="97"/>
        <v>7.874015748031496E-3</v>
      </c>
      <c r="AD1044" s="36">
        <v>0</v>
      </c>
      <c r="AE1044" s="27">
        <v>0</v>
      </c>
      <c r="AF1044" s="27">
        <f t="shared" si="98"/>
        <v>0</v>
      </c>
      <c r="AG1044" s="37">
        <v>0</v>
      </c>
      <c r="AH1044" s="27">
        <v>0</v>
      </c>
      <c r="AI1044" s="27">
        <f t="shared" si="99"/>
        <v>0</v>
      </c>
      <c r="AJ1044" s="38">
        <v>0</v>
      </c>
      <c r="AK1044" s="27">
        <v>0</v>
      </c>
      <c r="AL1044" s="27">
        <f t="shared" si="100"/>
        <v>0</v>
      </c>
      <c r="AM1044" s="40">
        <v>0</v>
      </c>
      <c r="AN1044" s="27">
        <v>0</v>
      </c>
      <c r="AO1044" s="27">
        <f t="shared" si="101"/>
        <v>0</v>
      </c>
      <c r="AP1044" s="7" t="b">
        <v>1</v>
      </c>
      <c r="AQ1044" s="7" t="b">
        <v>1</v>
      </c>
      <c r="AR1044" s="6" t="b">
        <v>0</v>
      </c>
      <c r="AS1044" s="6" t="b">
        <v>0</v>
      </c>
      <c r="AT1044" s="7" t="b">
        <v>1</v>
      </c>
      <c r="AU1044" s="6" t="b">
        <v>0</v>
      </c>
      <c r="AV1044" s="6" t="b">
        <v>0</v>
      </c>
      <c r="AW1044" s="6" t="b">
        <v>0</v>
      </c>
      <c r="AX1044" s="6" t="b">
        <v>0</v>
      </c>
      <c r="AY1044" s="6" t="b">
        <v>0</v>
      </c>
      <c r="AZ1044" s="6" t="b">
        <v>0</v>
      </c>
      <c r="BA1044" s="6" t="b">
        <v>0</v>
      </c>
      <c r="BB1044" s="6" t="b">
        <v>0</v>
      </c>
    </row>
    <row r="1045" spans="1:54" ht="15" x14ac:dyDescent="0.25">
      <c r="A1045" s="3" t="s">
        <v>2150</v>
      </c>
      <c r="B1045" s="3" t="str">
        <f ca="1">IFERROR(__xludf.DUMMYFUNCTION("SPLIT(A1045,""/"")"),"tianzhi0549")</f>
        <v>tianzhi0549</v>
      </c>
      <c r="C1045" s="3" t="str">
        <f ca="1">IFERROR(__xludf.DUMMYFUNCTION("""COMPUTED_VALUE"""),"FCOS")</f>
        <v>FCOS</v>
      </c>
      <c r="D1045" s="4" t="s">
        <v>2151</v>
      </c>
      <c r="E1045" s="5">
        <v>43565.249467592592</v>
      </c>
      <c r="F1045" s="5">
        <v>44294.08258101852</v>
      </c>
      <c r="G1045" s="13">
        <f t="shared" si="96"/>
        <v>728.83311342592788</v>
      </c>
      <c r="H1045" s="6" t="b">
        <v>0</v>
      </c>
      <c r="I1045" s="6" t="b">
        <v>0</v>
      </c>
      <c r="J1045" s="8">
        <v>2590</v>
      </c>
      <c r="K1045" s="8">
        <v>62</v>
      </c>
      <c r="L1045" s="8">
        <v>513</v>
      </c>
      <c r="M1045" s="8">
        <v>0</v>
      </c>
      <c r="N1045" s="8">
        <v>0</v>
      </c>
      <c r="O1045" s="8">
        <v>9</v>
      </c>
      <c r="P1045" s="8">
        <v>10</v>
      </c>
      <c r="Q1045" s="8">
        <v>1</v>
      </c>
      <c r="R1045" s="8">
        <v>327</v>
      </c>
      <c r="S1045" s="8">
        <v>160</v>
      </c>
      <c r="T1045" s="3" t="s">
        <v>92</v>
      </c>
      <c r="U1045" s="10">
        <v>8235</v>
      </c>
      <c r="V1045" s="32">
        <v>54</v>
      </c>
      <c r="W1045" s="27">
        <v>6.5573770491803279E-3</v>
      </c>
      <c r="X1045" s="34">
        <v>0</v>
      </c>
      <c r="Y1045" s="27">
        <v>0</v>
      </c>
      <c r="Z1045" s="27">
        <v>0</v>
      </c>
      <c r="AA1045" s="35">
        <v>49</v>
      </c>
      <c r="AB1045" s="27">
        <v>0.90740740740740744</v>
      </c>
      <c r="AC1045" s="27">
        <f t="shared" si="97"/>
        <v>5.9502125075895571E-3</v>
      </c>
      <c r="AD1045" s="36">
        <v>4</v>
      </c>
      <c r="AE1045" s="27">
        <v>7.407407407407407E-2</v>
      </c>
      <c r="AF1045" s="27">
        <f t="shared" si="98"/>
        <v>4.857316332726169E-4</v>
      </c>
      <c r="AG1045" s="37">
        <v>1</v>
      </c>
      <c r="AH1045" s="27">
        <v>1.8518518518518517E-2</v>
      </c>
      <c r="AI1045" s="27">
        <f t="shared" si="99"/>
        <v>1.2143290831815422E-4</v>
      </c>
      <c r="AJ1045" s="38">
        <v>0</v>
      </c>
      <c r="AK1045" s="27">
        <v>0</v>
      </c>
      <c r="AL1045" s="27">
        <f t="shared" si="100"/>
        <v>0</v>
      </c>
      <c r="AM1045" s="40">
        <v>0</v>
      </c>
      <c r="AN1045" s="27">
        <v>0</v>
      </c>
      <c r="AO1045" s="27">
        <f t="shared" si="101"/>
        <v>0</v>
      </c>
      <c r="AP1045" s="7" t="b">
        <v>1</v>
      </c>
      <c r="AQ1045" s="6" t="b">
        <v>0</v>
      </c>
      <c r="AR1045" s="6" t="b">
        <v>0</v>
      </c>
      <c r="AS1045" s="6" t="b">
        <v>0</v>
      </c>
      <c r="AT1045" s="7" t="b">
        <v>1</v>
      </c>
      <c r="AU1045" s="6" t="b">
        <v>0</v>
      </c>
      <c r="AV1045" s="6" t="b">
        <v>0</v>
      </c>
      <c r="AW1045" s="6" t="b">
        <v>0</v>
      </c>
      <c r="AX1045" s="6" t="b">
        <v>0</v>
      </c>
      <c r="AY1045" s="6" t="b">
        <v>0</v>
      </c>
      <c r="AZ1045" s="6" t="b">
        <v>0</v>
      </c>
      <c r="BA1045" s="6" t="b">
        <v>0</v>
      </c>
      <c r="BB1045" s="6" t="b">
        <v>0</v>
      </c>
    </row>
    <row r="1046" spans="1:54" ht="15" x14ac:dyDescent="0.25">
      <c r="A1046" s="3" t="s">
        <v>2152</v>
      </c>
      <c r="B1046" s="3" t="str">
        <f ca="1">IFERROR(__xludf.DUMMYFUNCTION("SPLIT(A1046,""/"")"),"TileStache")</f>
        <v>TileStache</v>
      </c>
      <c r="C1046" s="3" t="str">
        <f ca="1">IFERROR(__xludf.DUMMYFUNCTION("""COMPUTED_VALUE"""),"TileStache")</f>
        <v>TileStache</v>
      </c>
      <c r="D1046" s="4" t="s">
        <v>2153</v>
      </c>
      <c r="E1046" s="5">
        <v>40270.861817129633</v>
      </c>
      <c r="F1046" s="5">
        <v>44254.820601851854</v>
      </c>
      <c r="G1046" s="13">
        <f t="shared" si="96"/>
        <v>3983.958784722221</v>
      </c>
      <c r="H1046" s="6" t="b">
        <v>0</v>
      </c>
      <c r="I1046" s="7" t="b">
        <v>1</v>
      </c>
      <c r="J1046" s="8">
        <v>723</v>
      </c>
      <c r="K1046" s="8">
        <v>42</v>
      </c>
      <c r="L1046" s="8">
        <v>248</v>
      </c>
      <c r="M1046" s="8">
        <v>4</v>
      </c>
      <c r="N1046" s="8">
        <v>27</v>
      </c>
      <c r="O1046" s="8">
        <v>65</v>
      </c>
      <c r="P1046" s="8">
        <v>207</v>
      </c>
      <c r="Q1046" s="8">
        <v>30</v>
      </c>
      <c r="R1046" s="8">
        <v>162</v>
      </c>
      <c r="S1046" s="8">
        <v>104</v>
      </c>
      <c r="T1046" s="3" t="s">
        <v>57</v>
      </c>
      <c r="U1046" s="10">
        <v>6725</v>
      </c>
      <c r="V1046" s="32">
        <v>23</v>
      </c>
      <c r="W1046" s="27">
        <v>3.4200743494423791E-3</v>
      </c>
      <c r="X1046" s="34">
        <v>14</v>
      </c>
      <c r="Y1046" s="27">
        <v>0.60869565217391308</v>
      </c>
      <c r="Z1046" s="27">
        <v>2.0817843866171005E-3</v>
      </c>
      <c r="AA1046" s="35">
        <v>3</v>
      </c>
      <c r="AB1046" s="27">
        <v>0.13043478260869565</v>
      </c>
      <c r="AC1046" s="27">
        <f t="shared" si="97"/>
        <v>4.4609665427509292E-4</v>
      </c>
      <c r="AD1046" s="36">
        <v>0</v>
      </c>
      <c r="AE1046" s="27">
        <v>0</v>
      </c>
      <c r="AF1046" s="27">
        <f t="shared" si="98"/>
        <v>0</v>
      </c>
      <c r="AG1046" s="37">
        <v>6</v>
      </c>
      <c r="AH1046" s="27">
        <v>0.2608695652173913</v>
      </c>
      <c r="AI1046" s="27">
        <f t="shared" si="99"/>
        <v>8.9219330855018584E-4</v>
      </c>
      <c r="AJ1046" s="38">
        <v>0</v>
      </c>
      <c r="AK1046" s="27">
        <v>0</v>
      </c>
      <c r="AL1046" s="27">
        <f t="shared" si="100"/>
        <v>0</v>
      </c>
      <c r="AM1046" s="40">
        <v>0</v>
      </c>
      <c r="AN1046" s="27">
        <v>0</v>
      </c>
      <c r="AO1046" s="27">
        <f t="shared" si="101"/>
        <v>0</v>
      </c>
      <c r="AP1046" s="6" t="b">
        <v>0</v>
      </c>
      <c r="AQ1046" s="7" t="b">
        <v>1</v>
      </c>
      <c r="AR1046" s="6" t="b">
        <v>0</v>
      </c>
      <c r="AS1046" s="6" t="b">
        <v>0</v>
      </c>
      <c r="AT1046" s="7" t="b">
        <v>1</v>
      </c>
      <c r="AU1046" s="6" t="b">
        <v>0</v>
      </c>
      <c r="AV1046" s="6" t="b">
        <v>0</v>
      </c>
      <c r="AW1046" s="6" t="b">
        <v>0</v>
      </c>
      <c r="AX1046" s="6" t="b">
        <v>0</v>
      </c>
      <c r="AY1046" s="6" t="b">
        <v>0</v>
      </c>
      <c r="AZ1046" s="6" t="b">
        <v>0</v>
      </c>
      <c r="BA1046" s="6" t="b">
        <v>0</v>
      </c>
      <c r="BB1046" s="6" t="b">
        <v>0</v>
      </c>
    </row>
    <row r="1047" spans="1:54" ht="15" x14ac:dyDescent="0.25">
      <c r="A1047" s="3" t="s">
        <v>2154</v>
      </c>
      <c r="B1047" s="3" t="str">
        <f ca="1">IFERROR(__xludf.DUMMYFUNCTION("SPLIT(A1047,""/"")"),"tmrowco")</f>
        <v>tmrowco</v>
      </c>
      <c r="C1047" s="3" t="str">
        <f ca="1">IFERROR(__xludf.DUMMYFUNCTION("""COMPUTED_VALUE"""),"electricitymap-contrib")</f>
        <v>electricitymap-contrib</v>
      </c>
      <c r="D1047" s="4" t="s">
        <v>2155</v>
      </c>
      <c r="E1047" s="5">
        <v>42511.691863425927</v>
      </c>
      <c r="F1047" s="5">
        <v>44293.390601851854</v>
      </c>
      <c r="G1047" s="13">
        <f t="shared" si="96"/>
        <v>1781.6987384259264</v>
      </c>
      <c r="H1047" s="6" t="b">
        <v>0</v>
      </c>
      <c r="I1047" s="7" t="b">
        <v>1</v>
      </c>
      <c r="J1047" s="8">
        <v>1851</v>
      </c>
      <c r="K1047" s="8">
        <v>79</v>
      </c>
      <c r="L1047" s="8">
        <v>516</v>
      </c>
      <c r="M1047" s="8">
        <v>198</v>
      </c>
      <c r="N1047" s="8">
        <v>24</v>
      </c>
      <c r="O1047" s="8">
        <v>209</v>
      </c>
      <c r="P1047" s="8">
        <v>1611</v>
      </c>
      <c r="Q1047" s="8">
        <v>10</v>
      </c>
      <c r="R1047" s="8">
        <v>1428</v>
      </c>
      <c r="S1047" s="8">
        <v>100</v>
      </c>
      <c r="T1047" s="3" t="s">
        <v>72</v>
      </c>
      <c r="U1047" s="10">
        <v>9239</v>
      </c>
      <c r="V1047" s="32">
        <v>82</v>
      </c>
      <c r="W1047" s="27">
        <v>8.875419417685897E-3</v>
      </c>
      <c r="X1047" s="34">
        <v>10</v>
      </c>
      <c r="Y1047" s="27">
        <v>0.12195121951219512</v>
      </c>
      <c r="Z1047" s="27">
        <v>1.0823682216690117E-3</v>
      </c>
      <c r="AA1047" s="35">
        <v>6</v>
      </c>
      <c r="AB1047" s="27">
        <v>7.3170731707317069E-2</v>
      </c>
      <c r="AC1047" s="27">
        <f t="shared" si="97"/>
        <v>6.4942093300140709E-4</v>
      </c>
      <c r="AD1047" s="36">
        <v>62</v>
      </c>
      <c r="AE1047" s="27">
        <v>0.75609756097560976</v>
      </c>
      <c r="AF1047" s="27">
        <f t="shared" si="98"/>
        <v>6.7106829743478731E-3</v>
      </c>
      <c r="AG1047" s="37">
        <v>4</v>
      </c>
      <c r="AH1047" s="27">
        <v>4.878048780487805E-2</v>
      </c>
      <c r="AI1047" s="27">
        <f t="shared" si="99"/>
        <v>4.3294728866760473E-4</v>
      </c>
      <c r="AJ1047" s="38">
        <v>0</v>
      </c>
      <c r="AK1047" s="27">
        <v>0</v>
      </c>
      <c r="AL1047" s="27">
        <f t="shared" si="100"/>
        <v>0</v>
      </c>
      <c r="AM1047" s="40">
        <v>0</v>
      </c>
      <c r="AN1047" s="27">
        <v>0</v>
      </c>
      <c r="AO1047" s="27">
        <f t="shared" si="101"/>
        <v>0</v>
      </c>
      <c r="AP1047" s="7" t="b">
        <v>1</v>
      </c>
      <c r="AQ1047" s="7" t="b">
        <v>1</v>
      </c>
      <c r="AR1047" s="6" t="b">
        <v>0</v>
      </c>
      <c r="AS1047" s="6" t="b">
        <v>0</v>
      </c>
      <c r="AT1047" s="7" t="b">
        <v>1</v>
      </c>
      <c r="AU1047" s="6" t="b">
        <v>0</v>
      </c>
      <c r="AV1047" s="6" t="b">
        <v>0</v>
      </c>
      <c r="AW1047" s="6" t="b">
        <v>0</v>
      </c>
      <c r="AX1047" s="6" t="b">
        <v>0</v>
      </c>
      <c r="AY1047" s="6" t="b">
        <v>0</v>
      </c>
      <c r="AZ1047" s="6" t="b">
        <v>0</v>
      </c>
      <c r="BA1047" s="6" t="b">
        <v>0</v>
      </c>
      <c r="BB1047" s="6" t="b">
        <v>0</v>
      </c>
    </row>
    <row r="1048" spans="1:54" ht="15" x14ac:dyDescent="0.25">
      <c r="A1048" s="3" t="s">
        <v>2156</v>
      </c>
      <c r="B1048" s="3" t="str">
        <f ca="1">IFERROR(__xludf.DUMMYFUNCTION("SPLIT(A1048,""/"")"),"TokenMarketNet")</f>
        <v>TokenMarketNet</v>
      </c>
      <c r="C1048" s="3" t="str">
        <f ca="1">IFERROR(__xludf.DUMMYFUNCTION("""COMPUTED_VALUE"""),"smart-contracts")</f>
        <v>smart-contracts</v>
      </c>
      <c r="D1048" s="4" t="s">
        <v>2157</v>
      </c>
      <c r="E1048" s="5">
        <v>42814.942337962966</v>
      </c>
      <c r="F1048" s="5">
        <v>44293.138310185182</v>
      </c>
      <c r="G1048" s="13">
        <f t="shared" si="96"/>
        <v>1478.1959722222164</v>
      </c>
      <c r="H1048" s="6" t="b">
        <v>0</v>
      </c>
      <c r="I1048" s="7" t="b">
        <v>1</v>
      </c>
      <c r="J1048" s="8">
        <v>1190</v>
      </c>
      <c r="K1048" s="8">
        <v>129</v>
      </c>
      <c r="L1048" s="8">
        <v>460</v>
      </c>
      <c r="M1048" s="8">
        <v>0</v>
      </c>
      <c r="N1048" s="8">
        <v>13</v>
      </c>
      <c r="O1048" s="8">
        <v>15</v>
      </c>
      <c r="P1048" s="8">
        <v>92</v>
      </c>
      <c r="Q1048" s="8">
        <v>19</v>
      </c>
      <c r="R1048" s="8">
        <v>89</v>
      </c>
      <c r="S1048" s="8">
        <v>24</v>
      </c>
      <c r="T1048" s="3" t="s">
        <v>92</v>
      </c>
      <c r="U1048" s="10">
        <v>6533</v>
      </c>
      <c r="V1048" s="32">
        <v>19</v>
      </c>
      <c r="W1048" s="27">
        <v>2.9083116485534976E-3</v>
      </c>
      <c r="X1048" s="34">
        <v>0</v>
      </c>
      <c r="Y1048" s="27">
        <v>0</v>
      </c>
      <c r="Z1048" s="27">
        <v>0</v>
      </c>
      <c r="AA1048" s="35">
        <v>16</v>
      </c>
      <c r="AB1048" s="27">
        <v>0.84210526315789469</v>
      </c>
      <c r="AC1048" s="27">
        <f t="shared" si="97"/>
        <v>2.4491045461503139E-3</v>
      </c>
      <c r="AD1048" s="36">
        <v>2</v>
      </c>
      <c r="AE1048" s="27">
        <v>0.10526315789473684</v>
      </c>
      <c r="AF1048" s="27">
        <f t="shared" si="98"/>
        <v>3.0613806826878924E-4</v>
      </c>
      <c r="AG1048" s="37">
        <v>1</v>
      </c>
      <c r="AH1048" s="27">
        <v>5.2631578947368418E-2</v>
      </c>
      <c r="AI1048" s="27">
        <f t="shared" si="99"/>
        <v>1.5306903413439462E-4</v>
      </c>
      <c r="AJ1048" s="38">
        <v>0</v>
      </c>
      <c r="AK1048" s="27">
        <v>0</v>
      </c>
      <c r="AL1048" s="27">
        <f t="shared" si="100"/>
        <v>0</v>
      </c>
      <c r="AM1048" s="40">
        <v>0</v>
      </c>
      <c r="AN1048" s="27">
        <v>0</v>
      </c>
      <c r="AO1048" s="27">
        <f t="shared" si="101"/>
        <v>0</v>
      </c>
      <c r="AP1048" s="7" t="b">
        <v>1</v>
      </c>
      <c r="AQ1048" s="7" t="b">
        <v>1</v>
      </c>
      <c r="AR1048" s="6" t="b">
        <v>0</v>
      </c>
      <c r="AS1048" s="6" t="b">
        <v>0</v>
      </c>
      <c r="AT1048" s="7" t="b">
        <v>1</v>
      </c>
      <c r="AU1048" s="6" t="b">
        <v>0</v>
      </c>
      <c r="AV1048" s="6" t="b">
        <v>0</v>
      </c>
      <c r="AW1048" s="6" t="b">
        <v>0</v>
      </c>
      <c r="AX1048" s="6" t="b">
        <v>0</v>
      </c>
      <c r="AY1048" s="6" t="b">
        <v>0</v>
      </c>
      <c r="AZ1048" s="6" t="b">
        <v>0</v>
      </c>
      <c r="BA1048" s="6" t="b">
        <v>0</v>
      </c>
      <c r="BB1048" s="6" t="b">
        <v>0</v>
      </c>
    </row>
    <row r="1049" spans="1:54" ht="15" x14ac:dyDescent="0.25">
      <c r="A1049" s="3" t="s">
        <v>2158</v>
      </c>
      <c r="B1049" s="3" t="str">
        <f ca="1">IFERROR(__xludf.DUMMYFUNCTION("SPLIT(A1049,""/"")"),"TomasTomecek")</f>
        <v>TomasTomecek</v>
      </c>
      <c r="C1049" s="3" t="str">
        <f ca="1">IFERROR(__xludf.DUMMYFUNCTION("""COMPUTED_VALUE"""),"sen")</f>
        <v>sen</v>
      </c>
      <c r="D1049" s="4" t="s">
        <v>2159</v>
      </c>
      <c r="E1049" s="5">
        <v>42272.301192129627</v>
      </c>
      <c r="F1049" s="5">
        <v>44293.369733796295</v>
      </c>
      <c r="G1049" s="13">
        <f t="shared" si="96"/>
        <v>2021.0685416666674</v>
      </c>
      <c r="H1049" s="6" t="b">
        <v>0</v>
      </c>
      <c r="I1049" s="6" t="b">
        <v>0</v>
      </c>
      <c r="J1049" s="8">
        <v>837</v>
      </c>
      <c r="K1049" s="8">
        <v>27</v>
      </c>
      <c r="L1049" s="8">
        <v>53</v>
      </c>
      <c r="M1049" s="8">
        <v>11</v>
      </c>
      <c r="N1049" s="8">
        <v>2</v>
      </c>
      <c r="O1049" s="8">
        <v>11</v>
      </c>
      <c r="P1049" s="8">
        <v>42</v>
      </c>
      <c r="Q1049" s="8">
        <v>0</v>
      </c>
      <c r="R1049" s="8">
        <v>115</v>
      </c>
      <c r="S1049" s="8">
        <v>30</v>
      </c>
      <c r="T1049" s="3" t="s">
        <v>72</v>
      </c>
      <c r="U1049" s="10">
        <v>3649</v>
      </c>
      <c r="V1049" s="32">
        <v>115</v>
      </c>
      <c r="W1049" s="27">
        <v>3.1515483694162787E-2</v>
      </c>
      <c r="X1049" s="34">
        <v>59</v>
      </c>
      <c r="Y1049" s="27">
        <v>0.5130434782608696</v>
      </c>
      <c r="Z1049" s="27">
        <v>1.6168813373526995E-2</v>
      </c>
      <c r="AA1049" s="35">
        <v>32</v>
      </c>
      <c r="AB1049" s="27">
        <v>0.27826086956521739</v>
      </c>
      <c r="AC1049" s="27">
        <f t="shared" si="97"/>
        <v>8.7695258975061668E-3</v>
      </c>
      <c r="AD1049" s="36">
        <v>5</v>
      </c>
      <c r="AE1049" s="27">
        <v>4.3478260869565216E-2</v>
      </c>
      <c r="AF1049" s="27">
        <f t="shared" si="98"/>
        <v>1.3702384214853384E-3</v>
      </c>
      <c r="AG1049" s="37">
        <v>19</v>
      </c>
      <c r="AH1049" s="27">
        <v>0.16521739130434782</v>
      </c>
      <c r="AI1049" s="27">
        <f t="shared" si="99"/>
        <v>5.2069060016442861E-3</v>
      </c>
      <c r="AJ1049" s="38">
        <v>0</v>
      </c>
      <c r="AK1049" s="27">
        <v>0</v>
      </c>
      <c r="AL1049" s="27">
        <f t="shared" si="100"/>
        <v>0</v>
      </c>
      <c r="AM1049" s="40">
        <v>0</v>
      </c>
      <c r="AN1049" s="27">
        <v>0</v>
      </c>
      <c r="AO1049" s="27">
        <f t="shared" si="101"/>
        <v>0</v>
      </c>
      <c r="AP1049" s="7" t="b">
        <v>1</v>
      </c>
      <c r="AQ1049" s="6" t="b">
        <v>0</v>
      </c>
      <c r="AR1049" s="6" t="b">
        <v>0</v>
      </c>
      <c r="AS1049" s="6" t="b">
        <v>0</v>
      </c>
      <c r="AT1049" s="7" t="b">
        <v>1</v>
      </c>
      <c r="AU1049" s="6" t="b">
        <v>0</v>
      </c>
      <c r="AV1049" s="6" t="b">
        <v>0</v>
      </c>
      <c r="AW1049" s="6" t="b">
        <v>0</v>
      </c>
      <c r="AX1049" s="6" t="b">
        <v>0</v>
      </c>
      <c r="AY1049" s="6" t="b">
        <v>0</v>
      </c>
      <c r="AZ1049" s="6" t="b">
        <v>0</v>
      </c>
      <c r="BA1049" s="6" t="b">
        <v>0</v>
      </c>
      <c r="BB1049" s="6" t="b">
        <v>0</v>
      </c>
    </row>
    <row r="1050" spans="1:54" ht="15" x14ac:dyDescent="0.25">
      <c r="A1050" s="3" t="s">
        <v>2160</v>
      </c>
      <c r="B1050" s="3" t="str">
        <f ca="1">IFERROR(__xludf.DUMMYFUNCTION("SPLIT(A1050,""/"")"),"tomchop")</f>
        <v>tomchop</v>
      </c>
      <c r="C1050" s="3" t="str">
        <f ca="1">IFERROR(__xludf.DUMMYFUNCTION("""COMPUTED_VALUE"""),"malcom")</f>
        <v>malcom</v>
      </c>
      <c r="D1050" s="4" t="s">
        <v>2161</v>
      </c>
      <c r="E1050" s="5">
        <v>41429.62945601852</v>
      </c>
      <c r="F1050" s="5">
        <v>44291.973090277781</v>
      </c>
      <c r="G1050" s="13">
        <f t="shared" si="96"/>
        <v>2862.3436342592613</v>
      </c>
      <c r="H1050" s="6" t="b">
        <v>0</v>
      </c>
      <c r="I1050" s="6" t="b">
        <v>0</v>
      </c>
      <c r="J1050" s="8">
        <v>992</v>
      </c>
      <c r="K1050" s="8">
        <v>128</v>
      </c>
      <c r="L1050" s="8">
        <v>190</v>
      </c>
      <c r="M1050" s="8">
        <v>1</v>
      </c>
      <c r="N1050" s="8">
        <v>2</v>
      </c>
      <c r="O1050" s="8">
        <v>11</v>
      </c>
      <c r="P1050" s="8">
        <v>24</v>
      </c>
      <c r="Q1050" s="8">
        <v>0</v>
      </c>
      <c r="R1050" s="8">
        <v>42</v>
      </c>
      <c r="S1050" s="8">
        <v>13</v>
      </c>
      <c r="T1050" s="3" t="s">
        <v>92</v>
      </c>
      <c r="U1050" s="10">
        <v>5140</v>
      </c>
      <c r="V1050" s="32">
        <v>0</v>
      </c>
      <c r="W1050" s="27">
        <v>0</v>
      </c>
      <c r="X1050" s="34">
        <v>0</v>
      </c>
      <c r="Y1050" s="27">
        <v>0</v>
      </c>
      <c r="Z1050" s="27">
        <v>0</v>
      </c>
      <c r="AA1050" s="35">
        <v>0</v>
      </c>
      <c r="AB1050" s="27">
        <v>0</v>
      </c>
      <c r="AC1050" s="27">
        <f t="shared" si="97"/>
        <v>0</v>
      </c>
      <c r="AD1050" s="36">
        <v>0</v>
      </c>
      <c r="AE1050" s="27">
        <v>0</v>
      </c>
      <c r="AF1050" s="27">
        <f t="shared" si="98"/>
        <v>0</v>
      </c>
      <c r="AG1050" s="37">
        <v>0</v>
      </c>
      <c r="AH1050" s="27">
        <v>0</v>
      </c>
      <c r="AI1050" s="27">
        <f t="shared" si="99"/>
        <v>0</v>
      </c>
      <c r="AJ1050" s="38">
        <v>0</v>
      </c>
      <c r="AK1050" s="27">
        <v>0</v>
      </c>
      <c r="AL1050" s="27">
        <f t="shared" si="100"/>
        <v>0</v>
      </c>
      <c r="AM1050" s="40">
        <v>0</v>
      </c>
      <c r="AN1050" s="27">
        <v>0</v>
      </c>
      <c r="AO1050" s="27">
        <f t="shared" si="101"/>
        <v>0</v>
      </c>
      <c r="AP1050" s="7" t="b">
        <v>1</v>
      </c>
      <c r="AQ1050" s="6" t="b">
        <v>0</v>
      </c>
      <c r="AR1050" s="6" t="b">
        <v>0</v>
      </c>
      <c r="AS1050" s="6" t="b">
        <v>0</v>
      </c>
      <c r="AT1050" s="7" t="b">
        <v>1</v>
      </c>
      <c r="AU1050" s="6" t="b">
        <v>0</v>
      </c>
      <c r="AV1050" s="6" t="b">
        <v>0</v>
      </c>
      <c r="AW1050" s="6" t="b">
        <v>0</v>
      </c>
      <c r="AX1050" s="6" t="b">
        <v>0</v>
      </c>
      <c r="AY1050" s="6" t="b">
        <v>0</v>
      </c>
      <c r="AZ1050" s="6" t="b">
        <v>0</v>
      </c>
      <c r="BA1050" s="6" t="b">
        <v>0</v>
      </c>
      <c r="BB1050" s="6" t="b">
        <v>0</v>
      </c>
    </row>
    <row r="1051" spans="1:54" ht="15" x14ac:dyDescent="0.25">
      <c r="A1051" s="3" t="s">
        <v>2162</v>
      </c>
      <c r="B1051" s="3" t="str">
        <f ca="1">IFERROR(__xludf.DUMMYFUNCTION("SPLIT(A1051,""/"")"),"tomerfiliba-org")</f>
        <v>tomerfiliba-org</v>
      </c>
      <c r="C1051" s="3" t="str">
        <f ca="1">IFERROR(__xludf.DUMMYFUNCTION("""COMPUTED_VALUE"""),"rpyc")</f>
        <v>rpyc</v>
      </c>
      <c r="D1051" s="4" t="s">
        <v>2163</v>
      </c>
      <c r="E1051" s="5">
        <v>39880.474641203706</v>
      </c>
      <c r="F1051" s="5">
        <v>44294.066666666666</v>
      </c>
      <c r="G1051" s="13">
        <f t="shared" si="96"/>
        <v>4413.59202546296</v>
      </c>
      <c r="H1051" s="6" t="b">
        <v>0</v>
      </c>
      <c r="I1051" s="7" t="b">
        <v>1</v>
      </c>
      <c r="J1051" s="8">
        <v>995</v>
      </c>
      <c r="K1051" s="8">
        <v>57</v>
      </c>
      <c r="L1051" s="8">
        <v>193</v>
      </c>
      <c r="M1051" s="8">
        <v>8</v>
      </c>
      <c r="N1051" s="8">
        <v>23</v>
      </c>
      <c r="O1051" s="8">
        <v>53</v>
      </c>
      <c r="P1051" s="8">
        <v>105</v>
      </c>
      <c r="Q1051" s="8">
        <v>1</v>
      </c>
      <c r="R1051" s="8">
        <v>338</v>
      </c>
      <c r="S1051" s="8">
        <v>45</v>
      </c>
      <c r="T1051" s="3" t="s">
        <v>92</v>
      </c>
      <c r="U1051" s="10">
        <v>5641</v>
      </c>
      <c r="V1051" s="32">
        <v>53</v>
      </c>
      <c r="W1051" s="27">
        <v>9.3954972522602379E-3</v>
      </c>
      <c r="X1051" s="34">
        <v>14</v>
      </c>
      <c r="Y1051" s="27">
        <v>0.26415094339622641</v>
      </c>
      <c r="Z1051" s="27">
        <v>2.4818294628611948E-3</v>
      </c>
      <c r="AA1051" s="35">
        <v>19</v>
      </c>
      <c r="AB1051" s="27">
        <v>0.35849056603773582</v>
      </c>
      <c r="AC1051" s="27">
        <f t="shared" si="97"/>
        <v>3.3681971281687645E-3</v>
      </c>
      <c r="AD1051" s="36">
        <v>11</v>
      </c>
      <c r="AE1051" s="27">
        <v>0.20754716981132076</v>
      </c>
      <c r="AF1051" s="27">
        <f t="shared" si="98"/>
        <v>1.950008863676653E-3</v>
      </c>
      <c r="AG1051" s="37">
        <v>9</v>
      </c>
      <c r="AH1051" s="27">
        <v>0.16981132075471697</v>
      </c>
      <c r="AI1051" s="27">
        <f t="shared" si="99"/>
        <v>1.5954617975536252E-3</v>
      </c>
      <c r="AJ1051" s="38">
        <v>0</v>
      </c>
      <c r="AK1051" s="27">
        <v>0</v>
      </c>
      <c r="AL1051" s="27">
        <f t="shared" si="100"/>
        <v>0</v>
      </c>
      <c r="AM1051" s="40">
        <v>0</v>
      </c>
      <c r="AN1051" s="27">
        <v>0</v>
      </c>
      <c r="AO1051" s="27">
        <f t="shared" si="101"/>
        <v>0</v>
      </c>
      <c r="AP1051" s="6" t="b">
        <v>0</v>
      </c>
      <c r="AQ1051" s="7" t="b">
        <v>1</v>
      </c>
      <c r="AR1051" s="6" t="b">
        <v>0</v>
      </c>
      <c r="AS1051" s="6" t="b">
        <v>0</v>
      </c>
      <c r="AT1051" s="7" t="b">
        <v>1</v>
      </c>
      <c r="AU1051" s="6" t="b">
        <v>0</v>
      </c>
      <c r="AV1051" s="6" t="b">
        <v>0</v>
      </c>
      <c r="AW1051" s="6" t="b">
        <v>0</v>
      </c>
      <c r="AX1051" s="6" t="b">
        <v>0</v>
      </c>
      <c r="AY1051" s="6" t="b">
        <v>0</v>
      </c>
      <c r="AZ1051" s="6" t="b">
        <v>0</v>
      </c>
      <c r="BA1051" s="6" t="b">
        <v>0</v>
      </c>
      <c r="BB1051" s="6" t="b">
        <v>0</v>
      </c>
    </row>
    <row r="1052" spans="1:54" ht="15" x14ac:dyDescent="0.25">
      <c r="A1052" s="3" t="s">
        <v>2164</v>
      </c>
      <c r="B1052" s="3" t="str">
        <f ca="1">IFERROR(__xludf.DUMMYFUNCTION("SPLIT(A1052,""/"")"),"tomslee")</f>
        <v>tomslee</v>
      </c>
      <c r="C1052" s="3" t="str">
        <f ca="1">IFERROR(__xludf.DUMMYFUNCTION("""COMPUTED_VALUE"""),"airbnb-data-collection")</f>
        <v>airbnb-data-collection</v>
      </c>
      <c r="D1052" s="4" t="s">
        <v>2165</v>
      </c>
      <c r="E1052" s="5">
        <v>42225.819930555554</v>
      </c>
      <c r="F1052" s="5">
        <v>44292.186319444445</v>
      </c>
      <c r="G1052" s="13">
        <f t="shared" si="96"/>
        <v>2066.3663888888914</v>
      </c>
      <c r="H1052" s="6" t="b">
        <v>0</v>
      </c>
      <c r="I1052" s="6" t="b">
        <v>0</v>
      </c>
      <c r="J1052" s="8">
        <v>445</v>
      </c>
      <c r="K1052" s="8">
        <v>64</v>
      </c>
      <c r="L1052" s="8">
        <v>173</v>
      </c>
      <c r="M1052" s="8">
        <v>0</v>
      </c>
      <c r="N1052" s="8">
        <v>1</v>
      </c>
      <c r="O1052" s="8">
        <v>12</v>
      </c>
      <c r="P1052" s="8">
        <v>26</v>
      </c>
      <c r="Q1052" s="8">
        <v>8</v>
      </c>
      <c r="R1052" s="8">
        <v>46</v>
      </c>
      <c r="S1052" s="8">
        <v>7</v>
      </c>
      <c r="T1052" s="3" t="s">
        <v>72</v>
      </c>
      <c r="U1052" s="10">
        <v>2910</v>
      </c>
      <c r="V1052" s="32">
        <v>257</v>
      </c>
      <c r="W1052" s="27">
        <v>8.8316151202749146E-2</v>
      </c>
      <c r="X1052" s="34">
        <v>49</v>
      </c>
      <c r="Y1052" s="27">
        <v>0.19066147859922178</v>
      </c>
      <c r="Z1052" s="27">
        <v>1.683848797250859E-2</v>
      </c>
      <c r="AA1052" s="35">
        <v>99</v>
      </c>
      <c r="AB1052" s="27">
        <v>0.38521400778210119</v>
      </c>
      <c r="AC1052" s="27">
        <f t="shared" si="97"/>
        <v>3.4020618556701028E-2</v>
      </c>
      <c r="AD1052" s="36">
        <v>31</v>
      </c>
      <c r="AE1052" s="27">
        <v>0.12062256809338522</v>
      </c>
      <c r="AF1052" s="27">
        <f t="shared" si="98"/>
        <v>1.0652920962199313E-2</v>
      </c>
      <c r="AG1052" s="37">
        <v>77</v>
      </c>
      <c r="AH1052" s="27">
        <v>0.29961089494163423</v>
      </c>
      <c r="AI1052" s="27">
        <f t="shared" si="99"/>
        <v>2.6460481099656357E-2</v>
      </c>
      <c r="AJ1052" s="38">
        <v>0</v>
      </c>
      <c r="AK1052" s="27">
        <v>0</v>
      </c>
      <c r="AL1052" s="27">
        <f t="shared" si="100"/>
        <v>0</v>
      </c>
      <c r="AM1052" s="40">
        <v>0</v>
      </c>
      <c r="AN1052" s="27">
        <v>0</v>
      </c>
      <c r="AO1052" s="27">
        <f t="shared" si="101"/>
        <v>0</v>
      </c>
      <c r="AP1052" s="7" t="b">
        <v>1</v>
      </c>
      <c r="AQ1052" s="7" t="b">
        <v>1</v>
      </c>
      <c r="AR1052" s="6" t="b">
        <v>0</v>
      </c>
      <c r="AS1052" s="6" t="b">
        <v>0</v>
      </c>
      <c r="AT1052" s="7" t="b">
        <v>1</v>
      </c>
      <c r="AU1052" s="6" t="b">
        <v>0</v>
      </c>
      <c r="AV1052" s="6" t="b">
        <v>0</v>
      </c>
      <c r="AW1052" s="6" t="b">
        <v>0</v>
      </c>
      <c r="AX1052" s="6" t="b">
        <v>0</v>
      </c>
      <c r="AY1052" s="6" t="b">
        <v>0</v>
      </c>
      <c r="AZ1052" s="6" t="b">
        <v>0</v>
      </c>
      <c r="BA1052" s="6" t="b">
        <v>0</v>
      </c>
      <c r="BB1052" s="6" t="b">
        <v>0</v>
      </c>
    </row>
    <row r="1053" spans="1:54" ht="15" x14ac:dyDescent="0.25">
      <c r="A1053" s="3" t="s">
        <v>2166</v>
      </c>
      <c r="B1053" s="3" t="str">
        <f ca="1">IFERROR(__xludf.DUMMYFUNCTION("SPLIT(A1053,""/"")"),"TophantTechnology")</f>
        <v>TophantTechnology</v>
      </c>
      <c r="C1053" s="3" t="str">
        <f ca="1">IFERROR(__xludf.DUMMYFUNCTION("""COMPUTED_VALUE"""),"ARL")</f>
        <v>ARL</v>
      </c>
      <c r="D1053" s="4" t="s">
        <v>2167</v>
      </c>
      <c r="E1053" s="5">
        <v>44084.320277777777</v>
      </c>
      <c r="F1053" s="5">
        <v>44295.172314814816</v>
      </c>
      <c r="G1053" s="13">
        <f t="shared" si="96"/>
        <v>210.85203703703883</v>
      </c>
      <c r="H1053" s="6" t="b">
        <v>0</v>
      </c>
      <c r="I1053" s="7" t="b">
        <v>1</v>
      </c>
      <c r="J1053" s="8">
        <v>1448</v>
      </c>
      <c r="K1053" s="8">
        <v>35</v>
      </c>
      <c r="L1053" s="8">
        <v>262</v>
      </c>
      <c r="M1053" s="8">
        <v>4</v>
      </c>
      <c r="N1053" s="8">
        <v>4</v>
      </c>
      <c r="O1053" s="8">
        <v>3</v>
      </c>
      <c r="P1053" s="8">
        <v>9</v>
      </c>
      <c r="Q1053" s="8">
        <v>0</v>
      </c>
      <c r="R1053" s="8">
        <v>116</v>
      </c>
      <c r="S1053" s="8">
        <v>27</v>
      </c>
      <c r="T1053" s="11" t="s">
        <v>52</v>
      </c>
      <c r="U1053" s="10">
        <v>8892</v>
      </c>
      <c r="V1053" s="32">
        <v>146</v>
      </c>
      <c r="W1053" s="27">
        <v>1.6419253261358523E-2</v>
      </c>
      <c r="X1053" s="34">
        <v>0</v>
      </c>
      <c r="Y1053" s="27">
        <v>0</v>
      </c>
      <c r="Z1053" s="27">
        <v>0</v>
      </c>
      <c r="AA1053" s="35">
        <v>101</v>
      </c>
      <c r="AB1053" s="27">
        <v>0.69178082191780821</v>
      </c>
      <c r="AC1053" s="27">
        <f t="shared" si="97"/>
        <v>1.1358524516419253E-2</v>
      </c>
      <c r="AD1053" s="36">
        <v>20</v>
      </c>
      <c r="AE1053" s="27">
        <v>0.13698630136986301</v>
      </c>
      <c r="AF1053" s="27">
        <f t="shared" si="98"/>
        <v>2.249212775528565E-3</v>
      </c>
      <c r="AG1053" s="37">
        <v>1</v>
      </c>
      <c r="AH1053" s="27">
        <v>6.8493150684931503E-3</v>
      </c>
      <c r="AI1053" s="27">
        <f t="shared" si="99"/>
        <v>1.1246063877642825E-4</v>
      </c>
      <c r="AJ1053" s="38">
        <v>0</v>
      </c>
      <c r="AK1053" s="27">
        <v>0</v>
      </c>
      <c r="AL1053" s="27">
        <f t="shared" si="100"/>
        <v>0</v>
      </c>
      <c r="AM1053" s="40">
        <v>0</v>
      </c>
      <c r="AN1053" s="27">
        <v>0</v>
      </c>
      <c r="AO1053" s="27">
        <f t="shared" si="101"/>
        <v>0</v>
      </c>
      <c r="AP1053" s="7" t="b">
        <v>1</v>
      </c>
      <c r="AQ1053" s="7" t="b">
        <v>1</v>
      </c>
      <c r="AR1053" s="6" t="b">
        <v>0</v>
      </c>
      <c r="AS1053" s="6" t="b">
        <v>0</v>
      </c>
      <c r="AT1053" s="7" t="b">
        <v>1</v>
      </c>
      <c r="AU1053" s="6" t="b">
        <v>0</v>
      </c>
      <c r="AV1053" s="6" t="b">
        <v>0</v>
      </c>
      <c r="AW1053" s="6" t="b">
        <v>0</v>
      </c>
      <c r="AX1053" s="6" t="b">
        <v>0</v>
      </c>
      <c r="AY1053" s="6" t="b">
        <v>0</v>
      </c>
      <c r="AZ1053" s="6" t="b">
        <v>0</v>
      </c>
      <c r="BA1053" s="6" t="b">
        <v>0</v>
      </c>
      <c r="BB1053" s="6" t="b">
        <v>0</v>
      </c>
    </row>
    <row r="1054" spans="1:54" ht="15" x14ac:dyDescent="0.25">
      <c r="A1054" s="3" t="s">
        <v>2168</v>
      </c>
      <c r="B1054" s="3" t="str">
        <f ca="1">IFERROR(__xludf.DUMMYFUNCTION("SPLIT(A1054,""/"")"),"TophantTechnology")</f>
        <v>TophantTechnology</v>
      </c>
      <c r="C1054" s="3" t="str">
        <f ca="1">IFERROR(__xludf.DUMMYFUNCTION("""COMPUTED_VALUE"""),"osprey")</f>
        <v>osprey</v>
      </c>
      <c r="D1054" s="4" t="s">
        <v>2169</v>
      </c>
      <c r="E1054" s="5">
        <v>42996.320451388892</v>
      </c>
      <c r="F1054" s="5">
        <v>44294.427928240744</v>
      </c>
      <c r="G1054" s="13">
        <f t="shared" si="96"/>
        <v>1298.107476851852</v>
      </c>
      <c r="H1054" s="6" t="b">
        <v>0</v>
      </c>
      <c r="I1054" s="7" t="b">
        <v>1</v>
      </c>
      <c r="J1054" s="8">
        <v>436</v>
      </c>
      <c r="K1054" s="8">
        <v>34</v>
      </c>
      <c r="L1054" s="8">
        <v>134</v>
      </c>
      <c r="M1054" s="8">
        <v>0</v>
      </c>
      <c r="N1054" s="8">
        <v>0</v>
      </c>
      <c r="O1054" s="8">
        <v>2</v>
      </c>
      <c r="P1054" s="8">
        <v>8</v>
      </c>
      <c r="Q1054" s="8">
        <v>5</v>
      </c>
      <c r="R1054" s="8">
        <v>1</v>
      </c>
      <c r="S1054" s="8">
        <v>0</v>
      </c>
      <c r="T1054" s="11" t="s">
        <v>52</v>
      </c>
      <c r="U1054" s="10">
        <v>2814</v>
      </c>
      <c r="V1054" s="32">
        <v>42</v>
      </c>
      <c r="W1054" s="27">
        <v>1.4925373134328358E-2</v>
      </c>
      <c r="X1054" s="34">
        <v>0</v>
      </c>
      <c r="Y1054" s="27">
        <v>0</v>
      </c>
      <c r="Z1054" s="27">
        <v>0</v>
      </c>
      <c r="AA1054" s="35">
        <v>9</v>
      </c>
      <c r="AB1054" s="27">
        <v>0.21428571428571427</v>
      </c>
      <c r="AC1054" s="27">
        <f t="shared" si="97"/>
        <v>3.1982942430703624E-3</v>
      </c>
      <c r="AD1054" s="36">
        <v>6</v>
      </c>
      <c r="AE1054" s="27">
        <v>0.14285714285714285</v>
      </c>
      <c r="AF1054" s="27">
        <f t="shared" si="98"/>
        <v>2.1321961620469083E-3</v>
      </c>
      <c r="AG1054" s="37">
        <v>25</v>
      </c>
      <c r="AH1054" s="27">
        <v>0.59523809523809523</v>
      </c>
      <c r="AI1054" s="27">
        <f t="shared" si="99"/>
        <v>8.884150675195452E-3</v>
      </c>
      <c r="AJ1054" s="38">
        <v>0</v>
      </c>
      <c r="AK1054" s="27">
        <v>0</v>
      </c>
      <c r="AL1054" s="27">
        <f t="shared" si="100"/>
        <v>0</v>
      </c>
      <c r="AM1054" s="40">
        <v>0</v>
      </c>
      <c r="AN1054" s="27">
        <v>0</v>
      </c>
      <c r="AO1054" s="27">
        <f t="shared" si="101"/>
        <v>0</v>
      </c>
      <c r="AP1054" s="6" t="b">
        <v>0</v>
      </c>
      <c r="AQ1054" s="7" t="b">
        <v>1</v>
      </c>
      <c r="AR1054" s="6" t="b">
        <v>0</v>
      </c>
      <c r="AS1054" s="6" t="b">
        <v>0</v>
      </c>
      <c r="AT1054" s="7" t="b">
        <v>1</v>
      </c>
      <c r="AU1054" s="6" t="b">
        <v>0</v>
      </c>
      <c r="AV1054" s="6" t="b">
        <v>0</v>
      </c>
      <c r="AW1054" s="6" t="b">
        <v>0</v>
      </c>
      <c r="AX1054" s="6" t="b">
        <v>0</v>
      </c>
      <c r="AY1054" s="6" t="b">
        <v>0</v>
      </c>
      <c r="AZ1054" s="6" t="b">
        <v>0</v>
      </c>
      <c r="BA1054" s="6" t="b">
        <v>0</v>
      </c>
      <c r="BB1054" s="6" t="b">
        <v>0</v>
      </c>
    </row>
    <row r="1055" spans="1:54" ht="15" x14ac:dyDescent="0.25">
      <c r="A1055" s="3" t="s">
        <v>2170</v>
      </c>
      <c r="B1055" s="3" t="str">
        <f ca="1">IFERROR(__xludf.DUMMYFUNCTION("SPLIT(A1055,""/"")"),"tornadoweb")</f>
        <v>tornadoweb</v>
      </c>
      <c r="C1055" s="3" t="str">
        <f ca="1">IFERROR(__xludf.DUMMYFUNCTION("""COMPUTED_VALUE"""),"tornado")</f>
        <v>tornado</v>
      </c>
      <c r="D1055" s="4" t="s">
        <v>2171</v>
      </c>
      <c r="E1055" s="5">
        <v>40065.205046296294</v>
      </c>
      <c r="F1055" s="5">
        <v>44294.889525462961</v>
      </c>
      <c r="G1055" s="13">
        <f t="shared" si="96"/>
        <v>4229.6844791666663</v>
      </c>
      <c r="H1055" s="6" t="b">
        <v>0</v>
      </c>
      <c r="I1055" s="7" t="b">
        <v>1</v>
      </c>
      <c r="J1055" s="8">
        <v>19920</v>
      </c>
      <c r="K1055" s="8">
        <v>1038</v>
      </c>
      <c r="L1055" s="8">
        <v>5038</v>
      </c>
      <c r="M1055" s="8">
        <v>0</v>
      </c>
      <c r="N1055" s="8">
        <v>145</v>
      </c>
      <c r="O1055" s="8">
        <v>348</v>
      </c>
      <c r="P1055" s="8">
        <v>1360</v>
      </c>
      <c r="Q1055" s="8">
        <v>32</v>
      </c>
      <c r="R1055" s="8">
        <v>1644</v>
      </c>
      <c r="S1055" s="8">
        <v>196</v>
      </c>
      <c r="T1055" s="3" t="s">
        <v>69</v>
      </c>
      <c r="U1055" s="10">
        <v>22436</v>
      </c>
      <c r="V1055" s="32">
        <v>117</v>
      </c>
      <c r="W1055" s="27">
        <v>5.2148333036191831E-3</v>
      </c>
      <c r="X1055" s="34">
        <v>24</v>
      </c>
      <c r="Y1055" s="27">
        <v>0.20512820512820512</v>
      </c>
      <c r="Z1055" s="27">
        <v>1.0697093956141914E-3</v>
      </c>
      <c r="AA1055" s="35">
        <v>19</v>
      </c>
      <c r="AB1055" s="27">
        <v>0.1623931623931624</v>
      </c>
      <c r="AC1055" s="27">
        <f t="shared" si="97"/>
        <v>8.4685327152790157E-4</v>
      </c>
      <c r="AD1055" s="36">
        <v>37</v>
      </c>
      <c r="AE1055" s="27">
        <v>0.31623931623931623</v>
      </c>
      <c r="AF1055" s="27">
        <f t="shared" si="98"/>
        <v>1.6491353182385452E-3</v>
      </c>
      <c r="AG1055" s="37">
        <v>42</v>
      </c>
      <c r="AH1055" s="27">
        <v>0.35897435897435898</v>
      </c>
      <c r="AI1055" s="27">
        <f t="shared" si="99"/>
        <v>1.8719914423248351E-3</v>
      </c>
      <c r="AJ1055" s="38">
        <v>0</v>
      </c>
      <c r="AK1055" s="27">
        <v>0</v>
      </c>
      <c r="AL1055" s="27">
        <f t="shared" si="100"/>
        <v>0</v>
      </c>
      <c r="AM1055" s="40">
        <v>0</v>
      </c>
      <c r="AN1055" s="27">
        <v>0</v>
      </c>
      <c r="AO1055" s="27">
        <f t="shared" si="101"/>
        <v>0</v>
      </c>
      <c r="AP1055" s="7" t="b">
        <v>1</v>
      </c>
      <c r="AQ1055" s="7" t="b">
        <v>1</v>
      </c>
      <c r="AR1055" s="6" t="b">
        <v>0</v>
      </c>
      <c r="AS1055" s="6" t="b">
        <v>0</v>
      </c>
      <c r="AT1055" s="7" t="b">
        <v>1</v>
      </c>
      <c r="AU1055" s="6" t="b">
        <v>0</v>
      </c>
      <c r="AV1055" s="6" t="b">
        <v>0</v>
      </c>
      <c r="AW1055" s="6" t="b">
        <v>0</v>
      </c>
      <c r="AX1055" s="6" t="b">
        <v>0</v>
      </c>
      <c r="AY1055" s="6" t="b">
        <v>0</v>
      </c>
      <c r="AZ1055" s="6" t="b">
        <v>0</v>
      </c>
      <c r="BA1055" s="6" t="b">
        <v>0</v>
      </c>
      <c r="BB1055" s="6" t="b">
        <v>0</v>
      </c>
    </row>
    <row r="1056" spans="1:54" ht="15" x14ac:dyDescent="0.25">
      <c r="A1056" s="3" t="s">
        <v>2172</v>
      </c>
      <c r="B1056" s="3" t="str">
        <f ca="1">IFERROR(__xludf.DUMMYFUNCTION("SPLIT(A1056,""/"")"),"torque59")</f>
        <v>torque59</v>
      </c>
      <c r="C1056" s="3" t="str">
        <f ca="1">IFERROR(__xludf.DUMMYFUNCTION("""COMPUTED_VALUE"""),"Nosql-Exploitation-Framework")</f>
        <v>Nosql-Exploitation-Framework</v>
      </c>
      <c r="D1056" s="4" t="s">
        <v>2173</v>
      </c>
      <c r="E1056" s="5">
        <v>41634.740405092591</v>
      </c>
      <c r="F1056" s="5">
        <v>44287.326851851853</v>
      </c>
      <c r="G1056" s="13">
        <f t="shared" si="96"/>
        <v>2652.5864467592619</v>
      </c>
      <c r="H1056" s="6" t="b">
        <v>0</v>
      </c>
      <c r="I1056" s="6" t="b">
        <v>0</v>
      </c>
      <c r="J1056" s="8">
        <v>574</v>
      </c>
      <c r="K1056" s="8">
        <v>31</v>
      </c>
      <c r="L1056" s="8">
        <v>132</v>
      </c>
      <c r="M1056" s="8">
        <v>0</v>
      </c>
      <c r="N1056" s="8">
        <v>3</v>
      </c>
      <c r="O1056" s="8">
        <v>6</v>
      </c>
      <c r="P1056" s="8">
        <v>190</v>
      </c>
      <c r="Q1056" s="8">
        <v>44</v>
      </c>
      <c r="R1056" s="8">
        <v>12</v>
      </c>
      <c r="S1056" s="8">
        <v>6</v>
      </c>
      <c r="T1056" s="3" t="s">
        <v>92</v>
      </c>
      <c r="U1056" s="10">
        <v>1658</v>
      </c>
      <c r="V1056" s="32">
        <v>0</v>
      </c>
      <c r="W1056" s="27">
        <v>0</v>
      </c>
      <c r="X1056" s="34">
        <v>0</v>
      </c>
      <c r="Y1056" s="27">
        <v>0</v>
      </c>
      <c r="Z1056" s="27">
        <v>0</v>
      </c>
      <c r="AA1056" s="35">
        <v>0</v>
      </c>
      <c r="AB1056" s="27">
        <v>0</v>
      </c>
      <c r="AC1056" s="27">
        <f t="shared" si="97"/>
        <v>0</v>
      </c>
      <c r="AD1056" s="36">
        <v>0</v>
      </c>
      <c r="AE1056" s="27">
        <v>0</v>
      </c>
      <c r="AF1056" s="27">
        <f t="shared" si="98"/>
        <v>0</v>
      </c>
      <c r="AG1056" s="37">
        <v>0</v>
      </c>
      <c r="AH1056" s="27">
        <v>0</v>
      </c>
      <c r="AI1056" s="27">
        <f t="shared" si="99"/>
        <v>0</v>
      </c>
      <c r="AJ1056" s="38">
        <v>0</v>
      </c>
      <c r="AK1056" s="27">
        <v>0</v>
      </c>
      <c r="AL1056" s="27">
        <f t="shared" si="100"/>
        <v>0</v>
      </c>
      <c r="AM1056" s="40">
        <v>0</v>
      </c>
      <c r="AN1056" s="27">
        <v>0</v>
      </c>
      <c r="AO1056" s="27">
        <f t="shared" si="101"/>
        <v>0</v>
      </c>
      <c r="AP1056" s="7" t="b">
        <v>1</v>
      </c>
      <c r="AQ1056" s="6" t="b">
        <v>0</v>
      </c>
      <c r="AR1056" s="6" t="b">
        <v>0</v>
      </c>
      <c r="AS1056" s="6" t="b">
        <v>0</v>
      </c>
      <c r="AT1056" s="7" t="b">
        <v>1</v>
      </c>
      <c r="AU1056" s="6" t="b">
        <v>0</v>
      </c>
      <c r="AV1056" s="6" t="b">
        <v>0</v>
      </c>
      <c r="AW1056" s="6" t="b">
        <v>0</v>
      </c>
      <c r="AX1056" s="6" t="b">
        <v>0</v>
      </c>
      <c r="AY1056" s="6" t="b">
        <v>0</v>
      </c>
      <c r="AZ1056" s="6" t="b">
        <v>0</v>
      </c>
      <c r="BA1056" s="6" t="b">
        <v>0</v>
      </c>
      <c r="BB1056" s="6" t="b">
        <v>0</v>
      </c>
    </row>
    <row r="1057" spans="1:54" ht="15" x14ac:dyDescent="0.25">
      <c r="A1057" s="3" t="s">
        <v>2174</v>
      </c>
      <c r="B1057" s="3" t="str">
        <f ca="1">IFERROR(__xludf.DUMMYFUNCTION("SPLIT(A1057,""/"")"),"trailofbits")</f>
        <v>trailofbits</v>
      </c>
      <c r="C1057" s="3" t="str">
        <f ca="1">IFERROR(__xludf.DUMMYFUNCTION("""COMPUTED_VALUE"""),"deepstate")</f>
        <v>deepstate</v>
      </c>
      <c r="D1057" s="4" t="s">
        <v>2175</v>
      </c>
      <c r="E1057" s="5">
        <v>43035.858263888891</v>
      </c>
      <c r="F1057" s="5">
        <v>44276.066099537034</v>
      </c>
      <c r="G1057" s="13">
        <f t="shared" si="96"/>
        <v>1240.2078356481434</v>
      </c>
      <c r="H1057" s="6" t="b">
        <v>0</v>
      </c>
      <c r="I1057" s="7" t="b">
        <v>1</v>
      </c>
      <c r="J1057" s="8">
        <v>604</v>
      </c>
      <c r="K1057" s="8">
        <v>44</v>
      </c>
      <c r="L1057" s="8">
        <v>62</v>
      </c>
      <c r="M1057" s="8">
        <v>0</v>
      </c>
      <c r="N1057" s="8">
        <v>1</v>
      </c>
      <c r="O1057" s="8">
        <v>16</v>
      </c>
      <c r="P1057" s="8">
        <v>158</v>
      </c>
      <c r="Q1057" s="8">
        <v>8</v>
      </c>
      <c r="R1057" s="8">
        <v>218</v>
      </c>
      <c r="S1057" s="8">
        <v>90</v>
      </c>
      <c r="T1057" s="3" t="s">
        <v>69</v>
      </c>
      <c r="U1057" s="10">
        <v>3526</v>
      </c>
      <c r="V1057" s="32">
        <v>121</v>
      </c>
      <c r="W1057" s="27">
        <v>3.4316505955757234E-2</v>
      </c>
      <c r="X1057" s="34">
        <v>31</v>
      </c>
      <c r="Y1057" s="27">
        <v>0.256198347107438</v>
      </c>
      <c r="Z1057" s="27">
        <v>8.7918321043675557E-3</v>
      </c>
      <c r="AA1057" s="35">
        <v>45</v>
      </c>
      <c r="AB1057" s="27">
        <v>0.37190082644628097</v>
      </c>
      <c r="AC1057" s="27">
        <f t="shared" si="97"/>
        <v>1.2762336925694838E-2</v>
      </c>
      <c r="AD1057" s="36">
        <v>6</v>
      </c>
      <c r="AE1057" s="27">
        <v>4.9586776859504134E-2</v>
      </c>
      <c r="AF1057" s="27">
        <f t="shared" si="98"/>
        <v>1.7016449234259785E-3</v>
      </c>
      <c r="AG1057" s="37">
        <v>22</v>
      </c>
      <c r="AH1057" s="27">
        <v>0.18181818181818182</v>
      </c>
      <c r="AI1057" s="27">
        <f t="shared" si="99"/>
        <v>6.239364719228588E-3</v>
      </c>
      <c r="AJ1057" s="38">
        <v>17</v>
      </c>
      <c r="AK1057" s="27">
        <v>0.14049586776859505</v>
      </c>
      <c r="AL1057" s="27">
        <f t="shared" si="100"/>
        <v>4.821327283040272E-3</v>
      </c>
      <c r="AM1057" s="40">
        <v>0</v>
      </c>
      <c r="AN1057" s="27">
        <v>0</v>
      </c>
      <c r="AO1057" s="27">
        <f t="shared" si="101"/>
        <v>0</v>
      </c>
      <c r="AP1057" s="7" t="b">
        <v>1</v>
      </c>
      <c r="AQ1057" s="6" t="b">
        <v>0</v>
      </c>
      <c r="AR1057" s="6" t="b">
        <v>0</v>
      </c>
      <c r="AS1057" s="6" t="b">
        <v>0</v>
      </c>
      <c r="AT1057" s="7" t="b">
        <v>1</v>
      </c>
      <c r="AU1057" s="6" t="b">
        <v>0</v>
      </c>
      <c r="AV1057" s="6" t="b">
        <v>0</v>
      </c>
      <c r="AW1057" s="6" t="b">
        <v>0</v>
      </c>
      <c r="AX1057" s="6" t="b">
        <v>0</v>
      </c>
      <c r="AY1057" s="6" t="b">
        <v>0</v>
      </c>
      <c r="AZ1057" s="6" t="b">
        <v>0</v>
      </c>
      <c r="BA1057" s="6" t="b">
        <v>0</v>
      </c>
      <c r="BB1057" s="6" t="b">
        <v>0</v>
      </c>
    </row>
    <row r="1058" spans="1:54" ht="15" x14ac:dyDescent="0.25">
      <c r="A1058" s="3" t="s">
        <v>2176</v>
      </c>
      <c r="B1058" s="3" t="str">
        <f ca="1">IFERROR(__xludf.DUMMYFUNCTION("SPLIT(A1058,""/"")"),"trailofbits")</f>
        <v>trailofbits</v>
      </c>
      <c r="C1058" s="3" t="str">
        <f ca="1">IFERROR(__xludf.DUMMYFUNCTION("""COMPUTED_VALUE"""),"manticore")</f>
        <v>manticore</v>
      </c>
      <c r="D1058" s="4" t="s">
        <v>2177</v>
      </c>
      <c r="E1058" s="5">
        <v>42776.93650462963</v>
      </c>
      <c r="F1058" s="5">
        <v>44294.392627314817</v>
      </c>
      <c r="G1058" s="13">
        <f t="shared" si="96"/>
        <v>1517.4561226851874</v>
      </c>
      <c r="H1058" s="6" t="b">
        <v>0</v>
      </c>
      <c r="I1058" s="7" t="b">
        <v>1</v>
      </c>
      <c r="J1058" s="8">
        <v>2267</v>
      </c>
      <c r="K1058" s="8">
        <v>109</v>
      </c>
      <c r="L1058" s="8">
        <v>309</v>
      </c>
      <c r="M1058" s="8">
        <v>17</v>
      </c>
      <c r="N1058" s="8">
        <v>50</v>
      </c>
      <c r="O1058" s="8">
        <v>87</v>
      </c>
      <c r="P1058" s="8">
        <v>1124</v>
      </c>
      <c r="Q1058" s="8">
        <v>19</v>
      </c>
      <c r="R1058" s="8">
        <v>737</v>
      </c>
      <c r="S1058" s="8">
        <v>197</v>
      </c>
      <c r="T1058" s="3" t="s">
        <v>366</v>
      </c>
      <c r="U1058" s="10">
        <v>223356</v>
      </c>
      <c r="V1058" s="32">
        <v>470</v>
      </c>
      <c r="W1058" s="27">
        <v>2.1042640448432101E-3</v>
      </c>
      <c r="X1058" s="34">
        <v>171</v>
      </c>
      <c r="Y1058" s="27">
        <v>0.36382978723404258</v>
      </c>
      <c r="Z1058" s="27">
        <v>7.6559393971955083E-4</v>
      </c>
      <c r="AA1058" s="35">
        <v>207</v>
      </c>
      <c r="AB1058" s="27">
        <v>0.44042553191489364</v>
      </c>
      <c r="AC1058" s="27">
        <f t="shared" si="97"/>
        <v>9.2677161123945625E-4</v>
      </c>
      <c r="AD1058" s="36">
        <v>64</v>
      </c>
      <c r="AE1058" s="27">
        <v>0.13617021276595745</v>
      </c>
      <c r="AF1058" s="27">
        <f t="shared" si="98"/>
        <v>2.8653808270205411E-4</v>
      </c>
      <c r="AG1058" s="37">
        <v>24</v>
      </c>
      <c r="AH1058" s="27">
        <v>5.106382978723404E-2</v>
      </c>
      <c r="AI1058" s="27">
        <f t="shared" si="99"/>
        <v>1.0745178101327029E-4</v>
      </c>
      <c r="AJ1058" s="38">
        <v>0</v>
      </c>
      <c r="AK1058" s="27">
        <v>0</v>
      </c>
      <c r="AL1058" s="27">
        <f t="shared" si="100"/>
        <v>0</v>
      </c>
      <c r="AM1058" s="40">
        <v>1</v>
      </c>
      <c r="AN1058" s="27">
        <v>2.1276595744680851E-3</v>
      </c>
      <c r="AO1058" s="27">
        <f t="shared" si="101"/>
        <v>4.4771575422195954E-6</v>
      </c>
      <c r="AP1058" s="7" t="b">
        <v>1</v>
      </c>
      <c r="AQ1058" s="6" t="b">
        <v>0</v>
      </c>
      <c r="AR1058" s="6" t="b">
        <v>0</v>
      </c>
      <c r="AS1058" s="6" t="b">
        <v>0</v>
      </c>
      <c r="AT1058" s="7" t="b">
        <v>1</v>
      </c>
      <c r="AU1058" s="6" t="b">
        <v>0</v>
      </c>
      <c r="AV1058" s="6" t="b">
        <v>0</v>
      </c>
      <c r="AW1058" s="6" t="b">
        <v>0</v>
      </c>
      <c r="AX1058" s="6" t="b">
        <v>0</v>
      </c>
      <c r="AY1058" s="6" t="b">
        <v>0</v>
      </c>
      <c r="AZ1058" s="6" t="b">
        <v>0</v>
      </c>
      <c r="BA1058" s="6" t="b">
        <v>0</v>
      </c>
      <c r="BB1058" s="6" t="b">
        <v>0</v>
      </c>
    </row>
    <row r="1059" spans="1:54" ht="15" x14ac:dyDescent="0.25">
      <c r="A1059" s="3" t="s">
        <v>2178</v>
      </c>
      <c r="B1059" s="3" t="str">
        <f ca="1">IFERROR(__xludf.DUMMYFUNCTION("SPLIT(A1059,""/"")"),"translate")</f>
        <v>translate</v>
      </c>
      <c r="C1059" s="3" t="str">
        <f ca="1">IFERROR(__xludf.DUMMYFUNCTION("""COMPUTED_VALUE"""),"pootle")</f>
        <v>pootle</v>
      </c>
      <c r="D1059" s="4" t="s">
        <v>2179</v>
      </c>
      <c r="E1059" s="5">
        <v>40987.962534722225</v>
      </c>
      <c r="F1059" s="5">
        <v>44292.334317129629</v>
      </c>
      <c r="G1059" s="13">
        <f t="shared" si="96"/>
        <v>3304.3717824074047</v>
      </c>
      <c r="H1059" s="6" t="b">
        <v>0</v>
      </c>
      <c r="I1059" s="7" t="b">
        <v>1</v>
      </c>
      <c r="J1059" s="8">
        <v>1350</v>
      </c>
      <c r="K1059" s="8">
        <v>64</v>
      </c>
      <c r="L1059" s="8">
        <v>245</v>
      </c>
      <c r="M1059" s="8">
        <v>36</v>
      </c>
      <c r="N1059" s="8">
        <v>496</v>
      </c>
      <c r="O1059" s="8">
        <v>73</v>
      </c>
      <c r="P1059" s="8">
        <v>2440</v>
      </c>
      <c r="Q1059" s="8">
        <v>98</v>
      </c>
      <c r="R1059" s="8">
        <v>3097</v>
      </c>
      <c r="S1059" s="8">
        <v>426</v>
      </c>
      <c r="T1059" s="3" t="s">
        <v>49</v>
      </c>
      <c r="U1059" s="10">
        <v>43473</v>
      </c>
      <c r="V1059" s="32">
        <v>163</v>
      </c>
      <c r="W1059" s="27">
        <v>3.7494536838957515E-3</v>
      </c>
      <c r="X1059" s="34">
        <v>61</v>
      </c>
      <c r="Y1059" s="27">
        <v>0.37423312883435583</v>
      </c>
      <c r="Z1059" s="27">
        <v>1.4031697835438087E-3</v>
      </c>
      <c r="AA1059" s="35">
        <v>15</v>
      </c>
      <c r="AB1059" s="27">
        <v>9.202453987730061E-2</v>
      </c>
      <c r="AC1059" s="27">
        <f t="shared" si="97"/>
        <v>3.4504175005175625E-4</v>
      </c>
      <c r="AD1059" s="36">
        <v>46</v>
      </c>
      <c r="AE1059" s="27">
        <v>0.2822085889570552</v>
      </c>
      <c r="AF1059" s="27">
        <f t="shared" si="98"/>
        <v>1.0581280334920526E-3</v>
      </c>
      <c r="AG1059" s="37">
        <v>17</v>
      </c>
      <c r="AH1059" s="27">
        <v>0.10429447852760736</v>
      </c>
      <c r="AI1059" s="27">
        <f t="shared" si="99"/>
        <v>3.9104731672532375E-4</v>
      </c>
      <c r="AJ1059" s="38">
        <v>19</v>
      </c>
      <c r="AK1059" s="27">
        <v>0.1165644171779141</v>
      </c>
      <c r="AL1059" s="27">
        <f t="shared" si="100"/>
        <v>4.3705288339889126E-4</v>
      </c>
      <c r="AM1059" s="40">
        <v>4</v>
      </c>
      <c r="AN1059" s="27">
        <v>2.4539877300613498E-2</v>
      </c>
      <c r="AO1059" s="27">
        <f t="shared" si="101"/>
        <v>9.2011133347135008E-5</v>
      </c>
      <c r="AP1059" s="7" t="b">
        <v>1</v>
      </c>
      <c r="AQ1059" s="7" t="b">
        <v>1</v>
      </c>
      <c r="AR1059" s="6" t="b">
        <v>0</v>
      </c>
      <c r="AS1059" s="6" t="b">
        <v>0</v>
      </c>
      <c r="AT1059" s="7" t="b">
        <v>1</v>
      </c>
      <c r="AU1059" s="6" t="b">
        <v>0</v>
      </c>
      <c r="AV1059" s="6" t="b">
        <v>0</v>
      </c>
      <c r="AW1059" s="6" t="b">
        <v>0</v>
      </c>
      <c r="AX1059" s="6" t="b">
        <v>0</v>
      </c>
      <c r="AY1059" s="6" t="b">
        <v>0</v>
      </c>
      <c r="AZ1059" s="6" t="b">
        <v>0</v>
      </c>
      <c r="BA1059" s="6" t="b">
        <v>0</v>
      </c>
      <c r="BB1059" s="6" t="b">
        <v>0</v>
      </c>
    </row>
    <row r="1060" spans="1:54" ht="15" x14ac:dyDescent="0.25">
      <c r="A1060" s="3" t="s">
        <v>2180</v>
      </c>
      <c r="B1060" s="3" t="str">
        <f ca="1">IFERROR(__xludf.DUMMYFUNCTION("SPLIT(A1060,""/"")"),"traveller59")</f>
        <v>traveller59</v>
      </c>
      <c r="C1060" s="3" t="str">
        <f ca="1">IFERROR(__xludf.DUMMYFUNCTION("""COMPUTED_VALUE"""),"second.pytorch")</f>
        <v>second.pytorch</v>
      </c>
      <c r="D1060" s="4" t="s">
        <v>2181</v>
      </c>
      <c r="E1060" s="5">
        <v>43376.962407407409</v>
      </c>
      <c r="F1060" s="5">
        <v>44294.391909722224</v>
      </c>
      <c r="G1060" s="13">
        <f t="shared" si="96"/>
        <v>917.42950231481518</v>
      </c>
      <c r="H1060" s="6" t="b">
        <v>0</v>
      </c>
      <c r="I1060" s="6" t="b">
        <v>0</v>
      </c>
      <c r="J1060" s="8">
        <v>1152</v>
      </c>
      <c r="K1060" s="8">
        <v>47</v>
      </c>
      <c r="L1060" s="8">
        <v>374</v>
      </c>
      <c r="M1060" s="8">
        <v>0</v>
      </c>
      <c r="N1060" s="8">
        <v>2</v>
      </c>
      <c r="O1060" s="8">
        <v>2</v>
      </c>
      <c r="P1060" s="8">
        <v>14</v>
      </c>
      <c r="Q1060" s="8">
        <v>8</v>
      </c>
      <c r="R1060" s="8">
        <v>430</v>
      </c>
      <c r="S1060" s="8">
        <v>254</v>
      </c>
      <c r="T1060" s="3" t="s">
        <v>72</v>
      </c>
      <c r="U1060" s="10">
        <v>13532</v>
      </c>
      <c r="V1060" s="32">
        <v>38</v>
      </c>
      <c r="W1060" s="27">
        <v>2.8081584392550991E-3</v>
      </c>
      <c r="X1060" s="34">
        <v>4</v>
      </c>
      <c r="Y1060" s="27">
        <v>0.10526315789473684</v>
      </c>
      <c r="Z1060" s="27">
        <v>2.9559562518474729E-4</v>
      </c>
      <c r="AA1060" s="35">
        <v>17</v>
      </c>
      <c r="AB1060" s="27">
        <v>0.44736842105263158</v>
      </c>
      <c r="AC1060" s="27">
        <f t="shared" si="97"/>
        <v>1.2562814070351759E-3</v>
      </c>
      <c r="AD1060" s="36">
        <v>2</v>
      </c>
      <c r="AE1060" s="27">
        <v>5.2631578947368418E-2</v>
      </c>
      <c r="AF1060" s="27">
        <f t="shared" si="98"/>
        <v>1.4779781259237365E-4</v>
      </c>
      <c r="AG1060" s="37">
        <v>15</v>
      </c>
      <c r="AH1060" s="27">
        <v>0.39473684210526316</v>
      </c>
      <c r="AI1060" s="27">
        <f t="shared" si="99"/>
        <v>1.1084835944428022E-3</v>
      </c>
      <c r="AJ1060" s="38">
        <v>0</v>
      </c>
      <c r="AK1060" s="27">
        <v>0</v>
      </c>
      <c r="AL1060" s="27">
        <f t="shared" si="100"/>
        <v>0</v>
      </c>
      <c r="AM1060" s="40">
        <v>0</v>
      </c>
      <c r="AN1060" s="27">
        <v>0</v>
      </c>
      <c r="AO1060" s="27">
        <f t="shared" si="101"/>
        <v>0</v>
      </c>
      <c r="AP1060" s="7" t="b">
        <v>1</v>
      </c>
      <c r="AQ1060" s="6" t="b">
        <v>0</v>
      </c>
      <c r="AR1060" s="6" t="b">
        <v>0</v>
      </c>
      <c r="AS1060" s="6" t="b">
        <v>0</v>
      </c>
      <c r="AT1060" s="7" t="b">
        <v>1</v>
      </c>
      <c r="AU1060" s="6" t="b">
        <v>0</v>
      </c>
      <c r="AV1060" s="6" t="b">
        <v>0</v>
      </c>
      <c r="AW1060" s="6" t="b">
        <v>0</v>
      </c>
      <c r="AX1060" s="6" t="b">
        <v>0</v>
      </c>
      <c r="AY1060" s="6" t="b">
        <v>0</v>
      </c>
      <c r="AZ1060" s="6" t="b">
        <v>0</v>
      </c>
      <c r="BA1060" s="6" t="b">
        <v>0</v>
      </c>
      <c r="BB1060" s="6" t="b">
        <v>0</v>
      </c>
    </row>
    <row r="1061" spans="1:54" ht="15" x14ac:dyDescent="0.25">
      <c r="A1061" s="3" t="s">
        <v>2182</v>
      </c>
      <c r="B1061" s="3" t="str">
        <f ca="1">IFERROR(__xludf.DUMMYFUNCTION("SPLIT(A1061,""/"")"),"trezor")</f>
        <v>trezor</v>
      </c>
      <c r="C1061" s="3" t="str">
        <f ca="1">IFERROR(__xludf.DUMMYFUNCTION("""COMPUTED_VALUE"""),"trezor-firmware")</f>
        <v>trezor-firmware</v>
      </c>
      <c r="D1061" s="4" t="s">
        <v>2183</v>
      </c>
      <c r="E1061" s="5">
        <v>43565.571006944447</v>
      </c>
      <c r="F1061" s="5">
        <v>44294.659467592595</v>
      </c>
      <c r="G1061" s="13">
        <f t="shared" si="96"/>
        <v>729.08846064814861</v>
      </c>
      <c r="H1061" s="6" t="b">
        <v>0</v>
      </c>
      <c r="I1061" s="7" t="b">
        <v>1</v>
      </c>
      <c r="J1061" s="8">
        <v>450</v>
      </c>
      <c r="K1061" s="8">
        <v>42</v>
      </c>
      <c r="L1061" s="8">
        <v>286</v>
      </c>
      <c r="M1061" s="8">
        <v>0</v>
      </c>
      <c r="N1061" s="8">
        <v>152</v>
      </c>
      <c r="O1061" s="8">
        <v>204</v>
      </c>
      <c r="P1061" s="8">
        <v>710</v>
      </c>
      <c r="Q1061" s="8">
        <v>29</v>
      </c>
      <c r="R1061" s="8">
        <v>848</v>
      </c>
      <c r="S1061" s="8">
        <v>181</v>
      </c>
      <c r="T1061" s="3" t="s">
        <v>92</v>
      </c>
      <c r="U1061" s="10">
        <v>67279</v>
      </c>
      <c r="V1061" s="32">
        <v>158</v>
      </c>
      <c r="W1061" s="27">
        <v>2.3484296734493674E-3</v>
      </c>
      <c r="X1061" s="34">
        <v>53</v>
      </c>
      <c r="Y1061" s="27">
        <v>0.33544303797468356</v>
      </c>
      <c r="Z1061" s="27">
        <v>7.8776438413174989E-4</v>
      </c>
      <c r="AA1061" s="35">
        <v>29</v>
      </c>
      <c r="AB1061" s="27">
        <v>0.18354430379746836</v>
      </c>
      <c r="AC1061" s="27">
        <f t="shared" si="97"/>
        <v>4.3104088943058012E-4</v>
      </c>
      <c r="AD1061" s="36">
        <v>35</v>
      </c>
      <c r="AE1061" s="27">
        <v>0.22151898734177214</v>
      </c>
      <c r="AF1061" s="27">
        <f t="shared" si="98"/>
        <v>5.2022176310587251E-4</v>
      </c>
      <c r="AG1061" s="37">
        <v>15</v>
      </c>
      <c r="AH1061" s="27">
        <v>9.49367088607595E-2</v>
      </c>
      <c r="AI1061" s="27">
        <f t="shared" si="99"/>
        <v>2.229521841882311E-4</v>
      </c>
      <c r="AJ1061" s="38">
        <v>0</v>
      </c>
      <c r="AK1061" s="27">
        <v>0</v>
      </c>
      <c r="AL1061" s="27">
        <f t="shared" si="100"/>
        <v>0</v>
      </c>
      <c r="AM1061" s="40">
        <v>26</v>
      </c>
      <c r="AN1061" s="27">
        <v>0.16455696202531644</v>
      </c>
      <c r="AO1061" s="27">
        <f t="shared" si="101"/>
        <v>3.8645045259293388E-4</v>
      </c>
      <c r="AP1061" s="7" t="b">
        <v>1</v>
      </c>
      <c r="AQ1061" s="6" t="b">
        <v>0</v>
      </c>
      <c r="AR1061" s="6" t="b">
        <v>0</v>
      </c>
      <c r="AS1061" s="6" t="b">
        <v>0</v>
      </c>
      <c r="AT1061" s="7" t="b">
        <v>1</v>
      </c>
      <c r="AU1061" s="6" t="b">
        <v>0</v>
      </c>
      <c r="AV1061" s="6" t="b">
        <v>0</v>
      </c>
      <c r="AW1061" s="6" t="b">
        <v>0</v>
      </c>
      <c r="AX1061" s="6" t="b">
        <v>0</v>
      </c>
      <c r="AY1061" s="6" t="b">
        <v>0</v>
      </c>
      <c r="AZ1061" s="6" t="b">
        <v>0</v>
      </c>
      <c r="BA1061" s="6" t="b">
        <v>0</v>
      </c>
      <c r="BB1061" s="6" t="b">
        <v>0</v>
      </c>
    </row>
    <row r="1062" spans="1:54" ht="15" x14ac:dyDescent="0.25">
      <c r="A1062" s="3" t="s">
        <v>2184</v>
      </c>
      <c r="B1062" s="3" t="str">
        <f ca="1">IFERROR(__xludf.DUMMYFUNCTION("SPLIT(A1062,""/"")"),"TRI-ML")</f>
        <v>TRI-ML</v>
      </c>
      <c r="C1062" s="3" t="str">
        <f ca="1">IFERROR(__xludf.DUMMYFUNCTION("""COMPUTED_VALUE"""),"packnet-sfm")</f>
        <v>packnet-sfm</v>
      </c>
      <c r="D1062" s="4" t="s">
        <v>2185</v>
      </c>
      <c r="E1062" s="5">
        <v>43805.047442129631</v>
      </c>
      <c r="F1062" s="5">
        <v>44292.432199074072</v>
      </c>
      <c r="G1062" s="13">
        <f t="shared" si="96"/>
        <v>487.3847569444406</v>
      </c>
      <c r="H1062" s="6" t="b">
        <v>0</v>
      </c>
      <c r="I1062" s="7" t="b">
        <v>1</v>
      </c>
      <c r="J1062" s="8">
        <v>581</v>
      </c>
      <c r="K1062" s="8">
        <v>49</v>
      </c>
      <c r="L1062" s="8">
        <v>133</v>
      </c>
      <c r="M1062" s="8">
        <v>3</v>
      </c>
      <c r="N1062" s="8">
        <v>0</v>
      </c>
      <c r="O1062" s="8">
        <v>5</v>
      </c>
      <c r="P1062" s="8">
        <v>12</v>
      </c>
      <c r="Q1062" s="8">
        <v>3</v>
      </c>
      <c r="R1062" s="8">
        <v>121</v>
      </c>
      <c r="S1062" s="8">
        <v>14</v>
      </c>
      <c r="T1062" s="3" t="s">
        <v>72</v>
      </c>
      <c r="U1062" s="10">
        <v>3907</v>
      </c>
      <c r="V1062" s="32">
        <v>1</v>
      </c>
      <c r="W1062" s="27">
        <v>2.5595085743537239E-4</v>
      </c>
      <c r="X1062" s="34">
        <v>0</v>
      </c>
      <c r="Y1062" s="27">
        <v>0</v>
      </c>
      <c r="Z1062" s="27">
        <v>0</v>
      </c>
      <c r="AA1062" s="35">
        <v>0</v>
      </c>
      <c r="AB1062" s="27">
        <v>0</v>
      </c>
      <c r="AC1062" s="27">
        <f t="shared" si="97"/>
        <v>0</v>
      </c>
      <c r="AD1062" s="36">
        <v>0</v>
      </c>
      <c r="AE1062" s="27">
        <v>0</v>
      </c>
      <c r="AF1062" s="27">
        <f t="shared" si="98"/>
        <v>0</v>
      </c>
      <c r="AG1062" s="37">
        <v>0</v>
      </c>
      <c r="AH1062" s="27">
        <v>0</v>
      </c>
      <c r="AI1062" s="27">
        <f t="shared" si="99"/>
        <v>0</v>
      </c>
      <c r="AJ1062" s="38">
        <v>0</v>
      </c>
      <c r="AK1062" s="27">
        <v>0</v>
      </c>
      <c r="AL1062" s="27">
        <f t="shared" si="100"/>
        <v>0</v>
      </c>
      <c r="AM1062" s="40">
        <v>1</v>
      </c>
      <c r="AN1062" s="27">
        <v>1</v>
      </c>
      <c r="AO1062" s="27">
        <f t="shared" si="101"/>
        <v>2.5595085743537239E-4</v>
      </c>
      <c r="AP1062" s="7" t="b">
        <v>1</v>
      </c>
      <c r="AQ1062" s="6" t="b">
        <v>0</v>
      </c>
      <c r="AR1062" s="6" t="b">
        <v>0</v>
      </c>
      <c r="AS1062" s="6" t="b">
        <v>0</v>
      </c>
      <c r="AT1062" s="7" t="b">
        <v>1</v>
      </c>
      <c r="AU1062" s="6" t="b">
        <v>0</v>
      </c>
      <c r="AV1062" s="6" t="b">
        <v>0</v>
      </c>
      <c r="AW1062" s="6" t="b">
        <v>0</v>
      </c>
      <c r="AX1062" s="6" t="b">
        <v>0</v>
      </c>
      <c r="AY1062" s="6" t="b">
        <v>0</v>
      </c>
      <c r="AZ1062" s="6" t="b">
        <v>0</v>
      </c>
      <c r="BA1062" s="6" t="b">
        <v>0</v>
      </c>
      <c r="BB1062" s="6" t="b">
        <v>0</v>
      </c>
    </row>
    <row r="1063" spans="1:54" ht="15" x14ac:dyDescent="0.25">
      <c r="A1063" s="3" t="s">
        <v>2186</v>
      </c>
      <c r="B1063" s="3" t="str">
        <f ca="1">IFERROR(__xludf.DUMMYFUNCTION("SPLIT(A1063,""/"")"),"tribe29")</f>
        <v>tribe29</v>
      </c>
      <c r="C1063" s="3" t="str">
        <f ca="1">IFERROR(__xludf.DUMMYFUNCTION("""COMPUTED_VALUE"""),"checkmk")</f>
        <v>checkmk</v>
      </c>
      <c r="D1063" s="4" t="s">
        <v>2187</v>
      </c>
      <c r="E1063" s="5">
        <v>43516.52076388889</v>
      </c>
      <c r="F1063" s="5">
        <v>44294.896215277775</v>
      </c>
      <c r="G1063" s="13">
        <f t="shared" si="96"/>
        <v>778.37545138888527</v>
      </c>
      <c r="H1063" s="6" t="b">
        <v>0</v>
      </c>
      <c r="I1063" s="7" t="b">
        <v>1</v>
      </c>
      <c r="J1063" s="8">
        <v>451</v>
      </c>
      <c r="K1063" s="8">
        <v>49</v>
      </c>
      <c r="L1063" s="8">
        <v>225</v>
      </c>
      <c r="M1063" s="8">
        <v>0</v>
      </c>
      <c r="N1063" s="8">
        <v>53</v>
      </c>
      <c r="O1063" s="8">
        <v>108</v>
      </c>
      <c r="P1063" s="8">
        <v>359</v>
      </c>
      <c r="Q1063" s="8">
        <v>70</v>
      </c>
      <c r="R1063" s="8">
        <v>0</v>
      </c>
      <c r="S1063" s="8">
        <v>0</v>
      </c>
      <c r="T1063" s="3" t="s">
        <v>64</v>
      </c>
      <c r="U1063" s="10">
        <v>254012</v>
      </c>
      <c r="V1063" s="32">
        <v>1124</v>
      </c>
      <c r="W1063" s="27">
        <v>4.4249877958521646E-3</v>
      </c>
      <c r="X1063" s="34">
        <v>326</v>
      </c>
      <c r="Y1063" s="27">
        <v>0.29003558718861211</v>
      </c>
      <c r="Z1063" s="27">
        <v>1.283403933672425E-3</v>
      </c>
      <c r="AA1063" s="35">
        <v>475</v>
      </c>
      <c r="AB1063" s="27">
        <v>0.42259786476868327</v>
      </c>
      <c r="AC1063" s="27">
        <f t="shared" si="97"/>
        <v>1.8699903941546069E-3</v>
      </c>
      <c r="AD1063" s="36">
        <v>46</v>
      </c>
      <c r="AE1063" s="27">
        <v>4.0925266903914591E-2</v>
      </c>
      <c r="AF1063" s="27">
        <f t="shared" si="98"/>
        <v>1.8109380659181456E-4</v>
      </c>
      <c r="AG1063" s="37">
        <v>159</v>
      </c>
      <c r="AH1063" s="27">
        <v>0.14145907473309607</v>
      </c>
      <c r="AI1063" s="27">
        <f t="shared" si="99"/>
        <v>6.259546793064895E-4</v>
      </c>
      <c r="AJ1063" s="38">
        <v>2</v>
      </c>
      <c r="AK1063" s="27">
        <v>1.7793594306049821E-3</v>
      </c>
      <c r="AL1063" s="27">
        <f t="shared" si="100"/>
        <v>7.8736437648615031E-6</v>
      </c>
      <c r="AM1063" s="40">
        <v>113</v>
      </c>
      <c r="AN1063" s="27">
        <v>0.10053380782918149</v>
      </c>
      <c r="AO1063" s="27">
        <f t="shared" si="101"/>
        <v>4.4486087271467488E-4</v>
      </c>
      <c r="AP1063" s="7" t="b">
        <v>1</v>
      </c>
      <c r="AQ1063" s="6" t="b">
        <v>0</v>
      </c>
      <c r="AR1063" s="6" t="b">
        <v>0</v>
      </c>
      <c r="AS1063" s="6" t="b">
        <v>0</v>
      </c>
      <c r="AT1063" s="7" t="b">
        <v>1</v>
      </c>
      <c r="AU1063" s="6" t="b">
        <v>0</v>
      </c>
      <c r="AV1063" s="6" t="b">
        <v>0</v>
      </c>
      <c r="AW1063" s="6" t="b">
        <v>0</v>
      </c>
      <c r="AX1063" s="6" t="b">
        <v>0</v>
      </c>
      <c r="AY1063" s="6" t="b">
        <v>0</v>
      </c>
      <c r="AZ1063" s="6" t="b">
        <v>0</v>
      </c>
      <c r="BA1063" s="6" t="b">
        <v>0</v>
      </c>
      <c r="BB1063" s="6" t="b">
        <v>0</v>
      </c>
    </row>
    <row r="1064" spans="1:54" ht="15" x14ac:dyDescent="0.25">
      <c r="A1064" s="3" t="s">
        <v>2188</v>
      </c>
      <c r="B1064" s="3" t="str">
        <f ca="1">IFERROR(__xludf.DUMMYFUNCTION("SPLIT(A1064,""/"")"),"Trusted-AI")</f>
        <v>Trusted-AI</v>
      </c>
      <c r="C1064" s="3" t="str">
        <f ca="1">IFERROR(__xludf.DUMMYFUNCTION("""COMPUTED_VALUE"""),"adversarial-robustness-toolbox")</f>
        <v>adversarial-robustness-toolbox</v>
      </c>
      <c r="D1064" s="4" t="s">
        <v>2189</v>
      </c>
      <c r="E1064" s="5">
        <v>43174.611608796295</v>
      </c>
      <c r="F1064" s="5">
        <v>44295.145173611112</v>
      </c>
      <c r="G1064" s="13">
        <f t="shared" si="96"/>
        <v>1120.5335648148175</v>
      </c>
      <c r="H1064" s="6" t="b">
        <v>0</v>
      </c>
      <c r="I1064" s="7" t="b">
        <v>1</v>
      </c>
      <c r="J1064" s="8">
        <v>2125</v>
      </c>
      <c r="K1064" s="8">
        <v>86</v>
      </c>
      <c r="L1064" s="8">
        <v>588</v>
      </c>
      <c r="M1064" s="8">
        <v>28</v>
      </c>
      <c r="N1064" s="8">
        <v>1</v>
      </c>
      <c r="O1064" s="8">
        <v>54</v>
      </c>
      <c r="P1064" s="8">
        <v>567</v>
      </c>
      <c r="Q1064" s="8">
        <v>16</v>
      </c>
      <c r="R1064" s="8">
        <v>470</v>
      </c>
      <c r="S1064" s="8">
        <v>76</v>
      </c>
      <c r="T1064" s="3" t="s">
        <v>72</v>
      </c>
      <c r="U1064" s="10">
        <v>37532</v>
      </c>
      <c r="V1064" s="32">
        <v>465</v>
      </c>
      <c r="W1064" s="27">
        <v>1.238942768837259E-2</v>
      </c>
      <c r="X1064" s="34">
        <v>82</v>
      </c>
      <c r="Y1064" s="27">
        <v>0.17634408602150536</v>
      </c>
      <c r="Z1064" s="27">
        <v>2.1848023020355962E-3</v>
      </c>
      <c r="AA1064" s="35">
        <v>330</v>
      </c>
      <c r="AB1064" s="27">
        <v>0.70967741935483875</v>
      </c>
      <c r="AC1064" s="27">
        <f t="shared" si="97"/>
        <v>8.7924970691676436E-3</v>
      </c>
      <c r="AD1064" s="36">
        <v>46</v>
      </c>
      <c r="AE1064" s="27">
        <v>9.8924731182795697E-2</v>
      </c>
      <c r="AF1064" s="27">
        <f t="shared" si="98"/>
        <v>1.2256208035809442E-3</v>
      </c>
      <c r="AG1064" s="37">
        <v>5</v>
      </c>
      <c r="AH1064" s="27">
        <v>1.0752688172043012E-2</v>
      </c>
      <c r="AI1064" s="27">
        <f t="shared" si="99"/>
        <v>1.3321965256314611E-4</v>
      </c>
      <c r="AJ1064" s="38">
        <v>2</v>
      </c>
      <c r="AK1064" s="27">
        <v>4.3010752688172043E-3</v>
      </c>
      <c r="AL1064" s="27">
        <f t="shared" si="100"/>
        <v>5.3287861025258443E-5</v>
      </c>
      <c r="AM1064" s="40">
        <v>0</v>
      </c>
      <c r="AN1064" s="27">
        <v>0</v>
      </c>
      <c r="AO1064" s="27">
        <f t="shared" si="101"/>
        <v>0</v>
      </c>
      <c r="AP1064" s="7" t="b">
        <v>1</v>
      </c>
      <c r="AQ1064" s="6" t="b">
        <v>0</v>
      </c>
      <c r="AR1064" s="6" t="b">
        <v>0</v>
      </c>
      <c r="AS1064" s="6" t="b">
        <v>0</v>
      </c>
      <c r="AT1064" s="7" t="b">
        <v>1</v>
      </c>
      <c r="AU1064" s="6" t="b">
        <v>0</v>
      </c>
      <c r="AV1064" s="6" t="b">
        <v>0</v>
      </c>
      <c r="AW1064" s="6" t="b">
        <v>0</v>
      </c>
      <c r="AX1064" s="6" t="b">
        <v>0</v>
      </c>
      <c r="AY1064" s="6" t="b">
        <v>0</v>
      </c>
      <c r="AZ1064" s="6" t="b">
        <v>0</v>
      </c>
      <c r="BA1064" s="6" t="b">
        <v>0</v>
      </c>
      <c r="BB1064" s="6" t="b">
        <v>0</v>
      </c>
    </row>
    <row r="1065" spans="1:54" ht="15" x14ac:dyDescent="0.25">
      <c r="A1065" s="3" t="s">
        <v>2190</v>
      </c>
      <c r="B1065" s="3" t="str">
        <f ca="1">IFERROR(__xludf.DUMMYFUNCTION("SPLIT(A1065,""/"")"),"Trusted-AI")</f>
        <v>Trusted-AI</v>
      </c>
      <c r="C1065" s="3" t="str">
        <f ca="1">IFERROR(__xludf.DUMMYFUNCTION("""COMPUTED_VALUE"""),"AIF360")</f>
        <v>AIF360</v>
      </c>
      <c r="D1065" s="4" t="s">
        <v>2191</v>
      </c>
      <c r="E1065" s="5">
        <v>43334.86614583333</v>
      </c>
      <c r="F1065" s="5">
        <v>44295.154363425929</v>
      </c>
      <c r="G1065" s="13">
        <f t="shared" si="96"/>
        <v>960.28821759259881</v>
      </c>
      <c r="H1065" s="6" t="b">
        <v>0</v>
      </c>
      <c r="I1065" s="7" t="b">
        <v>1</v>
      </c>
      <c r="J1065" s="8">
        <v>1336</v>
      </c>
      <c r="K1065" s="8">
        <v>80</v>
      </c>
      <c r="L1065" s="8">
        <v>408</v>
      </c>
      <c r="M1065" s="8">
        <v>9</v>
      </c>
      <c r="N1065" s="8">
        <v>1</v>
      </c>
      <c r="O1065" s="8">
        <v>38</v>
      </c>
      <c r="P1065" s="8">
        <v>147</v>
      </c>
      <c r="Q1065" s="8">
        <v>4</v>
      </c>
      <c r="R1065" s="8">
        <v>87</v>
      </c>
      <c r="S1065" s="8">
        <v>35</v>
      </c>
      <c r="T1065" s="3" t="s">
        <v>69</v>
      </c>
      <c r="U1065" s="10">
        <v>6218</v>
      </c>
      <c r="V1065" s="32">
        <v>32</v>
      </c>
      <c r="W1065" s="27">
        <v>5.1463493084593116E-3</v>
      </c>
      <c r="X1065" s="34">
        <v>0</v>
      </c>
      <c r="Y1065" s="27">
        <v>0</v>
      </c>
      <c r="Z1065" s="27">
        <v>0</v>
      </c>
      <c r="AA1065" s="35">
        <v>27</v>
      </c>
      <c r="AB1065" s="27">
        <v>0.84375</v>
      </c>
      <c r="AC1065" s="27">
        <f t="shared" si="97"/>
        <v>4.3422322290125439E-3</v>
      </c>
      <c r="AD1065" s="36">
        <v>5</v>
      </c>
      <c r="AE1065" s="27">
        <v>0.15625</v>
      </c>
      <c r="AF1065" s="27">
        <f t="shared" si="98"/>
        <v>8.0411707944676744E-4</v>
      </c>
      <c r="AG1065" s="37">
        <v>0</v>
      </c>
      <c r="AH1065" s="27">
        <v>0</v>
      </c>
      <c r="AI1065" s="27">
        <f t="shared" si="99"/>
        <v>0</v>
      </c>
      <c r="AJ1065" s="38">
        <v>0</v>
      </c>
      <c r="AK1065" s="27">
        <v>0</v>
      </c>
      <c r="AL1065" s="27">
        <f t="shared" si="100"/>
        <v>0</v>
      </c>
      <c r="AM1065" s="40">
        <v>0</v>
      </c>
      <c r="AN1065" s="27">
        <v>0</v>
      </c>
      <c r="AO1065" s="27">
        <f t="shared" si="101"/>
        <v>0</v>
      </c>
      <c r="AP1065" s="7" t="b">
        <v>1</v>
      </c>
      <c r="AQ1065" s="6" t="b">
        <v>0</v>
      </c>
      <c r="AR1065" s="6" t="b">
        <v>0</v>
      </c>
      <c r="AS1065" s="6" t="b">
        <v>0</v>
      </c>
      <c r="AT1065" s="7" t="b">
        <v>1</v>
      </c>
      <c r="AU1065" s="6" t="b">
        <v>0</v>
      </c>
      <c r="AV1065" s="6" t="b">
        <v>0</v>
      </c>
      <c r="AW1065" s="6" t="b">
        <v>0</v>
      </c>
      <c r="AX1065" s="6" t="b">
        <v>0</v>
      </c>
      <c r="AY1065" s="6" t="b">
        <v>0</v>
      </c>
      <c r="AZ1065" s="6" t="b">
        <v>0</v>
      </c>
      <c r="BA1065" s="6" t="b">
        <v>0</v>
      </c>
      <c r="BB1065" s="6" t="b">
        <v>0</v>
      </c>
    </row>
    <row r="1066" spans="1:54" ht="15" x14ac:dyDescent="0.25">
      <c r="A1066" s="3" t="s">
        <v>2192</v>
      </c>
      <c r="B1066" s="3" t="str">
        <f ca="1">IFERROR(__xludf.DUMMYFUNCTION("SPLIT(A1066,""/"")"),"trustedsec")</f>
        <v>trustedsec</v>
      </c>
      <c r="C1066" s="3" t="str">
        <f ca="1">IFERROR(__xludf.DUMMYFUNCTION("""COMPUTED_VALUE"""),"ptf")</f>
        <v>ptf</v>
      </c>
      <c r="D1066" s="4" t="s">
        <v>2193</v>
      </c>
      <c r="E1066" s="5">
        <v>42136.775983796295</v>
      </c>
      <c r="F1066" s="5">
        <v>44294.700185185182</v>
      </c>
      <c r="G1066" s="13">
        <f t="shared" si="96"/>
        <v>2157.924201388887</v>
      </c>
      <c r="H1066" s="6" t="b">
        <v>0</v>
      </c>
      <c r="I1066" s="7" t="b">
        <v>1</v>
      </c>
      <c r="J1066" s="8">
        <v>3633</v>
      </c>
      <c r="K1066" s="8">
        <v>291</v>
      </c>
      <c r="L1066" s="8">
        <v>950</v>
      </c>
      <c r="M1066" s="8">
        <v>0</v>
      </c>
      <c r="N1066" s="8">
        <v>10</v>
      </c>
      <c r="O1066" s="8">
        <v>94</v>
      </c>
      <c r="P1066" s="8">
        <v>346</v>
      </c>
      <c r="Q1066" s="8">
        <v>0</v>
      </c>
      <c r="R1066" s="8">
        <v>222</v>
      </c>
      <c r="S1066" s="8">
        <v>3</v>
      </c>
      <c r="T1066" s="11" t="s">
        <v>52</v>
      </c>
      <c r="U1066" s="10">
        <v>3713</v>
      </c>
      <c r="V1066" s="32">
        <v>0</v>
      </c>
      <c r="W1066" s="27">
        <v>0</v>
      </c>
      <c r="X1066" s="34">
        <v>0</v>
      </c>
      <c r="Y1066" s="27">
        <v>0</v>
      </c>
      <c r="Z1066" s="27">
        <v>0</v>
      </c>
      <c r="AA1066" s="35">
        <v>0</v>
      </c>
      <c r="AB1066" s="27">
        <v>0</v>
      </c>
      <c r="AC1066" s="27">
        <f t="shared" si="97"/>
        <v>0</v>
      </c>
      <c r="AD1066" s="36">
        <v>0</v>
      </c>
      <c r="AE1066" s="27">
        <v>0</v>
      </c>
      <c r="AF1066" s="27">
        <f t="shared" si="98"/>
        <v>0</v>
      </c>
      <c r="AG1066" s="37">
        <v>0</v>
      </c>
      <c r="AH1066" s="27">
        <v>0</v>
      </c>
      <c r="AI1066" s="27">
        <f t="shared" si="99"/>
        <v>0</v>
      </c>
      <c r="AJ1066" s="38">
        <v>0</v>
      </c>
      <c r="AK1066" s="27">
        <v>0</v>
      </c>
      <c r="AL1066" s="27">
        <f t="shared" si="100"/>
        <v>0</v>
      </c>
      <c r="AM1066" s="40">
        <v>0</v>
      </c>
      <c r="AN1066" s="27">
        <v>0</v>
      </c>
      <c r="AO1066" s="27">
        <f t="shared" si="101"/>
        <v>0</v>
      </c>
      <c r="AP1066" s="7" t="b">
        <v>1</v>
      </c>
      <c r="AQ1066" s="6" t="b">
        <v>0</v>
      </c>
      <c r="AR1066" s="6" t="b">
        <v>0</v>
      </c>
      <c r="AS1066" s="6" t="b">
        <v>0</v>
      </c>
      <c r="AT1066" s="7" t="b">
        <v>1</v>
      </c>
      <c r="AU1066" s="6" t="b">
        <v>0</v>
      </c>
      <c r="AV1066" s="6" t="b">
        <v>0</v>
      </c>
      <c r="AW1066" s="6" t="b">
        <v>0</v>
      </c>
      <c r="AX1066" s="6" t="b">
        <v>0</v>
      </c>
      <c r="AY1066" s="6" t="b">
        <v>0</v>
      </c>
      <c r="AZ1066" s="6" t="b">
        <v>0</v>
      </c>
      <c r="BA1066" s="6" t="b">
        <v>0</v>
      </c>
      <c r="BB1066" s="6" t="b">
        <v>0</v>
      </c>
    </row>
    <row r="1067" spans="1:54" ht="15" x14ac:dyDescent="0.25">
      <c r="A1067" s="3" t="s">
        <v>2194</v>
      </c>
      <c r="B1067" s="3" t="str">
        <f ca="1">IFERROR(__xludf.DUMMYFUNCTION("SPLIT(A1067,""/"")"),"tsileo")</f>
        <v>tsileo</v>
      </c>
      <c r="C1067" s="3" t="str">
        <f ca="1">IFERROR(__xludf.DUMMYFUNCTION("""COMPUTED_VALUE"""),"microblog.pub")</f>
        <v>microblog.pub</v>
      </c>
      <c r="D1067" s="4" t="s">
        <v>2195</v>
      </c>
      <c r="E1067" s="5">
        <v>43192.768194444441</v>
      </c>
      <c r="F1067" s="5">
        <v>44294.791724537034</v>
      </c>
      <c r="G1067" s="13">
        <f t="shared" si="96"/>
        <v>1102.0235300925924</v>
      </c>
      <c r="H1067" s="6" t="b">
        <v>0</v>
      </c>
      <c r="I1067" s="6" t="b">
        <v>0</v>
      </c>
      <c r="J1067" s="8">
        <v>496</v>
      </c>
      <c r="K1067" s="8">
        <v>33</v>
      </c>
      <c r="L1067" s="8">
        <v>36</v>
      </c>
      <c r="M1067" s="8">
        <v>0</v>
      </c>
      <c r="N1067" s="8">
        <v>0</v>
      </c>
      <c r="O1067" s="8">
        <v>8</v>
      </c>
      <c r="P1067" s="8">
        <v>32</v>
      </c>
      <c r="Q1067" s="8">
        <v>4</v>
      </c>
      <c r="R1067" s="8">
        <v>61</v>
      </c>
      <c r="S1067" s="8">
        <v>16</v>
      </c>
      <c r="T1067" s="3" t="s">
        <v>366</v>
      </c>
      <c r="U1067" s="10">
        <v>5130</v>
      </c>
      <c r="V1067" s="32">
        <v>204</v>
      </c>
      <c r="W1067" s="27">
        <v>3.9766081871345033E-2</v>
      </c>
      <c r="X1067" s="34">
        <v>14</v>
      </c>
      <c r="Y1067" s="27">
        <v>6.8627450980392163E-2</v>
      </c>
      <c r="Z1067" s="27">
        <v>2.7290448343079924E-3</v>
      </c>
      <c r="AA1067" s="35">
        <v>120</v>
      </c>
      <c r="AB1067" s="27">
        <v>0.58823529411764708</v>
      </c>
      <c r="AC1067" s="27">
        <f t="shared" si="97"/>
        <v>2.3391812865497075E-2</v>
      </c>
      <c r="AD1067" s="36">
        <v>8</v>
      </c>
      <c r="AE1067" s="27">
        <v>3.9215686274509803E-2</v>
      </c>
      <c r="AF1067" s="27">
        <f t="shared" si="98"/>
        <v>1.5594541910331384E-3</v>
      </c>
      <c r="AG1067" s="37">
        <v>62</v>
      </c>
      <c r="AH1067" s="27">
        <v>0.30392156862745096</v>
      </c>
      <c r="AI1067" s="27">
        <f t="shared" si="99"/>
        <v>1.2085769980506823E-2</v>
      </c>
      <c r="AJ1067" s="38">
        <v>0</v>
      </c>
      <c r="AK1067" s="27">
        <v>0</v>
      </c>
      <c r="AL1067" s="27">
        <f t="shared" si="100"/>
        <v>0</v>
      </c>
      <c r="AM1067" s="40">
        <v>0</v>
      </c>
      <c r="AN1067" s="27">
        <v>0</v>
      </c>
      <c r="AO1067" s="27">
        <f t="shared" si="101"/>
        <v>0</v>
      </c>
      <c r="AP1067" s="7" t="b">
        <v>1</v>
      </c>
      <c r="AQ1067" s="7" t="b">
        <v>1</v>
      </c>
      <c r="AR1067" s="6" t="b">
        <v>0</v>
      </c>
      <c r="AS1067" s="6" t="b">
        <v>0</v>
      </c>
      <c r="AT1067" s="7" t="b">
        <v>1</v>
      </c>
      <c r="AU1067" s="6" t="b">
        <v>0</v>
      </c>
      <c r="AV1067" s="6" t="b">
        <v>0</v>
      </c>
      <c r="AW1067" s="6" t="b">
        <v>0</v>
      </c>
      <c r="AX1067" s="6" t="b">
        <v>0</v>
      </c>
      <c r="AY1067" s="6" t="b">
        <v>0</v>
      </c>
      <c r="AZ1067" s="6" t="b">
        <v>0</v>
      </c>
      <c r="BA1067" s="6" t="b">
        <v>0</v>
      </c>
      <c r="BB1067" s="6" t="b">
        <v>0</v>
      </c>
    </row>
    <row r="1068" spans="1:54" ht="15" x14ac:dyDescent="0.25">
      <c r="A1068" s="3" t="s">
        <v>2196</v>
      </c>
      <c r="B1068" s="3" t="str">
        <f ca="1">IFERROR(__xludf.DUMMYFUNCTION("SPLIT(A1068,""/"")"),"Tuhinshubhra")</f>
        <v>Tuhinshubhra</v>
      </c>
      <c r="C1068" s="3" t="str">
        <f ca="1">IFERROR(__xludf.DUMMYFUNCTION("""COMPUTED_VALUE"""),"CMSeeK")</f>
        <v>CMSeeK</v>
      </c>
      <c r="D1068" s="4" t="s">
        <v>2197</v>
      </c>
      <c r="E1068" s="5">
        <v>43265.011006944442</v>
      </c>
      <c r="F1068" s="5">
        <v>44293.496539351851</v>
      </c>
      <c r="G1068" s="13">
        <f t="shared" si="96"/>
        <v>1028.4855324074088</v>
      </c>
      <c r="H1068" s="6" t="b">
        <v>0</v>
      </c>
      <c r="I1068" s="6" t="b">
        <v>0</v>
      </c>
      <c r="J1068" s="8">
        <v>1320</v>
      </c>
      <c r="K1068" s="8">
        <v>63</v>
      </c>
      <c r="L1068" s="8">
        <v>320</v>
      </c>
      <c r="M1068" s="8">
        <v>13</v>
      </c>
      <c r="N1068" s="8">
        <v>1</v>
      </c>
      <c r="O1068" s="8">
        <v>8</v>
      </c>
      <c r="P1068" s="8">
        <v>19</v>
      </c>
      <c r="Q1068" s="8">
        <v>0</v>
      </c>
      <c r="R1068" s="8">
        <v>93</v>
      </c>
      <c r="S1068" s="8">
        <v>4</v>
      </c>
      <c r="T1068" s="3" t="s">
        <v>49</v>
      </c>
      <c r="U1068" s="10">
        <v>3965</v>
      </c>
      <c r="V1068" s="32">
        <v>166</v>
      </c>
      <c r="W1068" s="27">
        <v>4.1866330390920553E-2</v>
      </c>
      <c r="X1068" s="34">
        <v>0</v>
      </c>
      <c r="Y1068" s="27">
        <v>0</v>
      </c>
      <c r="Z1068" s="27">
        <v>0</v>
      </c>
      <c r="AA1068" s="35">
        <v>32</v>
      </c>
      <c r="AB1068" s="27">
        <v>0.19277108433734941</v>
      </c>
      <c r="AC1068" s="27">
        <f t="shared" si="97"/>
        <v>8.0706179066834804E-3</v>
      </c>
      <c r="AD1068" s="36">
        <v>19</v>
      </c>
      <c r="AE1068" s="27">
        <v>0.1144578313253012</v>
      </c>
      <c r="AF1068" s="27">
        <f t="shared" si="98"/>
        <v>4.7919293820933165E-3</v>
      </c>
      <c r="AG1068" s="37">
        <v>115</v>
      </c>
      <c r="AH1068" s="27">
        <v>0.69277108433734935</v>
      </c>
      <c r="AI1068" s="27">
        <f t="shared" si="99"/>
        <v>2.9003783102143757E-2</v>
      </c>
      <c r="AJ1068" s="38">
        <v>0</v>
      </c>
      <c r="AK1068" s="27">
        <v>0</v>
      </c>
      <c r="AL1068" s="27">
        <f t="shared" si="100"/>
        <v>0</v>
      </c>
      <c r="AM1068" s="40">
        <v>0</v>
      </c>
      <c r="AN1068" s="27">
        <v>0</v>
      </c>
      <c r="AO1068" s="27">
        <f t="shared" si="101"/>
        <v>0</v>
      </c>
      <c r="AP1068" s="7" t="b">
        <v>1</v>
      </c>
      <c r="AQ1068" s="6" t="b">
        <v>0</v>
      </c>
      <c r="AR1068" s="6" t="b">
        <v>0</v>
      </c>
      <c r="AS1068" s="6" t="b">
        <v>0</v>
      </c>
      <c r="AT1068" s="7" t="b">
        <v>1</v>
      </c>
      <c r="AU1068" s="6" t="b">
        <v>0</v>
      </c>
      <c r="AV1068" s="6" t="b">
        <v>0</v>
      </c>
      <c r="AW1068" s="6" t="b">
        <v>0</v>
      </c>
      <c r="AX1068" s="6" t="b">
        <v>0</v>
      </c>
      <c r="AY1068" s="6" t="b">
        <v>0</v>
      </c>
      <c r="AZ1068" s="6" t="b">
        <v>0</v>
      </c>
      <c r="BA1068" s="6" t="b">
        <v>0</v>
      </c>
      <c r="BB1068" s="6" t="b">
        <v>0</v>
      </c>
    </row>
    <row r="1069" spans="1:54" ht="15" x14ac:dyDescent="0.25">
      <c r="A1069" s="3" t="s">
        <v>2198</v>
      </c>
      <c r="B1069" s="3" t="str">
        <f ca="1">IFERROR(__xludf.DUMMYFUNCTION("SPLIT(A1069,""/"")"),"Tuhinshubhra")</f>
        <v>Tuhinshubhra</v>
      </c>
      <c r="C1069" s="3" t="str">
        <f ca="1">IFERROR(__xludf.DUMMYFUNCTION("""COMPUTED_VALUE"""),"ExtAnalysis")</f>
        <v>ExtAnalysis</v>
      </c>
      <c r="D1069" s="4" t="s">
        <v>2199</v>
      </c>
      <c r="E1069" s="5">
        <v>43591.417905092596</v>
      </c>
      <c r="F1069" s="5">
        <v>44292.561076388891</v>
      </c>
      <c r="G1069" s="13">
        <f t="shared" si="96"/>
        <v>701.1431712962949</v>
      </c>
      <c r="H1069" s="6" t="b">
        <v>0</v>
      </c>
      <c r="I1069" s="6" t="b">
        <v>0</v>
      </c>
      <c r="J1069" s="8">
        <v>356</v>
      </c>
      <c r="K1069" s="8">
        <v>19</v>
      </c>
      <c r="L1069" s="8">
        <v>62</v>
      </c>
      <c r="M1069" s="8">
        <v>4</v>
      </c>
      <c r="N1069" s="8">
        <v>0</v>
      </c>
      <c r="O1069" s="8">
        <v>7</v>
      </c>
      <c r="P1069" s="8">
        <v>8</v>
      </c>
      <c r="Q1069" s="8">
        <v>0</v>
      </c>
      <c r="R1069" s="8">
        <v>13</v>
      </c>
      <c r="S1069" s="8">
        <v>4</v>
      </c>
      <c r="T1069" s="3" t="s">
        <v>49</v>
      </c>
      <c r="U1069" s="10">
        <v>2742</v>
      </c>
      <c r="V1069" s="32">
        <v>61</v>
      </c>
      <c r="W1069" s="27">
        <v>2.224653537563822E-2</v>
      </c>
      <c r="X1069" s="34">
        <v>0</v>
      </c>
      <c r="Y1069" s="27">
        <v>0</v>
      </c>
      <c r="Z1069" s="27">
        <v>0</v>
      </c>
      <c r="AA1069" s="35">
        <v>0</v>
      </c>
      <c r="AB1069" s="27">
        <v>0</v>
      </c>
      <c r="AC1069" s="27">
        <f t="shared" si="97"/>
        <v>0</v>
      </c>
      <c r="AD1069" s="36">
        <v>0</v>
      </c>
      <c r="AE1069" s="27">
        <v>0</v>
      </c>
      <c r="AF1069" s="27">
        <f t="shared" si="98"/>
        <v>0</v>
      </c>
      <c r="AG1069" s="37">
        <v>61</v>
      </c>
      <c r="AH1069" s="27">
        <v>1</v>
      </c>
      <c r="AI1069" s="27">
        <f t="shared" si="99"/>
        <v>2.224653537563822E-2</v>
      </c>
      <c r="AJ1069" s="38">
        <v>0</v>
      </c>
      <c r="AK1069" s="27">
        <v>0</v>
      </c>
      <c r="AL1069" s="27">
        <f t="shared" si="100"/>
        <v>0</v>
      </c>
      <c r="AM1069" s="40">
        <v>0</v>
      </c>
      <c r="AN1069" s="27">
        <v>0</v>
      </c>
      <c r="AO1069" s="27">
        <f t="shared" si="101"/>
        <v>0</v>
      </c>
      <c r="AP1069" s="7" t="b">
        <v>1</v>
      </c>
      <c r="AQ1069" s="6" t="b">
        <v>0</v>
      </c>
      <c r="AR1069" s="6" t="b">
        <v>0</v>
      </c>
      <c r="AS1069" s="6" t="b">
        <v>0</v>
      </c>
      <c r="AT1069" s="7" t="b">
        <v>1</v>
      </c>
      <c r="AU1069" s="6" t="b">
        <v>0</v>
      </c>
      <c r="AV1069" s="6" t="b">
        <v>0</v>
      </c>
      <c r="AW1069" s="6" t="b">
        <v>0</v>
      </c>
      <c r="AX1069" s="6" t="b">
        <v>0</v>
      </c>
      <c r="AY1069" s="6" t="b">
        <v>0</v>
      </c>
      <c r="AZ1069" s="6" t="b">
        <v>0</v>
      </c>
      <c r="BA1069" s="6" t="b">
        <v>0</v>
      </c>
      <c r="BB1069" s="6" t="b">
        <v>0</v>
      </c>
    </row>
    <row r="1070" spans="1:54" ht="15" x14ac:dyDescent="0.25">
      <c r="A1070" s="3" t="s">
        <v>2200</v>
      </c>
      <c r="B1070" s="3" t="str">
        <f ca="1">IFERROR(__xludf.DUMMYFUNCTION("SPLIT(A1070,""/"")"),"tulir")</f>
        <v>tulir</v>
      </c>
      <c r="C1070" s="3" t="str">
        <f ca="1">IFERROR(__xludf.DUMMYFUNCTION("""COMPUTED_VALUE"""),"mautrix-telegram")</f>
        <v>mautrix-telegram</v>
      </c>
      <c r="D1070" s="4" t="s">
        <v>2201</v>
      </c>
      <c r="E1070" s="5">
        <v>43051.654687499999</v>
      </c>
      <c r="F1070" s="5">
        <v>44294.946053240739</v>
      </c>
      <c r="G1070" s="13">
        <f t="shared" si="96"/>
        <v>1243.2913657407407</v>
      </c>
      <c r="H1070" s="6" t="b">
        <v>0</v>
      </c>
      <c r="I1070" s="6" t="b">
        <v>0</v>
      </c>
      <c r="J1070" s="8">
        <v>522</v>
      </c>
      <c r="K1070" s="8">
        <v>29</v>
      </c>
      <c r="L1070" s="8">
        <v>76</v>
      </c>
      <c r="M1070" s="8">
        <v>51</v>
      </c>
      <c r="N1070" s="8">
        <v>3</v>
      </c>
      <c r="O1070" s="8">
        <v>21</v>
      </c>
      <c r="P1070" s="8">
        <v>73</v>
      </c>
      <c r="Q1070" s="8">
        <v>1</v>
      </c>
      <c r="R1070" s="8">
        <v>535</v>
      </c>
      <c r="S1070" s="8">
        <v>122</v>
      </c>
      <c r="T1070" s="3" t="s">
        <v>366</v>
      </c>
      <c r="U1070" s="10">
        <v>8391</v>
      </c>
      <c r="V1070" s="32">
        <v>133</v>
      </c>
      <c r="W1070" s="27">
        <v>1.5850315814563223E-2</v>
      </c>
      <c r="X1070" s="34">
        <v>53</v>
      </c>
      <c r="Y1070" s="27">
        <v>0.39849624060150374</v>
      </c>
      <c r="Z1070" s="27">
        <v>6.3162912644500061E-3</v>
      </c>
      <c r="AA1070" s="35">
        <v>11</v>
      </c>
      <c r="AB1070" s="27">
        <v>8.2706766917293228E-2</v>
      </c>
      <c r="AC1070" s="27">
        <f t="shared" si="97"/>
        <v>1.3109283756405673E-3</v>
      </c>
      <c r="AD1070" s="36">
        <v>20</v>
      </c>
      <c r="AE1070" s="27">
        <v>0.15037593984962405</v>
      </c>
      <c r="AF1070" s="27">
        <f t="shared" si="98"/>
        <v>2.3835061375283039E-3</v>
      </c>
      <c r="AG1070" s="37">
        <v>49</v>
      </c>
      <c r="AH1070" s="27">
        <v>0.36842105263157893</v>
      </c>
      <c r="AI1070" s="27">
        <f t="shared" si="99"/>
        <v>5.8395900369443456E-3</v>
      </c>
      <c r="AJ1070" s="38">
        <v>0</v>
      </c>
      <c r="AK1070" s="27">
        <v>0</v>
      </c>
      <c r="AL1070" s="27">
        <f t="shared" si="100"/>
        <v>0</v>
      </c>
      <c r="AM1070" s="40">
        <v>0</v>
      </c>
      <c r="AN1070" s="27">
        <v>0</v>
      </c>
      <c r="AO1070" s="27">
        <f t="shared" si="101"/>
        <v>0</v>
      </c>
      <c r="AP1070" s="7" t="b">
        <v>1</v>
      </c>
      <c r="AQ1070" s="6" t="b">
        <v>0</v>
      </c>
      <c r="AR1070" s="6" t="b">
        <v>0</v>
      </c>
      <c r="AS1070" s="6" t="b">
        <v>0</v>
      </c>
      <c r="AT1070" s="7" t="b">
        <v>1</v>
      </c>
      <c r="AU1070" s="6" t="b">
        <v>0</v>
      </c>
      <c r="AV1070" s="6" t="b">
        <v>0</v>
      </c>
      <c r="AW1070" s="6" t="b">
        <v>0</v>
      </c>
      <c r="AX1070" s="6" t="b">
        <v>0</v>
      </c>
      <c r="AY1070" s="6" t="b">
        <v>0</v>
      </c>
      <c r="AZ1070" s="6" t="b">
        <v>0</v>
      </c>
      <c r="BA1070" s="6" t="b">
        <v>0</v>
      </c>
      <c r="BB1070" s="6" t="b">
        <v>0</v>
      </c>
    </row>
    <row r="1071" spans="1:54" ht="15" x14ac:dyDescent="0.25">
      <c r="A1071" s="3" t="s">
        <v>2202</v>
      </c>
      <c r="B1071" s="3" t="str">
        <f ca="1">IFERROR(__xludf.DUMMYFUNCTION("SPLIT(A1071,""/"")"),"turicas")</f>
        <v>turicas</v>
      </c>
      <c r="C1071" s="3" t="str">
        <f ca="1">IFERROR(__xludf.DUMMYFUNCTION("""COMPUTED_VALUE"""),"covid19-br")</f>
        <v>covid19-br</v>
      </c>
      <c r="D1071" s="4" t="s">
        <v>2203</v>
      </c>
      <c r="E1071" s="5">
        <v>43908.26703703704</v>
      </c>
      <c r="F1071" s="5">
        <v>44295.048807870371</v>
      </c>
      <c r="G1071" s="13">
        <f t="shared" si="96"/>
        <v>386.78177083333139</v>
      </c>
      <c r="H1071" s="6" t="b">
        <v>0</v>
      </c>
      <c r="I1071" s="6" t="b">
        <v>0</v>
      </c>
      <c r="J1071" s="8">
        <v>510</v>
      </c>
      <c r="K1071" s="8">
        <v>35</v>
      </c>
      <c r="L1071" s="8">
        <v>125</v>
      </c>
      <c r="M1071" s="8">
        <v>0</v>
      </c>
      <c r="N1071" s="8">
        <v>9</v>
      </c>
      <c r="O1071" s="8">
        <v>27</v>
      </c>
      <c r="P1071" s="8">
        <v>88</v>
      </c>
      <c r="Q1071" s="8">
        <v>16</v>
      </c>
      <c r="R1071" s="8">
        <v>124</v>
      </c>
      <c r="S1071" s="8">
        <v>64</v>
      </c>
      <c r="T1071" s="3" t="s">
        <v>160</v>
      </c>
      <c r="U1071" s="10">
        <v>2456</v>
      </c>
      <c r="V1071" s="32">
        <v>9</v>
      </c>
      <c r="W1071" s="27">
        <v>3.6644951140065146E-3</v>
      </c>
      <c r="X1071" s="34">
        <v>2</v>
      </c>
      <c r="Y1071" s="27">
        <v>0.22222222222222221</v>
      </c>
      <c r="Z1071" s="27">
        <v>8.1433224755700329E-4</v>
      </c>
      <c r="AA1071" s="35">
        <v>2</v>
      </c>
      <c r="AB1071" s="27">
        <v>0.22222222222222221</v>
      </c>
      <c r="AC1071" s="27">
        <f t="shared" si="97"/>
        <v>8.1433224755700329E-4</v>
      </c>
      <c r="AD1071" s="36">
        <v>2</v>
      </c>
      <c r="AE1071" s="27">
        <v>0.22222222222222221</v>
      </c>
      <c r="AF1071" s="27">
        <f t="shared" si="98"/>
        <v>8.1433224755700329E-4</v>
      </c>
      <c r="AG1071" s="37">
        <v>3</v>
      </c>
      <c r="AH1071" s="27">
        <v>0.33333333333333331</v>
      </c>
      <c r="AI1071" s="27">
        <f t="shared" si="99"/>
        <v>1.2214983713355048E-3</v>
      </c>
      <c r="AJ1071" s="38">
        <v>0</v>
      </c>
      <c r="AK1071" s="27">
        <v>0</v>
      </c>
      <c r="AL1071" s="27">
        <f t="shared" si="100"/>
        <v>0</v>
      </c>
      <c r="AM1071" s="40">
        <v>0</v>
      </c>
      <c r="AN1071" s="27">
        <v>0</v>
      </c>
      <c r="AO1071" s="27">
        <f t="shared" si="101"/>
        <v>0</v>
      </c>
      <c r="AP1071" s="7" t="b">
        <v>1</v>
      </c>
      <c r="AQ1071" s="6" t="b">
        <v>0</v>
      </c>
      <c r="AR1071" s="6" t="b">
        <v>0</v>
      </c>
      <c r="AS1071" s="6" t="b">
        <v>0</v>
      </c>
      <c r="AT1071" s="7" t="b">
        <v>1</v>
      </c>
      <c r="AU1071" s="6" t="b">
        <v>0</v>
      </c>
      <c r="AV1071" s="6" t="b">
        <v>0</v>
      </c>
      <c r="AW1071" s="6" t="b">
        <v>0</v>
      </c>
      <c r="AX1071" s="6" t="b">
        <v>0</v>
      </c>
      <c r="AY1071" s="6" t="b">
        <v>0</v>
      </c>
      <c r="AZ1071" s="6" t="b">
        <v>0</v>
      </c>
      <c r="BA1071" s="6" t="b">
        <v>0</v>
      </c>
      <c r="BB1071" s="6" t="b">
        <v>0</v>
      </c>
    </row>
    <row r="1072" spans="1:54" ht="15" x14ac:dyDescent="0.25">
      <c r="A1072" s="3" t="s">
        <v>2204</v>
      </c>
      <c r="B1072" s="3" t="str">
        <f ca="1">IFERROR(__xludf.DUMMYFUNCTION("SPLIT(A1072,""/"")"),"turicas")</f>
        <v>turicas</v>
      </c>
      <c r="C1072" s="3" t="str">
        <f ca="1">IFERROR(__xludf.DUMMYFUNCTION("""COMPUTED_VALUE"""),"rows")</f>
        <v>rows</v>
      </c>
      <c r="D1072" s="4" t="s">
        <v>2205</v>
      </c>
      <c r="E1072" s="5">
        <v>41766.238321759258</v>
      </c>
      <c r="F1072" s="5">
        <v>44285.139444444445</v>
      </c>
      <c r="G1072" s="13">
        <f t="shared" si="96"/>
        <v>2518.9011226851871</v>
      </c>
      <c r="H1072" s="6" t="b">
        <v>0</v>
      </c>
      <c r="I1072" s="6" t="b">
        <v>0</v>
      </c>
      <c r="J1072" s="8">
        <v>744</v>
      </c>
      <c r="K1072" s="8">
        <v>57</v>
      </c>
      <c r="L1072" s="8">
        <v>131</v>
      </c>
      <c r="M1072" s="8">
        <v>7</v>
      </c>
      <c r="N1072" s="8">
        <v>11</v>
      </c>
      <c r="O1072" s="8">
        <v>28</v>
      </c>
      <c r="P1072" s="8">
        <v>71</v>
      </c>
      <c r="Q1072" s="8">
        <v>22</v>
      </c>
      <c r="R1072" s="8">
        <v>287</v>
      </c>
      <c r="S1072" s="8">
        <v>138</v>
      </c>
      <c r="T1072" s="3" t="s">
        <v>160</v>
      </c>
      <c r="U1072" s="10">
        <v>7143</v>
      </c>
      <c r="V1072" s="32">
        <v>0</v>
      </c>
      <c r="W1072" s="27">
        <v>0</v>
      </c>
      <c r="X1072" s="34">
        <v>0</v>
      </c>
      <c r="Y1072" s="27">
        <v>0</v>
      </c>
      <c r="Z1072" s="27">
        <v>0</v>
      </c>
      <c r="AA1072" s="35">
        <v>0</v>
      </c>
      <c r="AB1072" s="27">
        <v>0</v>
      </c>
      <c r="AC1072" s="27">
        <f t="shared" si="97"/>
        <v>0</v>
      </c>
      <c r="AD1072" s="36">
        <v>0</v>
      </c>
      <c r="AE1072" s="27">
        <v>0</v>
      </c>
      <c r="AF1072" s="27">
        <f t="shared" si="98"/>
        <v>0</v>
      </c>
      <c r="AG1072" s="37">
        <v>0</v>
      </c>
      <c r="AH1072" s="27">
        <v>0</v>
      </c>
      <c r="AI1072" s="27">
        <f t="shared" si="99"/>
        <v>0</v>
      </c>
      <c r="AJ1072" s="38">
        <v>0</v>
      </c>
      <c r="AK1072" s="27">
        <v>0</v>
      </c>
      <c r="AL1072" s="27">
        <f t="shared" si="100"/>
        <v>0</v>
      </c>
      <c r="AM1072" s="40">
        <v>0</v>
      </c>
      <c r="AN1072" s="27">
        <v>0</v>
      </c>
      <c r="AO1072" s="27">
        <f t="shared" si="101"/>
        <v>0</v>
      </c>
      <c r="AP1072" s="7" t="b">
        <v>1</v>
      </c>
      <c r="AQ1072" s="7" t="b">
        <v>1</v>
      </c>
      <c r="AR1072" s="6" t="b">
        <v>0</v>
      </c>
      <c r="AS1072" s="6" t="b">
        <v>0</v>
      </c>
      <c r="AT1072" s="7" t="b">
        <v>1</v>
      </c>
      <c r="AU1072" s="6" t="b">
        <v>0</v>
      </c>
      <c r="AV1072" s="6" t="b">
        <v>0</v>
      </c>
      <c r="AW1072" s="6" t="b">
        <v>0</v>
      </c>
      <c r="AX1072" s="6" t="b">
        <v>0</v>
      </c>
      <c r="AY1072" s="6" t="b">
        <v>0</v>
      </c>
      <c r="AZ1072" s="6" t="b">
        <v>0</v>
      </c>
      <c r="BA1072" s="6" t="b">
        <v>0</v>
      </c>
      <c r="BB1072" s="6" t="b">
        <v>0</v>
      </c>
    </row>
    <row r="1073" spans="1:54" ht="15" x14ac:dyDescent="0.25">
      <c r="A1073" s="3" t="s">
        <v>2206</v>
      </c>
      <c r="B1073" s="3" t="str">
        <f ca="1">IFERROR(__xludf.DUMMYFUNCTION("SPLIT(A1073,""/"")"),"TuSimple")</f>
        <v>TuSimple</v>
      </c>
      <c r="C1073" s="3" t="str">
        <f ca="1">IFERROR(__xludf.DUMMYFUNCTION("""COMPUTED_VALUE"""),"simpledet")</f>
        <v>simpledet</v>
      </c>
      <c r="D1073" s="4" t="s">
        <v>2207</v>
      </c>
      <c r="E1073" s="5">
        <v>43494.353414351855</v>
      </c>
      <c r="F1073" s="5">
        <v>44294.297673611109</v>
      </c>
      <c r="G1073" s="13">
        <f t="shared" si="96"/>
        <v>799.94425925925316</v>
      </c>
      <c r="H1073" s="6" t="b">
        <v>0</v>
      </c>
      <c r="I1073" s="7" t="b">
        <v>1</v>
      </c>
      <c r="J1073" s="8">
        <v>2866</v>
      </c>
      <c r="K1073" s="8">
        <v>117</v>
      </c>
      <c r="L1073" s="8">
        <v>472</v>
      </c>
      <c r="M1073" s="8">
        <v>0</v>
      </c>
      <c r="N1073" s="8">
        <v>0</v>
      </c>
      <c r="O1073" s="8">
        <v>17</v>
      </c>
      <c r="P1073" s="8">
        <v>106</v>
      </c>
      <c r="Q1073" s="8">
        <v>3</v>
      </c>
      <c r="R1073" s="8">
        <v>249</v>
      </c>
      <c r="S1073" s="8">
        <v>39</v>
      </c>
      <c r="T1073" s="3" t="s">
        <v>69</v>
      </c>
      <c r="U1073" s="10">
        <v>34116</v>
      </c>
      <c r="V1073" s="32">
        <v>51</v>
      </c>
      <c r="W1073" s="27">
        <v>1.494899753781217E-3</v>
      </c>
      <c r="X1073" s="34">
        <v>0</v>
      </c>
      <c r="Y1073" s="27">
        <v>0</v>
      </c>
      <c r="Z1073" s="27">
        <v>0</v>
      </c>
      <c r="AA1073" s="35">
        <v>37</v>
      </c>
      <c r="AB1073" s="27">
        <v>0.72549019607843135</v>
      </c>
      <c r="AC1073" s="27">
        <f t="shared" si="97"/>
        <v>1.0845351154883339E-3</v>
      </c>
      <c r="AD1073" s="36">
        <v>11</v>
      </c>
      <c r="AE1073" s="27">
        <v>0.21568627450980393</v>
      </c>
      <c r="AF1073" s="27">
        <f t="shared" si="98"/>
        <v>3.2242935865869389E-4</v>
      </c>
      <c r="AG1073" s="37">
        <v>0</v>
      </c>
      <c r="AH1073" s="27">
        <v>0</v>
      </c>
      <c r="AI1073" s="27">
        <f t="shared" si="99"/>
        <v>0</v>
      </c>
      <c r="AJ1073" s="38">
        <v>0</v>
      </c>
      <c r="AK1073" s="27">
        <v>0</v>
      </c>
      <c r="AL1073" s="27">
        <f t="shared" si="100"/>
        <v>0</v>
      </c>
      <c r="AM1073" s="40">
        <v>1</v>
      </c>
      <c r="AN1073" s="27">
        <v>1.9607843137254902E-2</v>
      </c>
      <c r="AO1073" s="27">
        <f t="shared" si="101"/>
        <v>2.9311759878063078E-5</v>
      </c>
      <c r="AP1073" s="7" t="b">
        <v>1</v>
      </c>
      <c r="AQ1073" s="6" t="b">
        <v>0</v>
      </c>
      <c r="AR1073" s="6" t="b">
        <v>0</v>
      </c>
      <c r="AS1073" s="6" t="b">
        <v>0</v>
      </c>
      <c r="AT1073" s="7" t="b">
        <v>1</v>
      </c>
      <c r="AU1073" s="6" t="b">
        <v>0</v>
      </c>
      <c r="AV1073" s="6" t="b">
        <v>0</v>
      </c>
      <c r="AW1073" s="6" t="b">
        <v>0</v>
      </c>
      <c r="AX1073" s="6" t="b">
        <v>0</v>
      </c>
      <c r="AY1073" s="6" t="b">
        <v>0</v>
      </c>
      <c r="AZ1073" s="6" t="b">
        <v>0</v>
      </c>
      <c r="BA1073" s="6" t="b">
        <v>0</v>
      </c>
      <c r="BB1073" s="6" t="b">
        <v>0</v>
      </c>
    </row>
    <row r="1074" spans="1:54" ht="15" x14ac:dyDescent="0.25">
      <c r="A1074" s="3" t="s">
        <v>2208</v>
      </c>
      <c r="B1074" s="3" t="str">
        <f ca="1">IFERROR(__xludf.DUMMYFUNCTION("SPLIT(A1074,""/"")"),"twilio")</f>
        <v>twilio</v>
      </c>
      <c r="C1074" s="3" t="str">
        <f ca="1">IFERROR(__xludf.DUMMYFUNCTION("""COMPUTED_VALUE"""),"twilio-python")</f>
        <v>twilio-python</v>
      </c>
      <c r="D1074" s="4" t="s">
        <v>2209</v>
      </c>
      <c r="E1074" s="5">
        <v>40071.231909722221</v>
      </c>
      <c r="F1074" s="5">
        <v>44295.137083333335</v>
      </c>
      <c r="G1074" s="13">
        <f t="shared" si="96"/>
        <v>4223.9051736111142</v>
      </c>
      <c r="H1074" s="6" t="b">
        <v>0</v>
      </c>
      <c r="I1074" s="7" t="b">
        <v>1</v>
      </c>
      <c r="J1074" s="8">
        <v>1461</v>
      </c>
      <c r="K1074" s="8">
        <v>118</v>
      </c>
      <c r="L1074" s="8">
        <v>552</v>
      </c>
      <c r="M1074" s="8">
        <v>139</v>
      </c>
      <c r="N1074" s="8">
        <v>29</v>
      </c>
      <c r="O1074" s="8">
        <v>93</v>
      </c>
      <c r="P1074" s="8">
        <v>317</v>
      </c>
      <c r="Q1074" s="8">
        <v>1</v>
      </c>
      <c r="R1074" s="8">
        <v>244</v>
      </c>
      <c r="S1074" s="8">
        <v>6</v>
      </c>
      <c r="T1074" s="3" t="s">
        <v>72</v>
      </c>
      <c r="U1074" s="10">
        <v>83131</v>
      </c>
      <c r="V1074" s="32">
        <v>7</v>
      </c>
      <c r="W1074" s="27">
        <v>8.4204448400716943E-5</v>
      </c>
      <c r="X1074" s="34">
        <v>0</v>
      </c>
      <c r="Y1074" s="27">
        <v>0</v>
      </c>
      <c r="Z1074" s="27">
        <v>0</v>
      </c>
      <c r="AA1074" s="35">
        <v>5</v>
      </c>
      <c r="AB1074" s="27">
        <v>0.7142857142857143</v>
      </c>
      <c r="AC1074" s="27">
        <f t="shared" si="97"/>
        <v>6.0146034571940671E-5</v>
      </c>
      <c r="AD1074" s="36">
        <v>2</v>
      </c>
      <c r="AE1074" s="27">
        <v>0.2857142857142857</v>
      </c>
      <c r="AF1074" s="27">
        <f t="shared" si="98"/>
        <v>2.4058413828776269E-5</v>
      </c>
      <c r="AG1074" s="37">
        <v>0</v>
      </c>
      <c r="AH1074" s="27">
        <v>0</v>
      </c>
      <c r="AI1074" s="27">
        <f t="shared" si="99"/>
        <v>0</v>
      </c>
      <c r="AJ1074" s="38">
        <v>0</v>
      </c>
      <c r="AK1074" s="27">
        <v>0</v>
      </c>
      <c r="AL1074" s="27">
        <f t="shared" si="100"/>
        <v>0</v>
      </c>
      <c r="AM1074" s="40">
        <v>0</v>
      </c>
      <c r="AN1074" s="27">
        <v>0</v>
      </c>
      <c r="AO1074" s="27">
        <f t="shared" si="101"/>
        <v>0</v>
      </c>
      <c r="AP1074" s="7" t="b">
        <v>1</v>
      </c>
      <c r="AQ1074" s="6" t="b">
        <v>0</v>
      </c>
      <c r="AR1074" s="6" t="b">
        <v>0</v>
      </c>
      <c r="AS1074" s="6" t="b">
        <v>0</v>
      </c>
      <c r="AT1074" s="7" t="b">
        <v>1</v>
      </c>
      <c r="AU1074" s="6" t="b">
        <v>0</v>
      </c>
      <c r="AV1074" s="6" t="b">
        <v>0</v>
      </c>
      <c r="AW1074" s="6" t="b">
        <v>0</v>
      </c>
      <c r="AX1074" s="6" t="b">
        <v>0</v>
      </c>
      <c r="AY1074" s="6" t="b">
        <v>0</v>
      </c>
      <c r="AZ1074" s="6" t="b">
        <v>0</v>
      </c>
      <c r="BA1074" s="6" t="b">
        <v>0</v>
      </c>
      <c r="BB1074" s="6" t="b">
        <v>0</v>
      </c>
    </row>
    <row r="1075" spans="1:54" ht="15" x14ac:dyDescent="0.25">
      <c r="A1075" s="3" t="s">
        <v>2210</v>
      </c>
      <c r="B1075" s="3" t="str">
        <f ca="1">IFERROR(__xludf.DUMMYFUNCTION("SPLIT(A1075,""/"")"),"twintproject")</f>
        <v>twintproject</v>
      </c>
      <c r="C1075" s="3" t="str">
        <f ca="1">IFERROR(__xludf.DUMMYFUNCTION("""COMPUTED_VALUE"""),"twint")</f>
        <v>twint</v>
      </c>
      <c r="D1075" s="4" t="s">
        <v>2211</v>
      </c>
      <c r="E1075" s="5">
        <v>42896.636678240742</v>
      </c>
      <c r="F1075" s="5">
        <v>44294.871620370373</v>
      </c>
      <c r="G1075" s="13">
        <f t="shared" si="96"/>
        <v>1398.2349421296312</v>
      </c>
      <c r="H1075" s="6" t="b">
        <v>0</v>
      </c>
      <c r="I1075" s="7" t="b">
        <v>1</v>
      </c>
      <c r="J1075" s="8">
        <v>9684</v>
      </c>
      <c r="K1075" s="8">
        <v>259</v>
      </c>
      <c r="L1075" s="8">
        <v>1331</v>
      </c>
      <c r="M1075" s="8">
        <v>9</v>
      </c>
      <c r="N1075" s="8">
        <v>73</v>
      </c>
      <c r="O1075" s="8">
        <v>62</v>
      </c>
      <c r="P1075" s="8">
        <v>196</v>
      </c>
      <c r="Q1075" s="8">
        <v>33</v>
      </c>
      <c r="R1075" s="8">
        <v>966</v>
      </c>
      <c r="S1075" s="8">
        <v>352</v>
      </c>
      <c r="T1075" s="3" t="s">
        <v>72</v>
      </c>
      <c r="U1075" s="10">
        <v>2346</v>
      </c>
      <c r="V1075" s="32">
        <v>141</v>
      </c>
      <c r="W1075" s="27">
        <v>6.010230179028133E-2</v>
      </c>
      <c r="X1075" s="34">
        <v>114</v>
      </c>
      <c r="Y1075" s="27">
        <v>0.80851063829787229</v>
      </c>
      <c r="Z1075" s="27">
        <v>4.859335038363171E-2</v>
      </c>
      <c r="AA1075" s="35">
        <v>3</v>
      </c>
      <c r="AB1075" s="27">
        <v>2.1276595744680851E-2</v>
      </c>
      <c r="AC1075" s="27">
        <f t="shared" si="97"/>
        <v>1.2787723785166241E-3</v>
      </c>
      <c r="AD1075" s="36">
        <v>0</v>
      </c>
      <c r="AE1075" s="27">
        <v>0</v>
      </c>
      <c r="AF1075" s="27">
        <f t="shared" si="98"/>
        <v>0</v>
      </c>
      <c r="AG1075" s="37">
        <v>4</v>
      </c>
      <c r="AH1075" s="27">
        <v>2.8368794326241134E-2</v>
      </c>
      <c r="AI1075" s="27">
        <f t="shared" si="99"/>
        <v>1.7050298380221654E-3</v>
      </c>
      <c r="AJ1075" s="38">
        <v>20</v>
      </c>
      <c r="AK1075" s="27">
        <v>0.14184397163120568</v>
      </c>
      <c r="AL1075" s="27">
        <f t="shared" si="100"/>
        <v>8.5251491901108273E-3</v>
      </c>
      <c r="AM1075" s="40">
        <v>0</v>
      </c>
      <c r="AN1075" s="27">
        <v>0</v>
      </c>
      <c r="AO1075" s="27">
        <f t="shared" si="101"/>
        <v>0</v>
      </c>
      <c r="AP1075" s="7" t="b">
        <v>1</v>
      </c>
      <c r="AQ1075" s="6" t="b">
        <v>0</v>
      </c>
      <c r="AR1075" s="6" t="b">
        <v>0</v>
      </c>
      <c r="AS1075" s="6" t="b">
        <v>0</v>
      </c>
      <c r="AT1075" s="7" t="b">
        <v>1</v>
      </c>
      <c r="AU1075" s="6" t="b">
        <v>0</v>
      </c>
      <c r="AV1075" s="6" t="b">
        <v>0</v>
      </c>
      <c r="AW1075" s="6" t="b">
        <v>0</v>
      </c>
      <c r="AX1075" s="6" t="b">
        <v>0</v>
      </c>
      <c r="AY1075" s="6" t="b">
        <v>0</v>
      </c>
      <c r="AZ1075" s="6" t="b">
        <v>0</v>
      </c>
      <c r="BA1075" s="6" t="b">
        <v>0</v>
      </c>
      <c r="BB1075" s="6" t="b">
        <v>0</v>
      </c>
    </row>
    <row r="1076" spans="1:54" ht="15" x14ac:dyDescent="0.25">
      <c r="A1076" s="3" t="s">
        <v>2212</v>
      </c>
      <c r="B1076" s="3" t="str">
        <f ca="1">IFERROR(__xludf.DUMMYFUNCTION("SPLIT(A1076,""/"")"),"uber-research")</f>
        <v>uber-research</v>
      </c>
      <c r="C1076" s="3" t="str">
        <f ca="1">IFERROR(__xludf.DUMMYFUNCTION("""COMPUTED_VALUE"""),"deep-neuroevolution")</f>
        <v>deep-neuroevolution</v>
      </c>
      <c r="D1076" s="4" t="s">
        <v>2213</v>
      </c>
      <c r="E1076" s="5">
        <v>43104.05028935185</v>
      </c>
      <c r="F1076" s="5">
        <v>44294.456886574073</v>
      </c>
      <c r="G1076" s="13">
        <f t="shared" si="96"/>
        <v>1190.4065972222234</v>
      </c>
      <c r="H1076" s="6" t="b">
        <v>0</v>
      </c>
      <c r="I1076" s="7" t="b">
        <v>1</v>
      </c>
      <c r="J1076" s="8">
        <v>1475</v>
      </c>
      <c r="K1076" s="8">
        <v>85</v>
      </c>
      <c r="L1076" s="8">
        <v>285</v>
      </c>
      <c r="M1076" s="8">
        <v>0</v>
      </c>
      <c r="N1076" s="8">
        <v>1</v>
      </c>
      <c r="O1076" s="8">
        <v>11</v>
      </c>
      <c r="P1076" s="8">
        <v>15</v>
      </c>
      <c r="Q1076" s="8">
        <v>3</v>
      </c>
      <c r="R1076" s="8">
        <v>31</v>
      </c>
      <c r="S1076" s="8">
        <v>14</v>
      </c>
      <c r="T1076" s="3" t="s">
        <v>92</v>
      </c>
      <c r="U1076" s="10">
        <v>6000</v>
      </c>
      <c r="V1076" s="32">
        <v>136</v>
      </c>
      <c r="W1076" s="27">
        <v>2.2666666666666668E-2</v>
      </c>
      <c r="X1076" s="34">
        <v>4</v>
      </c>
      <c r="Y1076" s="27">
        <v>2.9411764705882353E-2</v>
      </c>
      <c r="Z1076" s="27">
        <v>6.6666666666666664E-4</v>
      </c>
      <c r="AA1076" s="35">
        <v>103</v>
      </c>
      <c r="AB1076" s="27">
        <v>0.75735294117647056</v>
      </c>
      <c r="AC1076" s="27">
        <f t="shared" si="97"/>
        <v>1.7166666666666667E-2</v>
      </c>
      <c r="AD1076" s="36">
        <v>10</v>
      </c>
      <c r="AE1076" s="27">
        <v>7.3529411764705885E-2</v>
      </c>
      <c r="AF1076" s="27">
        <f t="shared" si="98"/>
        <v>1.6666666666666668E-3</v>
      </c>
      <c r="AG1076" s="37">
        <v>6</v>
      </c>
      <c r="AH1076" s="27">
        <v>4.4117647058823532E-2</v>
      </c>
      <c r="AI1076" s="27">
        <f t="shared" si="99"/>
        <v>1E-3</v>
      </c>
      <c r="AJ1076" s="38">
        <v>0</v>
      </c>
      <c r="AK1076" s="27">
        <v>0</v>
      </c>
      <c r="AL1076" s="27">
        <f t="shared" si="100"/>
        <v>0</v>
      </c>
      <c r="AM1076" s="40">
        <v>13</v>
      </c>
      <c r="AN1076" s="27">
        <v>9.5588235294117641E-2</v>
      </c>
      <c r="AO1076" s="27">
        <f t="shared" si="101"/>
        <v>2.1666666666666666E-3</v>
      </c>
      <c r="AP1076" s="7" t="b">
        <v>1</v>
      </c>
      <c r="AQ1076" s="7" t="b">
        <v>1</v>
      </c>
      <c r="AR1076" s="6" t="b">
        <v>0</v>
      </c>
      <c r="AS1076" s="6" t="b">
        <v>0</v>
      </c>
      <c r="AT1076" s="7" t="b">
        <v>1</v>
      </c>
      <c r="AU1076" s="6" t="b">
        <v>0</v>
      </c>
      <c r="AV1076" s="6" t="b">
        <v>0</v>
      </c>
      <c r="AW1076" s="6" t="b">
        <v>0</v>
      </c>
      <c r="AX1076" s="6" t="b">
        <v>0</v>
      </c>
      <c r="AY1076" s="6" t="b">
        <v>0</v>
      </c>
      <c r="AZ1076" s="6" t="b">
        <v>0</v>
      </c>
      <c r="BA1076" s="6" t="b">
        <v>0</v>
      </c>
      <c r="BB1076" s="6" t="b">
        <v>0</v>
      </c>
    </row>
    <row r="1077" spans="1:54" ht="15" x14ac:dyDescent="0.25">
      <c r="A1077" s="3" t="s">
        <v>2214</v>
      </c>
      <c r="B1077" s="3" t="str">
        <f ca="1">IFERROR(__xludf.DUMMYFUNCTION("SPLIT(A1077,""/"")"),"uber-research")</f>
        <v>uber-research</v>
      </c>
      <c r="C1077" s="3" t="str">
        <f ca="1">IFERROR(__xludf.DUMMYFUNCTION("""COMPUTED_VALUE"""),"go-explore")</f>
        <v>go-explore</v>
      </c>
      <c r="D1077" s="4" t="s">
        <v>2215</v>
      </c>
      <c r="E1077" s="5">
        <v>43495.687002314815</v>
      </c>
      <c r="F1077" s="5">
        <v>44290.531643518516</v>
      </c>
      <c r="G1077" s="13">
        <f t="shared" si="96"/>
        <v>794.84464120370103</v>
      </c>
      <c r="H1077" s="6" t="b">
        <v>0</v>
      </c>
      <c r="I1077" s="7" t="b">
        <v>1</v>
      </c>
      <c r="J1077" s="8">
        <v>409</v>
      </c>
      <c r="K1077" s="8">
        <v>19</v>
      </c>
      <c r="L1077" s="8">
        <v>65</v>
      </c>
      <c r="M1077" s="8">
        <v>1</v>
      </c>
      <c r="N1077" s="8">
        <v>0</v>
      </c>
      <c r="O1077" s="8">
        <v>2</v>
      </c>
      <c r="P1077" s="8">
        <v>15</v>
      </c>
      <c r="Q1077" s="8">
        <v>5</v>
      </c>
      <c r="R1077" s="8">
        <v>9</v>
      </c>
      <c r="S1077" s="8">
        <v>5</v>
      </c>
      <c r="T1077" s="3" t="s">
        <v>92</v>
      </c>
      <c r="U1077" s="10">
        <v>12010</v>
      </c>
      <c r="V1077" s="32">
        <v>112</v>
      </c>
      <c r="W1077" s="27">
        <v>9.3255620316403005E-3</v>
      </c>
      <c r="X1077" s="34">
        <v>23</v>
      </c>
      <c r="Y1077" s="27">
        <v>0.20535714285714285</v>
      </c>
      <c r="Z1077" s="27">
        <v>1.9150707743547043E-3</v>
      </c>
      <c r="AA1077" s="35">
        <v>77</v>
      </c>
      <c r="AB1077" s="27">
        <v>0.6875</v>
      </c>
      <c r="AC1077" s="27">
        <f t="shared" si="97"/>
        <v>6.411323896752706E-3</v>
      </c>
      <c r="AD1077" s="36">
        <v>12</v>
      </c>
      <c r="AE1077" s="27">
        <v>0.10714285714285714</v>
      </c>
      <c r="AF1077" s="27">
        <f t="shared" si="98"/>
        <v>9.9916736053288916E-4</v>
      </c>
      <c r="AG1077" s="37">
        <v>0</v>
      </c>
      <c r="AH1077" s="27">
        <v>0</v>
      </c>
      <c r="AI1077" s="27">
        <f t="shared" si="99"/>
        <v>0</v>
      </c>
      <c r="AJ1077" s="38">
        <v>0</v>
      </c>
      <c r="AK1077" s="27">
        <v>0</v>
      </c>
      <c r="AL1077" s="27">
        <f t="shared" si="100"/>
        <v>0</v>
      </c>
      <c r="AM1077" s="40">
        <v>0</v>
      </c>
      <c r="AN1077" s="27">
        <v>0</v>
      </c>
      <c r="AO1077" s="27">
        <f t="shared" si="101"/>
        <v>0</v>
      </c>
      <c r="AP1077" s="7" t="b">
        <v>1</v>
      </c>
      <c r="AQ1077" s="6" t="b">
        <v>0</v>
      </c>
      <c r="AR1077" s="6" t="b">
        <v>0</v>
      </c>
      <c r="AS1077" s="6" t="b">
        <v>0</v>
      </c>
      <c r="AT1077" s="7" t="b">
        <v>1</v>
      </c>
      <c r="AU1077" s="6" t="b">
        <v>0</v>
      </c>
      <c r="AV1077" s="6" t="b">
        <v>0</v>
      </c>
      <c r="AW1077" s="6" t="b">
        <v>0</v>
      </c>
      <c r="AX1077" s="6" t="b">
        <v>0</v>
      </c>
      <c r="AY1077" s="6" t="b">
        <v>0</v>
      </c>
      <c r="AZ1077" s="6" t="b">
        <v>0</v>
      </c>
      <c r="BA1077" s="6" t="b">
        <v>0</v>
      </c>
      <c r="BB1077" s="6" t="b">
        <v>0</v>
      </c>
    </row>
    <row r="1078" spans="1:54" ht="15" x14ac:dyDescent="0.25">
      <c r="A1078" s="3" t="s">
        <v>2216</v>
      </c>
      <c r="B1078" s="3" t="str">
        <f ca="1">IFERROR(__xludf.DUMMYFUNCTION("SPLIT(A1078,""/"")"),"uber")</f>
        <v>uber</v>
      </c>
      <c r="C1078" s="3" t="str">
        <f ca="1">IFERROR(__xludf.DUMMYFUNCTION("""COMPUTED_VALUE"""),"fiber")</f>
        <v>fiber</v>
      </c>
      <c r="D1078" s="4" t="s">
        <v>2217</v>
      </c>
      <c r="E1078" s="5">
        <v>43837.761388888888</v>
      </c>
      <c r="F1078" s="5">
        <v>44293.833379629628</v>
      </c>
      <c r="G1078" s="13">
        <f t="shared" si="96"/>
        <v>456.07199074074015</v>
      </c>
      <c r="H1078" s="6" t="b">
        <v>0</v>
      </c>
      <c r="I1078" s="7" t="b">
        <v>1</v>
      </c>
      <c r="J1078" s="8">
        <v>874</v>
      </c>
      <c r="K1078" s="8">
        <v>23</v>
      </c>
      <c r="L1078" s="8">
        <v>92</v>
      </c>
      <c r="M1078" s="8">
        <v>0</v>
      </c>
      <c r="N1078" s="8">
        <v>0</v>
      </c>
      <c r="O1078" s="8">
        <v>5</v>
      </c>
      <c r="P1078" s="8">
        <v>31</v>
      </c>
      <c r="Q1078" s="8">
        <v>2</v>
      </c>
      <c r="R1078" s="8">
        <v>20</v>
      </c>
      <c r="S1078" s="8">
        <v>12</v>
      </c>
      <c r="T1078" s="3" t="s">
        <v>69</v>
      </c>
      <c r="U1078" s="10">
        <v>4839</v>
      </c>
      <c r="V1078" s="32">
        <v>201</v>
      </c>
      <c r="W1078" s="27">
        <v>4.1537507749535026E-2</v>
      </c>
      <c r="X1078" s="34">
        <v>190</v>
      </c>
      <c r="Y1078" s="27">
        <v>0.94527363184079605</v>
      </c>
      <c r="Z1078" s="27">
        <v>3.9264310808018184E-2</v>
      </c>
      <c r="AA1078" s="35">
        <v>4</v>
      </c>
      <c r="AB1078" s="27">
        <v>1.9900497512437811E-2</v>
      </c>
      <c r="AC1078" s="27">
        <f t="shared" si="97"/>
        <v>8.2661706964248815E-4</v>
      </c>
      <c r="AD1078" s="36">
        <v>5</v>
      </c>
      <c r="AE1078" s="27">
        <v>2.4875621890547265E-2</v>
      </c>
      <c r="AF1078" s="27">
        <f t="shared" si="98"/>
        <v>1.0332713370531101E-3</v>
      </c>
      <c r="AG1078" s="37">
        <v>2</v>
      </c>
      <c r="AH1078" s="27">
        <v>9.9502487562189053E-3</v>
      </c>
      <c r="AI1078" s="27">
        <f t="shared" si="99"/>
        <v>4.1330853482124408E-4</v>
      </c>
      <c r="AJ1078" s="38">
        <v>0</v>
      </c>
      <c r="AK1078" s="27">
        <v>0</v>
      </c>
      <c r="AL1078" s="27">
        <f t="shared" si="100"/>
        <v>0</v>
      </c>
      <c r="AM1078" s="40">
        <v>0</v>
      </c>
      <c r="AN1078" s="27">
        <v>0</v>
      </c>
      <c r="AO1078" s="27">
        <f t="shared" si="101"/>
        <v>0</v>
      </c>
      <c r="AP1078" s="7" t="b">
        <v>1</v>
      </c>
      <c r="AQ1078" s="6" t="b">
        <v>0</v>
      </c>
      <c r="AR1078" s="6" t="b">
        <v>0</v>
      </c>
      <c r="AS1078" s="6" t="b">
        <v>0</v>
      </c>
      <c r="AT1078" s="7" t="b">
        <v>1</v>
      </c>
      <c r="AU1078" s="6" t="b">
        <v>0</v>
      </c>
      <c r="AV1078" s="6" t="b">
        <v>0</v>
      </c>
      <c r="AW1078" s="6" t="b">
        <v>0</v>
      </c>
      <c r="AX1078" s="6" t="b">
        <v>0</v>
      </c>
      <c r="AY1078" s="6" t="b">
        <v>0</v>
      </c>
      <c r="AZ1078" s="6" t="b">
        <v>0</v>
      </c>
      <c r="BA1078" s="6" t="b">
        <v>0</v>
      </c>
      <c r="BB1078" s="6" t="b">
        <v>0</v>
      </c>
    </row>
    <row r="1079" spans="1:54" ht="15" x14ac:dyDescent="0.25">
      <c r="A1079" s="3" t="s">
        <v>2218</v>
      </c>
      <c r="B1079" s="3" t="str">
        <f ca="1">IFERROR(__xludf.DUMMYFUNCTION("SPLIT(A1079,""/"")"),"uber")</f>
        <v>uber</v>
      </c>
      <c r="C1079" s="3" t="str">
        <f ca="1">IFERROR(__xludf.DUMMYFUNCTION("""COMPUTED_VALUE"""),"petastorm")</f>
        <v>petastorm</v>
      </c>
      <c r="D1079" s="4" t="s">
        <v>2219</v>
      </c>
      <c r="E1079" s="5">
        <v>43266.969085648147</v>
      </c>
      <c r="F1079" s="5">
        <v>44292.132430555554</v>
      </c>
      <c r="G1079" s="13">
        <f t="shared" si="96"/>
        <v>1025.163344907407</v>
      </c>
      <c r="H1079" s="6" t="b">
        <v>0</v>
      </c>
      <c r="I1079" s="7" t="b">
        <v>1</v>
      </c>
      <c r="J1079" s="8">
        <v>1123</v>
      </c>
      <c r="K1079" s="8">
        <v>40</v>
      </c>
      <c r="L1079" s="8">
        <v>185</v>
      </c>
      <c r="M1079" s="8">
        <v>31</v>
      </c>
      <c r="N1079" s="8">
        <v>6</v>
      </c>
      <c r="O1079" s="8">
        <v>30</v>
      </c>
      <c r="P1079" s="8">
        <v>431</v>
      </c>
      <c r="Q1079" s="8">
        <v>20</v>
      </c>
      <c r="R1079" s="8">
        <v>228</v>
      </c>
      <c r="S1079" s="8">
        <v>112</v>
      </c>
      <c r="T1079" s="3" t="s">
        <v>69</v>
      </c>
      <c r="U1079" s="10">
        <v>9660</v>
      </c>
      <c r="V1079" s="32">
        <v>74</v>
      </c>
      <c r="W1079" s="27">
        <v>7.6604554865424427E-3</v>
      </c>
      <c r="X1079" s="34">
        <v>29</v>
      </c>
      <c r="Y1079" s="27">
        <v>0.39189189189189189</v>
      </c>
      <c r="Z1079" s="27">
        <v>3.0020703933747411E-3</v>
      </c>
      <c r="AA1079" s="35">
        <v>20</v>
      </c>
      <c r="AB1079" s="27">
        <v>0.27027027027027029</v>
      </c>
      <c r="AC1079" s="27">
        <f t="shared" si="97"/>
        <v>2.070393374741201E-3</v>
      </c>
      <c r="AD1079" s="36">
        <v>21</v>
      </c>
      <c r="AE1079" s="27">
        <v>0.28378378378378377</v>
      </c>
      <c r="AF1079" s="27">
        <f t="shared" si="98"/>
        <v>2.1739130434782609E-3</v>
      </c>
      <c r="AG1079" s="37">
        <v>4</v>
      </c>
      <c r="AH1079" s="27">
        <v>5.4054054054054057E-2</v>
      </c>
      <c r="AI1079" s="27">
        <f t="shared" si="99"/>
        <v>4.1407867494824016E-4</v>
      </c>
      <c r="AJ1079" s="38">
        <v>0</v>
      </c>
      <c r="AK1079" s="27">
        <v>0</v>
      </c>
      <c r="AL1079" s="27">
        <f t="shared" si="100"/>
        <v>0</v>
      </c>
      <c r="AM1079" s="40">
        <v>0</v>
      </c>
      <c r="AN1079" s="27">
        <v>0</v>
      </c>
      <c r="AO1079" s="27">
        <f t="shared" si="101"/>
        <v>0</v>
      </c>
      <c r="AP1079" s="7" t="b">
        <v>1</v>
      </c>
      <c r="AQ1079" s="6" t="b">
        <v>0</v>
      </c>
      <c r="AR1079" s="6" t="b">
        <v>0</v>
      </c>
      <c r="AS1079" s="6" t="b">
        <v>0</v>
      </c>
      <c r="AT1079" s="7" t="b">
        <v>1</v>
      </c>
      <c r="AU1079" s="6" t="b">
        <v>0</v>
      </c>
      <c r="AV1079" s="6" t="b">
        <v>0</v>
      </c>
      <c r="AW1079" s="6" t="b">
        <v>0</v>
      </c>
      <c r="AX1079" s="6" t="b">
        <v>0</v>
      </c>
      <c r="AY1079" s="6" t="b">
        <v>0</v>
      </c>
      <c r="AZ1079" s="6" t="b">
        <v>0</v>
      </c>
      <c r="BA1079" s="6" t="b">
        <v>0</v>
      </c>
      <c r="BB1079" s="6" t="b">
        <v>0</v>
      </c>
    </row>
    <row r="1080" spans="1:54" ht="15" x14ac:dyDescent="0.25">
      <c r="A1080" s="3" t="s">
        <v>2220</v>
      </c>
      <c r="B1080" s="3" t="str">
        <f ca="1">IFERROR(__xludf.DUMMYFUNCTION("SPLIT(A1080,""/"")"),"ubuntu")</f>
        <v>ubuntu</v>
      </c>
      <c r="C1080" s="3" t="str">
        <f ca="1">IFERROR(__xludf.DUMMYFUNCTION("""COMPUTED_VALUE"""),"ubuntu-make")</f>
        <v>ubuntu-make</v>
      </c>
      <c r="D1080" s="4" t="s">
        <v>2221</v>
      </c>
      <c r="E1080" s="5">
        <v>41794.603576388887</v>
      </c>
      <c r="F1080" s="5">
        <v>44291.386631944442</v>
      </c>
      <c r="G1080" s="13">
        <f t="shared" si="96"/>
        <v>2496.7830555555556</v>
      </c>
      <c r="H1080" s="6" t="b">
        <v>0</v>
      </c>
      <c r="I1080" s="7" t="b">
        <v>1</v>
      </c>
      <c r="J1080" s="8">
        <v>1047</v>
      </c>
      <c r="K1080" s="8">
        <v>79</v>
      </c>
      <c r="L1080" s="8">
        <v>147</v>
      </c>
      <c r="M1080" s="8">
        <v>3</v>
      </c>
      <c r="N1080" s="8">
        <v>11</v>
      </c>
      <c r="O1080" s="8">
        <v>56</v>
      </c>
      <c r="P1080" s="8">
        <v>247</v>
      </c>
      <c r="Q1080" s="8">
        <v>4</v>
      </c>
      <c r="R1080" s="8">
        <v>399</v>
      </c>
      <c r="S1080" s="8">
        <v>31</v>
      </c>
      <c r="T1080" s="3" t="s">
        <v>49</v>
      </c>
      <c r="U1080" s="10">
        <v>11911</v>
      </c>
      <c r="V1080" s="32">
        <v>151</v>
      </c>
      <c r="W1080" s="27">
        <v>1.2677357064897993E-2</v>
      </c>
      <c r="X1080" s="34">
        <v>77</v>
      </c>
      <c r="Y1080" s="27">
        <v>0.50993377483443714</v>
      </c>
      <c r="Z1080" s="27">
        <v>6.4646125430274535E-3</v>
      </c>
      <c r="AA1080" s="35">
        <v>24</v>
      </c>
      <c r="AB1080" s="27">
        <v>0.15894039735099338</v>
      </c>
      <c r="AC1080" s="27">
        <f t="shared" si="97"/>
        <v>2.0149441692553101E-3</v>
      </c>
      <c r="AD1080" s="36">
        <v>3</v>
      </c>
      <c r="AE1080" s="27">
        <v>1.9867549668874173E-2</v>
      </c>
      <c r="AF1080" s="27">
        <f t="shared" si="98"/>
        <v>2.5186802115691377E-4</v>
      </c>
      <c r="AG1080" s="37">
        <v>46</v>
      </c>
      <c r="AH1080" s="27">
        <v>0.30463576158940397</v>
      </c>
      <c r="AI1080" s="27">
        <f t="shared" si="99"/>
        <v>3.8619763244060112E-3</v>
      </c>
      <c r="AJ1080" s="38">
        <v>0</v>
      </c>
      <c r="AK1080" s="27">
        <v>0</v>
      </c>
      <c r="AL1080" s="27">
        <f t="shared" si="100"/>
        <v>0</v>
      </c>
      <c r="AM1080" s="40">
        <v>0</v>
      </c>
      <c r="AN1080" s="27">
        <v>0</v>
      </c>
      <c r="AO1080" s="27">
        <f t="shared" si="101"/>
        <v>0</v>
      </c>
      <c r="AP1080" s="7" t="b">
        <v>1</v>
      </c>
      <c r="AQ1080" s="6" t="b">
        <v>0</v>
      </c>
      <c r="AR1080" s="6" t="b">
        <v>0</v>
      </c>
      <c r="AS1080" s="6" t="b">
        <v>0</v>
      </c>
      <c r="AT1080" s="7" t="b">
        <v>1</v>
      </c>
      <c r="AU1080" s="6" t="b">
        <v>0</v>
      </c>
      <c r="AV1080" s="6" t="b">
        <v>0</v>
      </c>
      <c r="AW1080" s="6" t="b">
        <v>0</v>
      </c>
      <c r="AX1080" s="6" t="b">
        <v>0</v>
      </c>
      <c r="AY1080" s="6" t="b">
        <v>0</v>
      </c>
      <c r="AZ1080" s="6" t="b">
        <v>0</v>
      </c>
      <c r="BA1080" s="6" t="b">
        <v>0</v>
      </c>
      <c r="BB1080" s="6" t="b">
        <v>0</v>
      </c>
    </row>
    <row r="1081" spans="1:54" ht="15" x14ac:dyDescent="0.25">
      <c r="A1081" s="3" t="s">
        <v>2222</v>
      </c>
      <c r="B1081" s="3" t="str">
        <f ca="1">IFERROR(__xludf.DUMMYFUNCTION("SPLIT(A1081,""/"")"),"ufora")</f>
        <v>ufora</v>
      </c>
      <c r="C1081" s="3" t="str">
        <f ca="1">IFERROR(__xludf.DUMMYFUNCTION("""COMPUTED_VALUE"""),"ufora")</f>
        <v>ufora</v>
      </c>
      <c r="D1081" s="4" t="s">
        <v>2223</v>
      </c>
      <c r="E1081" s="5">
        <v>42304.627662037034</v>
      </c>
      <c r="F1081" s="5">
        <v>44238.727407407408</v>
      </c>
      <c r="G1081" s="13">
        <f t="shared" si="96"/>
        <v>1934.0997453703749</v>
      </c>
      <c r="H1081" s="6" t="b">
        <v>0</v>
      </c>
      <c r="I1081" s="7" t="b">
        <v>1</v>
      </c>
      <c r="J1081" s="8">
        <v>498</v>
      </c>
      <c r="K1081" s="8">
        <v>38</v>
      </c>
      <c r="L1081" s="8">
        <v>28</v>
      </c>
      <c r="M1081" s="8">
        <v>0</v>
      </c>
      <c r="N1081" s="8">
        <v>179</v>
      </c>
      <c r="O1081" s="8">
        <v>6</v>
      </c>
      <c r="P1081" s="8">
        <v>16</v>
      </c>
      <c r="Q1081" s="8">
        <v>0</v>
      </c>
      <c r="R1081" s="8">
        <v>280</v>
      </c>
      <c r="S1081" s="8">
        <v>79</v>
      </c>
      <c r="T1081" s="3" t="s">
        <v>69</v>
      </c>
      <c r="U1081" s="10">
        <v>43125</v>
      </c>
      <c r="V1081" s="32">
        <v>510</v>
      </c>
      <c r="W1081" s="27">
        <v>1.182608695652174E-2</v>
      </c>
      <c r="X1081" s="34">
        <v>77</v>
      </c>
      <c r="Y1081" s="27">
        <v>0.15098039215686274</v>
      </c>
      <c r="Z1081" s="27">
        <v>1.7855072463768115E-3</v>
      </c>
      <c r="AA1081" s="35">
        <v>233</v>
      </c>
      <c r="AB1081" s="27">
        <v>0.4568627450980392</v>
      </c>
      <c r="AC1081" s="27">
        <f t="shared" si="97"/>
        <v>5.4028985507246375E-3</v>
      </c>
      <c r="AD1081" s="36">
        <v>45</v>
      </c>
      <c r="AE1081" s="27">
        <v>8.8235294117647065E-2</v>
      </c>
      <c r="AF1081" s="27">
        <f t="shared" si="98"/>
        <v>1.0434782608695651E-3</v>
      </c>
      <c r="AG1081" s="37">
        <v>132</v>
      </c>
      <c r="AH1081" s="27">
        <v>0.25882352941176473</v>
      </c>
      <c r="AI1081" s="27">
        <f t="shared" si="99"/>
        <v>3.0608695652173915E-3</v>
      </c>
      <c r="AJ1081" s="38">
        <v>22</v>
      </c>
      <c r="AK1081" s="27">
        <v>4.3137254901960784E-2</v>
      </c>
      <c r="AL1081" s="27">
        <f t="shared" si="100"/>
        <v>5.1014492753623188E-4</v>
      </c>
      <c r="AM1081" s="40">
        <v>1</v>
      </c>
      <c r="AN1081" s="27">
        <v>1.9607843137254902E-3</v>
      </c>
      <c r="AO1081" s="27">
        <f t="shared" si="101"/>
        <v>2.318840579710145E-5</v>
      </c>
      <c r="AP1081" s="7" t="b">
        <v>1</v>
      </c>
      <c r="AQ1081" s="6" t="b">
        <v>0</v>
      </c>
      <c r="AR1081" s="6" t="b">
        <v>0</v>
      </c>
      <c r="AS1081" s="6" t="b">
        <v>0</v>
      </c>
      <c r="AT1081" s="7" t="b">
        <v>1</v>
      </c>
      <c r="AU1081" s="6" t="b">
        <v>0</v>
      </c>
      <c r="AV1081" s="6" t="b">
        <v>0</v>
      </c>
      <c r="AW1081" s="6" t="b">
        <v>0</v>
      </c>
      <c r="AX1081" s="6" t="b">
        <v>0</v>
      </c>
      <c r="AY1081" s="6" t="b">
        <v>0</v>
      </c>
      <c r="AZ1081" s="6" t="b">
        <v>0</v>
      </c>
      <c r="BA1081" s="6" t="b">
        <v>0</v>
      </c>
      <c r="BB1081" s="6" t="b">
        <v>0</v>
      </c>
    </row>
    <row r="1082" spans="1:54" ht="15" x14ac:dyDescent="0.25">
      <c r="A1082" s="3" t="s">
        <v>2224</v>
      </c>
      <c r="B1082" s="3" t="str">
        <f ca="1">IFERROR(__xludf.DUMMYFUNCTION("SPLIT(A1082,""/"")"),"UKPLab")</f>
        <v>UKPLab</v>
      </c>
      <c r="C1082" s="3" t="str">
        <f ca="1">IFERROR(__xludf.DUMMYFUNCTION("""COMPUTED_VALUE"""),"elmo-bilstm-cnn-crf")</f>
        <v>elmo-bilstm-cnn-crf</v>
      </c>
      <c r="D1082" s="4" t="s">
        <v>2225</v>
      </c>
      <c r="E1082" s="5">
        <v>43290.397256944445</v>
      </c>
      <c r="F1082" s="5">
        <v>44290.461273148147</v>
      </c>
      <c r="G1082" s="13">
        <f t="shared" si="96"/>
        <v>1000.0640162037016</v>
      </c>
      <c r="H1082" s="6" t="b">
        <v>0</v>
      </c>
      <c r="I1082" s="7" t="b">
        <v>1</v>
      </c>
      <c r="J1082" s="8">
        <v>365</v>
      </c>
      <c r="K1082" s="8">
        <v>28</v>
      </c>
      <c r="L1082" s="8">
        <v>76</v>
      </c>
      <c r="M1082" s="8">
        <v>0</v>
      </c>
      <c r="N1082" s="8">
        <v>0</v>
      </c>
      <c r="O1082" s="8">
        <v>2</v>
      </c>
      <c r="P1082" s="8">
        <v>14</v>
      </c>
      <c r="Q1082" s="8">
        <v>7</v>
      </c>
      <c r="R1082" s="8">
        <v>31</v>
      </c>
      <c r="S1082" s="8">
        <v>22</v>
      </c>
      <c r="T1082" s="3" t="s">
        <v>69</v>
      </c>
      <c r="U1082" s="10">
        <v>1468</v>
      </c>
      <c r="V1082" s="32">
        <v>31</v>
      </c>
      <c r="W1082" s="27">
        <v>2.111716621253406E-2</v>
      </c>
      <c r="X1082" s="34">
        <v>1</v>
      </c>
      <c r="Y1082" s="27">
        <v>3.2258064516129031E-2</v>
      </c>
      <c r="Z1082" s="27">
        <v>6.8119891008174384E-4</v>
      </c>
      <c r="AA1082" s="35">
        <v>30</v>
      </c>
      <c r="AB1082" s="27">
        <v>0.967741935483871</v>
      </c>
      <c r="AC1082" s="27">
        <f t="shared" si="97"/>
        <v>2.0435967302452316E-2</v>
      </c>
      <c r="AD1082" s="36">
        <v>0</v>
      </c>
      <c r="AE1082" s="27">
        <v>0</v>
      </c>
      <c r="AF1082" s="27">
        <f t="shared" si="98"/>
        <v>0</v>
      </c>
      <c r="AG1082" s="37">
        <v>0</v>
      </c>
      <c r="AH1082" s="27">
        <v>0</v>
      </c>
      <c r="AI1082" s="27">
        <f t="shared" si="99"/>
        <v>0</v>
      </c>
      <c r="AJ1082" s="38">
        <v>0</v>
      </c>
      <c r="AK1082" s="27">
        <v>0</v>
      </c>
      <c r="AL1082" s="27">
        <f t="shared" si="100"/>
        <v>0</v>
      </c>
      <c r="AM1082" s="40">
        <v>0</v>
      </c>
      <c r="AN1082" s="27">
        <v>0</v>
      </c>
      <c r="AO1082" s="27">
        <f t="shared" si="101"/>
        <v>0</v>
      </c>
      <c r="AP1082" s="7" t="b">
        <v>1</v>
      </c>
      <c r="AQ1082" s="6" t="b">
        <v>0</v>
      </c>
      <c r="AR1082" s="6" t="b">
        <v>0</v>
      </c>
      <c r="AS1082" s="6" t="b">
        <v>0</v>
      </c>
      <c r="AT1082" s="7" t="b">
        <v>1</v>
      </c>
      <c r="AU1082" s="6" t="b">
        <v>0</v>
      </c>
      <c r="AV1082" s="6" t="b">
        <v>0</v>
      </c>
      <c r="AW1082" s="6" t="b">
        <v>0</v>
      </c>
      <c r="AX1082" s="6" t="b">
        <v>0</v>
      </c>
      <c r="AY1082" s="6" t="b">
        <v>0</v>
      </c>
      <c r="AZ1082" s="6" t="b">
        <v>0</v>
      </c>
      <c r="BA1082" s="6" t="b">
        <v>0</v>
      </c>
      <c r="BB1082" s="6" t="b">
        <v>0</v>
      </c>
    </row>
    <row r="1083" spans="1:54" ht="15" x14ac:dyDescent="0.25">
      <c r="A1083" s="3" t="s">
        <v>2226</v>
      </c>
      <c r="B1083" s="3" t="str">
        <f ca="1">IFERROR(__xludf.DUMMYFUNCTION("SPLIT(A1083,""/"")"),"UKPLab")</f>
        <v>UKPLab</v>
      </c>
      <c r="C1083" s="3" t="str">
        <f ca="1">IFERROR(__xludf.DUMMYFUNCTION("""COMPUTED_VALUE"""),"emnlp2017-bilstm-cnn-crf")</f>
        <v>emnlp2017-bilstm-cnn-crf</v>
      </c>
      <c r="D1083" s="4" t="s">
        <v>2227</v>
      </c>
      <c r="E1083" s="5">
        <v>42929.5312037037</v>
      </c>
      <c r="F1083" s="5">
        <v>44291.644432870373</v>
      </c>
      <c r="G1083" s="13">
        <f t="shared" si="96"/>
        <v>1362.1132291666727</v>
      </c>
      <c r="H1083" s="6" t="b">
        <v>0</v>
      </c>
      <c r="I1083" s="7" t="b">
        <v>1</v>
      </c>
      <c r="J1083" s="8">
        <v>742</v>
      </c>
      <c r="K1083" s="8">
        <v>58</v>
      </c>
      <c r="L1083" s="8">
        <v>247</v>
      </c>
      <c r="M1083" s="8">
        <v>3</v>
      </c>
      <c r="N1083" s="8">
        <v>0</v>
      </c>
      <c r="O1083" s="8">
        <v>2</v>
      </c>
      <c r="P1083" s="8">
        <v>1</v>
      </c>
      <c r="Q1083" s="8">
        <v>0</v>
      </c>
      <c r="R1083" s="8">
        <v>60</v>
      </c>
      <c r="S1083" s="8">
        <v>33</v>
      </c>
      <c r="T1083" s="3" t="s">
        <v>69</v>
      </c>
      <c r="U1083" s="10">
        <v>1508</v>
      </c>
      <c r="V1083" s="32">
        <v>36</v>
      </c>
      <c r="W1083" s="27">
        <v>2.3872679045092837E-2</v>
      </c>
      <c r="X1083" s="34">
        <v>1</v>
      </c>
      <c r="Y1083" s="27">
        <v>2.7777777777777776E-2</v>
      </c>
      <c r="Z1083" s="27">
        <v>6.6312997347480103E-4</v>
      </c>
      <c r="AA1083" s="35">
        <v>35</v>
      </c>
      <c r="AB1083" s="27">
        <v>0.97222222222222221</v>
      </c>
      <c r="AC1083" s="27">
        <f t="shared" si="97"/>
        <v>2.3209549071618037E-2</v>
      </c>
      <c r="AD1083" s="36">
        <v>0</v>
      </c>
      <c r="AE1083" s="27">
        <v>0</v>
      </c>
      <c r="AF1083" s="27">
        <f t="shared" si="98"/>
        <v>0</v>
      </c>
      <c r="AG1083" s="37">
        <v>0</v>
      </c>
      <c r="AH1083" s="27">
        <v>0</v>
      </c>
      <c r="AI1083" s="27">
        <f t="shared" si="99"/>
        <v>0</v>
      </c>
      <c r="AJ1083" s="38">
        <v>0</v>
      </c>
      <c r="AK1083" s="27">
        <v>0</v>
      </c>
      <c r="AL1083" s="27">
        <f t="shared" si="100"/>
        <v>0</v>
      </c>
      <c r="AM1083" s="40">
        <v>0</v>
      </c>
      <c r="AN1083" s="27">
        <v>0</v>
      </c>
      <c r="AO1083" s="27">
        <f t="shared" si="101"/>
        <v>0</v>
      </c>
      <c r="AP1083" s="7" t="b">
        <v>1</v>
      </c>
      <c r="AQ1083" s="6" t="b">
        <v>0</v>
      </c>
      <c r="AR1083" s="6" t="b">
        <v>0</v>
      </c>
      <c r="AS1083" s="6" t="b">
        <v>0</v>
      </c>
      <c r="AT1083" s="7" t="b">
        <v>1</v>
      </c>
      <c r="AU1083" s="6" t="b">
        <v>0</v>
      </c>
      <c r="AV1083" s="6" t="b">
        <v>0</v>
      </c>
      <c r="AW1083" s="6" t="b">
        <v>0</v>
      </c>
      <c r="AX1083" s="6" t="b">
        <v>0</v>
      </c>
      <c r="AY1083" s="6" t="b">
        <v>0</v>
      </c>
      <c r="AZ1083" s="6" t="b">
        <v>0</v>
      </c>
      <c r="BA1083" s="6" t="b">
        <v>0</v>
      </c>
      <c r="BB1083" s="6" t="b">
        <v>0</v>
      </c>
    </row>
    <row r="1084" spans="1:54" ht="15" x14ac:dyDescent="0.25">
      <c r="A1084" s="3" t="s">
        <v>2228</v>
      </c>
      <c r="B1084" s="3" t="str">
        <f ca="1">IFERROR(__xludf.DUMMYFUNCTION("SPLIT(A1084,""/"")"),"Ulauncher")</f>
        <v>Ulauncher</v>
      </c>
      <c r="C1084" s="3" t="str">
        <f ca="1">IFERROR(__xludf.DUMMYFUNCTION("""COMPUTED_VALUE"""),"Ulauncher")</f>
        <v>Ulauncher</v>
      </c>
      <c r="D1084" s="4" t="s">
        <v>2229</v>
      </c>
      <c r="E1084" s="5">
        <v>42134.363981481481</v>
      </c>
      <c r="F1084" s="5">
        <v>44294.720000000001</v>
      </c>
      <c r="G1084" s="13">
        <f t="shared" si="96"/>
        <v>2160.3560185185197</v>
      </c>
      <c r="H1084" s="6" t="b">
        <v>0</v>
      </c>
      <c r="I1084" s="7" t="b">
        <v>1</v>
      </c>
      <c r="J1084" s="8">
        <v>1907</v>
      </c>
      <c r="K1084" s="8">
        <v>45</v>
      </c>
      <c r="L1084" s="8">
        <v>112</v>
      </c>
      <c r="M1084" s="8">
        <v>103</v>
      </c>
      <c r="N1084" s="8">
        <v>0</v>
      </c>
      <c r="O1084" s="8">
        <v>31</v>
      </c>
      <c r="P1084" s="8">
        <v>119</v>
      </c>
      <c r="Q1084" s="8">
        <v>8</v>
      </c>
      <c r="R1084" s="8">
        <v>603</v>
      </c>
      <c r="S1084" s="8">
        <v>201</v>
      </c>
      <c r="T1084" s="3" t="s">
        <v>49</v>
      </c>
      <c r="U1084" s="10">
        <v>8173</v>
      </c>
      <c r="V1084" s="32">
        <v>142</v>
      </c>
      <c r="W1084" s="27">
        <v>1.7374281169705127E-2</v>
      </c>
      <c r="X1084" s="34">
        <v>54</v>
      </c>
      <c r="Y1084" s="27">
        <v>0.38028169014084506</v>
      </c>
      <c r="Z1084" s="27">
        <v>6.6071210081977243E-3</v>
      </c>
      <c r="AA1084" s="35">
        <v>52</v>
      </c>
      <c r="AB1084" s="27">
        <v>0.36619718309859156</v>
      </c>
      <c r="AC1084" s="27">
        <f t="shared" si="97"/>
        <v>6.3624128227089197E-3</v>
      </c>
      <c r="AD1084" s="36">
        <v>16</v>
      </c>
      <c r="AE1084" s="27">
        <v>0.11267605633802817</v>
      </c>
      <c r="AF1084" s="27">
        <f t="shared" si="98"/>
        <v>1.9576654839104368E-3</v>
      </c>
      <c r="AG1084" s="37">
        <v>20</v>
      </c>
      <c r="AH1084" s="27">
        <v>0.14084507042253522</v>
      </c>
      <c r="AI1084" s="27">
        <f t="shared" si="99"/>
        <v>2.447081854888046E-3</v>
      </c>
      <c r="AJ1084" s="38">
        <v>0</v>
      </c>
      <c r="AK1084" s="27">
        <v>0</v>
      </c>
      <c r="AL1084" s="27">
        <f t="shared" si="100"/>
        <v>0</v>
      </c>
      <c r="AM1084" s="40">
        <v>0</v>
      </c>
      <c r="AN1084" s="27">
        <v>0</v>
      </c>
      <c r="AO1084" s="27">
        <f t="shared" si="101"/>
        <v>0</v>
      </c>
      <c r="AP1084" s="7" t="b">
        <v>1</v>
      </c>
      <c r="AQ1084" s="6" t="b">
        <v>0</v>
      </c>
      <c r="AR1084" s="6" t="b">
        <v>0</v>
      </c>
      <c r="AS1084" s="6" t="b">
        <v>0</v>
      </c>
      <c r="AT1084" s="7" t="b">
        <v>1</v>
      </c>
      <c r="AU1084" s="6" t="b">
        <v>0</v>
      </c>
      <c r="AV1084" s="6" t="b">
        <v>0</v>
      </c>
      <c r="AW1084" s="6" t="b">
        <v>0</v>
      </c>
      <c r="AX1084" s="6" t="b">
        <v>0</v>
      </c>
      <c r="AY1084" s="6" t="b">
        <v>0</v>
      </c>
      <c r="AZ1084" s="6" t="b">
        <v>0</v>
      </c>
      <c r="BA1084" s="6" t="b">
        <v>0</v>
      </c>
      <c r="BB1084" s="6" t="b">
        <v>0</v>
      </c>
    </row>
    <row r="1085" spans="1:54" ht="15" x14ac:dyDescent="0.25">
      <c r="A1085" s="3" t="s">
        <v>2230</v>
      </c>
      <c r="B1085" s="3" t="str">
        <f ca="1">IFERROR(__xludf.DUMMYFUNCTION("SPLIT(A1085,""/"")"),"ultralytics")</f>
        <v>ultralytics</v>
      </c>
      <c r="C1085" s="3" t="str">
        <f ca="1">IFERROR(__xludf.DUMMYFUNCTION("""COMPUTED_VALUE"""),"yolov3")</f>
        <v>yolov3</v>
      </c>
      <c r="D1085" s="4" t="s">
        <v>2231</v>
      </c>
      <c r="E1085" s="5">
        <v>43338.373148148145</v>
      </c>
      <c r="F1085" s="5">
        <v>44295.125451388885</v>
      </c>
      <c r="G1085" s="13">
        <f t="shared" si="96"/>
        <v>956.75230324074073</v>
      </c>
      <c r="H1085" s="6" t="b">
        <v>0</v>
      </c>
      <c r="I1085" s="7" t="b">
        <v>1</v>
      </c>
      <c r="J1085" s="8">
        <v>6992</v>
      </c>
      <c r="K1085" s="8">
        <v>149</v>
      </c>
      <c r="L1085" s="8">
        <v>2458</v>
      </c>
      <c r="M1085" s="8">
        <v>10</v>
      </c>
      <c r="N1085" s="8">
        <v>58</v>
      </c>
      <c r="O1085" s="8">
        <v>42</v>
      </c>
      <c r="P1085" s="8">
        <v>142</v>
      </c>
      <c r="Q1085" s="8">
        <v>0</v>
      </c>
      <c r="R1085" s="8">
        <v>1578</v>
      </c>
      <c r="S1085" s="8">
        <v>28</v>
      </c>
      <c r="T1085" s="3" t="s">
        <v>49</v>
      </c>
      <c r="U1085" s="10">
        <v>3528</v>
      </c>
      <c r="V1085" s="32">
        <v>26</v>
      </c>
      <c r="W1085" s="27">
        <v>7.3696145124716554E-3</v>
      </c>
      <c r="X1085" s="34">
        <v>0</v>
      </c>
      <c r="Y1085" s="27">
        <v>0</v>
      </c>
      <c r="Z1085" s="27">
        <v>0</v>
      </c>
      <c r="AA1085" s="35">
        <v>22</v>
      </c>
      <c r="AB1085" s="27">
        <v>0.84615384615384615</v>
      </c>
      <c r="AC1085" s="27">
        <f t="shared" si="97"/>
        <v>6.2358276643990932E-3</v>
      </c>
      <c r="AD1085" s="36">
        <v>0</v>
      </c>
      <c r="AE1085" s="27">
        <v>0</v>
      </c>
      <c r="AF1085" s="27">
        <f t="shared" si="98"/>
        <v>0</v>
      </c>
      <c r="AG1085" s="37">
        <v>0</v>
      </c>
      <c r="AH1085" s="27">
        <v>0</v>
      </c>
      <c r="AI1085" s="27">
        <f t="shared" si="99"/>
        <v>0</v>
      </c>
      <c r="AJ1085" s="38">
        <v>0</v>
      </c>
      <c r="AK1085" s="27">
        <v>0</v>
      </c>
      <c r="AL1085" s="27">
        <f t="shared" si="100"/>
        <v>0</v>
      </c>
      <c r="AM1085" s="40">
        <v>6</v>
      </c>
      <c r="AN1085" s="27">
        <v>0.23076923076923078</v>
      </c>
      <c r="AO1085" s="27">
        <f t="shared" si="101"/>
        <v>1.7006802721088435E-3</v>
      </c>
      <c r="AP1085" s="7" t="b">
        <v>1</v>
      </c>
      <c r="AQ1085" s="6" t="b">
        <v>0</v>
      </c>
      <c r="AR1085" s="6" t="b">
        <v>0</v>
      </c>
      <c r="AS1085" s="6" t="b">
        <v>0</v>
      </c>
      <c r="AT1085" s="7" t="b">
        <v>1</v>
      </c>
      <c r="AU1085" s="6" t="b">
        <v>0</v>
      </c>
      <c r="AV1085" s="6" t="b">
        <v>0</v>
      </c>
      <c r="AW1085" s="6" t="b">
        <v>0</v>
      </c>
      <c r="AX1085" s="6" t="b">
        <v>0</v>
      </c>
      <c r="AY1085" s="6" t="b">
        <v>0</v>
      </c>
      <c r="AZ1085" s="6" t="b">
        <v>0</v>
      </c>
      <c r="BA1085" s="6" t="b">
        <v>0</v>
      </c>
      <c r="BB1085" s="6" t="b">
        <v>0</v>
      </c>
    </row>
    <row r="1086" spans="1:54" ht="15" x14ac:dyDescent="0.25">
      <c r="A1086" s="3" t="s">
        <v>2232</v>
      </c>
      <c r="B1086" s="3" t="str">
        <f ca="1">IFERROR(__xludf.DUMMYFUNCTION("SPLIT(A1086,""/"")"),"ultralytics")</f>
        <v>ultralytics</v>
      </c>
      <c r="C1086" s="3" t="str">
        <f ca="1">IFERROR(__xludf.DUMMYFUNCTION("""COMPUTED_VALUE"""),"yolov5")</f>
        <v>yolov5</v>
      </c>
      <c r="D1086" s="4" t="s">
        <v>2233</v>
      </c>
      <c r="E1086" s="5">
        <v>43969.156377314815</v>
      </c>
      <c r="F1086" s="5">
        <v>44295.169872685183</v>
      </c>
      <c r="G1086" s="13">
        <f t="shared" si="96"/>
        <v>326.01349537036731</v>
      </c>
      <c r="H1086" s="6" t="b">
        <v>0</v>
      </c>
      <c r="I1086" s="7" t="b">
        <v>1</v>
      </c>
      <c r="J1086" s="8">
        <v>10097</v>
      </c>
      <c r="K1086" s="8">
        <v>186</v>
      </c>
      <c r="L1086" s="8">
        <v>3327</v>
      </c>
      <c r="M1086" s="8">
        <v>5</v>
      </c>
      <c r="N1086" s="8">
        <v>57</v>
      </c>
      <c r="O1086" s="8">
        <v>90</v>
      </c>
      <c r="P1086" s="8">
        <v>487</v>
      </c>
      <c r="Q1086" s="8">
        <v>16</v>
      </c>
      <c r="R1086" s="8">
        <v>2162</v>
      </c>
      <c r="S1086" s="8">
        <v>204</v>
      </c>
      <c r="T1086" s="3" t="s">
        <v>49</v>
      </c>
      <c r="U1086" s="10">
        <v>3985</v>
      </c>
      <c r="V1086" s="32">
        <v>28</v>
      </c>
      <c r="W1086" s="27">
        <v>7.0263488080301133E-3</v>
      </c>
      <c r="X1086" s="34">
        <v>1</v>
      </c>
      <c r="Y1086" s="27">
        <v>3.5714285714285712E-2</v>
      </c>
      <c r="Z1086" s="27">
        <v>2.509410288582183E-4</v>
      </c>
      <c r="AA1086" s="35">
        <v>22</v>
      </c>
      <c r="AB1086" s="27">
        <v>0.7857142857142857</v>
      </c>
      <c r="AC1086" s="27">
        <f t="shared" si="97"/>
        <v>5.520702634880803E-3</v>
      </c>
      <c r="AD1086" s="36">
        <v>0</v>
      </c>
      <c r="AE1086" s="27">
        <v>0</v>
      </c>
      <c r="AF1086" s="27">
        <f t="shared" si="98"/>
        <v>0</v>
      </c>
      <c r="AG1086" s="37">
        <v>0</v>
      </c>
      <c r="AH1086" s="27">
        <v>0</v>
      </c>
      <c r="AI1086" s="27">
        <f t="shared" si="99"/>
        <v>0</v>
      </c>
      <c r="AJ1086" s="38">
        <v>0</v>
      </c>
      <c r="AK1086" s="27">
        <v>0</v>
      </c>
      <c r="AL1086" s="27">
        <f t="shared" si="100"/>
        <v>0</v>
      </c>
      <c r="AM1086" s="40">
        <v>7</v>
      </c>
      <c r="AN1086" s="27">
        <v>0.25</v>
      </c>
      <c r="AO1086" s="27">
        <f t="shared" si="101"/>
        <v>1.7565872020075283E-3</v>
      </c>
      <c r="AP1086" s="7" t="b">
        <v>1</v>
      </c>
      <c r="AQ1086" s="6" t="b">
        <v>0</v>
      </c>
      <c r="AR1086" s="6" t="b">
        <v>0</v>
      </c>
      <c r="AS1086" s="6" t="b">
        <v>0</v>
      </c>
      <c r="AT1086" s="7" t="b">
        <v>1</v>
      </c>
      <c r="AU1086" s="6" t="b">
        <v>0</v>
      </c>
      <c r="AV1086" s="6" t="b">
        <v>0</v>
      </c>
      <c r="AW1086" s="6" t="b">
        <v>0</v>
      </c>
      <c r="AX1086" s="6" t="b">
        <v>0</v>
      </c>
      <c r="AY1086" s="6" t="b">
        <v>0</v>
      </c>
      <c r="AZ1086" s="6" t="b">
        <v>0</v>
      </c>
      <c r="BA1086" s="6" t="b">
        <v>0</v>
      </c>
      <c r="BB1086" s="6" t="b">
        <v>0</v>
      </c>
    </row>
    <row r="1087" spans="1:54" ht="15" x14ac:dyDescent="0.25">
      <c r="A1087" s="3" t="s">
        <v>2234</v>
      </c>
      <c r="B1087" s="3" t="str">
        <f ca="1">IFERROR(__xludf.DUMMYFUNCTION("SPLIT(A1087,""/"")"),"unit8co")</f>
        <v>unit8co</v>
      </c>
      <c r="C1087" s="3" t="str">
        <f ca="1">IFERROR(__xludf.DUMMYFUNCTION("""COMPUTED_VALUE"""),"darts")</f>
        <v>darts</v>
      </c>
      <c r="D1087" s="4" t="s">
        <v>2235</v>
      </c>
      <c r="E1087" s="5">
        <v>43356.637129629627</v>
      </c>
      <c r="F1087" s="5">
        <v>44294.537361111114</v>
      </c>
      <c r="G1087" s="13">
        <f t="shared" si="96"/>
        <v>937.90023148148612</v>
      </c>
      <c r="H1087" s="6" t="b">
        <v>0</v>
      </c>
      <c r="I1087" s="7" t="b">
        <v>1</v>
      </c>
      <c r="J1087" s="8">
        <v>791</v>
      </c>
      <c r="K1087" s="8">
        <v>28</v>
      </c>
      <c r="L1087" s="8">
        <v>105</v>
      </c>
      <c r="M1087" s="8">
        <v>10</v>
      </c>
      <c r="N1087" s="8">
        <v>0</v>
      </c>
      <c r="O1087" s="8">
        <v>20</v>
      </c>
      <c r="P1087" s="8">
        <v>227</v>
      </c>
      <c r="Q1087" s="8">
        <v>3</v>
      </c>
      <c r="R1087" s="8">
        <v>80</v>
      </c>
      <c r="S1087" s="8">
        <v>17</v>
      </c>
      <c r="T1087" s="3" t="s">
        <v>69</v>
      </c>
      <c r="U1087" s="10">
        <v>6100</v>
      </c>
      <c r="V1087" s="32">
        <v>34</v>
      </c>
      <c r="W1087" s="27">
        <v>5.5737704918032791E-3</v>
      </c>
      <c r="X1087" s="34">
        <v>0</v>
      </c>
      <c r="Y1087" s="27">
        <v>0</v>
      </c>
      <c r="Z1087" s="27">
        <v>0</v>
      </c>
      <c r="AA1087" s="35">
        <v>8</v>
      </c>
      <c r="AB1087" s="27">
        <v>0.23529411764705882</v>
      </c>
      <c r="AC1087" s="27">
        <f t="shared" si="97"/>
        <v>1.3114754098360656E-3</v>
      </c>
      <c r="AD1087" s="36">
        <v>24</v>
      </c>
      <c r="AE1087" s="27">
        <v>0.70588235294117652</v>
      </c>
      <c r="AF1087" s="27">
        <f t="shared" si="98"/>
        <v>3.9344262295081967E-3</v>
      </c>
      <c r="AG1087" s="37">
        <v>2</v>
      </c>
      <c r="AH1087" s="27">
        <v>5.8823529411764705E-2</v>
      </c>
      <c r="AI1087" s="27">
        <f t="shared" si="99"/>
        <v>3.2786885245901639E-4</v>
      </c>
      <c r="AJ1087" s="38">
        <v>0</v>
      </c>
      <c r="AK1087" s="27">
        <v>0</v>
      </c>
      <c r="AL1087" s="27">
        <f t="shared" si="100"/>
        <v>0</v>
      </c>
      <c r="AM1087" s="40">
        <v>0</v>
      </c>
      <c r="AN1087" s="27">
        <v>0</v>
      </c>
      <c r="AO1087" s="27">
        <f t="shared" si="101"/>
        <v>0</v>
      </c>
      <c r="AP1087" s="7" t="b">
        <v>1</v>
      </c>
      <c r="AQ1087" s="6" t="b">
        <v>0</v>
      </c>
      <c r="AR1087" s="6" t="b">
        <v>0</v>
      </c>
      <c r="AS1087" s="6" t="b">
        <v>0</v>
      </c>
      <c r="AT1087" s="7" t="b">
        <v>1</v>
      </c>
      <c r="AU1087" s="6" t="b">
        <v>0</v>
      </c>
      <c r="AV1087" s="6" t="b">
        <v>0</v>
      </c>
      <c r="AW1087" s="6" t="b">
        <v>0</v>
      </c>
      <c r="AX1087" s="6" t="b">
        <v>0</v>
      </c>
      <c r="AY1087" s="6" t="b">
        <v>0</v>
      </c>
      <c r="AZ1087" s="6" t="b">
        <v>0</v>
      </c>
      <c r="BA1087" s="6" t="b">
        <v>0</v>
      </c>
      <c r="BB1087" s="6" t="b">
        <v>0</v>
      </c>
    </row>
    <row r="1088" spans="1:54" ht="15" x14ac:dyDescent="0.25">
      <c r="A1088" s="3" t="s">
        <v>2236</v>
      </c>
      <c r="B1088" s="3" t="str">
        <f ca="1">IFERROR(__xludf.DUMMYFUNCTION("SPLIT(A1088,""/"")"),"unitedstates")</f>
        <v>unitedstates</v>
      </c>
      <c r="C1088" s="3" t="str">
        <f ca="1">IFERROR(__xludf.DUMMYFUNCTION("""COMPUTED_VALUE"""),"congress")</f>
        <v>congress</v>
      </c>
      <c r="D1088" s="4" t="s">
        <v>2237</v>
      </c>
      <c r="E1088" s="5">
        <v>41143.571481481478</v>
      </c>
      <c r="F1088" s="5">
        <v>44275.614953703705</v>
      </c>
      <c r="G1088" s="13">
        <f t="shared" si="96"/>
        <v>3132.0434722222271</v>
      </c>
      <c r="H1088" s="6" t="b">
        <v>0</v>
      </c>
      <c r="I1088" s="7" t="b">
        <v>1</v>
      </c>
      <c r="J1088" s="8">
        <v>704</v>
      </c>
      <c r="K1088" s="8">
        <v>87</v>
      </c>
      <c r="L1088" s="8">
        <v>148</v>
      </c>
      <c r="M1088" s="8">
        <v>0</v>
      </c>
      <c r="N1088" s="8">
        <v>33</v>
      </c>
      <c r="O1088" s="8">
        <v>26</v>
      </c>
      <c r="P1088" s="8">
        <v>81</v>
      </c>
      <c r="Q1088" s="8">
        <v>5</v>
      </c>
      <c r="R1088" s="8">
        <v>185</v>
      </c>
      <c r="S1088" s="8">
        <v>41</v>
      </c>
      <c r="T1088" s="3" t="s">
        <v>92</v>
      </c>
      <c r="U1088" s="10">
        <v>4223</v>
      </c>
      <c r="V1088" s="32">
        <v>111</v>
      </c>
      <c r="W1088" s="27">
        <v>2.6284631778356618E-2</v>
      </c>
      <c r="X1088" s="34">
        <v>1</v>
      </c>
      <c r="Y1088" s="27">
        <v>9.0090090090090089E-3</v>
      </c>
      <c r="Z1088" s="27">
        <v>2.3679848448969926E-4</v>
      </c>
      <c r="AA1088" s="35">
        <v>24</v>
      </c>
      <c r="AB1088" s="27">
        <v>0.21621621621621623</v>
      </c>
      <c r="AC1088" s="27">
        <f t="shared" si="97"/>
        <v>5.6831636277527827E-3</v>
      </c>
      <c r="AD1088" s="36">
        <v>43</v>
      </c>
      <c r="AE1088" s="27">
        <v>0.38738738738738737</v>
      </c>
      <c r="AF1088" s="27">
        <f t="shared" si="98"/>
        <v>1.0182334833057069E-2</v>
      </c>
      <c r="AG1088" s="37">
        <v>43</v>
      </c>
      <c r="AH1088" s="27">
        <v>0.38738738738738737</v>
      </c>
      <c r="AI1088" s="27">
        <f t="shared" si="99"/>
        <v>1.0182334833057069E-2</v>
      </c>
      <c r="AJ1088" s="38">
        <v>0</v>
      </c>
      <c r="AK1088" s="27">
        <v>0</v>
      </c>
      <c r="AL1088" s="27">
        <f t="shared" si="100"/>
        <v>0</v>
      </c>
      <c r="AM1088" s="40">
        <v>0</v>
      </c>
      <c r="AN1088" s="27">
        <v>0</v>
      </c>
      <c r="AO1088" s="27">
        <f t="shared" si="101"/>
        <v>0</v>
      </c>
      <c r="AP1088" s="7" t="b">
        <v>1</v>
      </c>
      <c r="AQ1088" s="6" t="b">
        <v>0</v>
      </c>
      <c r="AR1088" s="6" t="b">
        <v>0</v>
      </c>
      <c r="AS1088" s="6" t="b">
        <v>0</v>
      </c>
      <c r="AT1088" s="7" t="b">
        <v>1</v>
      </c>
      <c r="AU1088" s="6" t="b">
        <v>0</v>
      </c>
      <c r="AV1088" s="6" t="b">
        <v>0</v>
      </c>
      <c r="AW1088" s="6" t="b">
        <v>0</v>
      </c>
      <c r="AX1088" s="6" t="b">
        <v>0</v>
      </c>
      <c r="AY1088" s="6" t="b">
        <v>0</v>
      </c>
      <c r="AZ1088" s="6" t="b">
        <v>0</v>
      </c>
      <c r="BA1088" s="6" t="b">
        <v>0</v>
      </c>
      <c r="BB1088" s="6" t="b">
        <v>0</v>
      </c>
    </row>
    <row r="1089" spans="1:54" ht="15" x14ac:dyDescent="0.25">
      <c r="A1089" s="3" t="s">
        <v>2238</v>
      </c>
      <c r="B1089" s="3" t="str">
        <f ca="1">IFERROR(__xludf.DUMMYFUNCTION("SPLIT(A1089,""/"")"),"unknown-horizons")</f>
        <v>unknown-horizons</v>
      </c>
      <c r="C1089" s="3" t="str">
        <f ca="1">IFERROR(__xludf.DUMMYFUNCTION("""COMPUTED_VALUE"""),"unknown-horizons")</f>
        <v>unknown-horizons</v>
      </c>
      <c r="D1089" s="4" t="s">
        <v>2239</v>
      </c>
      <c r="E1089" s="5">
        <v>40413.367002314815</v>
      </c>
      <c r="F1089" s="5">
        <v>44289.800069444442</v>
      </c>
      <c r="G1089" s="13">
        <f t="shared" si="96"/>
        <v>3876.4330671296266</v>
      </c>
      <c r="H1089" s="6" t="b">
        <v>0</v>
      </c>
      <c r="I1089" s="7" t="b">
        <v>1</v>
      </c>
      <c r="J1089" s="8">
        <v>1180</v>
      </c>
      <c r="K1089" s="8">
        <v>88</v>
      </c>
      <c r="L1089" s="8">
        <v>220</v>
      </c>
      <c r="M1089" s="8">
        <v>25</v>
      </c>
      <c r="N1089" s="8">
        <v>523</v>
      </c>
      <c r="O1089" s="8">
        <v>177</v>
      </c>
      <c r="P1089" s="8">
        <v>561</v>
      </c>
      <c r="Q1089" s="8">
        <v>5</v>
      </c>
      <c r="R1089" s="8">
        <v>2381</v>
      </c>
      <c r="S1089" s="8">
        <v>230</v>
      </c>
      <c r="T1089" s="11" t="s">
        <v>52</v>
      </c>
      <c r="U1089" s="10">
        <v>46229</v>
      </c>
      <c r="V1089" s="32">
        <v>517</v>
      </c>
      <c r="W1089" s="27">
        <v>1.1183456272037033E-2</v>
      </c>
      <c r="X1089" s="34">
        <v>319</v>
      </c>
      <c r="Y1089" s="27">
        <v>0.61702127659574468</v>
      </c>
      <c r="Z1089" s="27">
        <v>6.9004304657249776E-3</v>
      </c>
      <c r="AA1089" s="35">
        <v>122</v>
      </c>
      <c r="AB1089" s="27">
        <v>0.23597678916827852</v>
      </c>
      <c r="AC1089" s="27">
        <f t="shared" si="97"/>
        <v>2.6390361028791453E-3</v>
      </c>
      <c r="AD1089" s="36">
        <v>38</v>
      </c>
      <c r="AE1089" s="27">
        <v>7.3500967117988397E-2</v>
      </c>
      <c r="AF1089" s="27">
        <f t="shared" si="98"/>
        <v>8.21994851716455E-4</v>
      </c>
      <c r="AG1089" s="37">
        <v>38</v>
      </c>
      <c r="AH1089" s="27">
        <v>7.3500967117988397E-2</v>
      </c>
      <c r="AI1089" s="27">
        <f t="shared" si="99"/>
        <v>8.21994851716455E-4</v>
      </c>
      <c r="AJ1089" s="38">
        <v>0</v>
      </c>
      <c r="AK1089" s="27">
        <v>0</v>
      </c>
      <c r="AL1089" s="27">
        <f t="shared" si="100"/>
        <v>0</v>
      </c>
      <c r="AM1089" s="40">
        <v>0</v>
      </c>
      <c r="AN1089" s="27">
        <v>0</v>
      </c>
      <c r="AO1089" s="27">
        <f t="shared" si="101"/>
        <v>0</v>
      </c>
      <c r="AP1089" s="7" t="b">
        <v>1</v>
      </c>
      <c r="AQ1089" s="6" t="b">
        <v>0</v>
      </c>
      <c r="AR1089" s="6" t="b">
        <v>0</v>
      </c>
      <c r="AS1089" s="6" t="b">
        <v>0</v>
      </c>
      <c r="AT1089" s="7" t="b">
        <v>1</v>
      </c>
      <c r="AU1089" s="6" t="b">
        <v>0</v>
      </c>
      <c r="AV1089" s="6" t="b">
        <v>0</v>
      </c>
      <c r="AW1089" s="6" t="b">
        <v>0</v>
      </c>
      <c r="AX1089" s="6" t="b">
        <v>0</v>
      </c>
      <c r="AY1089" s="6" t="b">
        <v>0</v>
      </c>
      <c r="AZ1089" s="6" t="b">
        <v>0</v>
      </c>
      <c r="BA1089" s="6" t="b">
        <v>0</v>
      </c>
      <c r="BB1089" s="6" t="b">
        <v>0</v>
      </c>
    </row>
    <row r="1090" spans="1:54" ht="15" x14ac:dyDescent="0.25">
      <c r="A1090" s="3" t="s">
        <v>2240</v>
      </c>
      <c r="B1090" s="3" t="str">
        <f ca="1">IFERROR(__xludf.DUMMYFUNCTION("SPLIT(A1090,""/"")"),"Urinx")</f>
        <v>Urinx</v>
      </c>
      <c r="C1090" s="3" t="str">
        <f ca="1">IFERROR(__xludf.DUMMYFUNCTION("""COMPUTED_VALUE"""),"WeixinBot")</f>
        <v>WeixinBot</v>
      </c>
      <c r="D1090" s="4" t="s">
        <v>2241</v>
      </c>
      <c r="E1090" s="5">
        <v>42400.328564814816</v>
      </c>
      <c r="F1090" s="5">
        <v>44294.068819444445</v>
      </c>
      <c r="G1090" s="13">
        <f t="shared" si="96"/>
        <v>1893.7402546296289</v>
      </c>
      <c r="H1090" s="6" t="b">
        <v>0</v>
      </c>
      <c r="I1090" s="6" t="b">
        <v>0</v>
      </c>
      <c r="J1090" s="8">
        <v>6849</v>
      </c>
      <c r="K1090" s="8">
        <v>498</v>
      </c>
      <c r="L1090" s="8">
        <v>1849</v>
      </c>
      <c r="M1090" s="8">
        <v>0</v>
      </c>
      <c r="N1090" s="8">
        <v>5</v>
      </c>
      <c r="O1090" s="8">
        <v>25</v>
      </c>
      <c r="P1090" s="8">
        <v>53</v>
      </c>
      <c r="Q1090" s="8">
        <v>5</v>
      </c>
      <c r="R1090" s="8">
        <v>228</v>
      </c>
      <c r="S1090" s="8">
        <v>188</v>
      </c>
      <c r="T1090" s="3" t="s">
        <v>69</v>
      </c>
      <c r="U1090" s="10">
        <v>2766</v>
      </c>
      <c r="V1090" s="32">
        <v>102</v>
      </c>
      <c r="W1090" s="27">
        <v>3.6876355748373099E-2</v>
      </c>
      <c r="X1090" s="34">
        <v>71</v>
      </c>
      <c r="Y1090" s="27">
        <v>0.69607843137254899</v>
      </c>
      <c r="Z1090" s="27">
        <v>2.5668835864063631E-2</v>
      </c>
      <c r="AA1090" s="35">
        <v>6</v>
      </c>
      <c r="AB1090" s="27">
        <v>5.8823529411764705E-2</v>
      </c>
      <c r="AC1090" s="27">
        <f t="shared" si="97"/>
        <v>2.1691973969631237E-3</v>
      </c>
      <c r="AD1090" s="36">
        <v>0</v>
      </c>
      <c r="AE1090" s="27">
        <v>0</v>
      </c>
      <c r="AF1090" s="27">
        <f t="shared" si="98"/>
        <v>0</v>
      </c>
      <c r="AG1090" s="37">
        <v>25</v>
      </c>
      <c r="AH1090" s="27">
        <v>0.24509803921568626</v>
      </c>
      <c r="AI1090" s="27">
        <f t="shared" si="99"/>
        <v>9.0383224873463487E-3</v>
      </c>
      <c r="AJ1090" s="38">
        <v>0</v>
      </c>
      <c r="AK1090" s="27">
        <v>0</v>
      </c>
      <c r="AL1090" s="27">
        <f t="shared" si="100"/>
        <v>0</v>
      </c>
      <c r="AM1090" s="40">
        <v>0</v>
      </c>
      <c r="AN1090" s="27">
        <v>0</v>
      </c>
      <c r="AO1090" s="27">
        <f t="shared" si="101"/>
        <v>0</v>
      </c>
      <c r="AP1090" s="7" t="b">
        <v>1</v>
      </c>
      <c r="AQ1090" s="6" t="b">
        <v>0</v>
      </c>
      <c r="AR1090" s="6" t="b">
        <v>0</v>
      </c>
      <c r="AS1090" s="6" t="b">
        <v>0</v>
      </c>
      <c r="AT1090" s="7" t="b">
        <v>1</v>
      </c>
      <c r="AU1090" s="6" t="b">
        <v>0</v>
      </c>
      <c r="AV1090" s="6" t="b">
        <v>0</v>
      </c>
      <c r="AW1090" s="6" t="b">
        <v>0</v>
      </c>
      <c r="AX1090" s="6" t="b">
        <v>0</v>
      </c>
      <c r="AY1090" s="6" t="b">
        <v>0</v>
      </c>
      <c r="AZ1090" s="6" t="b">
        <v>0</v>
      </c>
      <c r="BA1090" s="6" t="b">
        <v>0</v>
      </c>
      <c r="BB1090" s="6" t="b">
        <v>0</v>
      </c>
    </row>
    <row r="1091" spans="1:54" ht="15" x14ac:dyDescent="0.25">
      <c r="A1091" s="3" t="s">
        <v>2242</v>
      </c>
      <c r="B1091" s="3" t="str">
        <f ca="1">IFERROR(__xludf.DUMMYFUNCTION("SPLIT(A1091,""/"")"),"USArmyResearchLab")</f>
        <v>USArmyResearchLab</v>
      </c>
      <c r="C1091" s="3" t="str">
        <f ca="1">IFERROR(__xludf.DUMMYFUNCTION("""COMPUTED_VALUE"""),"Dshell")</f>
        <v>Dshell</v>
      </c>
      <c r="D1091" s="4" t="s">
        <v>2243</v>
      </c>
      <c r="E1091" s="5">
        <v>41990.503368055557</v>
      </c>
      <c r="F1091" s="5">
        <v>44291.527453703704</v>
      </c>
      <c r="G1091" s="13">
        <f t="shared" ref="G1091:G1154" si="102">F1091-E1091</f>
        <v>2301.0240856481469</v>
      </c>
      <c r="H1091" s="6" t="b">
        <v>0</v>
      </c>
      <c r="I1091" s="7" t="b">
        <v>1</v>
      </c>
      <c r="J1091" s="8">
        <v>5296</v>
      </c>
      <c r="K1091" s="8">
        <v>603</v>
      </c>
      <c r="L1091" s="8">
        <v>1127</v>
      </c>
      <c r="M1091" s="8">
        <v>2</v>
      </c>
      <c r="N1091" s="8">
        <v>1</v>
      </c>
      <c r="O1091" s="8">
        <v>19</v>
      </c>
      <c r="P1091" s="8">
        <v>109</v>
      </c>
      <c r="Q1091" s="8">
        <v>2</v>
      </c>
      <c r="R1091" s="8">
        <v>27</v>
      </c>
      <c r="S1091" s="8">
        <v>1</v>
      </c>
      <c r="T1091" s="3" t="s">
        <v>92</v>
      </c>
      <c r="U1091" s="10">
        <v>4946</v>
      </c>
      <c r="V1091" s="32">
        <v>111</v>
      </c>
      <c r="W1091" s="27">
        <v>2.2442377678932472E-2</v>
      </c>
      <c r="X1091" s="34">
        <v>32</v>
      </c>
      <c r="Y1091" s="27">
        <v>0.28828828828828829</v>
      </c>
      <c r="Z1091" s="27">
        <v>6.4698746461787299E-3</v>
      </c>
      <c r="AA1091" s="35">
        <v>11</v>
      </c>
      <c r="AB1091" s="27">
        <v>9.90990990990991E-2</v>
      </c>
      <c r="AC1091" s="27">
        <f t="shared" ref="AC1091:AC1154" si="103">AA1091/U1091</f>
        <v>2.2240194096239383E-3</v>
      </c>
      <c r="AD1091" s="36">
        <v>32</v>
      </c>
      <c r="AE1091" s="27">
        <v>0.28828828828828829</v>
      </c>
      <c r="AF1091" s="27">
        <f t="shared" ref="AF1091:AF1154" si="104">AD1091/U1091</f>
        <v>6.4698746461787299E-3</v>
      </c>
      <c r="AG1091" s="37">
        <v>34</v>
      </c>
      <c r="AH1091" s="27">
        <v>0.30630630630630629</v>
      </c>
      <c r="AI1091" s="27">
        <f t="shared" ref="AI1091:AI1154" si="105">AG1091/U1091</f>
        <v>6.8742418115649009E-3</v>
      </c>
      <c r="AJ1091" s="38">
        <v>0</v>
      </c>
      <c r="AK1091" s="27">
        <v>0</v>
      </c>
      <c r="AL1091" s="27">
        <f t="shared" ref="AL1091:AL1154" si="106">AJ1091/U1091</f>
        <v>0</v>
      </c>
      <c r="AM1091" s="40">
        <v>2</v>
      </c>
      <c r="AN1091" s="27">
        <v>1.8018018018018018E-2</v>
      </c>
      <c r="AO1091" s="27">
        <f t="shared" ref="AO1091:AO1154" si="107">AM1091/U1091</f>
        <v>4.0436716538617062E-4</v>
      </c>
      <c r="AP1091" s="7" t="b">
        <v>1</v>
      </c>
      <c r="AQ1091" s="6" t="b">
        <v>0</v>
      </c>
      <c r="AR1091" s="6" t="b">
        <v>0</v>
      </c>
      <c r="AS1091" s="6" t="b">
        <v>0</v>
      </c>
      <c r="AT1091" s="7" t="b">
        <v>1</v>
      </c>
      <c r="AU1091" s="6" t="b">
        <v>0</v>
      </c>
      <c r="AV1091" s="6" t="b">
        <v>0</v>
      </c>
      <c r="AW1091" s="6" t="b">
        <v>0</v>
      </c>
      <c r="AX1091" s="6" t="b">
        <v>0</v>
      </c>
      <c r="AY1091" s="6" t="b">
        <v>0</v>
      </c>
      <c r="AZ1091" s="6" t="b">
        <v>0</v>
      </c>
      <c r="BA1091" s="6" t="b">
        <v>0</v>
      </c>
      <c r="BB1091" s="6" t="b">
        <v>0</v>
      </c>
    </row>
    <row r="1092" spans="1:54" ht="15" x14ac:dyDescent="0.25">
      <c r="A1092" s="3" t="s">
        <v>2244</v>
      </c>
      <c r="B1092" s="3" t="str">
        <f ca="1">IFERROR(__xludf.DUMMYFUNCTION("SPLIT(A1092,""/"")"),"UsergeTeam")</f>
        <v>UsergeTeam</v>
      </c>
      <c r="C1092" s="3" t="str">
        <f ca="1">IFERROR(__xludf.DUMMYFUNCTION("""COMPUTED_VALUE"""),"Userge")</f>
        <v>Userge</v>
      </c>
      <c r="D1092" s="4" t="s">
        <v>2245</v>
      </c>
      <c r="E1092" s="5">
        <v>43905.654409722221</v>
      </c>
      <c r="F1092" s="5">
        <v>44295.125069444446</v>
      </c>
      <c r="G1092" s="13">
        <f t="shared" si="102"/>
        <v>389.47065972222481</v>
      </c>
      <c r="H1092" s="6" t="b">
        <v>0</v>
      </c>
      <c r="I1092" s="7" t="b">
        <v>1</v>
      </c>
      <c r="J1092" s="8">
        <v>377</v>
      </c>
      <c r="K1092" s="8">
        <v>31</v>
      </c>
      <c r="L1092" s="8">
        <v>1294</v>
      </c>
      <c r="M1092" s="8">
        <v>11</v>
      </c>
      <c r="N1092" s="8">
        <v>22</v>
      </c>
      <c r="O1092" s="8">
        <v>27</v>
      </c>
      <c r="P1092" s="8">
        <v>205</v>
      </c>
      <c r="Q1092" s="8">
        <v>2</v>
      </c>
      <c r="R1092" s="8">
        <v>88</v>
      </c>
      <c r="S1092" s="8">
        <v>4</v>
      </c>
      <c r="T1092" s="3" t="s">
        <v>49</v>
      </c>
      <c r="U1092" s="10">
        <v>9875</v>
      </c>
      <c r="V1092" s="32">
        <v>129</v>
      </c>
      <c r="W1092" s="27">
        <v>1.3063291139240506E-2</v>
      </c>
      <c r="X1092" s="34">
        <v>24</v>
      </c>
      <c r="Y1092" s="27">
        <v>0.18604651162790697</v>
      </c>
      <c r="Z1092" s="27">
        <v>2.4303797468354432E-3</v>
      </c>
      <c r="AA1092" s="35">
        <v>61</v>
      </c>
      <c r="AB1092" s="27">
        <v>0.47286821705426357</v>
      </c>
      <c r="AC1092" s="27">
        <f t="shared" si="103"/>
        <v>6.177215189873418E-3</v>
      </c>
      <c r="AD1092" s="36">
        <v>0</v>
      </c>
      <c r="AE1092" s="27">
        <v>0</v>
      </c>
      <c r="AF1092" s="27">
        <f t="shared" si="104"/>
        <v>0</v>
      </c>
      <c r="AG1092" s="37">
        <v>32</v>
      </c>
      <c r="AH1092" s="27">
        <v>0.24806201550387597</v>
      </c>
      <c r="AI1092" s="27">
        <f t="shared" si="105"/>
        <v>3.2405063291139242E-3</v>
      </c>
      <c r="AJ1092" s="38">
        <v>0</v>
      </c>
      <c r="AK1092" s="27">
        <v>0</v>
      </c>
      <c r="AL1092" s="27">
        <f t="shared" si="106"/>
        <v>0</v>
      </c>
      <c r="AM1092" s="40">
        <v>12</v>
      </c>
      <c r="AN1092" s="27">
        <v>9.3023255813953487E-2</v>
      </c>
      <c r="AO1092" s="27">
        <f t="shared" si="107"/>
        <v>1.2151898734177216E-3</v>
      </c>
      <c r="AP1092" s="7" t="b">
        <v>1</v>
      </c>
      <c r="AQ1092" s="7" t="b">
        <v>1</v>
      </c>
      <c r="AR1092" s="6" t="b">
        <v>0</v>
      </c>
      <c r="AS1092" s="6" t="b">
        <v>0</v>
      </c>
      <c r="AT1092" s="7" t="b">
        <v>1</v>
      </c>
      <c r="AU1092" s="6" t="b">
        <v>0</v>
      </c>
      <c r="AV1092" s="6" t="b">
        <v>0</v>
      </c>
      <c r="AW1092" s="6" t="b">
        <v>0</v>
      </c>
      <c r="AX1092" s="6" t="b">
        <v>0</v>
      </c>
      <c r="AY1092" s="6" t="b">
        <v>0</v>
      </c>
      <c r="AZ1092" s="6" t="b">
        <v>0</v>
      </c>
      <c r="BA1092" s="6" t="b">
        <v>0</v>
      </c>
      <c r="BB1092" s="6" t="b">
        <v>0</v>
      </c>
    </row>
    <row r="1093" spans="1:54" ht="15" x14ac:dyDescent="0.25">
      <c r="A1093" s="3" t="s">
        <v>2246</v>
      </c>
      <c r="B1093" s="3" t="str">
        <f ca="1">IFERROR(__xludf.DUMMYFUNCTION("SPLIT(A1093,""/"")"),"ustwo")</f>
        <v>ustwo</v>
      </c>
      <c r="C1093" s="3" t="str">
        <f ca="1">IFERROR(__xludf.DUMMYFUNCTION("""COMPUTED_VALUE"""),"mastermind")</f>
        <v>mastermind</v>
      </c>
      <c r="D1093" s="4" t="s">
        <v>2247</v>
      </c>
      <c r="E1093" s="5">
        <v>42309.700196759259</v>
      </c>
      <c r="F1093" s="5">
        <v>44253.392418981479</v>
      </c>
      <c r="G1093" s="13">
        <f t="shared" si="102"/>
        <v>1943.6922222222202</v>
      </c>
      <c r="H1093" s="6" t="b">
        <v>0</v>
      </c>
      <c r="I1093" s="7" t="b">
        <v>1</v>
      </c>
      <c r="J1093" s="8">
        <v>341</v>
      </c>
      <c r="K1093" s="8">
        <v>16</v>
      </c>
      <c r="L1093" s="8">
        <v>53</v>
      </c>
      <c r="M1093" s="8">
        <v>5</v>
      </c>
      <c r="N1093" s="8">
        <v>0</v>
      </c>
      <c r="O1093" s="8">
        <v>3</v>
      </c>
      <c r="P1093" s="8">
        <v>11</v>
      </c>
      <c r="Q1093" s="8">
        <v>1</v>
      </c>
      <c r="R1093" s="8">
        <v>41</v>
      </c>
      <c r="S1093" s="8">
        <v>10</v>
      </c>
      <c r="T1093" s="3" t="s">
        <v>72</v>
      </c>
      <c r="U1093" s="10">
        <v>1000</v>
      </c>
      <c r="V1093" s="32">
        <v>15</v>
      </c>
      <c r="W1093" s="27">
        <v>1.4999999999999999E-2</v>
      </c>
      <c r="X1093" s="34">
        <v>0</v>
      </c>
      <c r="Y1093" s="27">
        <v>0</v>
      </c>
      <c r="Z1093" s="27">
        <v>0</v>
      </c>
      <c r="AA1093" s="35">
        <v>5</v>
      </c>
      <c r="AB1093" s="27">
        <v>0.33333333333333331</v>
      </c>
      <c r="AC1093" s="27">
        <f t="shared" si="103"/>
        <v>5.0000000000000001E-3</v>
      </c>
      <c r="AD1093" s="36">
        <v>1</v>
      </c>
      <c r="AE1093" s="27">
        <v>6.6666666666666666E-2</v>
      </c>
      <c r="AF1093" s="27">
        <f t="shared" si="104"/>
        <v>1E-3</v>
      </c>
      <c r="AG1093" s="37">
        <v>4</v>
      </c>
      <c r="AH1093" s="27">
        <v>0.26666666666666666</v>
      </c>
      <c r="AI1093" s="27">
        <f t="shared" si="105"/>
        <v>4.0000000000000001E-3</v>
      </c>
      <c r="AJ1093" s="38">
        <v>0</v>
      </c>
      <c r="AK1093" s="27">
        <v>0</v>
      </c>
      <c r="AL1093" s="27">
        <f t="shared" si="106"/>
        <v>0</v>
      </c>
      <c r="AM1093" s="40">
        <v>5</v>
      </c>
      <c r="AN1093" s="27">
        <v>0.33333333333333331</v>
      </c>
      <c r="AO1093" s="27">
        <f t="shared" si="107"/>
        <v>5.0000000000000001E-3</v>
      </c>
      <c r="AP1093" s="7" t="b">
        <v>1</v>
      </c>
      <c r="AQ1093" s="6" t="b">
        <v>0</v>
      </c>
      <c r="AR1093" s="6" t="b">
        <v>0</v>
      </c>
      <c r="AS1093" s="6" t="b">
        <v>0</v>
      </c>
      <c r="AT1093" s="7" t="b">
        <v>1</v>
      </c>
      <c r="AU1093" s="6" t="b">
        <v>0</v>
      </c>
      <c r="AV1093" s="6" t="b">
        <v>0</v>
      </c>
      <c r="AW1093" s="6" t="b">
        <v>0</v>
      </c>
      <c r="AX1093" s="6" t="b">
        <v>0</v>
      </c>
      <c r="AY1093" s="6" t="b">
        <v>0</v>
      </c>
      <c r="AZ1093" s="6" t="b">
        <v>0</v>
      </c>
      <c r="BA1093" s="6" t="b">
        <v>0</v>
      </c>
      <c r="BB1093" s="6" t="b">
        <v>0</v>
      </c>
    </row>
    <row r="1094" spans="1:54" ht="15" x14ac:dyDescent="0.25">
      <c r="A1094" s="3" t="s">
        <v>2248</v>
      </c>
      <c r="B1094" s="3" t="str">
        <f ca="1">IFERROR(__xludf.DUMMYFUNCTION("SPLIT(A1094,""/"")"),"utterworks")</f>
        <v>utterworks</v>
      </c>
      <c r="C1094" s="3" t="str">
        <f ca="1">IFERROR(__xludf.DUMMYFUNCTION("""COMPUTED_VALUE"""),"fast-bert")</f>
        <v>fast-bert</v>
      </c>
      <c r="D1094" s="4" t="s">
        <v>2249</v>
      </c>
      <c r="E1094" s="5">
        <v>43573.917592592596</v>
      </c>
      <c r="F1094" s="5">
        <v>44293.390196759261</v>
      </c>
      <c r="G1094" s="13">
        <f t="shared" si="102"/>
        <v>719.47260416666541</v>
      </c>
      <c r="H1094" s="6" t="b">
        <v>0</v>
      </c>
      <c r="I1094" s="7" t="b">
        <v>1</v>
      </c>
      <c r="J1094" s="8">
        <v>1553</v>
      </c>
      <c r="K1094" s="8">
        <v>40</v>
      </c>
      <c r="L1094" s="8">
        <v>311</v>
      </c>
      <c r="M1094" s="8">
        <v>5</v>
      </c>
      <c r="N1094" s="8">
        <v>1</v>
      </c>
      <c r="O1094" s="8">
        <v>25</v>
      </c>
      <c r="P1094" s="8">
        <v>55</v>
      </c>
      <c r="Q1094" s="8">
        <v>6</v>
      </c>
      <c r="R1094" s="8">
        <v>230</v>
      </c>
      <c r="S1094" s="8">
        <v>139</v>
      </c>
      <c r="T1094" s="3" t="s">
        <v>69</v>
      </c>
      <c r="U1094" s="10">
        <v>5460</v>
      </c>
      <c r="V1094" s="32">
        <v>90</v>
      </c>
      <c r="W1094" s="27">
        <v>1.6483516483516484E-2</v>
      </c>
      <c r="X1094" s="34">
        <v>2</v>
      </c>
      <c r="Y1094" s="27">
        <v>2.2222222222222223E-2</v>
      </c>
      <c r="Z1094" s="27">
        <v>3.663003663003663E-4</v>
      </c>
      <c r="AA1094" s="35">
        <v>83</v>
      </c>
      <c r="AB1094" s="27">
        <v>0.92222222222222228</v>
      </c>
      <c r="AC1094" s="27">
        <f t="shared" si="103"/>
        <v>1.5201465201465201E-2</v>
      </c>
      <c r="AD1094" s="36">
        <v>4</v>
      </c>
      <c r="AE1094" s="27">
        <v>4.4444444444444446E-2</v>
      </c>
      <c r="AF1094" s="27">
        <f t="shared" si="104"/>
        <v>7.326007326007326E-4</v>
      </c>
      <c r="AG1094" s="37">
        <v>0</v>
      </c>
      <c r="AH1094" s="27">
        <v>0</v>
      </c>
      <c r="AI1094" s="27">
        <f t="shared" si="105"/>
        <v>0</v>
      </c>
      <c r="AJ1094" s="38">
        <v>0</v>
      </c>
      <c r="AK1094" s="27">
        <v>0</v>
      </c>
      <c r="AL1094" s="27">
        <f t="shared" si="106"/>
        <v>0</v>
      </c>
      <c r="AM1094" s="40">
        <v>0</v>
      </c>
      <c r="AN1094" s="27">
        <v>0</v>
      </c>
      <c r="AO1094" s="27">
        <f t="shared" si="107"/>
        <v>0</v>
      </c>
      <c r="AP1094" s="7" t="b">
        <v>1</v>
      </c>
      <c r="AQ1094" s="6" t="b">
        <v>0</v>
      </c>
      <c r="AR1094" s="6" t="b">
        <v>0</v>
      </c>
      <c r="AS1094" s="6" t="b">
        <v>0</v>
      </c>
      <c r="AT1094" s="7" t="b">
        <v>1</v>
      </c>
      <c r="AU1094" s="6" t="b">
        <v>0</v>
      </c>
      <c r="AV1094" s="6" t="b">
        <v>0</v>
      </c>
      <c r="AW1094" s="6" t="b">
        <v>0</v>
      </c>
      <c r="AX1094" s="6" t="b">
        <v>0</v>
      </c>
      <c r="AY1094" s="6" t="b">
        <v>0</v>
      </c>
      <c r="AZ1094" s="6" t="b">
        <v>0</v>
      </c>
      <c r="BA1094" s="6" t="b">
        <v>0</v>
      </c>
      <c r="BB1094" s="6" t="b">
        <v>0</v>
      </c>
    </row>
    <row r="1095" spans="1:54" ht="15" x14ac:dyDescent="0.25">
      <c r="A1095" s="3" t="s">
        <v>2250</v>
      </c>
      <c r="B1095" s="3" t="str">
        <f ca="1">IFERROR(__xludf.DUMMYFUNCTION("SPLIT(A1095,""/"")"),"v3n0m-Scanner")</f>
        <v>v3n0m-Scanner</v>
      </c>
      <c r="C1095" s="3" t="str">
        <f ca="1">IFERROR(__xludf.DUMMYFUNCTION("""COMPUTED_VALUE"""),"V3n0M-Scanner")</f>
        <v>V3n0M-Scanner</v>
      </c>
      <c r="D1095" s="4" t="s">
        <v>2251</v>
      </c>
      <c r="E1095" s="5">
        <v>41568.253668981481</v>
      </c>
      <c r="F1095" s="5">
        <v>44286.683923611112</v>
      </c>
      <c r="G1095" s="13">
        <f t="shared" si="102"/>
        <v>2718.4302546296312</v>
      </c>
      <c r="H1095" s="6" t="b">
        <v>0</v>
      </c>
      <c r="I1095" s="7" t="b">
        <v>1</v>
      </c>
      <c r="J1095" s="8">
        <v>857</v>
      </c>
      <c r="K1095" s="8">
        <v>85</v>
      </c>
      <c r="L1095" s="8">
        <v>300</v>
      </c>
      <c r="M1095" s="8">
        <v>3</v>
      </c>
      <c r="N1095" s="8">
        <v>6</v>
      </c>
      <c r="O1095" s="8">
        <v>11</v>
      </c>
      <c r="P1095" s="8">
        <v>19</v>
      </c>
      <c r="Q1095" s="8">
        <v>0</v>
      </c>
      <c r="R1095" s="8">
        <v>164</v>
      </c>
      <c r="S1095" s="8">
        <v>4</v>
      </c>
      <c r="T1095" s="3" t="s">
        <v>92</v>
      </c>
      <c r="U1095" s="10">
        <v>7656</v>
      </c>
      <c r="V1095" s="32">
        <v>53</v>
      </c>
      <c r="W1095" s="27">
        <v>6.922675026123302E-3</v>
      </c>
      <c r="X1095" s="34">
        <v>19</v>
      </c>
      <c r="Y1095" s="27">
        <v>0.35849056603773582</v>
      </c>
      <c r="Z1095" s="27">
        <v>2.4817136886102404E-3</v>
      </c>
      <c r="AA1095" s="35">
        <v>22</v>
      </c>
      <c r="AB1095" s="27">
        <v>0.41509433962264153</v>
      </c>
      <c r="AC1095" s="27">
        <f t="shared" si="103"/>
        <v>2.8735632183908046E-3</v>
      </c>
      <c r="AD1095" s="36">
        <v>2</v>
      </c>
      <c r="AE1095" s="27">
        <v>3.7735849056603772E-2</v>
      </c>
      <c r="AF1095" s="27">
        <f t="shared" si="104"/>
        <v>2.6123301985370953E-4</v>
      </c>
      <c r="AG1095" s="37">
        <v>10</v>
      </c>
      <c r="AH1095" s="27">
        <v>0.18867924528301888</v>
      </c>
      <c r="AI1095" s="27">
        <f t="shared" si="105"/>
        <v>1.3061650992685476E-3</v>
      </c>
      <c r="AJ1095" s="38">
        <v>0</v>
      </c>
      <c r="AK1095" s="27">
        <v>0</v>
      </c>
      <c r="AL1095" s="27">
        <f t="shared" si="106"/>
        <v>0</v>
      </c>
      <c r="AM1095" s="40">
        <v>0</v>
      </c>
      <c r="AN1095" s="27">
        <v>0</v>
      </c>
      <c r="AO1095" s="27">
        <f t="shared" si="107"/>
        <v>0</v>
      </c>
      <c r="AP1095" s="7" t="b">
        <v>1</v>
      </c>
      <c r="AQ1095" s="6" t="b">
        <v>0</v>
      </c>
      <c r="AR1095" s="6" t="b">
        <v>0</v>
      </c>
      <c r="AS1095" s="6" t="b">
        <v>0</v>
      </c>
      <c r="AT1095" s="7" t="b">
        <v>1</v>
      </c>
      <c r="AU1095" s="6" t="b">
        <v>0</v>
      </c>
      <c r="AV1095" s="6" t="b">
        <v>0</v>
      </c>
      <c r="AW1095" s="6" t="b">
        <v>0</v>
      </c>
      <c r="AX1095" s="6" t="b">
        <v>0</v>
      </c>
      <c r="AY1095" s="6" t="b">
        <v>0</v>
      </c>
      <c r="AZ1095" s="6" t="b">
        <v>0</v>
      </c>
      <c r="BA1095" s="6" t="b">
        <v>0</v>
      </c>
      <c r="BB1095" s="6" t="b">
        <v>0</v>
      </c>
    </row>
    <row r="1096" spans="1:54" ht="15" x14ac:dyDescent="0.25">
      <c r="A1096" s="3" t="s">
        <v>2252</v>
      </c>
      <c r="B1096" s="3" t="str">
        <f ca="1">IFERROR(__xludf.DUMMYFUNCTION("SPLIT(A1096,""/"")"),"v55448330")</f>
        <v>v55448330</v>
      </c>
      <c r="C1096" s="3" t="str">
        <f ca="1">IFERROR(__xludf.DUMMYFUNCTION("""COMPUTED_VALUE"""),"lazy-balancer")</f>
        <v>lazy-balancer</v>
      </c>
      <c r="D1096" s="4" t="s">
        <v>2253</v>
      </c>
      <c r="E1096" s="5">
        <v>42558.40148148148</v>
      </c>
      <c r="F1096" s="5">
        <v>44287.390428240738</v>
      </c>
      <c r="G1096" s="13">
        <f t="shared" si="102"/>
        <v>1728.9889467592584</v>
      </c>
      <c r="H1096" s="6" t="b">
        <v>0</v>
      </c>
      <c r="I1096" s="6" t="b">
        <v>0</v>
      </c>
      <c r="J1096" s="8">
        <v>498</v>
      </c>
      <c r="K1096" s="8">
        <v>52</v>
      </c>
      <c r="L1096" s="8">
        <v>201</v>
      </c>
      <c r="M1096" s="8">
        <v>0</v>
      </c>
      <c r="N1096" s="8">
        <v>0</v>
      </c>
      <c r="O1096" s="9">
        <v>0</v>
      </c>
      <c r="P1096" s="8">
        <v>9</v>
      </c>
      <c r="Q1096" s="8">
        <v>4</v>
      </c>
      <c r="R1096" s="8">
        <v>22</v>
      </c>
      <c r="S1096" s="8">
        <v>5</v>
      </c>
      <c r="T1096" s="11" t="s">
        <v>52</v>
      </c>
      <c r="U1096" s="10">
        <v>1395</v>
      </c>
      <c r="V1096" s="32">
        <v>40</v>
      </c>
      <c r="W1096" s="27">
        <v>2.8673835125448029E-2</v>
      </c>
      <c r="X1096" s="34">
        <v>0</v>
      </c>
      <c r="Y1096" s="27">
        <v>0</v>
      </c>
      <c r="Z1096" s="27">
        <v>0</v>
      </c>
      <c r="AA1096" s="35">
        <v>27</v>
      </c>
      <c r="AB1096" s="27">
        <v>0.67500000000000004</v>
      </c>
      <c r="AC1096" s="27">
        <f t="shared" si="103"/>
        <v>1.935483870967742E-2</v>
      </c>
      <c r="AD1096" s="36">
        <v>0</v>
      </c>
      <c r="AE1096" s="27">
        <v>0</v>
      </c>
      <c r="AF1096" s="27">
        <f t="shared" si="104"/>
        <v>0</v>
      </c>
      <c r="AG1096" s="37">
        <v>13</v>
      </c>
      <c r="AH1096" s="27">
        <v>0.32500000000000001</v>
      </c>
      <c r="AI1096" s="27">
        <f t="shared" si="105"/>
        <v>9.3189964157706102E-3</v>
      </c>
      <c r="AJ1096" s="38">
        <v>0</v>
      </c>
      <c r="AK1096" s="27">
        <v>0</v>
      </c>
      <c r="AL1096" s="27">
        <f t="shared" si="106"/>
        <v>0</v>
      </c>
      <c r="AM1096" s="40">
        <v>0</v>
      </c>
      <c r="AN1096" s="27">
        <v>0</v>
      </c>
      <c r="AO1096" s="27">
        <f t="shared" si="107"/>
        <v>0</v>
      </c>
      <c r="AP1096" s="7" t="b">
        <v>1</v>
      </c>
      <c r="AQ1096" s="6" t="b">
        <v>0</v>
      </c>
      <c r="AR1096" s="6" t="b">
        <v>0</v>
      </c>
      <c r="AS1096" s="6" t="b">
        <v>0</v>
      </c>
      <c r="AT1096" s="7" t="b">
        <v>1</v>
      </c>
      <c r="AU1096" s="6" t="b">
        <v>0</v>
      </c>
      <c r="AV1096" s="6" t="b">
        <v>0</v>
      </c>
      <c r="AW1096" s="6" t="b">
        <v>0</v>
      </c>
      <c r="AX1096" s="6" t="b">
        <v>0</v>
      </c>
      <c r="AY1096" s="6" t="b">
        <v>0</v>
      </c>
      <c r="AZ1096" s="6" t="b">
        <v>0</v>
      </c>
      <c r="BA1096" s="6" t="b">
        <v>0</v>
      </c>
      <c r="BB1096" s="6" t="b">
        <v>0</v>
      </c>
    </row>
    <row r="1097" spans="1:54" ht="15" x14ac:dyDescent="0.25">
      <c r="A1097" s="3" t="s">
        <v>2254</v>
      </c>
      <c r="B1097" s="3" t="str">
        <f ca="1">IFERROR(__xludf.DUMMYFUNCTION("SPLIT(A1097,""/"")"),"vi3k6i5")</f>
        <v>vi3k6i5</v>
      </c>
      <c r="C1097" s="3" t="str">
        <f ca="1">IFERROR(__xludf.DUMMYFUNCTION("""COMPUTED_VALUE"""),"flashtext")</f>
        <v>flashtext</v>
      </c>
      <c r="D1097" s="4" t="s">
        <v>2255</v>
      </c>
      <c r="E1097" s="5">
        <v>42962.75209490741</v>
      </c>
      <c r="F1097" s="5">
        <v>44295.178194444445</v>
      </c>
      <c r="G1097" s="13">
        <f t="shared" si="102"/>
        <v>1332.426099537035</v>
      </c>
      <c r="H1097" s="6" t="b">
        <v>0</v>
      </c>
      <c r="I1097" s="6" t="b">
        <v>0</v>
      </c>
      <c r="J1097" s="8">
        <v>4706</v>
      </c>
      <c r="K1097" s="8">
        <v>135</v>
      </c>
      <c r="L1097" s="8">
        <v>522</v>
      </c>
      <c r="M1097" s="8">
        <v>0</v>
      </c>
      <c r="N1097" s="8">
        <v>2</v>
      </c>
      <c r="O1097" s="8">
        <v>5</v>
      </c>
      <c r="P1097" s="8">
        <v>28</v>
      </c>
      <c r="Q1097" s="8">
        <v>9</v>
      </c>
      <c r="R1097" s="8">
        <v>92</v>
      </c>
      <c r="S1097" s="8">
        <v>43</v>
      </c>
      <c r="T1097" s="3" t="s">
        <v>72</v>
      </c>
      <c r="U1097" s="10">
        <v>970</v>
      </c>
      <c r="V1097" s="32">
        <v>28</v>
      </c>
      <c r="W1097" s="27">
        <v>2.88659793814433E-2</v>
      </c>
      <c r="X1097" s="34">
        <v>0</v>
      </c>
      <c r="Y1097" s="27">
        <v>0</v>
      </c>
      <c r="Z1097" s="27">
        <v>0</v>
      </c>
      <c r="AA1097" s="35">
        <v>28</v>
      </c>
      <c r="AB1097" s="27">
        <v>1</v>
      </c>
      <c r="AC1097" s="27">
        <f t="shared" si="103"/>
        <v>2.88659793814433E-2</v>
      </c>
      <c r="AD1097" s="36">
        <v>0</v>
      </c>
      <c r="AE1097" s="27">
        <v>0</v>
      </c>
      <c r="AF1097" s="27">
        <f t="shared" si="104"/>
        <v>0</v>
      </c>
      <c r="AG1097" s="37">
        <v>0</v>
      </c>
      <c r="AH1097" s="27">
        <v>0</v>
      </c>
      <c r="AI1097" s="27">
        <f t="shared" si="105"/>
        <v>0</v>
      </c>
      <c r="AJ1097" s="38">
        <v>0</v>
      </c>
      <c r="AK1097" s="27">
        <v>0</v>
      </c>
      <c r="AL1097" s="27">
        <f t="shared" si="106"/>
        <v>0</v>
      </c>
      <c r="AM1097" s="40">
        <v>0</v>
      </c>
      <c r="AN1097" s="27">
        <v>0</v>
      </c>
      <c r="AO1097" s="27">
        <f t="shared" si="107"/>
        <v>0</v>
      </c>
      <c r="AP1097" s="6" t="b">
        <v>0</v>
      </c>
      <c r="AQ1097" s="7" t="b">
        <v>1</v>
      </c>
      <c r="AR1097" s="6" t="b">
        <v>0</v>
      </c>
      <c r="AS1097" s="6" t="b">
        <v>0</v>
      </c>
      <c r="AT1097" s="7" t="b">
        <v>1</v>
      </c>
      <c r="AU1097" s="6" t="b">
        <v>0</v>
      </c>
      <c r="AV1097" s="6" t="b">
        <v>0</v>
      </c>
      <c r="AW1097" s="6" t="b">
        <v>0</v>
      </c>
      <c r="AX1097" s="6" t="b">
        <v>0</v>
      </c>
      <c r="AY1097" s="6" t="b">
        <v>0</v>
      </c>
      <c r="AZ1097" s="6" t="b">
        <v>0</v>
      </c>
      <c r="BA1097" s="6" t="b">
        <v>0</v>
      </c>
      <c r="BB1097" s="6" t="b">
        <v>0</v>
      </c>
    </row>
    <row r="1098" spans="1:54" ht="15" x14ac:dyDescent="0.25">
      <c r="A1098" s="3" t="s">
        <v>2256</v>
      </c>
      <c r="B1098" s="3" t="str">
        <f ca="1">IFERROR(__xludf.DUMMYFUNCTION("SPLIT(A1098,""/"")"),"videoflow")</f>
        <v>videoflow</v>
      </c>
      <c r="C1098" s="3" t="str">
        <f ca="1">IFERROR(__xludf.DUMMYFUNCTION("""COMPUTED_VALUE"""),"videoflow")</f>
        <v>videoflow</v>
      </c>
      <c r="D1098" s="4" t="s">
        <v>2257</v>
      </c>
      <c r="E1098" s="5">
        <v>43570.824560185189</v>
      </c>
      <c r="F1098" s="5">
        <v>44290.864432870374</v>
      </c>
      <c r="G1098" s="13">
        <f t="shared" si="102"/>
        <v>720.0398726851854</v>
      </c>
      <c r="H1098" s="6" t="b">
        <v>0</v>
      </c>
      <c r="I1098" s="7" t="b">
        <v>1</v>
      </c>
      <c r="J1098" s="8">
        <v>919</v>
      </c>
      <c r="K1098" s="8">
        <v>24</v>
      </c>
      <c r="L1098" s="8">
        <v>76</v>
      </c>
      <c r="M1098" s="8">
        <v>15</v>
      </c>
      <c r="N1098" s="8">
        <v>1</v>
      </c>
      <c r="O1098" s="8">
        <v>11</v>
      </c>
      <c r="P1098" s="8">
        <v>78</v>
      </c>
      <c r="Q1098" s="8">
        <v>1</v>
      </c>
      <c r="R1098" s="8">
        <v>51</v>
      </c>
      <c r="S1098" s="8">
        <v>17</v>
      </c>
      <c r="T1098" s="3" t="s">
        <v>72</v>
      </c>
      <c r="U1098" s="10">
        <v>2601</v>
      </c>
      <c r="V1098" s="32">
        <v>26</v>
      </c>
      <c r="W1098" s="27">
        <v>9.9961553248750484E-3</v>
      </c>
      <c r="X1098" s="34">
        <v>13</v>
      </c>
      <c r="Y1098" s="27">
        <v>0.5</v>
      </c>
      <c r="Z1098" s="27">
        <v>4.9980776624375242E-3</v>
      </c>
      <c r="AA1098" s="35">
        <v>6</v>
      </c>
      <c r="AB1098" s="27">
        <v>0.23076923076923078</v>
      </c>
      <c r="AC1098" s="27">
        <f t="shared" si="103"/>
        <v>2.306805074971165E-3</v>
      </c>
      <c r="AD1098" s="36">
        <v>0</v>
      </c>
      <c r="AE1098" s="27">
        <v>0</v>
      </c>
      <c r="AF1098" s="27">
        <f t="shared" si="104"/>
        <v>0</v>
      </c>
      <c r="AG1098" s="37">
        <v>7</v>
      </c>
      <c r="AH1098" s="27">
        <v>0.26923076923076922</v>
      </c>
      <c r="AI1098" s="27">
        <f t="shared" si="105"/>
        <v>2.6912725874663592E-3</v>
      </c>
      <c r="AJ1098" s="38">
        <v>0</v>
      </c>
      <c r="AK1098" s="27">
        <v>0</v>
      </c>
      <c r="AL1098" s="27">
        <f t="shared" si="106"/>
        <v>0</v>
      </c>
      <c r="AM1098" s="40">
        <v>0</v>
      </c>
      <c r="AN1098" s="27">
        <v>0</v>
      </c>
      <c r="AO1098" s="27">
        <f t="shared" si="107"/>
        <v>0</v>
      </c>
      <c r="AP1098" s="7" t="b">
        <v>1</v>
      </c>
      <c r="AQ1098" s="6" t="b">
        <v>0</v>
      </c>
      <c r="AR1098" s="6" t="b">
        <v>0</v>
      </c>
      <c r="AS1098" s="6" t="b">
        <v>0</v>
      </c>
      <c r="AT1098" s="7" t="b">
        <v>1</v>
      </c>
      <c r="AU1098" s="6" t="b">
        <v>0</v>
      </c>
      <c r="AV1098" s="6" t="b">
        <v>0</v>
      </c>
      <c r="AW1098" s="6" t="b">
        <v>0</v>
      </c>
      <c r="AX1098" s="6" t="b">
        <v>0</v>
      </c>
      <c r="AY1098" s="6" t="b">
        <v>0</v>
      </c>
      <c r="AZ1098" s="6" t="b">
        <v>0</v>
      </c>
      <c r="BA1098" s="6" t="b">
        <v>0</v>
      </c>
      <c r="BB1098" s="6" t="b">
        <v>0</v>
      </c>
    </row>
    <row r="1099" spans="1:54" ht="15" x14ac:dyDescent="0.25">
      <c r="A1099" s="3" t="s">
        <v>2258</v>
      </c>
      <c r="B1099" s="3" t="str">
        <f ca="1">IFERROR(__xludf.DUMMYFUNCTION("SPLIT(A1099,""/"")"),"vitchyr")</f>
        <v>vitchyr</v>
      </c>
      <c r="C1099" s="3" t="str">
        <f ca="1">IFERROR(__xludf.DUMMYFUNCTION("""COMPUTED_VALUE"""),"rlkit")</f>
        <v>rlkit</v>
      </c>
      <c r="D1099" s="4" t="s">
        <v>2259</v>
      </c>
      <c r="E1099" s="5">
        <v>43125.024143518516</v>
      </c>
      <c r="F1099" s="5">
        <v>44295.169074074074</v>
      </c>
      <c r="G1099" s="13">
        <f t="shared" si="102"/>
        <v>1170.1449305555579</v>
      </c>
      <c r="H1099" s="6" t="b">
        <v>0</v>
      </c>
      <c r="I1099" s="6" t="b">
        <v>0</v>
      </c>
      <c r="J1099" s="8">
        <v>1486</v>
      </c>
      <c r="K1099" s="8">
        <v>60</v>
      </c>
      <c r="L1099" s="8">
        <v>360</v>
      </c>
      <c r="M1099" s="8">
        <v>0</v>
      </c>
      <c r="N1099" s="8">
        <v>3</v>
      </c>
      <c r="O1099" s="8">
        <v>19</v>
      </c>
      <c r="P1099" s="8">
        <v>28</v>
      </c>
      <c r="Q1099" s="8">
        <v>4</v>
      </c>
      <c r="R1099" s="8">
        <v>105</v>
      </c>
      <c r="S1099" s="8">
        <v>24</v>
      </c>
      <c r="T1099" s="3" t="s">
        <v>72</v>
      </c>
      <c r="U1099" s="10">
        <v>10378</v>
      </c>
      <c r="V1099" s="32">
        <v>34</v>
      </c>
      <c r="W1099" s="27">
        <v>3.2761611100404703E-3</v>
      </c>
      <c r="X1099" s="34">
        <v>0</v>
      </c>
      <c r="Y1099" s="27">
        <v>0</v>
      </c>
      <c r="Z1099" s="27">
        <v>0</v>
      </c>
      <c r="AA1099" s="35">
        <v>0</v>
      </c>
      <c r="AB1099" s="27">
        <v>0</v>
      </c>
      <c r="AC1099" s="27">
        <f t="shared" si="103"/>
        <v>0</v>
      </c>
      <c r="AD1099" s="36">
        <v>4</v>
      </c>
      <c r="AE1099" s="27">
        <v>0.11764705882352941</v>
      </c>
      <c r="AF1099" s="27">
        <f t="shared" si="104"/>
        <v>3.8543071882829059E-4</v>
      </c>
      <c r="AG1099" s="37">
        <v>0</v>
      </c>
      <c r="AH1099" s="27">
        <v>0</v>
      </c>
      <c r="AI1099" s="27">
        <f t="shared" si="105"/>
        <v>0</v>
      </c>
      <c r="AJ1099" s="38">
        <v>0</v>
      </c>
      <c r="AK1099" s="27">
        <v>0</v>
      </c>
      <c r="AL1099" s="27">
        <f t="shared" si="106"/>
        <v>0</v>
      </c>
      <c r="AM1099" s="40">
        <v>30</v>
      </c>
      <c r="AN1099" s="27">
        <v>0.88235294117647056</v>
      </c>
      <c r="AO1099" s="27">
        <f t="shared" si="107"/>
        <v>2.8907303912121796E-3</v>
      </c>
      <c r="AP1099" s="7" t="b">
        <v>1</v>
      </c>
      <c r="AQ1099" s="6" t="b">
        <v>0</v>
      </c>
      <c r="AR1099" s="6" t="b">
        <v>0</v>
      </c>
      <c r="AS1099" s="6" t="b">
        <v>0</v>
      </c>
      <c r="AT1099" s="7" t="b">
        <v>1</v>
      </c>
      <c r="AU1099" s="6" t="b">
        <v>0</v>
      </c>
      <c r="AV1099" s="6" t="b">
        <v>0</v>
      </c>
      <c r="AW1099" s="6" t="b">
        <v>0</v>
      </c>
      <c r="AX1099" s="6" t="b">
        <v>0</v>
      </c>
      <c r="AY1099" s="6" t="b">
        <v>0</v>
      </c>
      <c r="AZ1099" s="6" t="b">
        <v>0</v>
      </c>
      <c r="BA1099" s="6" t="b">
        <v>0</v>
      </c>
      <c r="BB1099" s="6" t="b">
        <v>0</v>
      </c>
    </row>
    <row r="1100" spans="1:54" ht="15" x14ac:dyDescent="0.25">
      <c r="A1100" s="3" t="s">
        <v>2260</v>
      </c>
      <c r="B1100" s="3" t="str">
        <f ca="1">IFERROR(__xludf.DUMMYFUNCTION("SPLIT(A1100,""/"")"),"vmware")</f>
        <v>vmware</v>
      </c>
      <c r="C1100" s="3" t="str">
        <f ca="1">IFERROR(__xludf.DUMMYFUNCTION("""COMPUTED_VALUE"""),"photon")</f>
        <v>photon</v>
      </c>
      <c r="D1100" s="4" t="s">
        <v>2261</v>
      </c>
      <c r="E1100" s="5">
        <v>42109.72415509259</v>
      </c>
      <c r="F1100" s="5">
        <v>44295.083726851852</v>
      </c>
      <c r="G1100" s="13">
        <f t="shared" si="102"/>
        <v>2185.3595717592616</v>
      </c>
      <c r="H1100" s="6" t="b">
        <v>0</v>
      </c>
      <c r="I1100" s="7" t="b">
        <v>1</v>
      </c>
      <c r="J1100" s="8">
        <v>2260</v>
      </c>
      <c r="K1100" s="8">
        <v>204</v>
      </c>
      <c r="L1100" s="8">
        <v>597</v>
      </c>
      <c r="M1100" s="8">
        <v>11</v>
      </c>
      <c r="N1100" s="8">
        <v>42</v>
      </c>
      <c r="O1100" s="8">
        <v>92</v>
      </c>
      <c r="P1100" s="8">
        <v>469</v>
      </c>
      <c r="Q1100" s="8">
        <v>4</v>
      </c>
      <c r="R1100" s="8">
        <v>711</v>
      </c>
      <c r="S1100" s="8">
        <v>95</v>
      </c>
      <c r="T1100" s="3" t="s">
        <v>92</v>
      </c>
      <c r="U1100" s="10">
        <v>5791</v>
      </c>
      <c r="V1100" s="32">
        <v>268</v>
      </c>
      <c r="W1100" s="27">
        <v>4.6278708340528406E-2</v>
      </c>
      <c r="X1100" s="34">
        <v>109</v>
      </c>
      <c r="Y1100" s="27">
        <v>0.40671641791044777</v>
      </c>
      <c r="Z1100" s="27">
        <v>1.8822310481782074E-2</v>
      </c>
      <c r="AA1100" s="35">
        <v>94</v>
      </c>
      <c r="AB1100" s="27">
        <v>0.35074626865671643</v>
      </c>
      <c r="AC1100" s="27">
        <f t="shared" si="103"/>
        <v>1.6232084268692798E-2</v>
      </c>
      <c r="AD1100" s="36">
        <v>1</v>
      </c>
      <c r="AE1100" s="27">
        <v>3.7313432835820895E-3</v>
      </c>
      <c r="AF1100" s="27">
        <f t="shared" si="104"/>
        <v>1.7268174753928511E-4</v>
      </c>
      <c r="AG1100" s="37">
        <v>57</v>
      </c>
      <c r="AH1100" s="27">
        <v>0.21268656716417911</v>
      </c>
      <c r="AI1100" s="27">
        <f t="shared" si="105"/>
        <v>9.8428596097392511E-3</v>
      </c>
      <c r="AJ1100" s="38">
        <v>0</v>
      </c>
      <c r="AK1100" s="27">
        <v>0</v>
      </c>
      <c r="AL1100" s="27">
        <f t="shared" si="106"/>
        <v>0</v>
      </c>
      <c r="AM1100" s="40">
        <v>0</v>
      </c>
      <c r="AN1100" s="27">
        <v>0</v>
      </c>
      <c r="AO1100" s="27">
        <f t="shared" si="107"/>
        <v>0</v>
      </c>
      <c r="AP1100" s="7" t="b">
        <v>1</v>
      </c>
      <c r="AQ1100" s="6" t="b">
        <v>0</v>
      </c>
      <c r="AR1100" s="6" t="b">
        <v>0</v>
      </c>
      <c r="AS1100" s="6" t="b">
        <v>0</v>
      </c>
      <c r="AT1100" s="7" t="b">
        <v>1</v>
      </c>
      <c r="AU1100" s="6" t="b">
        <v>0</v>
      </c>
      <c r="AV1100" s="6" t="b">
        <v>0</v>
      </c>
      <c r="AW1100" s="6" t="b">
        <v>0</v>
      </c>
      <c r="AX1100" s="6" t="b">
        <v>0</v>
      </c>
      <c r="AY1100" s="6" t="b">
        <v>0</v>
      </c>
      <c r="AZ1100" s="6" t="b">
        <v>0</v>
      </c>
      <c r="BA1100" s="6" t="b">
        <v>0</v>
      </c>
      <c r="BB1100" s="6" t="b">
        <v>0</v>
      </c>
    </row>
    <row r="1101" spans="1:54" ht="15" x14ac:dyDescent="0.25">
      <c r="A1101" s="3" t="s">
        <v>2262</v>
      </c>
      <c r="B1101" s="3" t="str">
        <f ca="1">IFERROR(__xludf.DUMMYFUNCTION("SPLIT(A1101,""/"")"),"voc")</f>
        <v>voc</v>
      </c>
      <c r="C1101" s="3" t="str">
        <f ca="1">IFERROR(__xludf.DUMMYFUNCTION("""COMPUTED_VALUE"""),"voctomix")</f>
        <v>voctomix</v>
      </c>
      <c r="D1101" s="4" t="s">
        <v>2263</v>
      </c>
      <c r="E1101" s="5">
        <v>41848.918935185182</v>
      </c>
      <c r="F1101" s="5">
        <v>44291.55332175926</v>
      </c>
      <c r="G1101" s="13">
        <f t="shared" si="102"/>
        <v>2442.6343865740782</v>
      </c>
      <c r="H1101" s="6" t="b">
        <v>0</v>
      </c>
      <c r="I1101" s="7" t="b">
        <v>1</v>
      </c>
      <c r="J1101" s="8">
        <v>474</v>
      </c>
      <c r="K1101" s="8">
        <v>43</v>
      </c>
      <c r="L1101" s="8">
        <v>84</v>
      </c>
      <c r="M1101" s="8">
        <v>13</v>
      </c>
      <c r="N1101" s="8">
        <v>19</v>
      </c>
      <c r="O1101" s="8">
        <v>33</v>
      </c>
      <c r="P1101" s="8">
        <v>102</v>
      </c>
      <c r="Q1101" s="8">
        <v>6</v>
      </c>
      <c r="R1101" s="8">
        <v>189</v>
      </c>
      <c r="S1101" s="8">
        <v>68</v>
      </c>
      <c r="T1101" s="3" t="s">
        <v>72</v>
      </c>
      <c r="U1101" s="10">
        <v>5929</v>
      </c>
      <c r="V1101" s="32">
        <v>270</v>
      </c>
      <c r="W1101" s="27">
        <v>4.5538876707707877E-2</v>
      </c>
      <c r="X1101" s="34">
        <v>107</v>
      </c>
      <c r="Y1101" s="27">
        <v>0.39629629629629631</v>
      </c>
      <c r="Z1101" s="27">
        <v>1.8046888176758306E-2</v>
      </c>
      <c r="AA1101" s="35">
        <v>108</v>
      </c>
      <c r="AB1101" s="27">
        <v>0.4</v>
      </c>
      <c r="AC1101" s="27">
        <f t="shared" si="103"/>
        <v>1.821555068308315E-2</v>
      </c>
      <c r="AD1101" s="36">
        <v>26</v>
      </c>
      <c r="AE1101" s="27">
        <v>9.6296296296296297E-2</v>
      </c>
      <c r="AF1101" s="27">
        <f t="shared" si="104"/>
        <v>4.3852251644459434E-3</v>
      </c>
      <c r="AG1101" s="37">
        <v>29</v>
      </c>
      <c r="AH1101" s="27">
        <v>0.10740740740740741</v>
      </c>
      <c r="AI1101" s="27">
        <f t="shared" si="105"/>
        <v>4.8912126834204754E-3</v>
      </c>
      <c r="AJ1101" s="38">
        <v>0</v>
      </c>
      <c r="AK1101" s="27">
        <v>0</v>
      </c>
      <c r="AL1101" s="27">
        <f t="shared" si="106"/>
        <v>0</v>
      </c>
      <c r="AM1101" s="40">
        <v>0</v>
      </c>
      <c r="AN1101" s="27">
        <v>0</v>
      </c>
      <c r="AO1101" s="27">
        <f t="shared" si="107"/>
        <v>0</v>
      </c>
      <c r="AP1101" s="7" t="b">
        <v>1</v>
      </c>
      <c r="AQ1101" s="7" t="b">
        <v>1</v>
      </c>
      <c r="AR1101" s="6" t="b">
        <v>0</v>
      </c>
      <c r="AS1101" s="6" t="b">
        <v>0</v>
      </c>
      <c r="AT1101" s="7" t="b">
        <v>1</v>
      </c>
      <c r="AU1101" s="6" t="b">
        <v>0</v>
      </c>
      <c r="AV1101" s="6" t="b">
        <v>0</v>
      </c>
      <c r="AW1101" s="6" t="b">
        <v>0</v>
      </c>
      <c r="AX1101" s="6" t="b">
        <v>0</v>
      </c>
      <c r="AY1101" s="6" t="b">
        <v>0</v>
      </c>
      <c r="AZ1101" s="6" t="b">
        <v>0</v>
      </c>
      <c r="BA1101" s="6" t="b">
        <v>0</v>
      </c>
      <c r="BB1101" s="6" t="b">
        <v>0</v>
      </c>
    </row>
    <row r="1102" spans="1:54" ht="15" x14ac:dyDescent="0.25">
      <c r="A1102" s="3" t="s">
        <v>2264</v>
      </c>
      <c r="B1102" s="3" t="str">
        <f ca="1">IFERROR(__xludf.DUMMYFUNCTION("SPLIT(A1102,""/"")"),"VOLTTRON")</f>
        <v>VOLTTRON</v>
      </c>
      <c r="C1102" s="3" t="str">
        <f ca="1">IFERROR(__xludf.DUMMYFUNCTION("""COMPUTED_VALUE"""),"volttron")</f>
        <v>volttron</v>
      </c>
      <c r="D1102" s="4" t="s">
        <v>2265</v>
      </c>
      <c r="E1102" s="5">
        <v>41585.088726851849</v>
      </c>
      <c r="F1102" s="5">
        <v>44292.104548611111</v>
      </c>
      <c r="G1102" s="13">
        <f t="shared" si="102"/>
        <v>2707.0158217592616</v>
      </c>
      <c r="H1102" s="6" t="b">
        <v>0</v>
      </c>
      <c r="I1102" s="7" t="b">
        <v>1</v>
      </c>
      <c r="J1102" s="8">
        <v>336</v>
      </c>
      <c r="K1102" s="8">
        <v>50</v>
      </c>
      <c r="L1102" s="8">
        <v>170</v>
      </c>
      <c r="M1102" s="8">
        <v>26</v>
      </c>
      <c r="N1102" s="8">
        <v>31</v>
      </c>
      <c r="O1102" s="8">
        <v>62</v>
      </c>
      <c r="P1102" s="8">
        <v>1386</v>
      </c>
      <c r="Q1102" s="8">
        <v>14</v>
      </c>
      <c r="R1102" s="8">
        <v>1269</v>
      </c>
      <c r="S1102" s="8">
        <v>284</v>
      </c>
      <c r="T1102" s="3" t="s">
        <v>92</v>
      </c>
      <c r="U1102" s="10">
        <v>197034</v>
      </c>
      <c r="V1102" s="32">
        <v>2342</v>
      </c>
      <c r="W1102" s="27">
        <v>1.1886273435041669E-2</v>
      </c>
      <c r="X1102" s="34">
        <v>1220</v>
      </c>
      <c r="Y1102" s="27">
        <v>0.52092228864218615</v>
      </c>
      <c r="Z1102" s="27">
        <v>6.1918247612087257E-3</v>
      </c>
      <c r="AA1102" s="35">
        <v>283</v>
      </c>
      <c r="AB1102" s="27">
        <v>0.12083689154568744</v>
      </c>
      <c r="AC1102" s="27">
        <f t="shared" si="103"/>
        <v>1.4363003339525158E-3</v>
      </c>
      <c r="AD1102" s="36">
        <v>304</v>
      </c>
      <c r="AE1102" s="27">
        <v>0.12980358667805295</v>
      </c>
      <c r="AF1102" s="27">
        <f t="shared" si="104"/>
        <v>1.5428809241044693E-3</v>
      </c>
      <c r="AG1102" s="37">
        <v>513</v>
      </c>
      <c r="AH1102" s="27">
        <v>0.21904355251921434</v>
      </c>
      <c r="AI1102" s="27">
        <f t="shared" si="105"/>
        <v>2.6036115594262918E-3</v>
      </c>
      <c r="AJ1102" s="38">
        <v>6</v>
      </c>
      <c r="AK1102" s="27">
        <v>2.5619128949615714E-3</v>
      </c>
      <c r="AL1102" s="27">
        <f t="shared" si="106"/>
        <v>3.0451597186272422E-5</v>
      </c>
      <c r="AM1102" s="40">
        <v>0</v>
      </c>
      <c r="AN1102" s="27">
        <v>0</v>
      </c>
      <c r="AO1102" s="27">
        <f t="shared" si="107"/>
        <v>0</v>
      </c>
      <c r="AP1102" s="7" t="b">
        <v>1</v>
      </c>
      <c r="AQ1102" s="7" t="b">
        <v>1</v>
      </c>
      <c r="AR1102" s="6" t="b">
        <v>0</v>
      </c>
      <c r="AS1102" s="6" t="b">
        <v>0</v>
      </c>
      <c r="AT1102" s="7" t="b">
        <v>1</v>
      </c>
      <c r="AU1102" s="6" t="b">
        <v>0</v>
      </c>
      <c r="AV1102" s="6" t="b">
        <v>0</v>
      </c>
      <c r="AW1102" s="6" t="b">
        <v>0</v>
      </c>
      <c r="AX1102" s="6" t="b">
        <v>0</v>
      </c>
      <c r="AY1102" s="6" t="b">
        <v>0</v>
      </c>
      <c r="AZ1102" s="6" t="b">
        <v>0</v>
      </c>
      <c r="BA1102" s="6" t="b">
        <v>0</v>
      </c>
      <c r="BB1102" s="6" t="b">
        <v>0</v>
      </c>
    </row>
    <row r="1103" spans="1:54" ht="15" x14ac:dyDescent="0.25">
      <c r="A1103" s="3" t="s">
        <v>2266</v>
      </c>
      <c r="B1103" s="3" t="str">
        <f ca="1">IFERROR(__xludf.DUMMYFUNCTION("SPLIT(A1103,""/"")"),"voxpupuli")</f>
        <v>voxpupuli</v>
      </c>
      <c r="C1103" s="3" t="str">
        <f ca="1">IFERROR(__xludf.DUMMYFUNCTION("""COMPUTED_VALUE"""),"puppetboard")</f>
        <v>puppetboard</v>
      </c>
      <c r="D1103" s="4" t="s">
        <v>2267</v>
      </c>
      <c r="E1103" s="5">
        <v>41484.765381944446</v>
      </c>
      <c r="F1103" s="5">
        <v>44294.662974537037</v>
      </c>
      <c r="G1103" s="13">
        <f t="shared" si="102"/>
        <v>2809.8975925925915</v>
      </c>
      <c r="H1103" s="6" t="b">
        <v>0</v>
      </c>
      <c r="I1103" s="7" t="b">
        <v>1</v>
      </c>
      <c r="J1103" s="8">
        <v>646</v>
      </c>
      <c r="K1103" s="8">
        <v>90</v>
      </c>
      <c r="L1103" s="8">
        <v>224</v>
      </c>
      <c r="M1103" s="8">
        <v>17</v>
      </c>
      <c r="N1103" s="8">
        <v>12</v>
      </c>
      <c r="O1103" s="8">
        <v>94</v>
      </c>
      <c r="P1103" s="8">
        <v>323</v>
      </c>
      <c r="Q1103" s="8">
        <v>8</v>
      </c>
      <c r="R1103" s="8">
        <v>294</v>
      </c>
      <c r="S1103" s="8">
        <v>53</v>
      </c>
      <c r="T1103" s="3" t="s">
        <v>69</v>
      </c>
      <c r="U1103" s="10">
        <v>1910</v>
      </c>
      <c r="V1103" s="32">
        <v>15</v>
      </c>
      <c r="W1103" s="27">
        <v>7.8534031413612562E-3</v>
      </c>
      <c r="X1103" s="34">
        <v>0</v>
      </c>
      <c r="Y1103" s="27">
        <v>0</v>
      </c>
      <c r="Z1103" s="27">
        <v>0</v>
      </c>
      <c r="AA1103" s="35">
        <v>1</v>
      </c>
      <c r="AB1103" s="27">
        <v>6.6666666666666666E-2</v>
      </c>
      <c r="AC1103" s="27">
        <f t="shared" si="103"/>
        <v>5.2356020942408382E-4</v>
      </c>
      <c r="AD1103" s="36">
        <v>5</v>
      </c>
      <c r="AE1103" s="27">
        <v>0.33333333333333331</v>
      </c>
      <c r="AF1103" s="27">
        <f t="shared" si="104"/>
        <v>2.617801047120419E-3</v>
      </c>
      <c r="AG1103" s="37">
        <v>9</v>
      </c>
      <c r="AH1103" s="27">
        <v>0.6</v>
      </c>
      <c r="AI1103" s="27">
        <f t="shared" si="105"/>
        <v>4.7120418848167539E-3</v>
      </c>
      <c r="AJ1103" s="38">
        <v>0</v>
      </c>
      <c r="AK1103" s="27">
        <v>0</v>
      </c>
      <c r="AL1103" s="27">
        <f t="shared" si="106"/>
        <v>0</v>
      </c>
      <c r="AM1103" s="40">
        <v>0</v>
      </c>
      <c r="AN1103" s="27">
        <v>0</v>
      </c>
      <c r="AO1103" s="27">
        <f t="shared" si="107"/>
        <v>0</v>
      </c>
      <c r="AP1103" s="7" t="b">
        <v>1</v>
      </c>
      <c r="AQ1103" s="6" t="b">
        <v>0</v>
      </c>
      <c r="AR1103" s="6" t="b">
        <v>0</v>
      </c>
      <c r="AS1103" s="6" t="b">
        <v>0</v>
      </c>
      <c r="AT1103" s="7" t="b">
        <v>1</v>
      </c>
      <c r="AU1103" s="6" t="b">
        <v>0</v>
      </c>
      <c r="AV1103" s="6" t="b">
        <v>0</v>
      </c>
      <c r="AW1103" s="6" t="b">
        <v>0</v>
      </c>
      <c r="AX1103" s="6" t="b">
        <v>0</v>
      </c>
      <c r="AY1103" s="6" t="b">
        <v>0</v>
      </c>
      <c r="AZ1103" s="6" t="b">
        <v>0</v>
      </c>
      <c r="BA1103" s="6" t="b">
        <v>0</v>
      </c>
      <c r="BB1103" s="6" t="b">
        <v>0</v>
      </c>
    </row>
    <row r="1104" spans="1:54" ht="15" x14ac:dyDescent="0.25">
      <c r="A1104" s="3" t="s">
        <v>2268</v>
      </c>
      <c r="B1104" s="3" t="str">
        <f ca="1">IFERROR(__xludf.DUMMYFUNCTION("SPLIT(A1104,""/"")"),"vstconsulting")</f>
        <v>vstconsulting</v>
      </c>
      <c r="C1104" s="3" t="str">
        <f ca="1">IFERROR(__xludf.DUMMYFUNCTION("""COMPUTED_VALUE"""),"polemarch")</f>
        <v>polemarch</v>
      </c>
      <c r="D1104" s="4" t="s">
        <v>2269</v>
      </c>
      <c r="E1104" s="5">
        <v>42929.172650462962</v>
      </c>
      <c r="F1104" s="5">
        <v>44284.321192129632</v>
      </c>
      <c r="G1104" s="13">
        <f t="shared" si="102"/>
        <v>1355.1485416666692</v>
      </c>
      <c r="H1104" s="6" t="b">
        <v>0</v>
      </c>
      <c r="I1104" s="7" t="b">
        <v>1</v>
      </c>
      <c r="J1104" s="8">
        <v>531</v>
      </c>
      <c r="K1104" s="8">
        <v>51</v>
      </c>
      <c r="L1104" s="8">
        <v>85</v>
      </c>
      <c r="M1104" s="8">
        <v>60</v>
      </c>
      <c r="N1104" s="8">
        <v>0</v>
      </c>
      <c r="O1104" s="8">
        <v>6</v>
      </c>
      <c r="P1104" s="8">
        <v>7</v>
      </c>
      <c r="Q1104" s="8">
        <v>4</v>
      </c>
      <c r="R1104" s="8">
        <v>0</v>
      </c>
      <c r="S1104" s="8">
        <v>0</v>
      </c>
      <c r="T1104" s="3" t="s">
        <v>366</v>
      </c>
      <c r="U1104" s="10">
        <v>6248</v>
      </c>
      <c r="V1104" s="32">
        <v>24</v>
      </c>
      <c r="W1104" s="27">
        <v>3.8412291933418692E-3</v>
      </c>
      <c r="X1104" s="34">
        <v>11</v>
      </c>
      <c r="Y1104" s="27">
        <v>0.45833333333333331</v>
      </c>
      <c r="Z1104" s="27">
        <v>1.7605633802816902E-3</v>
      </c>
      <c r="AA1104" s="35">
        <v>4</v>
      </c>
      <c r="AB1104" s="27">
        <v>0.16666666666666666</v>
      </c>
      <c r="AC1104" s="27">
        <f t="shared" si="103"/>
        <v>6.4020486555697821E-4</v>
      </c>
      <c r="AD1104" s="36">
        <v>2</v>
      </c>
      <c r="AE1104" s="27">
        <v>8.3333333333333329E-2</v>
      </c>
      <c r="AF1104" s="27">
        <f t="shared" si="104"/>
        <v>3.201024327784891E-4</v>
      </c>
      <c r="AG1104" s="37">
        <v>7</v>
      </c>
      <c r="AH1104" s="27">
        <v>0.29166666666666669</v>
      </c>
      <c r="AI1104" s="27">
        <f t="shared" si="105"/>
        <v>1.120358514724712E-3</v>
      </c>
      <c r="AJ1104" s="38">
        <v>0</v>
      </c>
      <c r="AK1104" s="27">
        <v>0</v>
      </c>
      <c r="AL1104" s="27">
        <f t="shared" si="106"/>
        <v>0</v>
      </c>
      <c r="AM1104" s="40">
        <v>0</v>
      </c>
      <c r="AN1104" s="27">
        <v>0</v>
      </c>
      <c r="AO1104" s="27">
        <f t="shared" si="107"/>
        <v>0</v>
      </c>
      <c r="AP1104" s="7" t="b">
        <v>1</v>
      </c>
      <c r="AQ1104" s="7" t="b">
        <v>1</v>
      </c>
      <c r="AR1104" s="6" t="b">
        <v>0</v>
      </c>
      <c r="AS1104" s="6" t="b">
        <v>0</v>
      </c>
      <c r="AT1104" s="7" t="b">
        <v>1</v>
      </c>
      <c r="AU1104" s="6" t="b">
        <v>0</v>
      </c>
      <c r="AV1104" s="6" t="b">
        <v>0</v>
      </c>
      <c r="AW1104" s="6" t="b">
        <v>0</v>
      </c>
      <c r="AX1104" s="6" t="b">
        <v>0</v>
      </c>
      <c r="AY1104" s="6" t="b">
        <v>0</v>
      </c>
      <c r="AZ1104" s="6" t="b">
        <v>0</v>
      </c>
      <c r="BA1104" s="6" t="b">
        <v>0</v>
      </c>
      <c r="BB1104" s="6" t="b">
        <v>0</v>
      </c>
    </row>
    <row r="1105" spans="1:54" ht="15" x14ac:dyDescent="0.25">
      <c r="A1105" s="3" t="s">
        <v>2270</v>
      </c>
      <c r="B1105" s="3" t="str">
        <f ca="1">IFERROR(__xludf.DUMMYFUNCTION("SPLIT(A1105,""/"")"),"vwxyzjn")</f>
        <v>vwxyzjn</v>
      </c>
      <c r="C1105" s="3" t="str">
        <f ca="1">IFERROR(__xludf.DUMMYFUNCTION("""COMPUTED_VALUE"""),"cleanrl")</f>
        <v>cleanrl</v>
      </c>
      <c r="D1105" s="4" t="s">
        <v>2271</v>
      </c>
      <c r="E1105" s="5">
        <v>43623.688773148147</v>
      </c>
      <c r="F1105" s="5">
        <v>44294.730011574073</v>
      </c>
      <c r="G1105" s="13">
        <f t="shared" si="102"/>
        <v>671.04123842592526</v>
      </c>
      <c r="H1105" s="6" t="b">
        <v>0</v>
      </c>
      <c r="I1105" s="6" t="b">
        <v>0</v>
      </c>
      <c r="J1105" s="8">
        <v>358</v>
      </c>
      <c r="K1105" s="8">
        <v>14</v>
      </c>
      <c r="L1105" s="8">
        <v>42</v>
      </c>
      <c r="M1105" s="8">
        <v>4</v>
      </c>
      <c r="N1105" s="8">
        <v>0</v>
      </c>
      <c r="O1105" s="8">
        <v>7</v>
      </c>
      <c r="P1105" s="8">
        <v>20</v>
      </c>
      <c r="Q1105" s="8">
        <v>2</v>
      </c>
      <c r="R1105" s="8">
        <v>22</v>
      </c>
      <c r="S1105" s="8">
        <v>7</v>
      </c>
      <c r="T1105" s="3" t="s">
        <v>72</v>
      </c>
      <c r="U1105" s="10">
        <v>18388</v>
      </c>
      <c r="V1105" s="32">
        <v>23</v>
      </c>
      <c r="W1105" s="27">
        <v>1.2508157494017839E-3</v>
      </c>
      <c r="X1105" s="34">
        <v>0</v>
      </c>
      <c r="Y1105" s="27">
        <v>0</v>
      </c>
      <c r="Z1105" s="27">
        <v>0</v>
      </c>
      <c r="AA1105" s="35">
        <v>16</v>
      </c>
      <c r="AB1105" s="27">
        <v>0.69565217391304346</v>
      </c>
      <c r="AC1105" s="27">
        <f t="shared" si="103"/>
        <v>8.7013269523602351E-4</v>
      </c>
      <c r="AD1105" s="36">
        <v>0</v>
      </c>
      <c r="AE1105" s="27">
        <v>0</v>
      </c>
      <c r="AF1105" s="27">
        <f t="shared" si="104"/>
        <v>0</v>
      </c>
      <c r="AG1105" s="37">
        <v>2</v>
      </c>
      <c r="AH1105" s="27">
        <v>8.6956521739130432E-2</v>
      </c>
      <c r="AI1105" s="27">
        <f t="shared" si="105"/>
        <v>1.0876658690450294E-4</v>
      </c>
      <c r="AJ1105" s="38">
        <v>0</v>
      </c>
      <c r="AK1105" s="27">
        <v>0</v>
      </c>
      <c r="AL1105" s="27">
        <f t="shared" si="106"/>
        <v>0</v>
      </c>
      <c r="AM1105" s="40">
        <v>5</v>
      </c>
      <c r="AN1105" s="27">
        <v>0.21739130434782608</v>
      </c>
      <c r="AO1105" s="27">
        <f t="shared" si="107"/>
        <v>2.7191646726125733E-4</v>
      </c>
      <c r="AP1105" s="7" t="b">
        <v>1</v>
      </c>
      <c r="AQ1105" s="6" t="b">
        <v>0</v>
      </c>
      <c r="AR1105" s="6" t="b">
        <v>0</v>
      </c>
      <c r="AS1105" s="6" t="b">
        <v>0</v>
      </c>
      <c r="AT1105" s="7" t="b">
        <v>1</v>
      </c>
      <c r="AU1105" s="6" t="b">
        <v>0</v>
      </c>
      <c r="AV1105" s="6" t="b">
        <v>0</v>
      </c>
      <c r="AW1105" s="6" t="b">
        <v>0</v>
      </c>
      <c r="AX1105" s="6" t="b">
        <v>0</v>
      </c>
      <c r="AY1105" s="6" t="b">
        <v>0</v>
      </c>
      <c r="AZ1105" s="6" t="b">
        <v>0</v>
      </c>
      <c r="BA1105" s="6" t="b">
        <v>0</v>
      </c>
      <c r="BB1105" s="6" t="b">
        <v>0</v>
      </c>
    </row>
    <row r="1106" spans="1:54" ht="15" x14ac:dyDescent="0.25">
      <c r="A1106" s="3" t="s">
        <v>2272</v>
      </c>
      <c r="B1106" s="3" t="str">
        <f ca="1">IFERROR(__xludf.DUMMYFUNCTION("SPLIT(A1106,""/"")"),"vyperlang")</f>
        <v>vyperlang</v>
      </c>
      <c r="C1106" s="3" t="str">
        <f ca="1">IFERROR(__xludf.DUMMYFUNCTION("""COMPUTED_VALUE"""),"vyper")</f>
        <v>vyper</v>
      </c>
      <c r="D1106" s="4" t="s">
        <v>2273</v>
      </c>
      <c r="E1106" s="5">
        <v>42685.372696759259</v>
      </c>
      <c r="F1106" s="5">
        <v>44295.132488425923</v>
      </c>
      <c r="G1106" s="13">
        <f t="shared" si="102"/>
        <v>1609.7597916666637</v>
      </c>
      <c r="H1106" s="6" t="b">
        <v>0</v>
      </c>
      <c r="I1106" s="7" t="b">
        <v>1</v>
      </c>
      <c r="J1106" s="8">
        <v>2995</v>
      </c>
      <c r="K1106" s="8">
        <v>156</v>
      </c>
      <c r="L1106" s="8">
        <v>473</v>
      </c>
      <c r="M1106" s="8">
        <v>14</v>
      </c>
      <c r="N1106" s="8">
        <v>12</v>
      </c>
      <c r="O1106" s="8">
        <v>144</v>
      </c>
      <c r="P1106" s="8">
        <v>1165</v>
      </c>
      <c r="Q1106" s="8">
        <v>6</v>
      </c>
      <c r="R1106" s="8">
        <v>901</v>
      </c>
      <c r="S1106" s="8">
        <v>169</v>
      </c>
      <c r="T1106" s="3" t="s">
        <v>69</v>
      </c>
      <c r="U1106" s="10">
        <v>19052</v>
      </c>
      <c r="V1106" s="32">
        <v>5</v>
      </c>
      <c r="W1106" s="27">
        <v>2.6243963888305692E-4</v>
      </c>
      <c r="X1106" s="34">
        <v>0</v>
      </c>
      <c r="Y1106" s="27">
        <v>0</v>
      </c>
      <c r="Z1106" s="27">
        <v>0</v>
      </c>
      <c r="AA1106" s="35">
        <v>0</v>
      </c>
      <c r="AB1106" s="27">
        <v>0</v>
      </c>
      <c r="AC1106" s="27">
        <f t="shared" si="103"/>
        <v>0</v>
      </c>
      <c r="AD1106" s="36">
        <v>5</v>
      </c>
      <c r="AE1106" s="27">
        <v>1</v>
      </c>
      <c r="AF1106" s="27">
        <f t="shared" si="104"/>
        <v>2.6243963888305692E-4</v>
      </c>
      <c r="AG1106" s="37">
        <v>0</v>
      </c>
      <c r="AH1106" s="27">
        <v>0</v>
      </c>
      <c r="AI1106" s="27">
        <f t="shared" si="105"/>
        <v>0</v>
      </c>
      <c r="AJ1106" s="38">
        <v>0</v>
      </c>
      <c r="AK1106" s="27">
        <v>0</v>
      </c>
      <c r="AL1106" s="27">
        <f t="shared" si="106"/>
        <v>0</v>
      </c>
      <c r="AM1106" s="40">
        <v>0</v>
      </c>
      <c r="AN1106" s="27">
        <v>0</v>
      </c>
      <c r="AO1106" s="27">
        <f t="shared" si="107"/>
        <v>0</v>
      </c>
      <c r="AP1106" s="7" t="b">
        <v>1</v>
      </c>
      <c r="AQ1106" s="6" t="b">
        <v>0</v>
      </c>
      <c r="AR1106" s="6" t="b">
        <v>0</v>
      </c>
      <c r="AS1106" s="6" t="b">
        <v>0</v>
      </c>
      <c r="AT1106" s="7" t="b">
        <v>1</v>
      </c>
      <c r="AU1106" s="6" t="b">
        <v>0</v>
      </c>
      <c r="AV1106" s="6" t="b">
        <v>0</v>
      </c>
      <c r="AW1106" s="6" t="b">
        <v>0</v>
      </c>
      <c r="AX1106" s="6" t="b">
        <v>0</v>
      </c>
      <c r="AY1106" s="6" t="b">
        <v>0</v>
      </c>
      <c r="AZ1106" s="6" t="b">
        <v>0</v>
      </c>
      <c r="BA1106" s="6" t="b">
        <v>0</v>
      </c>
      <c r="BB1106" s="6" t="b">
        <v>0</v>
      </c>
    </row>
    <row r="1107" spans="1:54" ht="15" x14ac:dyDescent="0.25">
      <c r="A1107" s="3" t="s">
        <v>2274</v>
      </c>
      <c r="B1107" s="3" t="str">
        <f ca="1">IFERROR(__xludf.DUMMYFUNCTION("SPLIT(A1107,""/"")"),"wagtail")</f>
        <v>wagtail</v>
      </c>
      <c r="C1107" s="3" t="str">
        <f ca="1">IFERROR(__xludf.DUMMYFUNCTION("""COMPUTED_VALUE"""),"wagtail")</f>
        <v>wagtail</v>
      </c>
      <c r="D1107" s="4" t="s">
        <v>2275</v>
      </c>
      <c r="E1107" s="5">
        <v>41673.52915509259</v>
      </c>
      <c r="F1107" s="5">
        <v>44295.129340277781</v>
      </c>
      <c r="G1107" s="13">
        <f t="shared" si="102"/>
        <v>2621.6001851851906</v>
      </c>
      <c r="H1107" s="6" t="b">
        <v>0</v>
      </c>
      <c r="I1107" s="7" t="b">
        <v>1</v>
      </c>
      <c r="J1107" s="8">
        <v>10458</v>
      </c>
      <c r="K1107" s="8">
        <v>353</v>
      </c>
      <c r="L1107" s="8">
        <v>2153</v>
      </c>
      <c r="M1107" s="8">
        <v>142</v>
      </c>
      <c r="N1107" s="8">
        <v>287</v>
      </c>
      <c r="O1107" s="8">
        <v>465</v>
      </c>
      <c r="P1107" s="8">
        <v>3812</v>
      </c>
      <c r="Q1107" s="8">
        <v>181</v>
      </c>
      <c r="R1107" s="8">
        <v>3167</v>
      </c>
      <c r="S1107" s="8">
        <v>779</v>
      </c>
      <c r="T1107" s="3" t="s">
        <v>57</v>
      </c>
      <c r="U1107" s="10">
        <v>60539</v>
      </c>
      <c r="V1107" s="32">
        <v>88</v>
      </c>
      <c r="W1107" s="27">
        <v>1.4536084177142008E-3</v>
      </c>
      <c r="X1107" s="34">
        <v>0</v>
      </c>
      <c r="Y1107" s="27">
        <v>0</v>
      </c>
      <c r="Z1107" s="27">
        <v>0</v>
      </c>
      <c r="AA1107" s="35">
        <v>14</v>
      </c>
      <c r="AB1107" s="27">
        <v>0.15909090909090909</v>
      </c>
      <c r="AC1107" s="27">
        <f t="shared" si="103"/>
        <v>2.3125588463635013E-4</v>
      </c>
      <c r="AD1107" s="36">
        <v>17</v>
      </c>
      <c r="AE1107" s="27">
        <v>0.19318181818181818</v>
      </c>
      <c r="AF1107" s="27">
        <f t="shared" si="104"/>
        <v>2.8081071705842516E-4</v>
      </c>
      <c r="AG1107" s="37">
        <v>57</v>
      </c>
      <c r="AH1107" s="27">
        <v>0.64772727272727271</v>
      </c>
      <c r="AI1107" s="27">
        <f t="shared" si="105"/>
        <v>9.4154181601942548E-4</v>
      </c>
      <c r="AJ1107" s="38">
        <v>0</v>
      </c>
      <c r="AK1107" s="27">
        <v>0</v>
      </c>
      <c r="AL1107" s="27">
        <f t="shared" si="106"/>
        <v>0</v>
      </c>
      <c r="AM1107" s="40">
        <v>0</v>
      </c>
      <c r="AN1107" s="27">
        <v>0</v>
      </c>
      <c r="AO1107" s="27">
        <f t="shared" si="107"/>
        <v>0</v>
      </c>
      <c r="AP1107" s="7" t="b">
        <v>1</v>
      </c>
      <c r="AQ1107" s="6" t="b">
        <v>0</v>
      </c>
      <c r="AR1107" s="6" t="b">
        <v>0</v>
      </c>
      <c r="AS1107" s="6" t="b">
        <v>0</v>
      </c>
      <c r="AT1107" s="7" t="b">
        <v>1</v>
      </c>
      <c r="AU1107" s="6" t="b">
        <v>0</v>
      </c>
      <c r="AV1107" s="6" t="b">
        <v>0</v>
      </c>
      <c r="AW1107" s="6" t="b">
        <v>0</v>
      </c>
      <c r="AX1107" s="6" t="b">
        <v>0</v>
      </c>
      <c r="AY1107" s="6" t="b">
        <v>0</v>
      </c>
      <c r="AZ1107" s="6" t="b">
        <v>0</v>
      </c>
      <c r="BA1107" s="6" t="b">
        <v>0</v>
      </c>
      <c r="BB1107" s="6" t="b">
        <v>0</v>
      </c>
    </row>
    <row r="1108" spans="1:54" ht="15" x14ac:dyDescent="0.25">
      <c r="A1108" s="3" t="s">
        <v>2276</v>
      </c>
      <c r="B1108" s="3" t="str">
        <f ca="1">IFERROR(__xludf.DUMMYFUNCTION("SPLIT(A1108,""/"")"),"weaveworks")</f>
        <v>weaveworks</v>
      </c>
      <c r="C1108" s="3" t="str">
        <f ca="1">IFERROR(__xludf.DUMMYFUNCTION("""COMPUTED_VALUE"""),"kubediff")</f>
        <v>kubediff</v>
      </c>
      <c r="D1108" s="4" t="s">
        <v>2277</v>
      </c>
      <c r="E1108" s="5">
        <v>42559.580983796295</v>
      </c>
      <c r="F1108" s="5">
        <v>44292.119606481479</v>
      </c>
      <c r="G1108" s="13">
        <f t="shared" si="102"/>
        <v>1732.5386226851842</v>
      </c>
      <c r="H1108" s="6" t="b">
        <v>0</v>
      </c>
      <c r="I1108" s="7" t="b">
        <v>1</v>
      </c>
      <c r="J1108" s="8">
        <v>928</v>
      </c>
      <c r="K1108" s="8">
        <v>45</v>
      </c>
      <c r="L1108" s="8">
        <v>89</v>
      </c>
      <c r="M1108" s="8">
        <v>0</v>
      </c>
      <c r="N1108" s="8">
        <v>0</v>
      </c>
      <c r="O1108" s="8">
        <v>28</v>
      </c>
      <c r="P1108" s="8">
        <v>67</v>
      </c>
      <c r="Q1108" s="8">
        <v>6</v>
      </c>
      <c r="R1108" s="8">
        <v>38</v>
      </c>
      <c r="S1108" s="8">
        <v>17</v>
      </c>
      <c r="T1108" s="3" t="s">
        <v>92</v>
      </c>
      <c r="U1108" s="10">
        <v>601</v>
      </c>
      <c r="V1108" s="32">
        <v>5</v>
      </c>
      <c r="W1108" s="27">
        <v>8.3194675540765387E-3</v>
      </c>
      <c r="X1108" s="34">
        <v>0</v>
      </c>
      <c r="Y1108" s="27">
        <v>0</v>
      </c>
      <c r="Z1108" s="27">
        <v>0</v>
      </c>
      <c r="AA1108" s="35">
        <v>5</v>
      </c>
      <c r="AB1108" s="27">
        <v>1</v>
      </c>
      <c r="AC1108" s="27">
        <f t="shared" si="103"/>
        <v>8.3194675540765387E-3</v>
      </c>
      <c r="AD1108" s="36">
        <v>0</v>
      </c>
      <c r="AE1108" s="27">
        <v>0</v>
      </c>
      <c r="AF1108" s="27">
        <f t="shared" si="104"/>
        <v>0</v>
      </c>
      <c r="AG1108" s="37">
        <v>0</v>
      </c>
      <c r="AH1108" s="27">
        <v>0</v>
      </c>
      <c r="AI1108" s="27">
        <f t="shared" si="105"/>
        <v>0</v>
      </c>
      <c r="AJ1108" s="38">
        <v>0</v>
      </c>
      <c r="AK1108" s="27">
        <v>0</v>
      </c>
      <c r="AL1108" s="27">
        <f t="shared" si="106"/>
        <v>0</v>
      </c>
      <c r="AM1108" s="40">
        <v>0</v>
      </c>
      <c r="AN1108" s="27">
        <v>0</v>
      </c>
      <c r="AO1108" s="27">
        <f t="shared" si="107"/>
        <v>0</v>
      </c>
      <c r="AP1108" s="7" t="b">
        <v>1</v>
      </c>
      <c r="AQ1108" s="6" t="b">
        <v>0</v>
      </c>
      <c r="AR1108" s="6" t="b">
        <v>0</v>
      </c>
      <c r="AS1108" s="6" t="b">
        <v>0</v>
      </c>
      <c r="AT1108" s="7" t="b">
        <v>1</v>
      </c>
      <c r="AU1108" s="6" t="b">
        <v>0</v>
      </c>
      <c r="AV1108" s="6" t="b">
        <v>0</v>
      </c>
      <c r="AW1108" s="6" t="b">
        <v>0</v>
      </c>
      <c r="AX1108" s="6" t="b">
        <v>0</v>
      </c>
      <c r="AY1108" s="6" t="b">
        <v>0</v>
      </c>
      <c r="AZ1108" s="6" t="b">
        <v>0</v>
      </c>
      <c r="BA1108" s="6" t="b">
        <v>0</v>
      </c>
      <c r="BB1108" s="6" t="b">
        <v>0</v>
      </c>
    </row>
    <row r="1109" spans="1:54" ht="15" x14ac:dyDescent="0.25">
      <c r="A1109" s="3" t="s">
        <v>2278</v>
      </c>
      <c r="B1109" s="3" t="str">
        <f ca="1">IFERROR(__xludf.DUMMYFUNCTION("SPLIT(A1109,""/"")"),"web2py")</f>
        <v>web2py</v>
      </c>
      <c r="C1109" s="3" t="str">
        <f ca="1">IFERROR(__xludf.DUMMYFUNCTION("""COMPUTED_VALUE"""),"web2py")</f>
        <v>web2py</v>
      </c>
      <c r="D1109" s="4" t="s">
        <v>2279</v>
      </c>
      <c r="E1109" s="5">
        <v>39759.256226851852</v>
      </c>
      <c r="F1109" s="5">
        <v>44288.692824074074</v>
      </c>
      <c r="G1109" s="13">
        <f t="shared" si="102"/>
        <v>4529.4365972222222</v>
      </c>
      <c r="H1109" s="6" t="b">
        <v>0</v>
      </c>
      <c r="I1109" s="7" t="b">
        <v>1</v>
      </c>
      <c r="J1109" s="8">
        <v>1937</v>
      </c>
      <c r="K1109" s="8">
        <v>229</v>
      </c>
      <c r="L1109" s="8">
        <v>829</v>
      </c>
      <c r="M1109" s="8">
        <v>24</v>
      </c>
      <c r="N1109" s="8">
        <v>119</v>
      </c>
      <c r="O1109" s="8">
        <v>192</v>
      </c>
      <c r="P1109" s="8">
        <v>1376</v>
      </c>
      <c r="Q1109" s="8">
        <v>3</v>
      </c>
      <c r="R1109" s="8">
        <v>1007</v>
      </c>
      <c r="S1109" s="8">
        <v>350</v>
      </c>
      <c r="T1109" s="3" t="s">
        <v>92</v>
      </c>
      <c r="U1109" s="10">
        <v>59843</v>
      </c>
      <c r="V1109" s="32">
        <v>346</v>
      </c>
      <c r="W1109" s="27">
        <v>5.7817956987450498E-3</v>
      </c>
      <c r="X1109" s="34">
        <v>132</v>
      </c>
      <c r="Y1109" s="27">
        <v>0.38150289017341038</v>
      </c>
      <c r="Z1109" s="27">
        <v>2.2057717694634292E-3</v>
      </c>
      <c r="AA1109" s="35">
        <v>65</v>
      </c>
      <c r="AB1109" s="27">
        <v>0.18786127167630057</v>
      </c>
      <c r="AC1109" s="27">
        <f t="shared" si="103"/>
        <v>1.0861754925388099E-3</v>
      </c>
      <c r="AD1109" s="36">
        <v>66</v>
      </c>
      <c r="AE1109" s="27">
        <v>0.19075144508670519</v>
      </c>
      <c r="AF1109" s="27">
        <f t="shared" si="104"/>
        <v>1.1028858847317146E-3</v>
      </c>
      <c r="AG1109" s="37">
        <v>86</v>
      </c>
      <c r="AH1109" s="27">
        <v>0.24855491329479767</v>
      </c>
      <c r="AI1109" s="27">
        <f t="shared" si="105"/>
        <v>1.43709372858981E-3</v>
      </c>
      <c r="AJ1109" s="38">
        <v>2</v>
      </c>
      <c r="AK1109" s="27">
        <v>5.7803468208092483E-3</v>
      </c>
      <c r="AL1109" s="27">
        <f t="shared" si="106"/>
        <v>3.3420784385809535E-5</v>
      </c>
      <c r="AM1109" s="40">
        <v>0</v>
      </c>
      <c r="AN1109" s="27">
        <v>0</v>
      </c>
      <c r="AO1109" s="27">
        <f t="shared" si="107"/>
        <v>0</v>
      </c>
      <c r="AP1109" s="7" t="b">
        <v>1</v>
      </c>
      <c r="AQ1109" s="7" t="b">
        <v>1</v>
      </c>
      <c r="AR1109" s="6" t="b">
        <v>0</v>
      </c>
      <c r="AS1109" s="6" t="b">
        <v>0</v>
      </c>
      <c r="AT1109" s="7" t="b">
        <v>1</v>
      </c>
      <c r="AU1109" s="6" t="b">
        <v>0</v>
      </c>
      <c r="AV1109" s="6" t="b">
        <v>0</v>
      </c>
      <c r="AW1109" s="6" t="b">
        <v>0</v>
      </c>
      <c r="AX1109" s="6" t="b">
        <v>0</v>
      </c>
      <c r="AY1109" s="6" t="b">
        <v>0</v>
      </c>
      <c r="AZ1109" s="6" t="b">
        <v>0</v>
      </c>
      <c r="BA1109" s="6" t="b">
        <v>0</v>
      </c>
      <c r="BB1109" s="6" t="b">
        <v>0</v>
      </c>
    </row>
    <row r="1110" spans="1:54" ht="15" x14ac:dyDescent="0.25">
      <c r="A1110" s="3" t="s">
        <v>2280</v>
      </c>
      <c r="B1110" s="3" t="str">
        <f ca="1">IFERROR(__xludf.DUMMYFUNCTION("SPLIT(A1110,""/"")"),"WeblateOrg")</f>
        <v>WeblateOrg</v>
      </c>
      <c r="C1110" s="3" t="str">
        <f ca="1">IFERROR(__xludf.DUMMYFUNCTION("""COMPUTED_VALUE"""),"weblate")</f>
        <v>weblate</v>
      </c>
      <c r="D1110" s="4" t="s">
        <v>2281</v>
      </c>
      <c r="E1110" s="5">
        <v>40966.398252314815</v>
      </c>
      <c r="F1110" s="5">
        <v>44295.174803240741</v>
      </c>
      <c r="G1110" s="13">
        <f t="shared" si="102"/>
        <v>3328.7765509259261</v>
      </c>
      <c r="H1110" s="6" t="b">
        <v>0</v>
      </c>
      <c r="I1110" s="7" t="b">
        <v>1</v>
      </c>
      <c r="J1110" s="8">
        <v>2346</v>
      </c>
      <c r="K1110" s="8">
        <v>80</v>
      </c>
      <c r="L1110" s="8">
        <v>566</v>
      </c>
      <c r="M1110" s="8">
        <v>39</v>
      </c>
      <c r="N1110" s="8">
        <v>205</v>
      </c>
      <c r="O1110" s="8">
        <v>761</v>
      </c>
      <c r="P1110" s="8">
        <v>1985</v>
      </c>
      <c r="Q1110" s="8">
        <v>5</v>
      </c>
      <c r="R1110" s="8">
        <v>3694</v>
      </c>
      <c r="S1110" s="8">
        <v>270</v>
      </c>
      <c r="T1110" s="3" t="s">
        <v>49</v>
      </c>
      <c r="U1110" s="10">
        <v>50534</v>
      </c>
      <c r="V1110" s="32">
        <v>147</v>
      </c>
      <c r="W1110" s="27">
        <v>2.9089325998337755E-3</v>
      </c>
      <c r="X1110" s="34">
        <v>2</v>
      </c>
      <c r="Y1110" s="27">
        <v>1.3605442176870748E-2</v>
      </c>
      <c r="Z1110" s="27">
        <v>3.9577314283452728E-5</v>
      </c>
      <c r="AA1110" s="35">
        <v>32</v>
      </c>
      <c r="AB1110" s="27">
        <v>0.21768707482993196</v>
      </c>
      <c r="AC1110" s="27">
        <f t="shared" si="103"/>
        <v>6.3323702853524365E-4</v>
      </c>
      <c r="AD1110" s="36">
        <v>23</v>
      </c>
      <c r="AE1110" s="27">
        <v>0.15646258503401361</v>
      </c>
      <c r="AF1110" s="27">
        <f t="shared" si="104"/>
        <v>4.5513911425970632E-4</v>
      </c>
      <c r="AG1110" s="37">
        <v>88</v>
      </c>
      <c r="AH1110" s="27">
        <v>0.59863945578231292</v>
      </c>
      <c r="AI1110" s="27">
        <f t="shared" si="105"/>
        <v>1.7414018284719198E-3</v>
      </c>
      <c r="AJ1110" s="38">
        <v>0</v>
      </c>
      <c r="AK1110" s="27">
        <v>0</v>
      </c>
      <c r="AL1110" s="27">
        <f t="shared" si="106"/>
        <v>0</v>
      </c>
      <c r="AM1110" s="40">
        <v>2</v>
      </c>
      <c r="AN1110" s="27">
        <v>1.3605442176870748E-2</v>
      </c>
      <c r="AO1110" s="27">
        <f t="shared" si="107"/>
        <v>3.9577314283452728E-5</v>
      </c>
      <c r="AP1110" s="7" t="b">
        <v>1</v>
      </c>
      <c r="AQ1110" s="7" t="b">
        <v>1</v>
      </c>
      <c r="AR1110" s="6" t="b">
        <v>0</v>
      </c>
      <c r="AS1110" s="6" t="b">
        <v>0</v>
      </c>
      <c r="AT1110" s="7" t="b">
        <v>1</v>
      </c>
      <c r="AU1110" s="6" t="b">
        <v>0</v>
      </c>
      <c r="AV1110" s="6" t="b">
        <v>0</v>
      </c>
      <c r="AW1110" s="6" t="b">
        <v>0</v>
      </c>
      <c r="AX1110" s="6" t="b">
        <v>0</v>
      </c>
      <c r="AY1110" s="6" t="b">
        <v>0</v>
      </c>
      <c r="AZ1110" s="6" t="b">
        <v>0</v>
      </c>
      <c r="BA1110" s="6" t="b">
        <v>0</v>
      </c>
      <c r="BB1110" s="6" t="b">
        <v>0</v>
      </c>
    </row>
    <row r="1111" spans="1:54" ht="15" x14ac:dyDescent="0.25">
      <c r="A1111" s="3" t="s">
        <v>2282</v>
      </c>
      <c r="B1111" s="3" t="str">
        <f ca="1">IFERROR(__xludf.DUMMYFUNCTION("SPLIT(A1111,""/"")"),"webrecorder")</f>
        <v>webrecorder</v>
      </c>
      <c r="C1111" s="3" t="str">
        <f ca="1">IFERROR(__xludf.DUMMYFUNCTION("""COMPUTED_VALUE"""),"pywb")</f>
        <v>pywb</v>
      </c>
      <c r="D1111" s="4" t="s">
        <v>2283</v>
      </c>
      <c r="E1111" s="5">
        <v>41617.146192129629</v>
      </c>
      <c r="F1111" s="5">
        <v>44293.410358796296</v>
      </c>
      <c r="G1111" s="13">
        <f t="shared" si="102"/>
        <v>2676.2641666666677</v>
      </c>
      <c r="H1111" s="6" t="b">
        <v>0</v>
      </c>
      <c r="I1111" s="7" t="b">
        <v>1</v>
      </c>
      <c r="J1111" s="8">
        <v>808</v>
      </c>
      <c r="K1111" s="8">
        <v>52</v>
      </c>
      <c r="L1111" s="8">
        <v>113</v>
      </c>
      <c r="M1111" s="8">
        <v>23</v>
      </c>
      <c r="N1111" s="8">
        <v>4</v>
      </c>
      <c r="O1111" s="8">
        <v>35</v>
      </c>
      <c r="P1111" s="8">
        <v>300</v>
      </c>
      <c r="Q1111" s="8">
        <v>13</v>
      </c>
      <c r="R1111" s="8">
        <v>329</v>
      </c>
      <c r="S1111" s="8">
        <v>73</v>
      </c>
      <c r="T1111" s="3" t="s">
        <v>49</v>
      </c>
      <c r="U1111" s="10">
        <v>16355</v>
      </c>
      <c r="V1111" s="32">
        <v>23</v>
      </c>
      <c r="W1111" s="27">
        <v>1.406297768266585E-3</v>
      </c>
      <c r="X1111" s="34">
        <v>10</v>
      </c>
      <c r="Y1111" s="27">
        <v>0.43478260869565216</v>
      </c>
      <c r="Z1111" s="27">
        <v>6.1143381228981959E-4</v>
      </c>
      <c r="AA1111" s="35">
        <v>12</v>
      </c>
      <c r="AB1111" s="27">
        <v>0.52173913043478259</v>
      </c>
      <c r="AC1111" s="27">
        <f t="shared" si="103"/>
        <v>7.3372057474778353E-4</v>
      </c>
      <c r="AD1111" s="36">
        <v>0</v>
      </c>
      <c r="AE1111" s="27">
        <v>0</v>
      </c>
      <c r="AF1111" s="27">
        <f t="shared" si="104"/>
        <v>0</v>
      </c>
      <c r="AG1111" s="37">
        <v>1</v>
      </c>
      <c r="AH1111" s="27">
        <v>4.3478260869565216E-2</v>
      </c>
      <c r="AI1111" s="27">
        <f t="shared" si="105"/>
        <v>6.1143381228981957E-5</v>
      </c>
      <c r="AJ1111" s="38">
        <v>0</v>
      </c>
      <c r="AK1111" s="27">
        <v>0</v>
      </c>
      <c r="AL1111" s="27">
        <f t="shared" si="106"/>
        <v>0</v>
      </c>
      <c r="AM1111" s="40">
        <v>0</v>
      </c>
      <c r="AN1111" s="27">
        <v>0</v>
      </c>
      <c r="AO1111" s="27">
        <f t="shared" si="107"/>
        <v>0</v>
      </c>
      <c r="AP1111" s="7" t="b">
        <v>1</v>
      </c>
      <c r="AQ1111" s="6" t="b">
        <v>0</v>
      </c>
      <c r="AR1111" s="6" t="b">
        <v>0</v>
      </c>
      <c r="AS1111" s="6" t="b">
        <v>0</v>
      </c>
      <c r="AT1111" s="7" t="b">
        <v>1</v>
      </c>
      <c r="AU1111" s="6" t="b">
        <v>0</v>
      </c>
      <c r="AV1111" s="6" t="b">
        <v>0</v>
      </c>
      <c r="AW1111" s="6" t="b">
        <v>0</v>
      </c>
      <c r="AX1111" s="6" t="b">
        <v>0</v>
      </c>
      <c r="AY1111" s="6" t="b">
        <v>0</v>
      </c>
      <c r="AZ1111" s="6" t="b">
        <v>0</v>
      </c>
      <c r="BA1111" s="6" t="b">
        <v>0</v>
      </c>
      <c r="BB1111" s="6" t="b">
        <v>0</v>
      </c>
    </row>
    <row r="1112" spans="1:54" ht="15" x14ac:dyDescent="0.25">
      <c r="A1112" s="3" t="s">
        <v>2284</v>
      </c>
      <c r="B1112" s="3" t="str">
        <f ca="1">IFERROR(__xludf.DUMMYFUNCTION("SPLIT(A1112,""/"")"),"welliamcao")</f>
        <v>welliamcao</v>
      </c>
      <c r="C1112" s="3" t="str">
        <f ca="1">IFERROR(__xludf.DUMMYFUNCTION("""COMPUTED_VALUE"""),"OpsManage")</f>
        <v>OpsManage</v>
      </c>
      <c r="D1112" s="4" t="s">
        <v>2285</v>
      </c>
      <c r="E1112" s="5">
        <v>42855.493784722225</v>
      </c>
      <c r="F1112" s="5">
        <v>44293.59579861111</v>
      </c>
      <c r="G1112" s="13">
        <f t="shared" si="102"/>
        <v>1438.1020138888853</v>
      </c>
      <c r="H1112" s="6" t="b">
        <v>0</v>
      </c>
      <c r="I1112" s="6" t="b">
        <v>0</v>
      </c>
      <c r="J1112" s="8">
        <v>2649</v>
      </c>
      <c r="K1112" s="8">
        <v>216</v>
      </c>
      <c r="L1112" s="8">
        <v>1361</v>
      </c>
      <c r="M1112" s="8">
        <v>11</v>
      </c>
      <c r="N1112" s="8">
        <v>6</v>
      </c>
      <c r="O1112" s="8">
        <v>9</v>
      </c>
      <c r="P1112" s="8">
        <v>46</v>
      </c>
      <c r="Q1112" s="8">
        <v>17</v>
      </c>
      <c r="R1112" s="8">
        <v>263</v>
      </c>
      <c r="S1112" s="8">
        <v>45</v>
      </c>
      <c r="T1112" s="3" t="s">
        <v>64</v>
      </c>
      <c r="U1112" s="10">
        <v>15416</v>
      </c>
      <c r="V1112" s="32">
        <v>281</v>
      </c>
      <c r="W1112" s="27">
        <v>1.8227815256875973E-2</v>
      </c>
      <c r="X1112" s="34">
        <v>0</v>
      </c>
      <c r="Y1112" s="27">
        <v>0</v>
      </c>
      <c r="Z1112" s="27">
        <v>0</v>
      </c>
      <c r="AA1112" s="35">
        <v>3</v>
      </c>
      <c r="AB1112" s="27">
        <v>1.0676156583629894E-2</v>
      </c>
      <c r="AC1112" s="27">
        <f t="shared" si="103"/>
        <v>1.9460300985988584E-4</v>
      </c>
      <c r="AD1112" s="36">
        <v>107</v>
      </c>
      <c r="AE1112" s="27">
        <v>0.38078291814946619</v>
      </c>
      <c r="AF1112" s="27">
        <f t="shared" si="104"/>
        <v>6.9408406850025948E-3</v>
      </c>
      <c r="AG1112" s="37">
        <v>171</v>
      </c>
      <c r="AH1112" s="27">
        <v>0.60854092526690395</v>
      </c>
      <c r="AI1112" s="27">
        <f t="shared" si="105"/>
        <v>1.1092371562013493E-2</v>
      </c>
      <c r="AJ1112" s="38">
        <v>0</v>
      </c>
      <c r="AK1112" s="27">
        <v>0</v>
      </c>
      <c r="AL1112" s="27">
        <f t="shared" si="106"/>
        <v>0</v>
      </c>
      <c r="AM1112" s="40">
        <v>0</v>
      </c>
      <c r="AN1112" s="27">
        <v>0</v>
      </c>
      <c r="AO1112" s="27">
        <f t="shared" si="107"/>
        <v>0</v>
      </c>
      <c r="AP1112" s="7" t="b">
        <v>1</v>
      </c>
      <c r="AQ1112" s="7" t="b">
        <v>1</v>
      </c>
      <c r="AR1112" s="6" t="b">
        <v>0</v>
      </c>
      <c r="AS1112" s="6" t="b">
        <v>0</v>
      </c>
      <c r="AT1112" s="7" t="b">
        <v>1</v>
      </c>
      <c r="AU1112" s="6" t="b">
        <v>0</v>
      </c>
      <c r="AV1112" s="6" t="b">
        <v>0</v>
      </c>
      <c r="AW1112" s="6" t="b">
        <v>0</v>
      </c>
      <c r="AX1112" s="6" t="b">
        <v>0</v>
      </c>
      <c r="AY1112" s="6" t="b">
        <v>0</v>
      </c>
      <c r="AZ1112" s="6" t="b">
        <v>0</v>
      </c>
      <c r="BA1112" s="6" t="b">
        <v>0</v>
      </c>
      <c r="BB1112" s="6" t="b">
        <v>0</v>
      </c>
    </row>
    <row r="1113" spans="1:54" ht="15" x14ac:dyDescent="0.25">
      <c r="A1113" s="3" t="s">
        <v>2286</v>
      </c>
      <c r="B1113" s="3" t="str">
        <f ca="1">IFERROR(__xludf.DUMMYFUNCTION("SPLIT(A1113,""/"")"),"wemake-services")</f>
        <v>wemake-services</v>
      </c>
      <c r="C1113" s="3" t="str">
        <f ca="1">IFERROR(__xludf.DUMMYFUNCTION("""COMPUTED_VALUE"""),"wemake-django-template")</f>
        <v>wemake-django-template</v>
      </c>
      <c r="D1113" s="4" t="s">
        <v>2287</v>
      </c>
      <c r="E1113" s="5">
        <v>42992.391238425924</v>
      </c>
      <c r="F1113" s="5">
        <v>44294.931192129632</v>
      </c>
      <c r="G1113" s="13">
        <f t="shared" si="102"/>
        <v>1302.5399537037083</v>
      </c>
      <c r="H1113" s="6" t="b">
        <v>0</v>
      </c>
      <c r="I1113" s="7" t="b">
        <v>1</v>
      </c>
      <c r="J1113" s="8">
        <v>1161</v>
      </c>
      <c r="K1113" s="8">
        <v>35</v>
      </c>
      <c r="L1113" s="8">
        <v>131</v>
      </c>
      <c r="M1113" s="8">
        <v>2</v>
      </c>
      <c r="N1113" s="8">
        <v>6</v>
      </c>
      <c r="O1113" s="8">
        <v>33</v>
      </c>
      <c r="P1113" s="8">
        <v>1036</v>
      </c>
      <c r="Q1113" s="8">
        <v>0</v>
      </c>
      <c r="R1113" s="8">
        <v>508</v>
      </c>
      <c r="S1113" s="8">
        <v>31</v>
      </c>
      <c r="T1113" s="3" t="s">
        <v>72</v>
      </c>
      <c r="U1113" s="10">
        <v>427</v>
      </c>
      <c r="V1113" s="32">
        <v>0</v>
      </c>
      <c r="W1113" s="27">
        <v>0</v>
      </c>
      <c r="X1113" s="34">
        <v>0</v>
      </c>
      <c r="Y1113" s="27">
        <v>0</v>
      </c>
      <c r="Z1113" s="27">
        <v>0</v>
      </c>
      <c r="AA1113" s="35">
        <v>0</v>
      </c>
      <c r="AB1113" s="27">
        <v>0</v>
      </c>
      <c r="AC1113" s="27">
        <f t="shared" si="103"/>
        <v>0</v>
      </c>
      <c r="AD1113" s="36">
        <v>0</v>
      </c>
      <c r="AE1113" s="27">
        <v>0</v>
      </c>
      <c r="AF1113" s="27">
        <f t="shared" si="104"/>
        <v>0</v>
      </c>
      <c r="AG1113" s="37">
        <v>0</v>
      </c>
      <c r="AH1113" s="27">
        <v>0</v>
      </c>
      <c r="AI1113" s="27">
        <f t="shared" si="105"/>
        <v>0</v>
      </c>
      <c r="AJ1113" s="38">
        <v>0</v>
      </c>
      <c r="AK1113" s="27">
        <v>0</v>
      </c>
      <c r="AL1113" s="27">
        <f t="shared" si="106"/>
        <v>0</v>
      </c>
      <c r="AM1113" s="40">
        <v>0</v>
      </c>
      <c r="AN1113" s="27">
        <v>0</v>
      </c>
      <c r="AO1113" s="27">
        <f t="shared" si="107"/>
        <v>0</v>
      </c>
      <c r="AP1113" s="7" t="b">
        <v>1</v>
      </c>
      <c r="AQ1113" s="7" t="b">
        <v>1</v>
      </c>
      <c r="AR1113" s="6" t="b">
        <v>0</v>
      </c>
      <c r="AS1113" s="6" t="b">
        <v>0</v>
      </c>
      <c r="AT1113" s="7" t="b">
        <v>1</v>
      </c>
      <c r="AU1113" s="6" t="b">
        <v>0</v>
      </c>
      <c r="AV1113" s="6" t="b">
        <v>0</v>
      </c>
      <c r="AW1113" s="6" t="b">
        <v>0</v>
      </c>
      <c r="AX1113" s="6" t="b">
        <v>0</v>
      </c>
      <c r="AY1113" s="6" t="b">
        <v>0</v>
      </c>
      <c r="AZ1113" s="6" t="b">
        <v>0</v>
      </c>
      <c r="BA1113" s="7" t="b">
        <v>1</v>
      </c>
      <c r="BB1113" s="6" t="b">
        <v>0</v>
      </c>
    </row>
    <row r="1114" spans="1:54" ht="15" x14ac:dyDescent="0.25">
      <c r="A1114" s="3" t="s">
        <v>2288</v>
      </c>
      <c r="B1114" s="3" t="str">
        <f ca="1">IFERROR(__xludf.DUMMYFUNCTION("SPLIT(A1114,""/"")"),"weskerfoot")</f>
        <v>weskerfoot</v>
      </c>
      <c r="C1114" s="3" t="str">
        <f ca="1">IFERROR(__xludf.DUMMYFUNCTION("""COMPUTED_VALUE"""),"DeleteFB")</f>
        <v>DeleteFB</v>
      </c>
      <c r="D1114" s="4" t="s">
        <v>2289</v>
      </c>
      <c r="E1114" s="5">
        <v>43526.909791666665</v>
      </c>
      <c r="F1114" s="5">
        <v>44294.936053240737</v>
      </c>
      <c r="G1114" s="13">
        <f t="shared" si="102"/>
        <v>768.02626157407212</v>
      </c>
      <c r="H1114" s="6" t="b">
        <v>0</v>
      </c>
      <c r="I1114" s="6" t="b">
        <v>0</v>
      </c>
      <c r="J1114" s="8">
        <v>2683</v>
      </c>
      <c r="K1114" s="8">
        <v>32</v>
      </c>
      <c r="L1114" s="8">
        <v>183</v>
      </c>
      <c r="M1114" s="8">
        <v>12</v>
      </c>
      <c r="N1114" s="8">
        <v>0</v>
      </c>
      <c r="O1114" s="8">
        <v>21</v>
      </c>
      <c r="P1114" s="8">
        <v>67</v>
      </c>
      <c r="Q1114" s="8">
        <v>1</v>
      </c>
      <c r="R1114" s="8">
        <v>94</v>
      </c>
      <c r="S1114" s="8">
        <v>23</v>
      </c>
      <c r="T1114" s="3" t="s">
        <v>72</v>
      </c>
      <c r="U1114" s="10">
        <v>602</v>
      </c>
      <c r="V1114" s="32">
        <v>1</v>
      </c>
      <c r="W1114" s="27">
        <v>1.6611295681063123E-3</v>
      </c>
      <c r="X1114" s="34">
        <v>0</v>
      </c>
      <c r="Y1114" s="27">
        <v>0</v>
      </c>
      <c r="Z1114" s="27">
        <v>0</v>
      </c>
      <c r="AA1114" s="35">
        <v>0</v>
      </c>
      <c r="AB1114" s="27">
        <v>0</v>
      </c>
      <c r="AC1114" s="27">
        <f t="shared" si="103"/>
        <v>0</v>
      </c>
      <c r="AD1114" s="36">
        <v>0</v>
      </c>
      <c r="AE1114" s="27">
        <v>0</v>
      </c>
      <c r="AF1114" s="27">
        <f t="shared" si="104"/>
        <v>0</v>
      </c>
      <c r="AG1114" s="37">
        <v>1</v>
      </c>
      <c r="AH1114" s="27">
        <v>1</v>
      </c>
      <c r="AI1114" s="27">
        <f t="shared" si="105"/>
        <v>1.6611295681063123E-3</v>
      </c>
      <c r="AJ1114" s="38">
        <v>0</v>
      </c>
      <c r="AK1114" s="27">
        <v>0</v>
      </c>
      <c r="AL1114" s="27">
        <f t="shared" si="106"/>
        <v>0</v>
      </c>
      <c r="AM1114" s="40">
        <v>0</v>
      </c>
      <c r="AN1114" s="27">
        <v>0</v>
      </c>
      <c r="AO1114" s="27">
        <f t="shared" si="107"/>
        <v>0</v>
      </c>
      <c r="AP1114" s="7" t="b">
        <v>1</v>
      </c>
      <c r="AQ1114" s="6" t="b">
        <v>0</v>
      </c>
      <c r="AR1114" s="6" t="b">
        <v>0</v>
      </c>
      <c r="AS1114" s="6" t="b">
        <v>0</v>
      </c>
      <c r="AT1114" s="7" t="b">
        <v>1</v>
      </c>
      <c r="AU1114" s="6" t="b">
        <v>0</v>
      </c>
      <c r="AV1114" s="6" t="b">
        <v>0</v>
      </c>
      <c r="AW1114" s="6" t="b">
        <v>0</v>
      </c>
      <c r="AX1114" s="6" t="b">
        <v>0</v>
      </c>
      <c r="AY1114" s="6" t="b">
        <v>0</v>
      </c>
      <c r="AZ1114" s="6" t="b">
        <v>0</v>
      </c>
      <c r="BA1114" s="6" t="b">
        <v>0</v>
      </c>
      <c r="BB1114" s="6" t="b">
        <v>0</v>
      </c>
    </row>
    <row r="1115" spans="1:54" ht="15" x14ac:dyDescent="0.25">
      <c r="A1115" s="3" t="s">
        <v>2290</v>
      </c>
      <c r="B1115" s="3" t="str">
        <f ca="1">IFERROR(__xludf.DUMMYFUNCTION("SPLIT(A1115,""/"")"),"wger-project")</f>
        <v>wger-project</v>
      </c>
      <c r="C1115" s="3" t="str">
        <f ca="1">IFERROR(__xludf.DUMMYFUNCTION("""COMPUTED_VALUE"""),"wger")</f>
        <v>wger</v>
      </c>
      <c r="D1115" s="4" t="s">
        <v>2291</v>
      </c>
      <c r="E1115" s="5">
        <v>41293.690717592595</v>
      </c>
      <c r="F1115" s="5">
        <v>44294.207986111112</v>
      </c>
      <c r="G1115" s="13">
        <f t="shared" si="102"/>
        <v>3000.5172685185171</v>
      </c>
      <c r="H1115" s="6" t="b">
        <v>0</v>
      </c>
      <c r="I1115" s="7" t="b">
        <v>1</v>
      </c>
      <c r="J1115" s="8">
        <v>1414</v>
      </c>
      <c r="K1115" s="8">
        <v>75</v>
      </c>
      <c r="L1115" s="8">
        <v>326</v>
      </c>
      <c r="M1115" s="8">
        <v>8</v>
      </c>
      <c r="N1115" s="8">
        <v>9</v>
      </c>
      <c r="O1115" s="8">
        <v>54</v>
      </c>
      <c r="P1115" s="8">
        <v>220</v>
      </c>
      <c r="Q1115" s="8">
        <v>11</v>
      </c>
      <c r="R1115" s="8">
        <v>426</v>
      </c>
      <c r="S1115" s="8">
        <v>93</v>
      </c>
      <c r="T1115" s="3" t="s">
        <v>366</v>
      </c>
      <c r="U1115" s="10">
        <v>17265</v>
      </c>
      <c r="V1115" s="32">
        <v>12</v>
      </c>
      <c r="W1115" s="27">
        <v>6.9504778453518678E-4</v>
      </c>
      <c r="X1115" s="34">
        <v>8</v>
      </c>
      <c r="Y1115" s="27">
        <v>0.66666666666666663</v>
      </c>
      <c r="Z1115" s="27">
        <v>4.6336518969012454E-4</v>
      </c>
      <c r="AA1115" s="35">
        <v>3</v>
      </c>
      <c r="AB1115" s="27">
        <v>0.25</v>
      </c>
      <c r="AC1115" s="27">
        <f t="shared" si="103"/>
        <v>1.7376194613379669E-4</v>
      </c>
      <c r="AD1115" s="36">
        <v>0</v>
      </c>
      <c r="AE1115" s="27">
        <v>0</v>
      </c>
      <c r="AF1115" s="27">
        <f t="shared" si="104"/>
        <v>0</v>
      </c>
      <c r="AG1115" s="37">
        <v>1</v>
      </c>
      <c r="AH1115" s="27">
        <v>8.3333333333333329E-2</v>
      </c>
      <c r="AI1115" s="27">
        <f t="shared" si="105"/>
        <v>5.7920648711265567E-5</v>
      </c>
      <c r="AJ1115" s="38">
        <v>0</v>
      </c>
      <c r="AK1115" s="27">
        <v>0</v>
      </c>
      <c r="AL1115" s="27">
        <f t="shared" si="106"/>
        <v>0</v>
      </c>
      <c r="AM1115" s="40">
        <v>0</v>
      </c>
      <c r="AN1115" s="27">
        <v>0</v>
      </c>
      <c r="AO1115" s="27">
        <f t="shared" si="107"/>
        <v>0</v>
      </c>
      <c r="AP1115" s="7" t="b">
        <v>1</v>
      </c>
      <c r="AQ1115" s="7" t="b">
        <v>1</v>
      </c>
      <c r="AR1115" s="6" t="b">
        <v>0</v>
      </c>
      <c r="AS1115" s="6" t="b">
        <v>0</v>
      </c>
      <c r="AT1115" s="7" t="b">
        <v>1</v>
      </c>
      <c r="AU1115" s="6" t="b">
        <v>0</v>
      </c>
      <c r="AV1115" s="6" t="b">
        <v>0</v>
      </c>
      <c r="AW1115" s="6" t="b">
        <v>0</v>
      </c>
      <c r="AX1115" s="6" t="b">
        <v>0</v>
      </c>
      <c r="AY1115" s="6" t="b">
        <v>0</v>
      </c>
      <c r="AZ1115" s="6" t="b">
        <v>0</v>
      </c>
      <c r="BA1115" s="6" t="b">
        <v>0</v>
      </c>
      <c r="BB1115" s="6" t="b">
        <v>0</v>
      </c>
    </row>
    <row r="1116" spans="1:54" ht="15" x14ac:dyDescent="0.25">
      <c r="A1116" s="3" t="s">
        <v>2292</v>
      </c>
      <c r="B1116" s="3" t="str">
        <f ca="1">IFERROR(__xludf.DUMMYFUNCTION("SPLIT(A1116,""/"")"),"Wh0ale")</f>
        <v>Wh0ale</v>
      </c>
      <c r="C1116" s="3" t="str">
        <f ca="1">IFERROR(__xludf.DUMMYFUNCTION("""COMPUTED_VALUE"""),"SRC-script")</f>
        <v>SRC-script</v>
      </c>
      <c r="D1116" s="4" t="s">
        <v>2293</v>
      </c>
      <c r="E1116" s="5">
        <v>43527.582094907404</v>
      </c>
      <c r="F1116" s="5">
        <v>44291.257604166669</v>
      </c>
      <c r="G1116" s="13">
        <f t="shared" si="102"/>
        <v>763.6755092592648</v>
      </c>
      <c r="H1116" s="6" t="b">
        <v>0</v>
      </c>
      <c r="I1116" s="6" t="b">
        <v>0</v>
      </c>
      <c r="J1116" s="8">
        <v>373</v>
      </c>
      <c r="K1116" s="8">
        <v>7</v>
      </c>
      <c r="L1116" s="8">
        <v>126</v>
      </c>
      <c r="M1116" s="8">
        <v>0</v>
      </c>
      <c r="N1116" s="8">
        <v>0</v>
      </c>
      <c r="O1116" s="9">
        <v>0</v>
      </c>
      <c r="P1116" s="8">
        <v>2</v>
      </c>
      <c r="Q1116" s="8">
        <v>2</v>
      </c>
      <c r="R1116" s="8">
        <v>0</v>
      </c>
      <c r="S1116" s="8">
        <v>0</v>
      </c>
      <c r="T1116" s="11" t="s">
        <v>52</v>
      </c>
      <c r="U1116" s="10">
        <v>59064</v>
      </c>
      <c r="V1116" s="32">
        <v>452</v>
      </c>
      <c r="W1116" s="27">
        <v>7.6527156982256535E-3</v>
      </c>
      <c r="X1116" s="34">
        <v>154</v>
      </c>
      <c r="Y1116" s="27">
        <v>0.34070796460176989</v>
      </c>
      <c r="Z1116" s="27">
        <v>2.6073411892184751E-3</v>
      </c>
      <c r="AA1116" s="35">
        <v>157</v>
      </c>
      <c r="AB1116" s="27">
        <v>0.34734513274336282</v>
      </c>
      <c r="AC1116" s="27">
        <f t="shared" si="103"/>
        <v>2.6581335500474061E-3</v>
      </c>
      <c r="AD1116" s="36">
        <v>53</v>
      </c>
      <c r="AE1116" s="27">
        <v>0.11725663716814159</v>
      </c>
      <c r="AF1116" s="27">
        <f t="shared" si="104"/>
        <v>8.9733170797778677E-4</v>
      </c>
      <c r="AG1116" s="37">
        <v>70</v>
      </c>
      <c r="AH1116" s="27">
        <v>0.15486725663716813</v>
      </c>
      <c r="AI1116" s="27">
        <f t="shared" si="105"/>
        <v>1.1851550860083977E-3</v>
      </c>
      <c r="AJ1116" s="38">
        <v>8</v>
      </c>
      <c r="AK1116" s="27">
        <v>1.7699115044247787E-2</v>
      </c>
      <c r="AL1116" s="27">
        <f t="shared" si="106"/>
        <v>1.3544629554381688E-4</v>
      </c>
      <c r="AM1116" s="40">
        <v>0</v>
      </c>
      <c r="AN1116" s="27">
        <v>0</v>
      </c>
      <c r="AO1116" s="27">
        <f t="shared" si="107"/>
        <v>0</v>
      </c>
      <c r="AP1116" s="7" t="b">
        <v>1</v>
      </c>
      <c r="AQ1116" s="7" t="b">
        <v>1</v>
      </c>
      <c r="AR1116" s="6" t="b">
        <v>0</v>
      </c>
      <c r="AS1116" s="6" t="b">
        <v>0</v>
      </c>
      <c r="AT1116" s="7" t="b">
        <v>1</v>
      </c>
      <c r="AU1116" s="6" t="b">
        <v>0</v>
      </c>
      <c r="AV1116" s="6" t="b">
        <v>0</v>
      </c>
      <c r="AW1116" s="6" t="b">
        <v>0</v>
      </c>
      <c r="AX1116" s="6" t="b">
        <v>0</v>
      </c>
      <c r="AY1116" s="6" t="b">
        <v>0</v>
      </c>
      <c r="AZ1116" s="6" t="b">
        <v>0</v>
      </c>
      <c r="BA1116" s="6" t="b">
        <v>0</v>
      </c>
      <c r="BB1116" s="6" t="b">
        <v>0</v>
      </c>
    </row>
    <row r="1117" spans="1:54" ht="15" x14ac:dyDescent="0.25">
      <c r="A1117" s="3" t="s">
        <v>2294</v>
      </c>
      <c r="B1117" s="3" t="str">
        <f ca="1">IFERROR(__xludf.DUMMYFUNCTION("SPLIT(A1117,""/"")"),"WhaleShark-Team")</f>
        <v>WhaleShark-Team</v>
      </c>
      <c r="C1117" s="3" t="str">
        <f ca="1">IFERROR(__xludf.DUMMYFUNCTION("""COMPUTED_VALUE"""),"cobra")</f>
        <v>cobra</v>
      </c>
      <c r="D1117" s="4" t="s">
        <v>2295</v>
      </c>
      <c r="E1117" s="5">
        <v>42475.361979166664</v>
      </c>
      <c r="F1117" s="5">
        <v>44292.291817129626</v>
      </c>
      <c r="G1117" s="13">
        <f t="shared" si="102"/>
        <v>1816.9298379629618</v>
      </c>
      <c r="H1117" s="6" t="b">
        <v>0</v>
      </c>
      <c r="I1117" s="7" t="b">
        <v>1</v>
      </c>
      <c r="J1117" s="8">
        <v>2630</v>
      </c>
      <c r="K1117" s="8">
        <v>150</v>
      </c>
      <c r="L1117" s="8">
        <v>840</v>
      </c>
      <c r="M1117" s="8">
        <v>28</v>
      </c>
      <c r="N1117" s="8">
        <v>3</v>
      </c>
      <c r="O1117" s="8">
        <v>18</v>
      </c>
      <c r="P1117" s="8">
        <v>421</v>
      </c>
      <c r="Q1117" s="8">
        <v>12</v>
      </c>
      <c r="R1117" s="8">
        <v>974</v>
      </c>
      <c r="S1117" s="8">
        <v>59</v>
      </c>
      <c r="T1117" s="3" t="s">
        <v>72</v>
      </c>
      <c r="U1117" s="10">
        <v>5350</v>
      </c>
      <c r="V1117" s="32">
        <v>282</v>
      </c>
      <c r="W1117" s="27">
        <v>5.2710280373831776E-2</v>
      </c>
      <c r="X1117" s="34">
        <v>109</v>
      </c>
      <c r="Y1117" s="27">
        <v>0.38652482269503546</v>
      </c>
      <c r="Z1117" s="27">
        <v>2.0373831775700936E-2</v>
      </c>
      <c r="AA1117" s="35">
        <v>74</v>
      </c>
      <c r="AB1117" s="27">
        <v>0.26241134751773049</v>
      </c>
      <c r="AC1117" s="27">
        <f t="shared" si="103"/>
        <v>1.3831775700934579E-2</v>
      </c>
      <c r="AD1117" s="36">
        <v>42</v>
      </c>
      <c r="AE1117" s="27">
        <v>0.14893617021276595</v>
      </c>
      <c r="AF1117" s="27">
        <f t="shared" si="104"/>
        <v>7.8504672897196266E-3</v>
      </c>
      <c r="AG1117" s="37">
        <v>3</v>
      </c>
      <c r="AH1117" s="27">
        <v>1.0638297872340425E-2</v>
      </c>
      <c r="AI1117" s="27">
        <f t="shared" si="105"/>
        <v>5.6074766355140187E-4</v>
      </c>
      <c r="AJ1117" s="38">
        <v>52</v>
      </c>
      <c r="AK1117" s="27">
        <v>0.18439716312056736</v>
      </c>
      <c r="AL1117" s="27">
        <f t="shared" si="106"/>
        <v>9.7196261682242994E-3</v>
      </c>
      <c r="AM1117" s="40">
        <v>0</v>
      </c>
      <c r="AN1117" s="27">
        <v>0</v>
      </c>
      <c r="AO1117" s="27">
        <f t="shared" si="107"/>
        <v>0</v>
      </c>
      <c r="AP1117" s="7" t="b">
        <v>1</v>
      </c>
      <c r="AQ1117" s="6" t="b">
        <v>0</v>
      </c>
      <c r="AR1117" s="6" t="b">
        <v>0</v>
      </c>
      <c r="AS1117" s="6" t="b">
        <v>0</v>
      </c>
      <c r="AT1117" s="7" t="b">
        <v>1</v>
      </c>
      <c r="AU1117" s="6" t="b">
        <v>0</v>
      </c>
      <c r="AV1117" s="6" t="b">
        <v>0</v>
      </c>
      <c r="AW1117" s="6" t="b">
        <v>0</v>
      </c>
      <c r="AX1117" s="6" t="b">
        <v>0</v>
      </c>
      <c r="AY1117" s="6" t="b">
        <v>0</v>
      </c>
      <c r="AZ1117" s="6" t="b">
        <v>0</v>
      </c>
      <c r="BA1117" s="6" t="b">
        <v>0</v>
      </c>
      <c r="BB1117" s="6" t="b">
        <v>0</v>
      </c>
    </row>
    <row r="1118" spans="1:54" ht="15" x14ac:dyDescent="0.25">
      <c r="A1118" s="3" t="s">
        <v>2296</v>
      </c>
      <c r="B1118" s="3" t="str">
        <f ca="1">IFERROR(__xludf.DUMMYFUNCTION("SPLIT(A1118,""/"")"),"whipper-team")</f>
        <v>whipper-team</v>
      </c>
      <c r="C1118" s="3" t="str">
        <f ca="1">IFERROR(__xludf.DUMMYFUNCTION("""COMPUTED_VALUE"""),"whipper")</f>
        <v>whipper</v>
      </c>
      <c r="D1118" s="4" t="s">
        <v>2297</v>
      </c>
      <c r="E1118" s="5">
        <v>42102.864918981482</v>
      </c>
      <c r="F1118" s="5">
        <v>44295.037280092591</v>
      </c>
      <c r="G1118" s="13">
        <f t="shared" si="102"/>
        <v>2192.1723611111083</v>
      </c>
      <c r="H1118" s="6" t="b">
        <v>0</v>
      </c>
      <c r="I1118" s="7" t="b">
        <v>1</v>
      </c>
      <c r="J1118" s="8">
        <v>523</v>
      </c>
      <c r="K1118" s="8">
        <v>49</v>
      </c>
      <c r="L1118" s="8">
        <v>67</v>
      </c>
      <c r="M1118" s="8">
        <v>14</v>
      </c>
      <c r="N1118" s="8">
        <v>22</v>
      </c>
      <c r="O1118" s="8">
        <v>45</v>
      </c>
      <c r="P1118" s="8">
        <v>199</v>
      </c>
      <c r="Q1118" s="8">
        <v>3</v>
      </c>
      <c r="R1118" s="8">
        <v>333</v>
      </c>
      <c r="S1118" s="8">
        <v>93</v>
      </c>
      <c r="T1118" s="3" t="s">
        <v>49</v>
      </c>
      <c r="U1118" s="10">
        <v>5578</v>
      </c>
      <c r="V1118" s="32">
        <v>278</v>
      </c>
      <c r="W1118" s="27">
        <v>4.9838651846539982E-2</v>
      </c>
      <c r="X1118" s="34">
        <v>174</v>
      </c>
      <c r="Y1118" s="27">
        <v>0.62589928057553956</v>
      </c>
      <c r="Z1118" s="27">
        <v>3.1193976335604161E-2</v>
      </c>
      <c r="AA1118" s="35">
        <v>27</v>
      </c>
      <c r="AB1118" s="27">
        <v>9.7122302158273388E-2</v>
      </c>
      <c r="AC1118" s="27">
        <f t="shared" si="103"/>
        <v>4.8404446038006451E-3</v>
      </c>
      <c r="AD1118" s="36">
        <v>52</v>
      </c>
      <c r="AE1118" s="27">
        <v>0.18705035971223022</v>
      </c>
      <c r="AF1118" s="27">
        <f t="shared" si="104"/>
        <v>9.3223377554679104E-3</v>
      </c>
      <c r="AG1118" s="37">
        <v>12</v>
      </c>
      <c r="AH1118" s="27">
        <v>4.3165467625899283E-2</v>
      </c>
      <c r="AI1118" s="27">
        <f t="shared" si="105"/>
        <v>2.1513087128002869E-3</v>
      </c>
      <c r="AJ1118" s="38">
        <v>13</v>
      </c>
      <c r="AK1118" s="27">
        <v>4.6762589928057555E-2</v>
      </c>
      <c r="AL1118" s="27">
        <f t="shared" si="106"/>
        <v>2.3305844388669776E-3</v>
      </c>
      <c r="AM1118" s="40">
        <v>0</v>
      </c>
      <c r="AN1118" s="27">
        <v>0</v>
      </c>
      <c r="AO1118" s="27">
        <f t="shared" si="107"/>
        <v>0</v>
      </c>
      <c r="AP1118" s="7" t="b">
        <v>1</v>
      </c>
      <c r="AQ1118" s="6" t="b">
        <v>0</v>
      </c>
      <c r="AR1118" s="6" t="b">
        <v>0</v>
      </c>
      <c r="AS1118" s="6" t="b">
        <v>0</v>
      </c>
      <c r="AT1118" s="7" t="b">
        <v>1</v>
      </c>
      <c r="AU1118" s="6" t="b">
        <v>0</v>
      </c>
      <c r="AV1118" s="6" t="b">
        <v>0</v>
      </c>
      <c r="AW1118" s="6" t="b">
        <v>0</v>
      </c>
      <c r="AX1118" s="6" t="b">
        <v>0</v>
      </c>
      <c r="AY1118" s="6" t="b">
        <v>0</v>
      </c>
      <c r="AZ1118" s="6" t="b">
        <v>0</v>
      </c>
      <c r="BA1118" s="6" t="b">
        <v>0</v>
      </c>
      <c r="BB1118" s="6" t="b">
        <v>0</v>
      </c>
    </row>
    <row r="1119" spans="1:54" ht="15" x14ac:dyDescent="0.25">
      <c r="A1119" s="3" t="s">
        <v>2298</v>
      </c>
      <c r="B1119" s="3" t="str">
        <f ca="1">IFERROR(__xludf.DUMMYFUNCTION("SPLIT(A1119,""/"")"),"wikimedia")</f>
        <v>wikimedia</v>
      </c>
      <c r="C1119" s="3" t="str">
        <f ca="1">IFERROR(__xludf.DUMMYFUNCTION("""COMPUTED_VALUE"""),"pywikibot")</f>
        <v>pywikibot</v>
      </c>
      <c r="D1119" s="4" t="s">
        <v>2299</v>
      </c>
      <c r="E1119" s="5">
        <v>41444.6796875</v>
      </c>
      <c r="F1119" s="5">
        <v>44294.54420138889</v>
      </c>
      <c r="G1119" s="13">
        <f t="shared" si="102"/>
        <v>2849.8645138888896</v>
      </c>
      <c r="H1119" s="6" t="b">
        <v>0</v>
      </c>
      <c r="I1119" s="7" t="b">
        <v>1</v>
      </c>
      <c r="J1119" s="8">
        <v>405</v>
      </c>
      <c r="K1119" s="8">
        <v>52</v>
      </c>
      <c r="L1119" s="8">
        <v>153</v>
      </c>
      <c r="M1119" s="8">
        <v>0</v>
      </c>
      <c r="N1119" s="8">
        <v>7</v>
      </c>
      <c r="O1119" s="8">
        <v>191</v>
      </c>
      <c r="P1119" s="8">
        <v>37</v>
      </c>
      <c r="Q1119" s="8">
        <v>0</v>
      </c>
      <c r="R1119" s="8">
        <v>0</v>
      </c>
      <c r="S1119" s="8">
        <v>0</v>
      </c>
      <c r="T1119" s="3" t="s">
        <v>72</v>
      </c>
      <c r="U1119" s="10">
        <v>58954</v>
      </c>
      <c r="V1119" s="32">
        <v>398</v>
      </c>
      <c r="W1119" s="27">
        <v>6.7510262238355328E-3</v>
      </c>
      <c r="X1119" s="34">
        <v>52</v>
      </c>
      <c r="Y1119" s="27">
        <v>0.1306532663316583</v>
      </c>
      <c r="Z1119" s="27">
        <v>8.8204362723479318E-4</v>
      </c>
      <c r="AA1119" s="35">
        <v>4</v>
      </c>
      <c r="AB1119" s="27">
        <v>1.0050251256281407E-2</v>
      </c>
      <c r="AC1119" s="27">
        <f t="shared" si="103"/>
        <v>6.7849509787291787E-5</v>
      </c>
      <c r="AD1119" s="36">
        <v>155</v>
      </c>
      <c r="AE1119" s="27">
        <v>0.38944723618090454</v>
      </c>
      <c r="AF1119" s="27">
        <f t="shared" si="104"/>
        <v>2.6291685042575566E-3</v>
      </c>
      <c r="AG1119" s="37">
        <v>142</v>
      </c>
      <c r="AH1119" s="27">
        <v>0.35678391959798994</v>
      </c>
      <c r="AI1119" s="27">
        <f t="shared" si="105"/>
        <v>2.4086575974488584E-3</v>
      </c>
      <c r="AJ1119" s="38">
        <v>1</v>
      </c>
      <c r="AK1119" s="27">
        <v>2.5125628140703518E-3</v>
      </c>
      <c r="AL1119" s="27">
        <f t="shared" si="106"/>
        <v>1.6962377446822947E-5</v>
      </c>
      <c r="AM1119" s="40">
        <v>58</v>
      </c>
      <c r="AN1119" s="27">
        <v>0.14572864321608039</v>
      </c>
      <c r="AO1119" s="27">
        <f t="shared" si="107"/>
        <v>9.8381789191573084E-4</v>
      </c>
      <c r="AP1119" s="7" t="b">
        <v>1</v>
      </c>
      <c r="AQ1119" s="6" t="b">
        <v>0</v>
      </c>
      <c r="AR1119" s="6" t="b">
        <v>0</v>
      </c>
      <c r="AS1119" s="6" t="b">
        <v>0</v>
      </c>
      <c r="AT1119" s="7" t="b">
        <v>1</v>
      </c>
      <c r="AU1119" s="6" t="b">
        <v>0</v>
      </c>
      <c r="AV1119" s="6" t="b">
        <v>0</v>
      </c>
      <c r="AW1119" s="6" t="b">
        <v>0</v>
      </c>
      <c r="AX1119" s="6" t="b">
        <v>0</v>
      </c>
      <c r="AY1119" s="6" t="b">
        <v>0</v>
      </c>
      <c r="AZ1119" s="6" t="b">
        <v>0</v>
      </c>
      <c r="BA1119" s="6" t="b">
        <v>0</v>
      </c>
      <c r="BB1119" s="6" t="b">
        <v>0</v>
      </c>
    </row>
    <row r="1120" spans="1:54" ht="15" x14ac:dyDescent="0.25">
      <c r="A1120" s="3" t="s">
        <v>2300</v>
      </c>
      <c r="B1120" s="3" t="str">
        <f ca="1">IFERROR(__xludf.DUMMYFUNCTION("SPLIT(A1120,""/"")"),"witten")</f>
        <v>witten</v>
      </c>
      <c r="C1120" s="3" t="str">
        <f ca="1">IFERROR(__xludf.DUMMYFUNCTION("""COMPUTED_VALUE"""),"borgmatic")</f>
        <v>borgmatic</v>
      </c>
      <c r="D1120" s="4" t="s">
        <v>2301</v>
      </c>
      <c r="E1120" s="5">
        <v>41962.100439814814</v>
      </c>
      <c r="F1120" s="5">
        <v>44294.513958333337</v>
      </c>
      <c r="G1120" s="13">
        <f t="shared" si="102"/>
        <v>2332.4135185185223</v>
      </c>
      <c r="H1120" s="6" t="b">
        <v>0</v>
      </c>
      <c r="I1120" s="6" t="b">
        <v>0</v>
      </c>
      <c r="J1120" s="8">
        <v>928</v>
      </c>
      <c r="K1120" s="8">
        <v>32</v>
      </c>
      <c r="L1120" s="8">
        <v>56</v>
      </c>
      <c r="M1120" s="8">
        <v>76</v>
      </c>
      <c r="N1120" s="8">
        <v>2</v>
      </c>
      <c r="O1120" s="8">
        <v>33</v>
      </c>
      <c r="P1120" s="8">
        <v>39</v>
      </c>
      <c r="Q1120" s="8">
        <v>0</v>
      </c>
      <c r="R1120" s="8">
        <v>0</v>
      </c>
      <c r="S1120" s="8">
        <v>0</v>
      </c>
      <c r="T1120" s="3" t="s">
        <v>49</v>
      </c>
      <c r="U1120" s="10">
        <v>5889</v>
      </c>
      <c r="V1120" s="32">
        <v>55</v>
      </c>
      <c r="W1120" s="27">
        <v>9.3394464255391416E-3</v>
      </c>
      <c r="X1120" s="34">
        <v>18</v>
      </c>
      <c r="Y1120" s="27">
        <v>0.32727272727272727</v>
      </c>
      <c r="Z1120" s="27">
        <v>3.0565461029037188E-3</v>
      </c>
      <c r="AA1120" s="35">
        <v>23</v>
      </c>
      <c r="AB1120" s="27">
        <v>0.41818181818181815</v>
      </c>
      <c r="AC1120" s="27">
        <f t="shared" si="103"/>
        <v>3.9055866870436407E-3</v>
      </c>
      <c r="AD1120" s="36">
        <v>4</v>
      </c>
      <c r="AE1120" s="27">
        <v>7.2727272727272724E-2</v>
      </c>
      <c r="AF1120" s="27">
        <f t="shared" si="104"/>
        <v>6.7923246731193751E-4</v>
      </c>
      <c r="AG1120" s="37">
        <v>0</v>
      </c>
      <c r="AH1120" s="27">
        <v>0</v>
      </c>
      <c r="AI1120" s="27">
        <f t="shared" si="105"/>
        <v>0</v>
      </c>
      <c r="AJ1120" s="38">
        <v>8</v>
      </c>
      <c r="AK1120" s="27">
        <v>0.14545454545454545</v>
      </c>
      <c r="AL1120" s="27">
        <f t="shared" si="106"/>
        <v>1.358464934623875E-3</v>
      </c>
      <c r="AM1120" s="40">
        <v>2</v>
      </c>
      <c r="AN1120" s="27">
        <v>3.6363636363636362E-2</v>
      </c>
      <c r="AO1120" s="27">
        <f t="shared" si="107"/>
        <v>3.3961623365596876E-4</v>
      </c>
      <c r="AP1120" s="7" t="b">
        <v>1</v>
      </c>
      <c r="AQ1120" s="7" t="b">
        <v>1</v>
      </c>
      <c r="AR1120" s="6" t="b">
        <v>0</v>
      </c>
      <c r="AS1120" s="6" t="b">
        <v>0</v>
      </c>
      <c r="AT1120" s="7" t="b">
        <v>1</v>
      </c>
      <c r="AU1120" s="6" t="b">
        <v>0</v>
      </c>
      <c r="AV1120" s="6" t="b">
        <v>0</v>
      </c>
      <c r="AW1120" s="6" t="b">
        <v>0</v>
      </c>
      <c r="AX1120" s="6" t="b">
        <v>0</v>
      </c>
      <c r="AY1120" s="6" t="b">
        <v>0</v>
      </c>
      <c r="AZ1120" s="6" t="b">
        <v>0</v>
      </c>
      <c r="BA1120" s="6" t="b">
        <v>0</v>
      </c>
      <c r="BB1120" s="6" t="b">
        <v>0</v>
      </c>
    </row>
    <row r="1121" spans="1:54" ht="15" x14ac:dyDescent="0.25">
      <c r="A1121" s="3" t="s">
        <v>2302</v>
      </c>
      <c r="B1121" s="3" t="str">
        <f ca="1">IFERROR(__xludf.DUMMYFUNCTION("SPLIT(A1121,""/"")"),"wkentaro")</f>
        <v>wkentaro</v>
      </c>
      <c r="C1121" s="3" t="str">
        <f ca="1">IFERROR(__xludf.DUMMYFUNCTION("""COMPUTED_VALUE"""),"labelme")</f>
        <v>labelme</v>
      </c>
      <c r="D1121" s="4" t="s">
        <v>2303</v>
      </c>
      <c r="E1121" s="5">
        <v>42499.521134259259</v>
      </c>
      <c r="F1121" s="5">
        <v>44295.024282407408</v>
      </c>
      <c r="G1121" s="13">
        <f t="shared" si="102"/>
        <v>1795.5031481481492</v>
      </c>
      <c r="H1121" s="6" t="b">
        <v>0</v>
      </c>
      <c r="I1121" s="6" t="b">
        <v>0</v>
      </c>
      <c r="J1121" s="8">
        <v>6399</v>
      </c>
      <c r="K1121" s="8">
        <v>130</v>
      </c>
      <c r="L1121" s="8">
        <v>1941</v>
      </c>
      <c r="M1121" s="8">
        <v>40</v>
      </c>
      <c r="N1121" s="8">
        <v>5</v>
      </c>
      <c r="O1121" s="8">
        <v>42</v>
      </c>
      <c r="P1121" s="8">
        <v>329</v>
      </c>
      <c r="Q1121" s="8">
        <v>15</v>
      </c>
      <c r="R1121" s="8">
        <v>526</v>
      </c>
      <c r="S1121" s="8">
        <v>105</v>
      </c>
      <c r="T1121" s="3" t="s">
        <v>92</v>
      </c>
      <c r="U1121" s="10">
        <v>3801</v>
      </c>
      <c r="V1121" s="32">
        <v>22</v>
      </c>
      <c r="W1121" s="27">
        <v>5.7879505393317546E-3</v>
      </c>
      <c r="X1121" s="34">
        <v>0</v>
      </c>
      <c r="Y1121" s="27">
        <v>0</v>
      </c>
      <c r="Z1121" s="27">
        <v>0</v>
      </c>
      <c r="AA1121" s="35">
        <v>6</v>
      </c>
      <c r="AB1121" s="27">
        <v>0.27272727272727271</v>
      </c>
      <c r="AC1121" s="27">
        <f t="shared" si="103"/>
        <v>1.5785319652722968E-3</v>
      </c>
      <c r="AD1121" s="36">
        <v>12</v>
      </c>
      <c r="AE1121" s="27">
        <v>0.54545454545454541</v>
      </c>
      <c r="AF1121" s="27">
        <f t="shared" si="104"/>
        <v>3.1570639305445935E-3</v>
      </c>
      <c r="AG1121" s="37">
        <v>4</v>
      </c>
      <c r="AH1121" s="27">
        <v>0.18181818181818182</v>
      </c>
      <c r="AI1121" s="27">
        <f t="shared" si="105"/>
        <v>1.0523546435148646E-3</v>
      </c>
      <c r="AJ1121" s="38">
        <v>0</v>
      </c>
      <c r="AK1121" s="27">
        <v>0</v>
      </c>
      <c r="AL1121" s="27">
        <f t="shared" si="106"/>
        <v>0</v>
      </c>
      <c r="AM1121" s="40">
        <v>0</v>
      </c>
      <c r="AN1121" s="27">
        <v>0</v>
      </c>
      <c r="AO1121" s="27">
        <f t="shared" si="107"/>
        <v>0</v>
      </c>
      <c r="AP1121" s="7" t="b">
        <v>1</v>
      </c>
      <c r="AQ1121" s="6" t="b">
        <v>0</v>
      </c>
      <c r="AR1121" s="6" t="b">
        <v>0</v>
      </c>
      <c r="AS1121" s="6" t="b">
        <v>0</v>
      </c>
      <c r="AT1121" s="7" t="b">
        <v>1</v>
      </c>
      <c r="AU1121" s="6" t="b">
        <v>0</v>
      </c>
      <c r="AV1121" s="6" t="b">
        <v>0</v>
      </c>
      <c r="AW1121" s="6" t="b">
        <v>0</v>
      </c>
      <c r="AX1121" s="6" t="b">
        <v>0</v>
      </c>
      <c r="AY1121" s="6" t="b">
        <v>0</v>
      </c>
      <c r="AZ1121" s="6" t="b">
        <v>0</v>
      </c>
      <c r="BA1121" s="6" t="b">
        <v>0</v>
      </c>
      <c r="BB1121" s="6" t="b">
        <v>0</v>
      </c>
    </row>
    <row r="1122" spans="1:54" ht="15" x14ac:dyDescent="0.25">
      <c r="A1122" s="3" t="s">
        <v>2304</v>
      </c>
      <c r="B1122" s="3" t="str">
        <f ca="1">IFERROR(__xludf.DUMMYFUNCTION("SPLIT(A1122,""/"")"),"worldveil")</f>
        <v>worldveil</v>
      </c>
      <c r="C1122" s="3" t="str">
        <f ca="1">IFERROR(__xludf.DUMMYFUNCTION("""COMPUTED_VALUE"""),"dejavu")</f>
        <v>dejavu</v>
      </c>
      <c r="D1122" s="4" t="s">
        <v>2305</v>
      </c>
      <c r="E1122" s="5">
        <v>41597.118460648147</v>
      </c>
      <c r="F1122" s="5">
        <v>44294.702384259261</v>
      </c>
      <c r="G1122" s="13">
        <f t="shared" si="102"/>
        <v>2697.5839236111133</v>
      </c>
      <c r="H1122" s="6" t="b">
        <v>0</v>
      </c>
      <c r="I1122" s="6" t="b">
        <v>0</v>
      </c>
      <c r="J1122" s="8">
        <v>5369</v>
      </c>
      <c r="K1122" s="8">
        <v>264</v>
      </c>
      <c r="L1122" s="8">
        <v>1180</v>
      </c>
      <c r="M1122" s="8">
        <v>0</v>
      </c>
      <c r="N1122" s="8">
        <v>2</v>
      </c>
      <c r="O1122" s="8">
        <v>22</v>
      </c>
      <c r="P1122" s="8">
        <v>64</v>
      </c>
      <c r="Q1122" s="8">
        <v>21</v>
      </c>
      <c r="R1122" s="8">
        <v>194</v>
      </c>
      <c r="S1122" s="8">
        <v>65</v>
      </c>
      <c r="T1122" s="3" t="s">
        <v>72</v>
      </c>
      <c r="U1122" s="10">
        <v>1224</v>
      </c>
      <c r="V1122" s="32">
        <v>1</v>
      </c>
      <c r="W1122" s="27">
        <v>8.1699346405228761E-4</v>
      </c>
      <c r="X1122" s="34">
        <v>1</v>
      </c>
      <c r="Y1122" s="27">
        <v>1</v>
      </c>
      <c r="Z1122" s="27">
        <v>8.1699346405228761E-4</v>
      </c>
      <c r="AA1122" s="35">
        <v>0</v>
      </c>
      <c r="AB1122" s="27">
        <v>0</v>
      </c>
      <c r="AC1122" s="27">
        <f t="shared" si="103"/>
        <v>0</v>
      </c>
      <c r="AD1122" s="36">
        <v>0</v>
      </c>
      <c r="AE1122" s="27">
        <v>0</v>
      </c>
      <c r="AF1122" s="27">
        <f t="shared" si="104"/>
        <v>0</v>
      </c>
      <c r="AG1122" s="37">
        <v>0</v>
      </c>
      <c r="AH1122" s="27">
        <v>0</v>
      </c>
      <c r="AI1122" s="27">
        <f t="shared" si="105"/>
        <v>0</v>
      </c>
      <c r="AJ1122" s="38">
        <v>0</v>
      </c>
      <c r="AK1122" s="27">
        <v>0</v>
      </c>
      <c r="AL1122" s="27">
        <f t="shared" si="106"/>
        <v>0</v>
      </c>
      <c r="AM1122" s="40">
        <v>0</v>
      </c>
      <c r="AN1122" s="27">
        <v>0</v>
      </c>
      <c r="AO1122" s="27">
        <f t="shared" si="107"/>
        <v>0</v>
      </c>
      <c r="AP1122" s="7" t="b">
        <v>1</v>
      </c>
      <c r="AQ1122" s="7" t="b">
        <v>1</v>
      </c>
      <c r="AR1122" s="6" t="b">
        <v>0</v>
      </c>
      <c r="AS1122" s="6" t="b">
        <v>0</v>
      </c>
      <c r="AT1122" s="7" t="b">
        <v>1</v>
      </c>
      <c r="AU1122" s="6" t="b">
        <v>0</v>
      </c>
      <c r="AV1122" s="6" t="b">
        <v>0</v>
      </c>
      <c r="AW1122" s="6" t="b">
        <v>0</v>
      </c>
      <c r="AX1122" s="6" t="b">
        <v>0</v>
      </c>
      <c r="AY1122" s="6" t="b">
        <v>0</v>
      </c>
      <c r="AZ1122" s="6" t="b">
        <v>0</v>
      </c>
      <c r="BA1122" s="6" t="b">
        <v>0</v>
      </c>
      <c r="BB1122" s="6" t="b">
        <v>0</v>
      </c>
    </row>
    <row r="1123" spans="1:54" ht="15" x14ac:dyDescent="0.25">
      <c r="A1123" s="3" t="s">
        <v>2306</v>
      </c>
      <c r="B1123" s="3" t="str">
        <f ca="1">IFERROR(__xludf.DUMMYFUNCTION("SPLIT(A1123,""/"")"),"WXinlong")</f>
        <v>WXinlong</v>
      </c>
      <c r="C1123" s="3" t="str">
        <f ca="1">IFERROR(__xludf.DUMMYFUNCTION("""COMPUTED_VALUE"""),"SOLO")</f>
        <v>SOLO</v>
      </c>
      <c r="D1123" s="4" t="s">
        <v>2307</v>
      </c>
      <c r="E1123" s="5">
        <v>43913.95753472222</v>
      </c>
      <c r="F1123" s="5">
        <v>44294.072685185187</v>
      </c>
      <c r="G1123" s="13">
        <f t="shared" si="102"/>
        <v>380.11515046296699</v>
      </c>
      <c r="H1123" s="6" t="b">
        <v>0</v>
      </c>
      <c r="I1123" s="6" t="b">
        <v>0</v>
      </c>
      <c r="J1123" s="8">
        <v>1020</v>
      </c>
      <c r="K1123" s="8">
        <v>39</v>
      </c>
      <c r="L1123" s="8">
        <v>181</v>
      </c>
      <c r="M1123" s="8">
        <v>0</v>
      </c>
      <c r="N1123" s="8">
        <v>0</v>
      </c>
      <c r="O1123" s="8">
        <v>85</v>
      </c>
      <c r="P1123" s="8">
        <v>7</v>
      </c>
      <c r="Q1123" s="8">
        <v>1</v>
      </c>
      <c r="R1123" s="8">
        <v>159</v>
      </c>
      <c r="S1123" s="8">
        <v>64</v>
      </c>
      <c r="T1123" s="3" t="s">
        <v>92</v>
      </c>
      <c r="U1123" s="10">
        <v>19724</v>
      </c>
      <c r="V1123" s="32">
        <v>16</v>
      </c>
      <c r="W1123" s="27">
        <v>8.1119448387750967E-4</v>
      </c>
      <c r="X1123" s="34">
        <v>5</v>
      </c>
      <c r="Y1123" s="27">
        <v>0.3125</v>
      </c>
      <c r="Z1123" s="27">
        <v>2.5349827621172174E-4</v>
      </c>
      <c r="AA1123" s="35">
        <v>5</v>
      </c>
      <c r="AB1123" s="27">
        <v>0.3125</v>
      </c>
      <c r="AC1123" s="27">
        <f t="shared" si="103"/>
        <v>2.5349827621172174E-4</v>
      </c>
      <c r="AD1123" s="36">
        <v>4</v>
      </c>
      <c r="AE1123" s="27">
        <v>0.25</v>
      </c>
      <c r="AF1123" s="27">
        <f t="shared" si="104"/>
        <v>2.0279862096937742E-4</v>
      </c>
      <c r="AG1123" s="37">
        <v>0</v>
      </c>
      <c r="AH1123" s="27">
        <v>0</v>
      </c>
      <c r="AI1123" s="27">
        <f t="shared" si="105"/>
        <v>0</v>
      </c>
      <c r="AJ1123" s="38">
        <v>0</v>
      </c>
      <c r="AK1123" s="27">
        <v>0</v>
      </c>
      <c r="AL1123" s="27">
        <f t="shared" si="106"/>
        <v>0</v>
      </c>
      <c r="AM1123" s="40">
        <v>2</v>
      </c>
      <c r="AN1123" s="27">
        <v>0.125</v>
      </c>
      <c r="AO1123" s="27">
        <f t="shared" si="107"/>
        <v>1.0139931048468871E-4</v>
      </c>
      <c r="AP1123" s="7" t="b">
        <v>1</v>
      </c>
      <c r="AQ1123" s="6" t="b">
        <v>0</v>
      </c>
      <c r="AR1123" s="6" t="b">
        <v>0</v>
      </c>
      <c r="AS1123" s="6" t="b">
        <v>0</v>
      </c>
      <c r="AT1123" s="7" t="b">
        <v>1</v>
      </c>
      <c r="AU1123" s="6" t="b">
        <v>0</v>
      </c>
      <c r="AV1123" s="6" t="b">
        <v>0</v>
      </c>
      <c r="AW1123" s="6" t="b">
        <v>0</v>
      </c>
      <c r="AX1123" s="6" t="b">
        <v>0</v>
      </c>
      <c r="AY1123" s="6" t="b">
        <v>0</v>
      </c>
      <c r="AZ1123" s="6" t="b">
        <v>0</v>
      </c>
      <c r="BA1123" s="6" t="b">
        <v>0</v>
      </c>
      <c r="BB1123" s="6" t="b">
        <v>0</v>
      </c>
    </row>
    <row r="1124" spans="1:54" ht="15" x14ac:dyDescent="0.25">
      <c r="A1124" s="3" t="s">
        <v>2308</v>
      </c>
      <c r="B1124" s="3" t="str">
        <f ca="1">IFERROR(__xludf.DUMMYFUNCTION("SPLIT(A1124,""/"")"),"wzpan")</f>
        <v>wzpan</v>
      </c>
      <c r="C1124" s="3" t="str">
        <f ca="1">IFERROR(__xludf.DUMMYFUNCTION("""COMPUTED_VALUE"""),"wukong-robot")</f>
        <v>wukong-robot</v>
      </c>
      <c r="D1124" s="4" t="s">
        <v>2309</v>
      </c>
      <c r="E1124" s="5">
        <v>43481.680451388886</v>
      </c>
      <c r="F1124" s="5">
        <v>44294.467106481483</v>
      </c>
      <c r="G1124" s="13">
        <f t="shared" si="102"/>
        <v>812.78665509259736</v>
      </c>
      <c r="H1124" s="6" t="b">
        <v>0</v>
      </c>
      <c r="I1124" s="6" t="b">
        <v>0</v>
      </c>
      <c r="J1124" s="8">
        <v>2745</v>
      </c>
      <c r="K1124" s="8">
        <v>141</v>
      </c>
      <c r="L1124" s="8">
        <v>764</v>
      </c>
      <c r="M1124" s="8">
        <v>0</v>
      </c>
      <c r="N1124" s="8">
        <v>6</v>
      </c>
      <c r="O1124" s="8">
        <v>7</v>
      </c>
      <c r="P1124" s="8">
        <v>12</v>
      </c>
      <c r="Q1124" s="8">
        <v>0</v>
      </c>
      <c r="R1124" s="8">
        <v>130</v>
      </c>
      <c r="S1124" s="8">
        <v>4</v>
      </c>
      <c r="T1124" s="3" t="s">
        <v>72</v>
      </c>
      <c r="U1124" s="10">
        <v>4285</v>
      </c>
      <c r="V1124" s="32">
        <v>181</v>
      </c>
      <c r="W1124" s="27">
        <v>4.2240373395565925E-2</v>
      </c>
      <c r="X1124" s="34">
        <v>60</v>
      </c>
      <c r="Y1124" s="27">
        <v>0.33149171270718231</v>
      </c>
      <c r="Z1124" s="27">
        <v>1.4002333722287048E-2</v>
      </c>
      <c r="AA1124" s="35">
        <v>50</v>
      </c>
      <c r="AB1124" s="27">
        <v>0.27624309392265195</v>
      </c>
      <c r="AC1124" s="27">
        <f t="shared" si="103"/>
        <v>1.1668611435239206E-2</v>
      </c>
      <c r="AD1124" s="36">
        <v>13</v>
      </c>
      <c r="AE1124" s="27">
        <v>7.18232044198895E-2</v>
      </c>
      <c r="AF1124" s="27">
        <f t="shared" si="104"/>
        <v>3.0338389731621937E-3</v>
      </c>
      <c r="AG1124" s="37">
        <v>24</v>
      </c>
      <c r="AH1124" s="27">
        <v>0.13259668508287292</v>
      </c>
      <c r="AI1124" s="27">
        <f t="shared" si="105"/>
        <v>5.600933488914819E-3</v>
      </c>
      <c r="AJ1124" s="38">
        <v>25</v>
      </c>
      <c r="AK1124" s="27">
        <v>0.13812154696132597</v>
      </c>
      <c r="AL1124" s="27">
        <f t="shared" si="106"/>
        <v>5.8343057176196032E-3</v>
      </c>
      <c r="AM1124" s="40">
        <v>0</v>
      </c>
      <c r="AN1124" s="27">
        <v>0</v>
      </c>
      <c r="AO1124" s="27">
        <f t="shared" si="107"/>
        <v>0</v>
      </c>
      <c r="AP1124" s="7" t="b">
        <v>1</v>
      </c>
      <c r="AQ1124" s="6" t="b">
        <v>0</v>
      </c>
      <c r="AR1124" s="6" t="b">
        <v>0</v>
      </c>
      <c r="AS1124" s="6" t="b">
        <v>0</v>
      </c>
      <c r="AT1124" s="7" t="b">
        <v>1</v>
      </c>
      <c r="AU1124" s="6" t="b">
        <v>0</v>
      </c>
      <c r="AV1124" s="6" t="b">
        <v>0</v>
      </c>
      <c r="AW1124" s="6" t="b">
        <v>0</v>
      </c>
      <c r="AX1124" s="6" t="b">
        <v>0</v>
      </c>
      <c r="AY1124" s="6" t="b">
        <v>0</v>
      </c>
      <c r="AZ1124" s="6" t="b">
        <v>0</v>
      </c>
      <c r="BA1124" s="6" t="b">
        <v>0</v>
      </c>
      <c r="BB1124" s="6" t="b">
        <v>0</v>
      </c>
    </row>
    <row r="1125" spans="1:54" ht="15" x14ac:dyDescent="0.25">
      <c r="A1125" s="3" t="s">
        <v>2310</v>
      </c>
      <c r="B1125" s="3" t="str">
        <f ca="1">IFERROR(__xludf.DUMMYFUNCTION("SPLIT(A1125,""/"")"),"X-DataInitiative")</f>
        <v>X-DataInitiative</v>
      </c>
      <c r="C1125" s="3" t="str">
        <f ca="1">IFERROR(__xludf.DUMMYFUNCTION("""COMPUTED_VALUE"""),"tick")</f>
        <v>tick</v>
      </c>
      <c r="D1125" s="4" t="s">
        <v>2311</v>
      </c>
      <c r="E1125" s="5">
        <v>42705.457731481481</v>
      </c>
      <c r="F1125" s="5">
        <v>44283.715532407405</v>
      </c>
      <c r="G1125" s="13">
        <f t="shared" si="102"/>
        <v>1578.2578009259232</v>
      </c>
      <c r="H1125" s="6" t="b">
        <v>0</v>
      </c>
      <c r="I1125" s="7" t="b">
        <v>1</v>
      </c>
      <c r="J1125" s="8">
        <v>328</v>
      </c>
      <c r="K1125" s="8">
        <v>36</v>
      </c>
      <c r="L1125" s="8">
        <v>74</v>
      </c>
      <c r="M1125" s="8">
        <v>5</v>
      </c>
      <c r="N1125" s="8">
        <v>8</v>
      </c>
      <c r="O1125" s="8">
        <v>15</v>
      </c>
      <c r="P1125" s="8">
        <v>262</v>
      </c>
      <c r="Q1125" s="8">
        <v>12</v>
      </c>
      <c r="R1125" s="8">
        <v>209</v>
      </c>
      <c r="S1125" s="8">
        <v>50</v>
      </c>
      <c r="T1125" s="3" t="s">
        <v>57</v>
      </c>
      <c r="U1125" s="10">
        <v>20837</v>
      </c>
      <c r="V1125" s="32">
        <v>21</v>
      </c>
      <c r="W1125" s="27">
        <v>1.0078226232183136E-3</v>
      </c>
      <c r="X1125" s="34">
        <v>0</v>
      </c>
      <c r="Y1125" s="27">
        <v>0</v>
      </c>
      <c r="Z1125" s="27">
        <v>0</v>
      </c>
      <c r="AA1125" s="35">
        <v>0</v>
      </c>
      <c r="AB1125" s="27">
        <v>0</v>
      </c>
      <c r="AC1125" s="27">
        <f t="shared" si="103"/>
        <v>0</v>
      </c>
      <c r="AD1125" s="36">
        <v>21</v>
      </c>
      <c r="AE1125" s="27">
        <v>1</v>
      </c>
      <c r="AF1125" s="27">
        <f t="shared" si="104"/>
        <v>1.0078226232183136E-3</v>
      </c>
      <c r="AG1125" s="37">
        <v>0</v>
      </c>
      <c r="AH1125" s="27">
        <v>0</v>
      </c>
      <c r="AI1125" s="27">
        <f t="shared" si="105"/>
        <v>0</v>
      </c>
      <c r="AJ1125" s="38">
        <v>0</v>
      </c>
      <c r="AK1125" s="27">
        <v>0</v>
      </c>
      <c r="AL1125" s="27">
        <f t="shared" si="106"/>
        <v>0</v>
      </c>
      <c r="AM1125" s="40">
        <v>0</v>
      </c>
      <c r="AN1125" s="27">
        <v>0</v>
      </c>
      <c r="AO1125" s="27">
        <f t="shared" si="107"/>
        <v>0</v>
      </c>
      <c r="AP1125" s="7" t="b">
        <v>1</v>
      </c>
      <c r="AQ1125" s="6" t="b">
        <v>0</v>
      </c>
      <c r="AR1125" s="6" t="b">
        <v>0</v>
      </c>
      <c r="AS1125" s="6" t="b">
        <v>0</v>
      </c>
      <c r="AT1125" s="7" t="b">
        <v>1</v>
      </c>
      <c r="AU1125" s="6" t="b">
        <v>0</v>
      </c>
      <c r="AV1125" s="6" t="b">
        <v>0</v>
      </c>
      <c r="AW1125" s="6" t="b">
        <v>0</v>
      </c>
      <c r="AX1125" s="6" t="b">
        <v>0</v>
      </c>
      <c r="AY1125" s="6" t="b">
        <v>0</v>
      </c>
      <c r="AZ1125" s="6" t="b">
        <v>0</v>
      </c>
      <c r="BA1125" s="6" t="b">
        <v>0</v>
      </c>
      <c r="BB1125" s="6" t="b">
        <v>0</v>
      </c>
    </row>
    <row r="1126" spans="1:54" ht="15" x14ac:dyDescent="0.25">
      <c r="A1126" s="3" t="s">
        <v>2312</v>
      </c>
      <c r="B1126" s="3" t="str">
        <f ca="1">IFERROR(__xludf.DUMMYFUNCTION("SPLIT(A1126,""/"")"),"xhtml2pdf")</f>
        <v>xhtml2pdf</v>
      </c>
      <c r="C1126" s="3" t="str">
        <f ca="1">IFERROR(__xludf.DUMMYFUNCTION("""COMPUTED_VALUE"""),"xhtml2pdf")</f>
        <v>xhtml2pdf</v>
      </c>
      <c r="D1126" s="4" t="s">
        <v>2313</v>
      </c>
      <c r="E1126" s="5">
        <v>40679.573252314818</v>
      </c>
      <c r="F1126" s="5">
        <v>44294.936631944445</v>
      </c>
      <c r="G1126" s="13">
        <f t="shared" si="102"/>
        <v>3615.3633796296272</v>
      </c>
      <c r="H1126" s="6" t="b">
        <v>0</v>
      </c>
      <c r="I1126" s="7" t="b">
        <v>1</v>
      </c>
      <c r="J1126" s="8">
        <v>1778</v>
      </c>
      <c r="K1126" s="8">
        <v>72</v>
      </c>
      <c r="L1126" s="8">
        <v>510</v>
      </c>
      <c r="M1126" s="8">
        <v>8</v>
      </c>
      <c r="N1126" s="8">
        <v>19</v>
      </c>
      <c r="O1126" s="8">
        <v>113</v>
      </c>
      <c r="P1126" s="8">
        <v>265</v>
      </c>
      <c r="Q1126" s="8">
        <v>3</v>
      </c>
      <c r="R1126" s="8">
        <v>285</v>
      </c>
      <c r="S1126" s="8">
        <v>102</v>
      </c>
      <c r="T1126" s="3" t="s">
        <v>69</v>
      </c>
      <c r="U1126" s="10">
        <v>8749</v>
      </c>
      <c r="V1126" s="32">
        <v>65</v>
      </c>
      <c r="W1126" s="27">
        <v>7.429420505200594E-3</v>
      </c>
      <c r="X1126" s="34">
        <v>32</v>
      </c>
      <c r="Y1126" s="27">
        <v>0.49230769230769234</v>
      </c>
      <c r="Z1126" s="27">
        <v>3.6575608640987542E-3</v>
      </c>
      <c r="AA1126" s="35">
        <v>2</v>
      </c>
      <c r="AB1126" s="27">
        <v>3.0769230769230771E-2</v>
      </c>
      <c r="AC1126" s="27">
        <f t="shared" si="103"/>
        <v>2.2859755400617213E-4</v>
      </c>
      <c r="AD1126" s="36">
        <v>28</v>
      </c>
      <c r="AE1126" s="27">
        <v>0.43076923076923079</v>
      </c>
      <c r="AF1126" s="27">
        <f t="shared" si="104"/>
        <v>3.2003657560864098E-3</v>
      </c>
      <c r="AG1126" s="37">
        <v>3</v>
      </c>
      <c r="AH1126" s="27">
        <v>4.6153846153846156E-2</v>
      </c>
      <c r="AI1126" s="27">
        <f t="shared" si="105"/>
        <v>3.4289633100925818E-4</v>
      </c>
      <c r="AJ1126" s="38">
        <v>0</v>
      </c>
      <c r="AK1126" s="27">
        <v>0</v>
      </c>
      <c r="AL1126" s="27">
        <f t="shared" si="106"/>
        <v>0</v>
      </c>
      <c r="AM1126" s="40">
        <v>0</v>
      </c>
      <c r="AN1126" s="27">
        <v>0</v>
      </c>
      <c r="AO1126" s="27">
        <f t="shared" si="107"/>
        <v>0</v>
      </c>
      <c r="AP1126" s="7" t="b">
        <v>1</v>
      </c>
      <c r="AQ1126" s="6" t="b">
        <v>0</v>
      </c>
      <c r="AR1126" s="6" t="b">
        <v>0</v>
      </c>
      <c r="AS1126" s="6" t="b">
        <v>0</v>
      </c>
      <c r="AT1126" s="7" t="b">
        <v>1</v>
      </c>
      <c r="AU1126" s="6" t="b">
        <v>0</v>
      </c>
      <c r="AV1126" s="6" t="b">
        <v>0</v>
      </c>
      <c r="AW1126" s="6" t="b">
        <v>0</v>
      </c>
      <c r="AX1126" s="6" t="b">
        <v>0</v>
      </c>
      <c r="AY1126" s="6" t="b">
        <v>0</v>
      </c>
      <c r="AZ1126" s="6" t="b">
        <v>0</v>
      </c>
      <c r="BA1126" s="6" t="b">
        <v>0</v>
      </c>
      <c r="BB1126" s="6" t="b">
        <v>0</v>
      </c>
    </row>
    <row r="1127" spans="1:54" ht="15" x14ac:dyDescent="0.25">
      <c r="A1127" s="3" t="s">
        <v>2314</v>
      </c>
      <c r="B1127" s="3" t="str">
        <f ca="1">IFERROR(__xludf.DUMMYFUNCTION("SPLIT(A1127,""/"")"),"xillwillx")</f>
        <v>xillwillx</v>
      </c>
      <c r="C1127" s="3" t="str">
        <f ca="1">IFERROR(__xludf.DUMMYFUNCTION("""COMPUTED_VALUE"""),"skiptracer")</f>
        <v>skiptracer</v>
      </c>
      <c r="D1127" s="4" t="s">
        <v>2315</v>
      </c>
      <c r="E1127" s="5">
        <v>43238.040983796294</v>
      </c>
      <c r="F1127" s="5">
        <v>44294.970324074071</v>
      </c>
      <c r="G1127" s="13">
        <f t="shared" si="102"/>
        <v>1056.9293402777766</v>
      </c>
      <c r="H1127" s="6" t="b">
        <v>0</v>
      </c>
      <c r="I1127" s="6" t="b">
        <v>0</v>
      </c>
      <c r="J1127" s="8">
        <v>826</v>
      </c>
      <c r="K1127" s="8">
        <v>85</v>
      </c>
      <c r="L1127" s="8">
        <v>9</v>
      </c>
      <c r="M1127" s="8">
        <v>2</v>
      </c>
      <c r="N1127" s="8">
        <v>2</v>
      </c>
      <c r="O1127" s="8">
        <v>7</v>
      </c>
      <c r="P1127" s="8">
        <v>16</v>
      </c>
      <c r="Q1127" s="8">
        <v>2</v>
      </c>
      <c r="R1127" s="8">
        <v>48</v>
      </c>
      <c r="S1127" s="8">
        <v>5</v>
      </c>
      <c r="T1127" s="3" t="s">
        <v>69</v>
      </c>
      <c r="U1127" s="10">
        <v>1991</v>
      </c>
      <c r="V1127" s="32">
        <v>0</v>
      </c>
      <c r="W1127" s="27">
        <v>0</v>
      </c>
      <c r="X1127" s="34">
        <v>0</v>
      </c>
      <c r="Y1127" s="27">
        <v>0</v>
      </c>
      <c r="Z1127" s="27">
        <v>0</v>
      </c>
      <c r="AA1127" s="35">
        <v>0</v>
      </c>
      <c r="AB1127" s="27">
        <v>0</v>
      </c>
      <c r="AC1127" s="27">
        <f t="shared" si="103"/>
        <v>0</v>
      </c>
      <c r="AD1127" s="36">
        <v>0</v>
      </c>
      <c r="AE1127" s="27">
        <v>0</v>
      </c>
      <c r="AF1127" s="27">
        <f t="shared" si="104"/>
        <v>0</v>
      </c>
      <c r="AG1127" s="37">
        <v>0</v>
      </c>
      <c r="AH1127" s="27">
        <v>0</v>
      </c>
      <c r="AI1127" s="27">
        <f t="shared" si="105"/>
        <v>0</v>
      </c>
      <c r="AJ1127" s="38">
        <v>0</v>
      </c>
      <c r="AK1127" s="27">
        <v>0</v>
      </c>
      <c r="AL1127" s="27">
        <f t="shared" si="106"/>
        <v>0</v>
      </c>
      <c r="AM1127" s="40">
        <v>0</v>
      </c>
      <c r="AN1127" s="27">
        <v>0</v>
      </c>
      <c r="AO1127" s="27">
        <f t="shared" si="107"/>
        <v>0</v>
      </c>
      <c r="AP1127" s="7" t="b">
        <v>1</v>
      </c>
      <c r="AQ1127" s="7" t="b">
        <v>1</v>
      </c>
      <c r="AR1127" s="6" t="b">
        <v>0</v>
      </c>
      <c r="AS1127" s="6" t="b">
        <v>0</v>
      </c>
      <c r="AT1127" s="7" t="b">
        <v>1</v>
      </c>
      <c r="AU1127" s="6" t="b">
        <v>0</v>
      </c>
      <c r="AV1127" s="6" t="b">
        <v>0</v>
      </c>
      <c r="AW1127" s="6" t="b">
        <v>0</v>
      </c>
      <c r="AX1127" s="6" t="b">
        <v>0</v>
      </c>
      <c r="AY1127" s="6" t="b">
        <v>0</v>
      </c>
      <c r="AZ1127" s="6" t="b">
        <v>0</v>
      </c>
      <c r="BA1127" s="6" t="b">
        <v>0</v>
      </c>
      <c r="BB1127" s="6" t="b">
        <v>0</v>
      </c>
    </row>
    <row r="1128" spans="1:54" ht="15" x14ac:dyDescent="0.25">
      <c r="A1128" s="3" t="s">
        <v>2316</v>
      </c>
      <c r="B1128" s="3" t="str">
        <f ca="1">IFERROR(__xludf.DUMMYFUNCTION("SPLIT(A1128,""/"")"),"xingyizhou")</f>
        <v>xingyizhou</v>
      </c>
      <c r="C1128" s="3" t="str">
        <f ca="1">IFERROR(__xludf.DUMMYFUNCTION("""COMPUTED_VALUE"""),"CenterNet2")</f>
        <v>CenterNet2</v>
      </c>
      <c r="D1128" s="4" t="s">
        <v>2317</v>
      </c>
      <c r="E1128" s="5">
        <v>44270.019004629627</v>
      </c>
      <c r="F1128" s="5">
        <v>44294.864629629628</v>
      </c>
      <c r="G1128" s="13">
        <f t="shared" si="102"/>
        <v>24.845625000001746</v>
      </c>
      <c r="H1128" s="6" t="b">
        <v>0</v>
      </c>
      <c r="I1128" s="6" t="b">
        <v>0</v>
      </c>
      <c r="J1128" s="8">
        <v>708</v>
      </c>
      <c r="K1128" s="8">
        <v>19</v>
      </c>
      <c r="L1128" s="8">
        <v>73</v>
      </c>
      <c r="M1128" s="8">
        <v>0</v>
      </c>
      <c r="N1128" s="8">
        <v>0</v>
      </c>
      <c r="O1128" s="9">
        <v>0</v>
      </c>
      <c r="P1128" s="8">
        <v>3</v>
      </c>
      <c r="Q1128" s="8">
        <v>3</v>
      </c>
      <c r="R1128" s="8">
        <v>29</v>
      </c>
      <c r="S1128" s="8">
        <v>13</v>
      </c>
      <c r="T1128" s="3" t="s">
        <v>69</v>
      </c>
      <c r="U1128" s="10">
        <v>22376</v>
      </c>
      <c r="V1128" s="32">
        <v>195</v>
      </c>
      <c r="W1128" s="27">
        <v>8.714694315337862E-3</v>
      </c>
      <c r="X1128" s="34">
        <v>0</v>
      </c>
      <c r="Y1128" s="27">
        <v>0</v>
      </c>
      <c r="Z1128" s="27">
        <v>0</v>
      </c>
      <c r="AA1128" s="35">
        <v>143</v>
      </c>
      <c r="AB1128" s="27">
        <v>0.73333333333333328</v>
      </c>
      <c r="AC1128" s="27">
        <f t="shared" si="103"/>
        <v>6.3907758312477655E-3</v>
      </c>
      <c r="AD1128" s="36">
        <v>42</v>
      </c>
      <c r="AE1128" s="27">
        <v>0.2153846153846154</v>
      </c>
      <c r="AF1128" s="27">
        <f t="shared" si="104"/>
        <v>1.8770110833035395E-3</v>
      </c>
      <c r="AG1128" s="37">
        <v>10</v>
      </c>
      <c r="AH1128" s="27">
        <v>5.128205128205128E-2</v>
      </c>
      <c r="AI1128" s="27">
        <f t="shared" si="105"/>
        <v>4.4690740078655701E-4</v>
      </c>
      <c r="AJ1128" s="38">
        <v>0</v>
      </c>
      <c r="AK1128" s="27">
        <v>0</v>
      </c>
      <c r="AL1128" s="27">
        <f t="shared" si="106"/>
        <v>0</v>
      </c>
      <c r="AM1128" s="40">
        <v>0</v>
      </c>
      <c r="AN1128" s="27">
        <v>0</v>
      </c>
      <c r="AO1128" s="27">
        <f t="shared" si="107"/>
        <v>0</v>
      </c>
      <c r="AP1128" s="7" t="b">
        <v>1</v>
      </c>
      <c r="AQ1128" s="7" t="b">
        <v>1</v>
      </c>
      <c r="AR1128" s="6" t="b">
        <v>0</v>
      </c>
      <c r="AS1128" s="6" t="b">
        <v>0</v>
      </c>
      <c r="AT1128" s="7" t="b">
        <v>1</v>
      </c>
      <c r="AU1128" s="6" t="b">
        <v>0</v>
      </c>
      <c r="AV1128" s="6" t="b">
        <v>0</v>
      </c>
      <c r="AW1128" s="6" t="b">
        <v>0</v>
      </c>
      <c r="AX1128" s="6" t="b">
        <v>0</v>
      </c>
      <c r="AY1128" s="6" t="b">
        <v>0</v>
      </c>
      <c r="AZ1128" s="6" t="b">
        <v>0</v>
      </c>
      <c r="BA1128" s="6" t="b">
        <v>0</v>
      </c>
      <c r="BB1128" s="6" t="b">
        <v>0</v>
      </c>
    </row>
    <row r="1129" spans="1:54" ht="15" x14ac:dyDescent="0.25">
      <c r="A1129" s="3" t="s">
        <v>2318</v>
      </c>
      <c r="B1129" s="3" t="str">
        <f ca="1">IFERROR(__xludf.DUMMYFUNCTION("SPLIT(A1129,""/"")"),"xmendez")</f>
        <v>xmendez</v>
      </c>
      <c r="C1129" s="3" t="str">
        <f ca="1">IFERROR(__xludf.DUMMYFUNCTION("""COMPUTED_VALUE"""),"wfuzz")</f>
        <v>wfuzz</v>
      </c>
      <c r="D1129" s="4" t="s">
        <v>2319</v>
      </c>
      <c r="E1129" s="5">
        <v>41934.891539351855</v>
      </c>
      <c r="F1129" s="5">
        <v>44295.082152777781</v>
      </c>
      <c r="G1129" s="13">
        <f t="shared" si="102"/>
        <v>2360.1906134259261</v>
      </c>
      <c r="H1129" s="6" t="b">
        <v>0</v>
      </c>
      <c r="I1129" s="6" t="b">
        <v>0</v>
      </c>
      <c r="J1129" s="8">
        <v>3617</v>
      </c>
      <c r="K1129" s="8">
        <v>154</v>
      </c>
      <c r="L1129" s="8">
        <v>877</v>
      </c>
      <c r="M1129" s="8">
        <v>31</v>
      </c>
      <c r="N1129" s="8">
        <v>2</v>
      </c>
      <c r="O1129" s="8">
        <v>25</v>
      </c>
      <c r="P1129" s="8">
        <v>109</v>
      </c>
      <c r="Q1129" s="8">
        <v>14</v>
      </c>
      <c r="R1129" s="8">
        <v>160</v>
      </c>
      <c r="S1129" s="8">
        <v>39</v>
      </c>
      <c r="T1129" s="3" t="s">
        <v>64</v>
      </c>
      <c r="U1129" s="10">
        <v>8915</v>
      </c>
      <c r="V1129" s="32">
        <v>23</v>
      </c>
      <c r="W1129" s="27">
        <v>2.579921480650589E-3</v>
      </c>
      <c r="X1129" s="34">
        <v>4</v>
      </c>
      <c r="Y1129" s="27">
        <v>0.17391304347826086</v>
      </c>
      <c r="Z1129" s="27">
        <v>4.4868199663488501E-4</v>
      </c>
      <c r="AA1129" s="35">
        <v>0</v>
      </c>
      <c r="AB1129" s="27">
        <v>0</v>
      </c>
      <c r="AC1129" s="27">
        <f t="shared" si="103"/>
        <v>0</v>
      </c>
      <c r="AD1129" s="36">
        <v>17</v>
      </c>
      <c r="AE1129" s="27">
        <v>0.73913043478260865</v>
      </c>
      <c r="AF1129" s="27">
        <f t="shared" si="104"/>
        <v>1.9068984856982613E-3</v>
      </c>
      <c r="AG1129" s="37">
        <v>0</v>
      </c>
      <c r="AH1129" s="27">
        <v>0</v>
      </c>
      <c r="AI1129" s="27">
        <f t="shared" si="105"/>
        <v>0</v>
      </c>
      <c r="AJ1129" s="38">
        <v>2</v>
      </c>
      <c r="AK1129" s="27">
        <v>8.6956521739130432E-2</v>
      </c>
      <c r="AL1129" s="27">
        <f t="shared" si="106"/>
        <v>2.243409983174425E-4</v>
      </c>
      <c r="AM1129" s="40">
        <v>0</v>
      </c>
      <c r="AN1129" s="27">
        <v>0</v>
      </c>
      <c r="AO1129" s="27">
        <f t="shared" si="107"/>
        <v>0</v>
      </c>
      <c r="AP1129" s="7" t="b">
        <v>1</v>
      </c>
      <c r="AQ1129" s="7" t="b">
        <v>1</v>
      </c>
      <c r="AR1129" s="6" t="b">
        <v>0</v>
      </c>
      <c r="AS1129" s="6" t="b">
        <v>0</v>
      </c>
      <c r="AT1129" s="7" t="b">
        <v>1</v>
      </c>
      <c r="AU1129" s="6" t="b">
        <v>0</v>
      </c>
      <c r="AV1129" s="6" t="b">
        <v>0</v>
      </c>
      <c r="AW1129" s="6" t="b">
        <v>0</v>
      </c>
      <c r="AX1129" s="6" t="b">
        <v>0</v>
      </c>
      <c r="AY1129" s="6" t="b">
        <v>0</v>
      </c>
      <c r="AZ1129" s="6" t="b">
        <v>0</v>
      </c>
      <c r="BA1129" s="6" t="b">
        <v>0</v>
      </c>
      <c r="BB1129" s="6" t="b">
        <v>0</v>
      </c>
    </row>
    <row r="1130" spans="1:54" ht="15" x14ac:dyDescent="0.25">
      <c r="A1130" s="3" t="s">
        <v>2320</v>
      </c>
      <c r="B1130" s="3" t="str">
        <f ca="1">IFERROR(__xludf.DUMMYFUNCTION("SPLIT(A1130,""/"")"),"Xonshiz")</f>
        <v>Xonshiz</v>
      </c>
      <c r="C1130" s="3" t="str">
        <f ca="1">IFERROR(__xludf.DUMMYFUNCTION("""COMPUTED_VALUE"""),"comic-dl")</f>
        <v>comic-dl</v>
      </c>
      <c r="D1130" s="4" t="s">
        <v>2321</v>
      </c>
      <c r="E1130" s="5">
        <v>42687.562881944446</v>
      </c>
      <c r="F1130" s="5">
        <v>44285.794872685183</v>
      </c>
      <c r="G1130" s="13">
        <f t="shared" si="102"/>
        <v>1598.2319907407364</v>
      </c>
      <c r="H1130" s="6" t="b">
        <v>0</v>
      </c>
      <c r="I1130" s="6" t="b">
        <v>0</v>
      </c>
      <c r="J1130" s="8">
        <v>369</v>
      </c>
      <c r="K1130" s="8">
        <v>29</v>
      </c>
      <c r="L1130" s="8">
        <v>48</v>
      </c>
      <c r="M1130" s="8">
        <v>56</v>
      </c>
      <c r="N1130" s="8">
        <v>9</v>
      </c>
      <c r="O1130" s="8">
        <v>19</v>
      </c>
      <c r="P1130" s="8">
        <v>61</v>
      </c>
      <c r="Q1130" s="8">
        <v>0</v>
      </c>
      <c r="R1130" s="8">
        <v>219</v>
      </c>
      <c r="S1130" s="8">
        <v>41</v>
      </c>
      <c r="T1130" s="3" t="s">
        <v>72</v>
      </c>
      <c r="U1130" s="10">
        <v>3031</v>
      </c>
      <c r="V1130" s="32">
        <v>61</v>
      </c>
      <c r="W1130" s="27">
        <v>2.0125371164632134E-2</v>
      </c>
      <c r="X1130" s="34">
        <v>35</v>
      </c>
      <c r="Y1130" s="27">
        <v>0.57377049180327866</v>
      </c>
      <c r="Z1130" s="27">
        <v>1.1547344110854504E-2</v>
      </c>
      <c r="AA1130" s="35">
        <v>1</v>
      </c>
      <c r="AB1130" s="27">
        <v>1.6393442622950821E-2</v>
      </c>
      <c r="AC1130" s="27">
        <f t="shared" si="103"/>
        <v>3.2992411745298581E-4</v>
      </c>
      <c r="AD1130" s="36">
        <v>0</v>
      </c>
      <c r="AE1130" s="27">
        <v>0</v>
      </c>
      <c r="AF1130" s="27">
        <f t="shared" si="104"/>
        <v>0</v>
      </c>
      <c r="AG1130" s="37">
        <v>25</v>
      </c>
      <c r="AH1130" s="27">
        <v>0.4098360655737705</v>
      </c>
      <c r="AI1130" s="27">
        <f t="shared" si="105"/>
        <v>8.2481029363246448E-3</v>
      </c>
      <c r="AJ1130" s="38">
        <v>0</v>
      </c>
      <c r="AK1130" s="27">
        <v>0</v>
      </c>
      <c r="AL1130" s="27">
        <f t="shared" si="106"/>
        <v>0</v>
      </c>
      <c r="AM1130" s="40">
        <v>0</v>
      </c>
      <c r="AN1130" s="27">
        <v>0</v>
      </c>
      <c r="AO1130" s="27">
        <f t="shared" si="107"/>
        <v>0</v>
      </c>
      <c r="AP1130" s="7" t="b">
        <v>1</v>
      </c>
      <c r="AQ1130" s="6" t="b">
        <v>0</v>
      </c>
      <c r="AR1130" s="6" t="b">
        <v>0</v>
      </c>
      <c r="AS1130" s="6" t="b">
        <v>0</v>
      </c>
      <c r="AT1130" s="7" t="b">
        <v>1</v>
      </c>
      <c r="AU1130" s="6" t="b">
        <v>0</v>
      </c>
      <c r="AV1130" s="6" t="b">
        <v>0</v>
      </c>
      <c r="AW1130" s="6" t="b">
        <v>0</v>
      </c>
      <c r="AX1130" s="6" t="b">
        <v>0</v>
      </c>
      <c r="AY1130" s="6" t="b">
        <v>0</v>
      </c>
      <c r="AZ1130" s="6" t="b">
        <v>0</v>
      </c>
      <c r="BA1130" s="6" t="b">
        <v>0</v>
      </c>
      <c r="BB1130" s="6" t="b">
        <v>0</v>
      </c>
    </row>
    <row r="1131" spans="1:54" ht="15" x14ac:dyDescent="0.25">
      <c r="A1131" s="3" t="s">
        <v>2322</v>
      </c>
      <c r="B1131" s="3" t="str">
        <f ca="1">IFERROR(__xludf.DUMMYFUNCTION("SPLIT(A1131,""/"")"),"xsren")</f>
        <v>xsren</v>
      </c>
      <c r="C1131" s="3" t="str">
        <f ca="1">IFERROR(__xludf.DUMMYFUNCTION("""COMPUTED_VALUE"""),"wx_taobao_fanli")</f>
        <v>wx_taobao_fanli</v>
      </c>
      <c r="D1131" s="4" t="s">
        <v>2323</v>
      </c>
      <c r="E1131" s="5">
        <v>42881.412106481483</v>
      </c>
      <c r="F1131" s="5">
        <v>44284.145254629628</v>
      </c>
      <c r="G1131" s="13">
        <f t="shared" si="102"/>
        <v>1402.7331481481451</v>
      </c>
      <c r="H1131" s="6" t="b">
        <v>0</v>
      </c>
      <c r="I1131" s="6" t="b">
        <v>0</v>
      </c>
      <c r="J1131" s="8">
        <v>428</v>
      </c>
      <c r="K1131" s="8">
        <v>38</v>
      </c>
      <c r="L1131" s="8">
        <v>165</v>
      </c>
      <c r="M1131" s="8">
        <v>0</v>
      </c>
      <c r="N1131" s="8">
        <v>0</v>
      </c>
      <c r="O1131" s="8">
        <v>2</v>
      </c>
      <c r="P1131" s="8">
        <v>1</v>
      </c>
      <c r="Q1131" s="8">
        <v>0</v>
      </c>
      <c r="R1131" s="8">
        <v>43</v>
      </c>
      <c r="S1131" s="8">
        <v>23</v>
      </c>
      <c r="T1131" s="11" t="s">
        <v>52</v>
      </c>
      <c r="U1131" s="10">
        <v>382</v>
      </c>
      <c r="V1131" s="32">
        <v>19</v>
      </c>
      <c r="W1131" s="27">
        <v>4.9738219895287955E-2</v>
      </c>
      <c r="X1131" s="34">
        <v>14</v>
      </c>
      <c r="Y1131" s="27">
        <v>0.73684210526315785</v>
      </c>
      <c r="Z1131" s="27">
        <v>3.6649214659685861E-2</v>
      </c>
      <c r="AA1131" s="35">
        <v>0</v>
      </c>
      <c r="AB1131" s="27">
        <v>0</v>
      </c>
      <c r="AC1131" s="27">
        <f t="shared" si="103"/>
        <v>0</v>
      </c>
      <c r="AD1131" s="36">
        <v>5</v>
      </c>
      <c r="AE1131" s="27">
        <v>0.26315789473684209</v>
      </c>
      <c r="AF1131" s="27">
        <f t="shared" si="104"/>
        <v>1.3089005235602094E-2</v>
      </c>
      <c r="AG1131" s="37">
        <v>0</v>
      </c>
      <c r="AH1131" s="27">
        <v>0</v>
      </c>
      <c r="AI1131" s="27">
        <f t="shared" si="105"/>
        <v>0</v>
      </c>
      <c r="AJ1131" s="38">
        <v>0</v>
      </c>
      <c r="AK1131" s="27">
        <v>0</v>
      </c>
      <c r="AL1131" s="27">
        <f t="shared" si="106"/>
        <v>0</v>
      </c>
      <c r="AM1131" s="40">
        <v>0</v>
      </c>
      <c r="AN1131" s="27">
        <v>0</v>
      </c>
      <c r="AO1131" s="27">
        <f t="shared" si="107"/>
        <v>0</v>
      </c>
      <c r="AP1131" s="7" t="b">
        <v>1</v>
      </c>
      <c r="AQ1131" s="6" t="b">
        <v>0</v>
      </c>
      <c r="AR1131" s="6" t="b">
        <v>0</v>
      </c>
      <c r="AS1131" s="6" t="b">
        <v>0</v>
      </c>
      <c r="AT1131" s="7" t="b">
        <v>1</v>
      </c>
      <c r="AU1131" s="6" t="b">
        <v>0</v>
      </c>
      <c r="AV1131" s="6" t="b">
        <v>0</v>
      </c>
      <c r="AW1131" s="6" t="b">
        <v>0</v>
      </c>
      <c r="AX1131" s="6" t="b">
        <v>0</v>
      </c>
      <c r="AY1131" s="6" t="b">
        <v>0</v>
      </c>
      <c r="AZ1131" s="6" t="b">
        <v>0</v>
      </c>
      <c r="BA1131" s="6" t="b">
        <v>0</v>
      </c>
      <c r="BB1131" s="6" t="b">
        <v>0</v>
      </c>
    </row>
    <row r="1132" spans="1:54" ht="15" x14ac:dyDescent="0.25">
      <c r="A1132" s="3" t="s">
        <v>2324</v>
      </c>
      <c r="B1132" s="3" t="str">
        <f ca="1">IFERROR(__xludf.DUMMYFUNCTION("SPLIT(A1132,""/"")"),"yampelo")</f>
        <v>yampelo</v>
      </c>
      <c r="C1132" s="3" t="str">
        <f ca="1">IFERROR(__xludf.DUMMYFUNCTION("""COMPUTED_VALUE"""),"beagle")</f>
        <v>beagle</v>
      </c>
      <c r="D1132" s="4" t="s">
        <v>2325</v>
      </c>
      <c r="E1132" s="5">
        <v>43121.958101851851</v>
      </c>
      <c r="F1132" s="5">
        <v>44293.666585648149</v>
      </c>
      <c r="G1132" s="13">
        <f t="shared" si="102"/>
        <v>1171.7084837962975</v>
      </c>
      <c r="H1132" s="6" t="b">
        <v>0</v>
      </c>
      <c r="I1132" s="6" t="b">
        <v>0</v>
      </c>
      <c r="J1132" s="8">
        <v>979</v>
      </c>
      <c r="K1132" s="8">
        <v>49</v>
      </c>
      <c r="L1132" s="8">
        <v>117</v>
      </c>
      <c r="M1132" s="8">
        <v>2</v>
      </c>
      <c r="N1132" s="8">
        <v>1</v>
      </c>
      <c r="O1132" s="8">
        <v>8</v>
      </c>
      <c r="P1132" s="8">
        <v>37</v>
      </c>
      <c r="Q1132" s="8">
        <v>7</v>
      </c>
      <c r="R1132" s="8">
        <v>49</v>
      </c>
      <c r="S1132" s="8">
        <v>22</v>
      </c>
      <c r="T1132" s="3" t="s">
        <v>72</v>
      </c>
      <c r="U1132" s="10">
        <v>5859</v>
      </c>
      <c r="V1132" s="32">
        <v>116</v>
      </c>
      <c r="W1132" s="27">
        <v>1.9798600443761735E-2</v>
      </c>
      <c r="X1132" s="34">
        <v>28</v>
      </c>
      <c r="Y1132" s="27">
        <v>0.2413793103448276</v>
      </c>
      <c r="Z1132" s="27">
        <v>4.7789725209080045E-3</v>
      </c>
      <c r="AA1132" s="35">
        <v>72</v>
      </c>
      <c r="AB1132" s="27">
        <v>0.62068965517241381</v>
      </c>
      <c r="AC1132" s="27">
        <f t="shared" si="103"/>
        <v>1.2288786482334869E-2</v>
      </c>
      <c r="AD1132" s="36">
        <v>6</v>
      </c>
      <c r="AE1132" s="27">
        <v>5.1724137931034482E-2</v>
      </c>
      <c r="AF1132" s="27">
        <f t="shared" si="104"/>
        <v>1.0240655401945725E-3</v>
      </c>
      <c r="AG1132" s="37">
        <v>1</v>
      </c>
      <c r="AH1132" s="27">
        <v>8.6206896551724137E-3</v>
      </c>
      <c r="AI1132" s="27">
        <f t="shared" si="105"/>
        <v>1.7067759003242875E-4</v>
      </c>
      <c r="AJ1132" s="38">
        <v>6</v>
      </c>
      <c r="AK1132" s="27">
        <v>5.1724137931034482E-2</v>
      </c>
      <c r="AL1132" s="27">
        <f t="shared" si="106"/>
        <v>1.0240655401945725E-3</v>
      </c>
      <c r="AM1132" s="40">
        <v>0</v>
      </c>
      <c r="AN1132" s="27">
        <v>0</v>
      </c>
      <c r="AO1132" s="27">
        <f t="shared" si="107"/>
        <v>0</v>
      </c>
      <c r="AP1132" s="7" t="b">
        <v>1</v>
      </c>
      <c r="AQ1132" s="6" t="b">
        <v>0</v>
      </c>
      <c r="AR1132" s="6" t="b">
        <v>0</v>
      </c>
      <c r="AS1132" s="6" t="b">
        <v>0</v>
      </c>
      <c r="AT1132" s="7" t="b">
        <v>1</v>
      </c>
      <c r="AU1132" s="6" t="b">
        <v>0</v>
      </c>
      <c r="AV1132" s="6" t="b">
        <v>0</v>
      </c>
      <c r="AW1132" s="6" t="b">
        <v>0</v>
      </c>
      <c r="AX1132" s="7" t="b">
        <v>1</v>
      </c>
      <c r="AY1132" s="6" t="b">
        <v>0</v>
      </c>
      <c r="AZ1132" s="6" t="b">
        <v>0</v>
      </c>
      <c r="BA1132" s="6" t="b">
        <v>0</v>
      </c>
      <c r="BB1132" s="6" t="b">
        <v>0</v>
      </c>
    </row>
    <row r="1133" spans="1:54" ht="15" x14ac:dyDescent="0.25">
      <c r="A1133" s="3" t="s">
        <v>2326</v>
      </c>
      <c r="B1133" s="3" t="str">
        <f ca="1">IFERROR(__xludf.DUMMYFUNCTION("SPLIT(A1133,""/"")"),"yandex")</f>
        <v>yandex</v>
      </c>
      <c r="C1133" s="3" t="str">
        <f ca="1">IFERROR(__xludf.DUMMYFUNCTION("""COMPUTED_VALUE"""),"gixy")</f>
        <v>gixy</v>
      </c>
      <c r="D1133" s="4" t="s">
        <v>2327</v>
      </c>
      <c r="E1133" s="5">
        <v>42809.04351851852</v>
      </c>
      <c r="F1133" s="5">
        <v>44292.783506944441</v>
      </c>
      <c r="G1133" s="13">
        <f t="shared" si="102"/>
        <v>1483.7399884259212</v>
      </c>
      <c r="H1133" s="6" t="b">
        <v>0</v>
      </c>
      <c r="I1133" s="7" t="b">
        <v>1</v>
      </c>
      <c r="J1133" s="8">
        <v>6813</v>
      </c>
      <c r="K1133" s="8">
        <v>168</v>
      </c>
      <c r="L1133" s="8">
        <v>320</v>
      </c>
      <c r="M1133" s="8">
        <v>9</v>
      </c>
      <c r="N1133" s="8">
        <v>1</v>
      </c>
      <c r="O1133" s="8">
        <v>17</v>
      </c>
      <c r="P1133" s="8">
        <v>55</v>
      </c>
      <c r="Q1133" s="8">
        <v>3</v>
      </c>
      <c r="R1133" s="8">
        <v>62</v>
      </c>
      <c r="S1133" s="8">
        <v>35</v>
      </c>
      <c r="T1133" s="3" t="s">
        <v>92</v>
      </c>
      <c r="U1133" s="10">
        <v>3734</v>
      </c>
      <c r="V1133" s="32">
        <v>19</v>
      </c>
      <c r="W1133" s="27">
        <v>5.0883770755222281E-3</v>
      </c>
      <c r="X1133" s="34">
        <v>4</v>
      </c>
      <c r="Y1133" s="27">
        <v>0.21052631578947367</v>
      </c>
      <c r="Z1133" s="27">
        <v>1.0712372790573112E-3</v>
      </c>
      <c r="AA1133" s="35">
        <v>4</v>
      </c>
      <c r="AB1133" s="27">
        <v>0.21052631578947367</v>
      </c>
      <c r="AC1133" s="27">
        <f t="shared" si="103"/>
        <v>1.0712372790573112E-3</v>
      </c>
      <c r="AD1133" s="36">
        <v>7</v>
      </c>
      <c r="AE1133" s="27">
        <v>0.36842105263157893</v>
      </c>
      <c r="AF1133" s="27">
        <f t="shared" si="104"/>
        <v>1.8746652383502945E-3</v>
      </c>
      <c r="AG1133" s="37">
        <v>3</v>
      </c>
      <c r="AH1133" s="27">
        <v>0.15789473684210525</v>
      </c>
      <c r="AI1133" s="27">
        <f t="shared" si="105"/>
        <v>8.0342795929298338E-4</v>
      </c>
      <c r="AJ1133" s="38">
        <v>1</v>
      </c>
      <c r="AK1133" s="27">
        <v>5.2631578947368418E-2</v>
      </c>
      <c r="AL1133" s="27">
        <f t="shared" si="106"/>
        <v>2.6780931976432779E-4</v>
      </c>
      <c r="AM1133" s="40">
        <v>0</v>
      </c>
      <c r="AN1133" s="27">
        <v>0</v>
      </c>
      <c r="AO1133" s="27">
        <f t="shared" si="107"/>
        <v>0</v>
      </c>
      <c r="AP1133" s="7" t="b">
        <v>1</v>
      </c>
      <c r="AQ1133" s="6" t="b">
        <v>0</v>
      </c>
      <c r="AR1133" s="6" t="b">
        <v>0</v>
      </c>
      <c r="AS1133" s="6" t="b">
        <v>0</v>
      </c>
      <c r="AT1133" s="7" t="b">
        <v>1</v>
      </c>
      <c r="AU1133" s="6" t="b">
        <v>0</v>
      </c>
      <c r="AV1133" s="6" t="b">
        <v>0</v>
      </c>
      <c r="AW1133" s="6" t="b">
        <v>0</v>
      </c>
      <c r="AX1133" s="6" t="b">
        <v>0</v>
      </c>
      <c r="AY1133" s="6" t="b">
        <v>0</v>
      </c>
      <c r="AZ1133" s="6" t="b">
        <v>0</v>
      </c>
      <c r="BA1133" s="6" t="b">
        <v>0</v>
      </c>
      <c r="BB1133" s="6" t="b">
        <v>0</v>
      </c>
    </row>
    <row r="1134" spans="1:54" ht="15" x14ac:dyDescent="0.25">
      <c r="A1134" s="3" t="s">
        <v>2328</v>
      </c>
      <c r="B1134" s="3" t="str">
        <f ca="1">IFERROR(__xludf.DUMMYFUNCTION("SPLIT(A1134,""/"")"),"yandex")</f>
        <v>yandex</v>
      </c>
      <c r="C1134" s="3" t="str">
        <f ca="1">IFERROR(__xludf.DUMMYFUNCTION("""COMPUTED_VALUE"""),"pgmigrate")</f>
        <v>pgmigrate</v>
      </c>
      <c r="D1134" s="4" t="s">
        <v>2329</v>
      </c>
      <c r="E1134" s="5">
        <v>42645.650335648148</v>
      </c>
      <c r="F1134" s="5">
        <v>44292.409710648149</v>
      </c>
      <c r="G1134" s="13">
        <f t="shared" si="102"/>
        <v>1646.7593750000015</v>
      </c>
      <c r="H1134" s="6" t="b">
        <v>0</v>
      </c>
      <c r="I1134" s="7" t="b">
        <v>1</v>
      </c>
      <c r="J1134" s="8">
        <v>489</v>
      </c>
      <c r="K1134" s="8">
        <v>24</v>
      </c>
      <c r="L1134" s="8">
        <v>46</v>
      </c>
      <c r="M1134" s="8">
        <v>0</v>
      </c>
      <c r="N1134" s="8">
        <v>0</v>
      </c>
      <c r="O1134" s="8">
        <v>3</v>
      </c>
      <c r="P1134" s="8">
        <v>12</v>
      </c>
      <c r="Q1134" s="8">
        <v>0</v>
      </c>
      <c r="R1134" s="8">
        <v>10</v>
      </c>
      <c r="S1134" s="8">
        <v>0</v>
      </c>
      <c r="T1134" s="3" t="s">
        <v>1965</v>
      </c>
      <c r="U1134" s="10">
        <v>747</v>
      </c>
      <c r="V1134" s="32">
        <v>39</v>
      </c>
      <c r="W1134" s="27">
        <v>5.2208835341365459E-2</v>
      </c>
      <c r="X1134" s="34">
        <v>1</v>
      </c>
      <c r="Y1134" s="27">
        <v>2.564102564102564E-2</v>
      </c>
      <c r="Z1134" s="27">
        <v>1.3386880856760374E-3</v>
      </c>
      <c r="AA1134" s="35">
        <v>29</v>
      </c>
      <c r="AB1134" s="27">
        <v>0.74358974358974361</v>
      </c>
      <c r="AC1134" s="27">
        <f t="shared" si="103"/>
        <v>3.8821954484605084E-2</v>
      </c>
      <c r="AD1134" s="36">
        <v>1</v>
      </c>
      <c r="AE1134" s="27">
        <v>2.564102564102564E-2</v>
      </c>
      <c r="AF1134" s="27">
        <f t="shared" si="104"/>
        <v>1.3386880856760374E-3</v>
      </c>
      <c r="AG1134" s="37">
        <v>8</v>
      </c>
      <c r="AH1134" s="27">
        <v>0.20512820512820512</v>
      </c>
      <c r="AI1134" s="27">
        <f t="shared" si="105"/>
        <v>1.0709504685408299E-2</v>
      </c>
      <c r="AJ1134" s="38">
        <v>0</v>
      </c>
      <c r="AK1134" s="27">
        <v>0</v>
      </c>
      <c r="AL1134" s="27">
        <f t="shared" si="106"/>
        <v>0</v>
      </c>
      <c r="AM1134" s="40">
        <v>0</v>
      </c>
      <c r="AN1134" s="27">
        <v>0</v>
      </c>
      <c r="AO1134" s="27">
        <f t="shared" si="107"/>
        <v>0</v>
      </c>
      <c r="AP1134" s="7" t="b">
        <v>1</v>
      </c>
      <c r="AQ1134" s="6" t="b">
        <v>0</v>
      </c>
      <c r="AR1134" s="6" t="b">
        <v>0</v>
      </c>
      <c r="AS1134" s="6" t="b">
        <v>0</v>
      </c>
      <c r="AT1134" s="7" t="b">
        <v>1</v>
      </c>
      <c r="AU1134" s="6" t="b">
        <v>0</v>
      </c>
      <c r="AV1134" s="6" t="b">
        <v>0</v>
      </c>
      <c r="AW1134" s="6" t="b">
        <v>0</v>
      </c>
      <c r="AX1134" s="6" t="b">
        <v>0</v>
      </c>
      <c r="AY1134" s="6" t="b">
        <v>0</v>
      </c>
      <c r="AZ1134" s="6" t="b">
        <v>0</v>
      </c>
      <c r="BA1134" s="6" t="b">
        <v>0</v>
      </c>
      <c r="BB1134" s="6" t="b">
        <v>0</v>
      </c>
    </row>
    <row r="1135" spans="1:54" ht="15" x14ac:dyDescent="0.25">
      <c r="A1135" s="3" t="s">
        <v>2330</v>
      </c>
      <c r="B1135" s="3" t="str">
        <f ca="1">IFERROR(__xludf.DUMMYFUNCTION("SPLIT(A1135,""/"")"),"yandex")</f>
        <v>yandex</v>
      </c>
      <c r="C1135" s="3" t="str">
        <f ca="1">IFERROR(__xludf.DUMMYFUNCTION("""COMPUTED_VALUE"""),"yandex-tank")</f>
        <v>yandex-tank</v>
      </c>
      <c r="D1135" s="4" t="s">
        <v>2331</v>
      </c>
      <c r="E1135" s="5">
        <v>41113.462476851855</v>
      </c>
      <c r="F1135" s="5">
        <v>44293.368622685186</v>
      </c>
      <c r="G1135" s="13">
        <f t="shared" si="102"/>
        <v>3179.9061458333308</v>
      </c>
      <c r="H1135" s="6" t="b">
        <v>0</v>
      </c>
      <c r="I1135" s="7" t="b">
        <v>1</v>
      </c>
      <c r="J1135" s="8">
        <v>2003</v>
      </c>
      <c r="K1135" s="8">
        <v>83</v>
      </c>
      <c r="L1135" s="8">
        <v>220</v>
      </c>
      <c r="M1135" s="8">
        <v>20</v>
      </c>
      <c r="N1135" s="8">
        <v>13</v>
      </c>
      <c r="O1135" s="8">
        <v>59</v>
      </c>
      <c r="P1135" s="8">
        <v>694</v>
      </c>
      <c r="Q1135" s="8">
        <v>8</v>
      </c>
      <c r="R1135" s="8">
        <v>163</v>
      </c>
      <c r="S1135" s="8">
        <v>57</v>
      </c>
      <c r="T1135" s="3" t="s">
        <v>1410</v>
      </c>
      <c r="U1135" s="10">
        <v>12609</v>
      </c>
      <c r="V1135" s="32">
        <v>600</v>
      </c>
      <c r="W1135" s="27">
        <v>4.758505829169641E-2</v>
      </c>
      <c r="X1135" s="34">
        <v>199</v>
      </c>
      <c r="Y1135" s="27">
        <v>0.33166666666666667</v>
      </c>
      <c r="Z1135" s="27">
        <v>1.5782377666745975E-2</v>
      </c>
      <c r="AA1135" s="35">
        <v>218</v>
      </c>
      <c r="AB1135" s="27">
        <v>0.36333333333333334</v>
      </c>
      <c r="AC1135" s="27">
        <f t="shared" si="103"/>
        <v>1.7289237845983029E-2</v>
      </c>
      <c r="AD1135" s="36">
        <v>99</v>
      </c>
      <c r="AE1135" s="27">
        <v>0.16500000000000001</v>
      </c>
      <c r="AF1135" s="27">
        <f t="shared" si="104"/>
        <v>7.8515346181299069E-3</v>
      </c>
      <c r="AG1135" s="37">
        <v>74</v>
      </c>
      <c r="AH1135" s="27">
        <v>0.12333333333333334</v>
      </c>
      <c r="AI1135" s="27">
        <f t="shared" si="105"/>
        <v>5.8688238559758904E-3</v>
      </c>
      <c r="AJ1135" s="38">
        <v>1</v>
      </c>
      <c r="AK1135" s="27">
        <v>1.6666666666666668E-3</v>
      </c>
      <c r="AL1135" s="27">
        <f t="shared" si="106"/>
        <v>7.9308430486160682E-5</v>
      </c>
      <c r="AM1135" s="40">
        <v>0</v>
      </c>
      <c r="AN1135" s="27">
        <v>0</v>
      </c>
      <c r="AO1135" s="27">
        <f t="shared" si="107"/>
        <v>0</v>
      </c>
      <c r="AP1135" s="7" t="b">
        <v>1</v>
      </c>
      <c r="AQ1135" s="6" t="b">
        <v>0</v>
      </c>
      <c r="AR1135" s="6" t="b">
        <v>0</v>
      </c>
      <c r="AS1135" s="6" t="b">
        <v>0</v>
      </c>
      <c r="AT1135" s="7" t="b">
        <v>1</v>
      </c>
      <c r="AU1135" s="6" t="b">
        <v>0</v>
      </c>
      <c r="AV1135" s="6" t="b">
        <v>0</v>
      </c>
      <c r="AW1135" s="6" t="b">
        <v>0</v>
      </c>
      <c r="AX1135" s="6" t="b">
        <v>0</v>
      </c>
      <c r="AY1135" s="6" t="b">
        <v>0</v>
      </c>
      <c r="AZ1135" s="6" t="b">
        <v>0</v>
      </c>
      <c r="BA1135" s="6" t="b">
        <v>0</v>
      </c>
      <c r="BB1135" s="6" t="b">
        <v>0</v>
      </c>
    </row>
    <row r="1136" spans="1:54" ht="15" x14ac:dyDescent="0.25">
      <c r="A1136" s="3" t="s">
        <v>2332</v>
      </c>
      <c r="B1136" s="3" t="str">
        <f ca="1">IFERROR(__xludf.DUMMYFUNCTION("SPLIT(A1136,""/"")"),"yasinkuyu")</f>
        <v>yasinkuyu</v>
      </c>
      <c r="C1136" s="3" t="str">
        <f ca="1">IFERROR(__xludf.DUMMYFUNCTION("""COMPUTED_VALUE"""),"binance-trader")</f>
        <v>binance-trader</v>
      </c>
      <c r="D1136" s="4" t="s">
        <v>2333</v>
      </c>
      <c r="E1136" s="5">
        <v>43014.890821759262</v>
      </c>
      <c r="F1136" s="5">
        <v>44294.861250000002</v>
      </c>
      <c r="G1136" s="13">
        <f t="shared" si="102"/>
        <v>1279.9704282407401</v>
      </c>
      <c r="H1136" s="6" t="b">
        <v>0</v>
      </c>
      <c r="I1136" s="6" t="b">
        <v>0</v>
      </c>
      <c r="J1136" s="8">
        <v>1725</v>
      </c>
      <c r="K1136" s="8">
        <v>237</v>
      </c>
      <c r="L1136" s="8">
        <v>642</v>
      </c>
      <c r="M1136" s="8">
        <v>0</v>
      </c>
      <c r="N1136" s="8">
        <v>8</v>
      </c>
      <c r="O1136" s="8">
        <v>10</v>
      </c>
      <c r="P1136" s="8">
        <v>45</v>
      </c>
      <c r="Q1136" s="8">
        <v>1</v>
      </c>
      <c r="R1136" s="8">
        <v>242</v>
      </c>
      <c r="S1136" s="8">
        <v>88</v>
      </c>
      <c r="T1136" s="11" t="s">
        <v>52</v>
      </c>
      <c r="U1136" s="10">
        <v>753</v>
      </c>
      <c r="V1136" s="32">
        <v>26</v>
      </c>
      <c r="W1136" s="27">
        <v>3.4528552456839307E-2</v>
      </c>
      <c r="X1136" s="34">
        <v>2</v>
      </c>
      <c r="Y1136" s="27">
        <v>7.6923076923076927E-2</v>
      </c>
      <c r="Z1136" s="27">
        <v>2.6560424966799467E-3</v>
      </c>
      <c r="AA1136" s="35">
        <v>19</v>
      </c>
      <c r="AB1136" s="27">
        <v>0.73076923076923073</v>
      </c>
      <c r="AC1136" s="27">
        <f t="shared" si="103"/>
        <v>2.5232403718459494E-2</v>
      </c>
      <c r="AD1136" s="36">
        <v>1</v>
      </c>
      <c r="AE1136" s="27">
        <v>3.8461538461538464E-2</v>
      </c>
      <c r="AF1136" s="27">
        <f t="shared" si="104"/>
        <v>1.3280212483399733E-3</v>
      </c>
      <c r="AG1136" s="37">
        <v>4</v>
      </c>
      <c r="AH1136" s="27">
        <v>0.15384615384615385</v>
      </c>
      <c r="AI1136" s="27">
        <f t="shared" si="105"/>
        <v>5.3120849933598934E-3</v>
      </c>
      <c r="AJ1136" s="38">
        <v>0</v>
      </c>
      <c r="AK1136" s="27">
        <v>0</v>
      </c>
      <c r="AL1136" s="27">
        <f t="shared" si="106"/>
        <v>0</v>
      </c>
      <c r="AM1136" s="40">
        <v>0</v>
      </c>
      <c r="AN1136" s="27">
        <v>0</v>
      </c>
      <c r="AO1136" s="27">
        <f t="shared" si="107"/>
        <v>0</v>
      </c>
      <c r="AP1136" s="7" t="b">
        <v>1</v>
      </c>
      <c r="AQ1136" s="6" t="b">
        <v>0</v>
      </c>
      <c r="AR1136" s="6" t="b">
        <v>0</v>
      </c>
      <c r="AS1136" s="6" t="b">
        <v>0</v>
      </c>
      <c r="AT1136" s="7" t="b">
        <v>1</v>
      </c>
      <c r="AU1136" s="6" t="b">
        <v>0</v>
      </c>
      <c r="AV1136" s="6" t="b">
        <v>0</v>
      </c>
      <c r="AW1136" s="6" t="b">
        <v>0</v>
      </c>
      <c r="AX1136" s="6" t="b">
        <v>0</v>
      </c>
      <c r="AY1136" s="6" t="b">
        <v>0</v>
      </c>
      <c r="AZ1136" s="6" t="b">
        <v>0</v>
      </c>
      <c r="BA1136" s="6" t="b">
        <v>0</v>
      </c>
      <c r="BB1136" s="6" t="b">
        <v>0</v>
      </c>
    </row>
    <row r="1137" spans="1:54" ht="15" x14ac:dyDescent="0.25">
      <c r="A1137" s="3" t="s">
        <v>2334</v>
      </c>
      <c r="B1137" s="3" t="str">
        <f ca="1">IFERROR(__xludf.DUMMYFUNCTION("SPLIT(A1137,""/"")"),"YBIGTA")</f>
        <v>YBIGTA</v>
      </c>
      <c r="C1137" s="3" t="str">
        <f ca="1">IFERROR(__xludf.DUMMYFUNCTION("""COMPUTED_VALUE"""),"pytorch-hair-segmentation")</f>
        <v>pytorch-hair-segmentation</v>
      </c>
      <c r="D1137" s="4" t="s">
        <v>2335</v>
      </c>
      <c r="E1137" s="5">
        <v>43407.189583333333</v>
      </c>
      <c r="F1137" s="5">
        <v>44292.461215277777</v>
      </c>
      <c r="G1137" s="13">
        <f t="shared" si="102"/>
        <v>885.27163194444438</v>
      </c>
      <c r="H1137" s="6" t="b">
        <v>0</v>
      </c>
      <c r="I1137" s="7" t="b">
        <v>1</v>
      </c>
      <c r="J1137" s="8">
        <v>357</v>
      </c>
      <c r="K1137" s="8">
        <v>22</v>
      </c>
      <c r="L1137" s="8">
        <v>82</v>
      </c>
      <c r="M1137" s="8">
        <v>1</v>
      </c>
      <c r="N1137" s="8">
        <v>0</v>
      </c>
      <c r="O1137" s="8">
        <v>3</v>
      </c>
      <c r="P1137" s="8">
        <v>16</v>
      </c>
      <c r="Q1137" s="8">
        <v>1</v>
      </c>
      <c r="R1137" s="8">
        <v>43</v>
      </c>
      <c r="S1137" s="8">
        <v>9</v>
      </c>
      <c r="T1137" s="3" t="s">
        <v>72</v>
      </c>
      <c r="U1137" s="10">
        <v>1341</v>
      </c>
      <c r="V1137" s="32">
        <v>20</v>
      </c>
      <c r="W1137" s="27">
        <v>1.4914243102162566E-2</v>
      </c>
      <c r="X1137" s="34">
        <v>0</v>
      </c>
      <c r="Y1137" s="27">
        <v>0</v>
      </c>
      <c r="Z1137" s="27">
        <v>0</v>
      </c>
      <c r="AA1137" s="35">
        <v>20</v>
      </c>
      <c r="AB1137" s="27">
        <v>1</v>
      </c>
      <c r="AC1137" s="27">
        <f t="shared" si="103"/>
        <v>1.4914243102162566E-2</v>
      </c>
      <c r="AD1137" s="36">
        <v>0</v>
      </c>
      <c r="AE1137" s="27">
        <v>0</v>
      </c>
      <c r="AF1137" s="27">
        <f t="shared" si="104"/>
        <v>0</v>
      </c>
      <c r="AG1137" s="37">
        <v>0</v>
      </c>
      <c r="AH1137" s="27">
        <v>0</v>
      </c>
      <c r="AI1137" s="27">
        <f t="shared" si="105"/>
        <v>0</v>
      </c>
      <c r="AJ1137" s="38">
        <v>0</v>
      </c>
      <c r="AK1137" s="27">
        <v>0</v>
      </c>
      <c r="AL1137" s="27">
        <f t="shared" si="106"/>
        <v>0</v>
      </c>
      <c r="AM1137" s="40">
        <v>0</v>
      </c>
      <c r="AN1137" s="27">
        <v>0</v>
      </c>
      <c r="AO1137" s="27">
        <f t="shared" si="107"/>
        <v>0</v>
      </c>
      <c r="AP1137" s="7" t="b">
        <v>1</v>
      </c>
      <c r="AQ1137" s="6" t="b">
        <v>0</v>
      </c>
      <c r="AR1137" s="6" t="b">
        <v>0</v>
      </c>
      <c r="AS1137" s="6" t="b">
        <v>0</v>
      </c>
      <c r="AT1137" s="7" t="b">
        <v>1</v>
      </c>
      <c r="AU1137" s="6" t="b">
        <v>0</v>
      </c>
      <c r="AV1137" s="6" t="b">
        <v>0</v>
      </c>
      <c r="AW1137" s="6" t="b">
        <v>0</v>
      </c>
      <c r="AX1137" s="6" t="b">
        <v>0</v>
      </c>
      <c r="AY1137" s="6" t="b">
        <v>0</v>
      </c>
      <c r="AZ1137" s="6" t="b">
        <v>0</v>
      </c>
      <c r="BA1137" s="6" t="b">
        <v>0</v>
      </c>
      <c r="BB1137" s="6" t="b">
        <v>0</v>
      </c>
    </row>
    <row r="1138" spans="1:54" ht="15" x14ac:dyDescent="0.25">
      <c r="A1138" s="3" t="s">
        <v>2336</v>
      </c>
      <c r="B1138" s="3" t="str">
        <f ca="1">IFERROR(__xludf.DUMMYFUNCTION("SPLIT(A1138,""/"")"),"ycm-core")</f>
        <v>ycm-core</v>
      </c>
      <c r="C1138" s="3" t="str">
        <f ca="1">IFERROR(__xludf.DUMMYFUNCTION("""COMPUTED_VALUE"""),"YouCompleteMe")</f>
        <v>YouCompleteMe</v>
      </c>
      <c r="D1138" s="4" t="s">
        <v>2337</v>
      </c>
      <c r="E1138" s="5">
        <v>41015.13349537037</v>
      </c>
      <c r="F1138" s="5">
        <v>44295.11215277778</v>
      </c>
      <c r="G1138" s="13">
        <f t="shared" si="102"/>
        <v>3279.9786574074096</v>
      </c>
      <c r="H1138" s="6" t="b">
        <v>0</v>
      </c>
      <c r="I1138" s="7" t="b">
        <v>1</v>
      </c>
      <c r="J1138" s="8">
        <v>22723</v>
      </c>
      <c r="K1138" s="8">
        <v>596</v>
      </c>
      <c r="L1138" s="8">
        <v>2538</v>
      </c>
      <c r="M1138" s="8">
        <v>0</v>
      </c>
      <c r="N1138" s="8">
        <v>99</v>
      </c>
      <c r="O1138" s="8">
        <v>152</v>
      </c>
      <c r="P1138" s="8">
        <v>871</v>
      </c>
      <c r="Q1138" s="8">
        <v>10</v>
      </c>
      <c r="R1138" s="8">
        <v>2987</v>
      </c>
      <c r="S1138" s="8">
        <v>26</v>
      </c>
      <c r="T1138" s="3" t="s">
        <v>49</v>
      </c>
      <c r="U1138" s="10">
        <v>5980</v>
      </c>
      <c r="V1138" s="32">
        <v>12</v>
      </c>
      <c r="W1138" s="27">
        <v>2.0066889632107021E-3</v>
      </c>
      <c r="X1138" s="34">
        <v>3</v>
      </c>
      <c r="Y1138" s="27">
        <v>0.25</v>
      </c>
      <c r="Z1138" s="27">
        <v>5.0167224080267553E-4</v>
      </c>
      <c r="AA1138" s="35">
        <v>0</v>
      </c>
      <c r="AB1138" s="27">
        <v>0</v>
      </c>
      <c r="AC1138" s="27">
        <f t="shared" si="103"/>
        <v>0</v>
      </c>
      <c r="AD1138" s="36">
        <v>0</v>
      </c>
      <c r="AE1138" s="27">
        <v>0</v>
      </c>
      <c r="AF1138" s="27">
        <f t="shared" si="104"/>
        <v>0</v>
      </c>
      <c r="AG1138" s="37">
        <v>7</v>
      </c>
      <c r="AH1138" s="27">
        <v>0.58333333333333337</v>
      </c>
      <c r="AI1138" s="27">
        <f t="shared" si="105"/>
        <v>1.1705685618729096E-3</v>
      </c>
      <c r="AJ1138" s="38">
        <v>1</v>
      </c>
      <c r="AK1138" s="27">
        <v>8.3333333333333329E-2</v>
      </c>
      <c r="AL1138" s="27">
        <f t="shared" si="106"/>
        <v>1.6722408026755852E-4</v>
      </c>
      <c r="AM1138" s="40">
        <v>0</v>
      </c>
      <c r="AN1138" s="27">
        <v>0</v>
      </c>
      <c r="AO1138" s="27">
        <f t="shared" si="107"/>
        <v>0</v>
      </c>
      <c r="AP1138" s="7" t="b">
        <v>1</v>
      </c>
      <c r="AQ1138" s="6" t="b">
        <v>0</v>
      </c>
      <c r="AR1138" s="6" t="b">
        <v>0</v>
      </c>
      <c r="AS1138" s="6" t="b">
        <v>0</v>
      </c>
      <c r="AT1138" s="7" t="b">
        <v>1</v>
      </c>
      <c r="AU1138" s="6" t="b">
        <v>0</v>
      </c>
      <c r="AV1138" s="6" t="b">
        <v>0</v>
      </c>
      <c r="AW1138" s="6" t="b">
        <v>0</v>
      </c>
      <c r="AX1138" s="6" t="b">
        <v>0</v>
      </c>
      <c r="AY1138" s="6" t="b">
        <v>0</v>
      </c>
      <c r="AZ1138" s="6" t="b">
        <v>0</v>
      </c>
      <c r="BA1138" s="6" t="b">
        <v>0</v>
      </c>
      <c r="BB1138" s="6" t="b">
        <v>0</v>
      </c>
    </row>
    <row r="1139" spans="1:54" ht="15" x14ac:dyDescent="0.25">
      <c r="A1139" s="3" t="s">
        <v>2338</v>
      </c>
      <c r="B1139" s="3" t="str">
        <f ca="1">IFERROR(__xludf.DUMMYFUNCTION("SPLIT(A1139,""/"")"),"Yelp")</f>
        <v>Yelp</v>
      </c>
      <c r="C1139" s="3" t="str">
        <f ca="1">IFERROR(__xludf.DUMMYFUNCTION("""COMPUTED_VALUE"""),"docker-custodian")</f>
        <v>docker-custodian</v>
      </c>
      <c r="D1139" s="4" t="s">
        <v>2339</v>
      </c>
      <c r="E1139" s="5">
        <v>42184.896504629629</v>
      </c>
      <c r="F1139" s="5">
        <v>44263.556354166663</v>
      </c>
      <c r="G1139" s="13">
        <f t="shared" si="102"/>
        <v>2078.6598495370345</v>
      </c>
      <c r="H1139" s="6" t="b">
        <v>0</v>
      </c>
      <c r="I1139" s="7" t="b">
        <v>1</v>
      </c>
      <c r="J1139" s="8">
        <v>340</v>
      </c>
      <c r="K1139" s="8">
        <v>48</v>
      </c>
      <c r="L1139" s="8">
        <v>44</v>
      </c>
      <c r="M1139" s="8">
        <v>0</v>
      </c>
      <c r="N1139" s="8">
        <v>1</v>
      </c>
      <c r="O1139" s="8">
        <v>14</v>
      </c>
      <c r="P1139" s="8">
        <v>32</v>
      </c>
      <c r="Q1139" s="8">
        <v>6</v>
      </c>
      <c r="R1139" s="8">
        <v>22</v>
      </c>
      <c r="S1139" s="8">
        <v>11</v>
      </c>
      <c r="T1139" s="3" t="s">
        <v>69</v>
      </c>
      <c r="U1139" s="10">
        <v>569</v>
      </c>
      <c r="V1139" s="32">
        <v>16</v>
      </c>
      <c r="W1139" s="27">
        <v>2.8119507908611598E-2</v>
      </c>
      <c r="X1139" s="34">
        <v>0</v>
      </c>
      <c r="Y1139" s="27">
        <v>0</v>
      </c>
      <c r="Z1139" s="27">
        <v>0</v>
      </c>
      <c r="AA1139" s="35">
        <v>11</v>
      </c>
      <c r="AB1139" s="27">
        <v>0.6875</v>
      </c>
      <c r="AC1139" s="27">
        <f t="shared" si="103"/>
        <v>1.9332161687170474E-2</v>
      </c>
      <c r="AD1139" s="36">
        <v>4</v>
      </c>
      <c r="AE1139" s="27">
        <v>0.25</v>
      </c>
      <c r="AF1139" s="27">
        <f t="shared" si="104"/>
        <v>7.0298769771528994E-3</v>
      </c>
      <c r="AG1139" s="37">
        <v>1</v>
      </c>
      <c r="AH1139" s="27">
        <v>6.25E-2</v>
      </c>
      <c r="AI1139" s="27">
        <f t="shared" si="105"/>
        <v>1.7574692442882249E-3</v>
      </c>
      <c r="AJ1139" s="38">
        <v>0</v>
      </c>
      <c r="AK1139" s="27">
        <v>0</v>
      </c>
      <c r="AL1139" s="27">
        <f t="shared" si="106"/>
        <v>0</v>
      </c>
      <c r="AM1139" s="40">
        <v>0</v>
      </c>
      <c r="AN1139" s="27">
        <v>0</v>
      </c>
      <c r="AO1139" s="27">
        <f t="shared" si="107"/>
        <v>0</v>
      </c>
      <c r="AP1139" s="7" t="b">
        <v>1</v>
      </c>
      <c r="AQ1139" s="6" t="b">
        <v>0</v>
      </c>
      <c r="AR1139" s="6" t="b">
        <v>0</v>
      </c>
      <c r="AS1139" s="6" t="b">
        <v>0</v>
      </c>
      <c r="AT1139" s="7" t="b">
        <v>1</v>
      </c>
      <c r="AU1139" s="6" t="b">
        <v>0</v>
      </c>
      <c r="AV1139" s="6" t="b">
        <v>0</v>
      </c>
      <c r="AW1139" s="6" t="b">
        <v>0</v>
      </c>
      <c r="AX1139" s="6" t="b">
        <v>0</v>
      </c>
      <c r="AY1139" s="6" t="b">
        <v>0</v>
      </c>
      <c r="AZ1139" s="6" t="b">
        <v>0</v>
      </c>
      <c r="BA1139" s="6" t="b">
        <v>0</v>
      </c>
      <c r="BB1139" s="6" t="b">
        <v>0</v>
      </c>
    </row>
    <row r="1140" spans="1:54" ht="15" x14ac:dyDescent="0.25">
      <c r="A1140" s="3" t="s">
        <v>2340</v>
      </c>
      <c r="B1140" s="3" t="str">
        <f ca="1">IFERROR(__xludf.DUMMYFUNCTION("SPLIT(A1140,""/"")"),"Yelp")</f>
        <v>Yelp</v>
      </c>
      <c r="C1140" s="3" t="str">
        <f ca="1">IFERROR(__xludf.DUMMYFUNCTION("""COMPUTED_VALUE"""),"elastalert")</f>
        <v>elastalert</v>
      </c>
      <c r="D1140" s="4" t="s">
        <v>2341</v>
      </c>
      <c r="E1140" s="5">
        <v>41967.818969907406</v>
      </c>
      <c r="F1140" s="5">
        <v>44294.583101851851</v>
      </c>
      <c r="G1140" s="13">
        <f t="shared" si="102"/>
        <v>2326.7641319444447</v>
      </c>
      <c r="H1140" s="6" t="b">
        <v>0</v>
      </c>
      <c r="I1140" s="7" t="b">
        <v>1</v>
      </c>
      <c r="J1140" s="8">
        <v>7382</v>
      </c>
      <c r="K1140" s="8">
        <v>266</v>
      </c>
      <c r="L1140" s="8">
        <v>1601</v>
      </c>
      <c r="M1140" s="8">
        <v>1</v>
      </c>
      <c r="N1140" s="8">
        <v>35</v>
      </c>
      <c r="O1140" s="8">
        <v>198</v>
      </c>
      <c r="P1140" s="8">
        <v>918</v>
      </c>
      <c r="Q1140" s="8">
        <v>148</v>
      </c>
      <c r="R1140" s="8">
        <v>2249</v>
      </c>
      <c r="S1140" s="8">
        <v>1239</v>
      </c>
      <c r="T1140" s="3" t="s">
        <v>69</v>
      </c>
      <c r="U1140" s="10">
        <v>9432</v>
      </c>
      <c r="V1140" s="32">
        <v>114</v>
      </c>
      <c r="W1140" s="27">
        <v>1.2086513994910942E-2</v>
      </c>
      <c r="X1140" s="34">
        <v>10</v>
      </c>
      <c r="Y1140" s="27">
        <v>8.771929824561403E-2</v>
      </c>
      <c r="Z1140" s="27">
        <v>1.0602205258693808E-3</v>
      </c>
      <c r="AA1140" s="35">
        <v>63</v>
      </c>
      <c r="AB1140" s="27">
        <v>0.55263157894736847</v>
      </c>
      <c r="AC1140" s="27">
        <f t="shared" si="103"/>
        <v>6.6793893129770991E-3</v>
      </c>
      <c r="AD1140" s="36">
        <v>21</v>
      </c>
      <c r="AE1140" s="27">
        <v>0.18421052631578946</v>
      </c>
      <c r="AF1140" s="27">
        <f t="shared" si="104"/>
        <v>2.2264631043256997E-3</v>
      </c>
      <c r="AG1140" s="37">
        <v>18</v>
      </c>
      <c r="AH1140" s="27">
        <v>0.15789473684210525</v>
      </c>
      <c r="AI1140" s="27">
        <f t="shared" si="105"/>
        <v>1.9083969465648854E-3</v>
      </c>
      <c r="AJ1140" s="38">
        <v>0</v>
      </c>
      <c r="AK1140" s="27">
        <v>0</v>
      </c>
      <c r="AL1140" s="27">
        <f t="shared" si="106"/>
        <v>0</v>
      </c>
      <c r="AM1140" s="40">
        <v>0</v>
      </c>
      <c r="AN1140" s="27">
        <v>0</v>
      </c>
      <c r="AO1140" s="27">
        <f t="shared" si="107"/>
        <v>0</v>
      </c>
      <c r="AP1140" s="6" t="b">
        <v>0</v>
      </c>
      <c r="AQ1140" s="7" t="b">
        <v>1</v>
      </c>
      <c r="AR1140" s="6" t="b">
        <v>0</v>
      </c>
      <c r="AS1140" s="6" t="b">
        <v>0</v>
      </c>
      <c r="AT1140" s="7" t="b">
        <v>1</v>
      </c>
      <c r="AU1140" s="6" t="b">
        <v>0</v>
      </c>
      <c r="AV1140" s="6" t="b">
        <v>0</v>
      </c>
      <c r="AW1140" s="6" t="b">
        <v>0</v>
      </c>
      <c r="AX1140" s="6" t="b">
        <v>0</v>
      </c>
      <c r="AY1140" s="6" t="b">
        <v>0</v>
      </c>
      <c r="AZ1140" s="6" t="b">
        <v>0</v>
      </c>
      <c r="BA1140" s="6" t="b">
        <v>0</v>
      </c>
      <c r="BB1140" s="6" t="b">
        <v>0</v>
      </c>
    </row>
    <row r="1141" spans="1:54" ht="15" x14ac:dyDescent="0.25">
      <c r="A1141" s="3" t="s">
        <v>2342</v>
      </c>
      <c r="B1141" s="3" t="str">
        <f ca="1">IFERROR(__xludf.DUMMYFUNCTION("SPLIT(A1141,""/"")"),"Yelp")</f>
        <v>Yelp</v>
      </c>
      <c r="C1141" s="3" t="str">
        <f ca="1">IFERROR(__xludf.DUMMYFUNCTION("""COMPUTED_VALUE"""),"mysql_streamer")</f>
        <v>mysql_streamer</v>
      </c>
      <c r="D1141" s="4" t="s">
        <v>2343</v>
      </c>
      <c r="E1141" s="5">
        <v>42605.828217592592</v>
      </c>
      <c r="F1141" s="5">
        <v>44284.077870370369</v>
      </c>
      <c r="G1141" s="13">
        <f t="shared" si="102"/>
        <v>1678.2496527777766</v>
      </c>
      <c r="H1141" s="6" t="b">
        <v>0</v>
      </c>
      <c r="I1141" s="7" t="b">
        <v>1</v>
      </c>
      <c r="J1141" s="8">
        <v>379</v>
      </c>
      <c r="K1141" s="8">
        <v>45</v>
      </c>
      <c r="L1141" s="8">
        <v>80</v>
      </c>
      <c r="M1141" s="8">
        <v>0</v>
      </c>
      <c r="N1141" s="8">
        <v>0</v>
      </c>
      <c r="O1141" s="8">
        <v>13</v>
      </c>
      <c r="P1141" s="8">
        <v>10</v>
      </c>
      <c r="Q1141" s="8">
        <v>4</v>
      </c>
      <c r="R1141" s="8">
        <v>17</v>
      </c>
      <c r="S1141" s="8">
        <v>16</v>
      </c>
      <c r="T1141" s="3" t="s">
        <v>69</v>
      </c>
      <c r="U1141" s="10">
        <v>6293</v>
      </c>
      <c r="V1141" s="32">
        <v>72</v>
      </c>
      <c r="W1141" s="27">
        <v>1.1441283966311775E-2</v>
      </c>
      <c r="X1141" s="34">
        <v>4</v>
      </c>
      <c r="Y1141" s="27">
        <v>5.5555555555555552E-2</v>
      </c>
      <c r="Z1141" s="27">
        <v>6.3562688701732084E-4</v>
      </c>
      <c r="AA1141" s="35">
        <v>62</v>
      </c>
      <c r="AB1141" s="27">
        <v>0.86111111111111116</v>
      </c>
      <c r="AC1141" s="27">
        <f t="shared" si="103"/>
        <v>9.852216748768473E-3</v>
      </c>
      <c r="AD1141" s="36">
        <v>1</v>
      </c>
      <c r="AE1141" s="27">
        <v>1.3888888888888888E-2</v>
      </c>
      <c r="AF1141" s="27">
        <f t="shared" si="104"/>
        <v>1.5890672175433021E-4</v>
      </c>
      <c r="AG1141" s="37">
        <v>5</v>
      </c>
      <c r="AH1141" s="27">
        <v>6.9444444444444448E-2</v>
      </c>
      <c r="AI1141" s="27">
        <f t="shared" si="105"/>
        <v>7.9453360877165108E-4</v>
      </c>
      <c r="AJ1141" s="38">
        <v>0</v>
      </c>
      <c r="AK1141" s="27">
        <v>0</v>
      </c>
      <c r="AL1141" s="27">
        <f t="shared" si="106"/>
        <v>0</v>
      </c>
      <c r="AM1141" s="40">
        <v>0</v>
      </c>
      <c r="AN1141" s="27">
        <v>0</v>
      </c>
      <c r="AO1141" s="27">
        <f t="shared" si="107"/>
        <v>0</v>
      </c>
      <c r="AP1141" s="7" t="b">
        <v>1</v>
      </c>
      <c r="AQ1141" s="7" t="b">
        <v>1</v>
      </c>
      <c r="AR1141" s="6" t="b">
        <v>0</v>
      </c>
      <c r="AS1141" s="6" t="b">
        <v>0</v>
      </c>
      <c r="AT1141" s="7" t="b">
        <v>1</v>
      </c>
      <c r="AU1141" s="6" t="b">
        <v>0</v>
      </c>
      <c r="AV1141" s="6" t="b">
        <v>0</v>
      </c>
      <c r="AW1141" s="6" t="b">
        <v>0</v>
      </c>
      <c r="AX1141" s="6" t="b">
        <v>0</v>
      </c>
      <c r="AY1141" s="6" t="b">
        <v>0</v>
      </c>
      <c r="AZ1141" s="6" t="b">
        <v>0</v>
      </c>
      <c r="BA1141" s="6" t="b">
        <v>0</v>
      </c>
      <c r="BB1141" s="6" t="b">
        <v>0</v>
      </c>
    </row>
    <row r="1142" spans="1:54" ht="15" x14ac:dyDescent="0.25">
      <c r="A1142" s="3" t="s">
        <v>2344</v>
      </c>
      <c r="B1142" s="3" t="str">
        <f ca="1">IFERROR(__xludf.DUMMYFUNCTION("SPLIT(A1142,""/"")"),"Yelp")</f>
        <v>Yelp</v>
      </c>
      <c r="C1142" s="3" t="str">
        <f ca="1">IFERROR(__xludf.DUMMYFUNCTION("""COMPUTED_VALUE"""),"paasta")</f>
        <v>paasta</v>
      </c>
      <c r="D1142" s="4" t="s">
        <v>2345</v>
      </c>
      <c r="E1142" s="5">
        <v>42303.899918981479</v>
      </c>
      <c r="F1142" s="5">
        <v>44294.883738425924</v>
      </c>
      <c r="G1142" s="13">
        <f t="shared" si="102"/>
        <v>1990.9838194444455</v>
      </c>
      <c r="H1142" s="6" t="b">
        <v>0</v>
      </c>
      <c r="I1142" s="7" t="b">
        <v>1</v>
      </c>
      <c r="J1142" s="8">
        <v>1517</v>
      </c>
      <c r="K1142" s="8">
        <v>98</v>
      </c>
      <c r="L1142" s="8">
        <v>191</v>
      </c>
      <c r="M1142" s="8">
        <v>0</v>
      </c>
      <c r="N1142" s="8">
        <v>44</v>
      </c>
      <c r="O1142" s="8">
        <v>128</v>
      </c>
      <c r="P1142" s="8">
        <v>2697</v>
      </c>
      <c r="Q1142" s="8">
        <v>18</v>
      </c>
      <c r="R1142" s="8">
        <v>318</v>
      </c>
      <c r="S1142" s="8">
        <v>67</v>
      </c>
      <c r="T1142" s="3" t="s">
        <v>69</v>
      </c>
      <c r="U1142" s="10">
        <v>50310</v>
      </c>
      <c r="V1142" s="32">
        <v>473</v>
      </c>
      <c r="W1142" s="27">
        <v>9.4017094017094013E-3</v>
      </c>
      <c r="X1142" s="34">
        <v>152</v>
      </c>
      <c r="Y1142" s="27">
        <v>0.32135306553911203</v>
      </c>
      <c r="Z1142" s="27">
        <v>3.0212681375472073E-3</v>
      </c>
      <c r="AA1142" s="35">
        <v>145</v>
      </c>
      <c r="AB1142" s="27">
        <v>0.30655391120507397</v>
      </c>
      <c r="AC1142" s="27">
        <f t="shared" si="103"/>
        <v>2.8821307891075333E-3</v>
      </c>
      <c r="AD1142" s="36">
        <v>68</v>
      </c>
      <c r="AE1142" s="27">
        <v>0.14376321353065538</v>
      </c>
      <c r="AF1142" s="27">
        <f t="shared" si="104"/>
        <v>1.351619956271119E-3</v>
      </c>
      <c r="AG1142" s="37">
        <v>89</v>
      </c>
      <c r="AH1142" s="27">
        <v>0.18816067653276955</v>
      </c>
      <c r="AI1142" s="27">
        <f t="shared" si="105"/>
        <v>1.769032001590141E-3</v>
      </c>
      <c r="AJ1142" s="38">
        <v>5</v>
      </c>
      <c r="AK1142" s="27">
        <v>1.0570824524312896E-2</v>
      </c>
      <c r="AL1142" s="27">
        <f t="shared" si="106"/>
        <v>9.9383820314052871E-5</v>
      </c>
      <c r="AM1142" s="40">
        <v>13</v>
      </c>
      <c r="AN1142" s="27">
        <v>2.748414376321353E-2</v>
      </c>
      <c r="AO1142" s="27">
        <f t="shared" si="107"/>
        <v>2.5839793281653745E-4</v>
      </c>
      <c r="AP1142" s="7" t="b">
        <v>1</v>
      </c>
      <c r="AQ1142" s="7" t="b">
        <v>1</v>
      </c>
      <c r="AR1142" s="6" t="b">
        <v>0</v>
      </c>
      <c r="AS1142" s="6" t="b">
        <v>0</v>
      </c>
      <c r="AT1142" s="7" t="b">
        <v>1</v>
      </c>
      <c r="AU1142" s="6" t="b">
        <v>0</v>
      </c>
      <c r="AV1142" s="6" t="b">
        <v>0</v>
      </c>
      <c r="AW1142" s="6" t="b">
        <v>0</v>
      </c>
      <c r="AX1142" s="6" t="b">
        <v>0</v>
      </c>
      <c r="AY1142" s="6" t="b">
        <v>0</v>
      </c>
      <c r="AZ1142" s="6" t="b">
        <v>0</v>
      </c>
      <c r="BA1142" s="6" t="b">
        <v>0</v>
      </c>
      <c r="BB1142" s="6" t="b">
        <v>0</v>
      </c>
    </row>
    <row r="1143" spans="1:54" ht="15" x14ac:dyDescent="0.25">
      <c r="A1143" s="3" t="s">
        <v>2346</v>
      </c>
      <c r="B1143" s="3" t="str">
        <f ca="1">IFERROR(__xludf.DUMMYFUNCTION("SPLIT(A1143,""/"")"),"Yelp")</f>
        <v>Yelp</v>
      </c>
      <c r="C1143" s="3" t="str">
        <f ca="1">IFERROR(__xludf.DUMMYFUNCTION("""COMPUTED_VALUE"""),"Tron")</f>
        <v>Tron</v>
      </c>
      <c r="D1143" s="4" t="s">
        <v>2347</v>
      </c>
      <c r="E1143" s="5">
        <v>40430.870879629627</v>
      </c>
      <c r="F1143" s="5">
        <v>44264.735601851855</v>
      </c>
      <c r="G1143" s="13">
        <f t="shared" si="102"/>
        <v>3833.864722222228</v>
      </c>
      <c r="H1143" s="6" t="b">
        <v>0</v>
      </c>
      <c r="I1143" s="7" t="b">
        <v>1</v>
      </c>
      <c r="J1143" s="8">
        <v>329</v>
      </c>
      <c r="K1143" s="8">
        <v>37</v>
      </c>
      <c r="L1143" s="8">
        <v>57</v>
      </c>
      <c r="M1143" s="8">
        <v>0</v>
      </c>
      <c r="N1143" s="8">
        <v>1</v>
      </c>
      <c r="O1143" s="8">
        <v>40</v>
      </c>
      <c r="P1143" s="8">
        <v>634</v>
      </c>
      <c r="Q1143" s="8">
        <v>6</v>
      </c>
      <c r="R1143" s="8">
        <v>151</v>
      </c>
      <c r="S1143" s="8">
        <v>14</v>
      </c>
      <c r="T1143" s="3" t="s">
        <v>92</v>
      </c>
      <c r="U1143" s="10">
        <v>17171</v>
      </c>
      <c r="V1143" s="32">
        <v>264</v>
      </c>
      <c r="W1143" s="27">
        <v>1.5374759769378604E-2</v>
      </c>
      <c r="X1143" s="34">
        <v>35</v>
      </c>
      <c r="Y1143" s="27">
        <v>0.13257575757575757</v>
      </c>
      <c r="Z1143" s="27">
        <v>2.0383204239706482E-3</v>
      </c>
      <c r="AA1143" s="35">
        <v>110</v>
      </c>
      <c r="AB1143" s="27">
        <v>0.41666666666666669</v>
      </c>
      <c r="AC1143" s="27">
        <f t="shared" si="103"/>
        <v>6.4061499039077515E-3</v>
      </c>
      <c r="AD1143" s="36">
        <v>64</v>
      </c>
      <c r="AE1143" s="27">
        <v>0.24242424242424243</v>
      </c>
      <c r="AF1143" s="27">
        <f t="shared" si="104"/>
        <v>3.7272144895463279E-3</v>
      </c>
      <c r="AG1143" s="37">
        <v>52</v>
      </c>
      <c r="AH1143" s="27">
        <v>0.19696969696969696</v>
      </c>
      <c r="AI1143" s="27">
        <f t="shared" si="105"/>
        <v>3.0283617727563917E-3</v>
      </c>
      <c r="AJ1143" s="38">
        <v>0</v>
      </c>
      <c r="AK1143" s="27">
        <v>0</v>
      </c>
      <c r="AL1143" s="27">
        <f t="shared" si="106"/>
        <v>0</v>
      </c>
      <c r="AM1143" s="40">
        <v>1</v>
      </c>
      <c r="AN1143" s="27">
        <v>3.787878787878788E-3</v>
      </c>
      <c r="AO1143" s="27">
        <f t="shared" si="107"/>
        <v>5.8237726399161374E-5</v>
      </c>
      <c r="AP1143" s="7" t="b">
        <v>1</v>
      </c>
      <c r="AQ1143" s="7" t="b">
        <v>1</v>
      </c>
      <c r="AR1143" s="6" t="b">
        <v>0</v>
      </c>
      <c r="AS1143" s="6" t="b">
        <v>0</v>
      </c>
      <c r="AT1143" s="7" t="b">
        <v>1</v>
      </c>
      <c r="AU1143" s="6" t="b">
        <v>0</v>
      </c>
      <c r="AV1143" s="6" t="b">
        <v>0</v>
      </c>
      <c r="AW1143" s="6" t="b">
        <v>0</v>
      </c>
      <c r="AX1143" s="6" t="b">
        <v>0</v>
      </c>
      <c r="AY1143" s="6" t="b">
        <v>0</v>
      </c>
      <c r="AZ1143" s="6" t="b">
        <v>0</v>
      </c>
      <c r="BA1143" s="6" t="b">
        <v>0</v>
      </c>
      <c r="BB1143" s="6" t="b">
        <v>0</v>
      </c>
    </row>
    <row r="1144" spans="1:54" ht="15" x14ac:dyDescent="0.25">
      <c r="A1144" s="3" t="s">
        <v>2348</v>
      </c>
      <c r="B1144" s="3" t="str">
        <f ca="1">IFERROR(__xludf.DUMMYFUNCTION("SPLIT(A1144,""/"")"),"yeti-platform")</f>
        <v>yeti-platform</v>
      </c>
      <c r="C1144" s="3" t="str">
        <f ca="1">IFERROR(__xludf.DUMMYFUNCTION("""COMPUTED_VALUE"""),"yeti")</f>
        <v>yeti</v>
      </c>
      <c r="D1144" s="4" t="s">
        <v>2349</v>
      </c>
      <c r="E1144" s="5">
        <v>42351.704467592594</v>
      </c>
      <c r="F1144" s="5">
        <v>44294.802233796298</v>
      </c>
      <c r="G1144" s="13">
        <f t="shared" si="102"/>
        <v>1943.0977662037039</v>
      </c>
      <c r="H1144" s="6" t="b">
        <v>0</v>
      </c>
      <c r="I1144" s="7" t="b">
        <v>1</v>
      </c>
      <c r="J1144" s="8">
        <v>1055</v>
      </c>
      <c r="K1144" s="8">
        <v>96</v>
      </c>
      <c r="L1144" s="8">
        <v>211</v>
      </c>
      <c r="M1144" s="8">
        <v>6</v>
      </c>
      <c r="N1144" s="8">
        <v>4</v>
      </c>
      <c r="O1144" s="8">
        <v>46</v>
      </c>
      <c r="P1144" s="8">
        <v>274</v>
      </c>
      <c r="Q1144" s="8">
        <v>13</v>
      </c>
      <c r="R1144" s="8">
        <v>368</v>
      </c>
      <c r="S1144" s="8">
        <v>98</v>
      </c>
      <c r="T1144" s="3" t="s">
        <v>69</v>
      </c>
      <c r="U1144" s="10">
        <v>9836</v>
      </c>
      <c r="V1144" s="32">
        <v>221</v>
      </c>
      <c r="W1144" s="27">
        <v>2.246848312322082E-2</v>
      </c>
      <c r="X1144" s="34">
        <v>51</v>
      </c>
      <c r="Y1144" s="27">
        <v>0.23076923076923078</v>
      </c>
      <c r="Z1144" s="27">
        <v>5.1850345668971124E-3</v>
      </c>
      <c r="AA1144" s="35">
        <v>20</v>
      </c>
      <c r="AB1144" s="27">
        <v>9.0497737556561084E-2</v>
      </c>
      <c r="AC1144" s="27">
        <f t="shared" si="103"/>
        <v>2.0333468889792597E-3</v>
      </c>
      <c r="AD1144" s="36">
        <v>12</v>
      </c>
      <c r="AE1144" s="27">
        <v>5.4298642533936653E-2</v>
      </c>
      <c r="AF1144" s="27">
        <f t="shared" si="104"/>
        <v>1.2200081333875558E-3</v>
      </c>
      <c r="AG1144" s="37">
        <v>80</v>
      </c>
      <c r="AH1144" s="27">
        <v>0.36199095022624433</v>
      </c>
      <c r="AI1144" s="27">
        <f t="shared" si="105"/>
        <v>8.1333875559170387E-3</v>
      </c>
      <c r="AJ1144" s="38">
        <v>0</v>
      </c>
      <c r="AK1144" s="27">
        <v>0</v>
      </c>
      <c r="AL1144" s="27">
        <f t="shared" si="106"/>
        <v>0</v>
      </c>
      <c r="AM1144" s="40">
        <v>0</v>
      </c>
      <c r="AN1144" s="27">
        <v>0</v>
      </c>
      <c r="AO1144" s="27">
        <f t="shared" si="107"/>
        <v>0</v>
      </c>
      <c r="AP1144" s="7" t="b">
        <v>1</v>
      </c>
      <c r="AQ1144" s="7" t="b">
        <v>1</v>
      </c>
      <c r="AR1144" s="6" t="b">
        <v>0</v>
      </c>
      <c r="AS1144" s="6" t="b">
        <v>0</v>
      </c>
      <c r="AT1144" s="7" t="b">
        <v>1</v>
      </c>
      <c r="AU1144" s="6" t="b">
        <v>0</v>
      </c>
      <c r="AV1144" s="6" t="b">
        <v>0</v>
      </c>
      <c r="AW1144" s="6" t="b">
        <v>0</v>
      </c>
      <c r="AX1144" s="6" t="b">
        <v>0</v>
      </c>
      <c r="AY1144" s="6" t="b">
        <v>0</v>
      </c>
      <c r="AZ1144" s="6" t="b">
        <v>0</v>
      </c>
      <c r="BA1144" s="6" t="b">
        <v>0</v>
      </c>
      <c r="BB1144" s="6" t="b">
        <v>0</v>
      </c>
    </row>
    <row r="1145" spans="1:54" ht="15" x14ac:dyDescent="0.25">
      <c r="A1145" s="3" t="s">
        <v>2350</v>
      </c>
      <c r="B1145" s="3" t="str">
        <f ca="1">IFERROR(__xludf.DUMMYFUNCTION("SPLIT(A1145,""/"")"),"yihui-he")</f>
        <v>yihui-he</v>
      </c>
      <c r="C1145" s="3" t="str">
        <f ca="1">IFERROR(__xludf.DUMMYFUNCTION("""COMPUTED_VALUE"""),"KL-Loss")</f>
        <v>KL-Loss</v>
      </c>
      <c r="D1145" s="4" t="s">
        <v>2351</v>
      </c>
      <c r="E1145" s="5">
        <v>43525.19940972222</v>
      </c>
      <c r="F1145" s="5">
        <v>44294.313460648147</v>
      </c>
      <c r="G1145" s="13">
        <f t="shared" si="102"/>
        <v>769.11405092592759</v>
      </c>
      <c r="H1145" s="6" t="b">
        <v>0</v>
      </c>
      <c r="I1145" s="6" t="b">
        <v>0</v>
      </c>
      <c r="J1145" s="8">
        <v>626</v>
      </c>
      <c r="K1145" s="8">
        <v>20</v>
      </c>
      <c r="L1145" s="8">
        <v>102</v>
      </c>
      <c r="M1145" s="8">
        <v>1</v>
      </c>
      <c r="N1145" s="8">
        <v>0</v>
      </c>
      <c r="O1145" s="8">
        <v>2</v>
      </c>
      <c r="P1145" s="8">
        <v>1</v>
      </c>
      <c r="Q1145" s="8">
        <v>0</v>
      </c>
      <c r="R1145" s="8">
        <v>29</v>
      </c>
      <c r="S1145" s="8">
        <v>4</v>
      </c>
      <c r="T1145" s="3" t="s">
        <v>69</v>
      </c>
      <c r="U1145" s="10">
        <v>9497</v>
      </c>
      <c r="V1145" s="32">
        <v>174</v>
      </c>
      <c r="W1145" s="27">
        <v>1.8321575234284512E-2</v>
      </c>
      <c r="X1145" s="34">
        <v>24</v>
      </c>
      <c r="Y1145" s="27">
        <v>0.13793103448275862</v>
      </c>
      <c r="Z1145" s="27">
        <v>2.5271138254185531E-3</v>
      </c>
      <c r="AA1145" s="35">
        <v>124</v>
      </c>
      <c r="AB1145" s="27">
        <v>0.71264367816091956</v>
      </c>
      <c r="AC1145" s="27">
        <f t="shared" si="103"/>
        <v>1.3056754764662525E-2</v>
      </c>
      <c r="AD1145" s="36">
        <v>22</v>
      </c>
      <c r="AE1145" s="27">
        <v>0.12643678160919541</v>
      </c>
      <c r="AF1145" s="27">
        <f t="shared" si="104"/>
        <v>2.3165210066336739E-3</v>
      </c>
      <c r="AG1145" s="37">
        <v>2</v>
      </c>
      <c r="AH1145" s="27">
        <v>1.1494252873563218E-2</v>
      </c>
      <c r="AI1145" s="27">
        <f t="shared" si="105"/>
        <v>2.1059281878487945E-4</v>
      </c>
      <c r="AJ1145" s="38">
        <v>1</v>
      </c>
      <c r="AK1145" s="27">
        <v>5.7471264367816091E-3</v>
      </c>
      <c r="AL1145" s="27">
        <f t="shared" si="106"/>
        <v>1.0529640939243972E-4</v>
      </c>
      <c r="AM1145" s="40">
        <v>1</v>
      </c>
      <c r="AN1145" s="27">
        <v>5.7471264367816091E-3</v>
      </c>
      <c r="AO1145" s="27">
        <f t="shared" si="107"/>
        <v>1.0529640939243972E-4</v>
      </c>
      <c r="AP1145" s="7" t="b">
        <v>1</v>
      </c>
      <c r="AQ1145" s="6" t="b">
        <v>0</v>
      </c>
      <c r="AR1145" s="6" t="b">
        <v>0</v>
      </c>
      <c r="AS1145" s="6" t="b">
        <v>0</v>
      </c>
      <c r="AT1145" s="7" t="b">
        <v>1</v>
      </c>
      <c r="AU1145" s="6" t="b">
        <v>0</v>
      </c>
      <c r="AV1145" s="6" t="b">
        <v>0</v>
      </c>
      <c r="AW1145" s="6" t="b">
        <v>0</v>
      </c>
      <c r="AX1145" s="6" t="b">
        <v>0</v>
      </c>
      <c r="AY1145" s="6" t="b">
        <v>0</v>
      </c>
      <c r="AZ1145" s="6" t="b">
        <v>0</v>
      </c>
      <c r="BA1145" s="6" t="b">
        <v>0</v>
      </c>
      <c r="BB1145" s="6" t="b">
        <v>0</v>
      </c>
    </row>
    <row r="1146" spans="1:54" ht="15" x14ac:dyDescent="0.25">
      <c r="A1146" s="3" t="s">
        <v>2352</v>
      </c>
      <c r="B1146" s="3" t="str">
        <f ca="1">IFERROR(__xludf.DUMMYFUNCTION("SPLIT(A1146,""/"")"),"Yinzo")</f>
        <v>Yinzo</v>
      </c>
      <c r="C1146" s="3" t="str">
        <f ca="1">IFERROR(__xludf.DUMMYFUNCTION("""COMPUTED_VALUE"""),"SmartQQBot")</f>
        <v>SmartQQBot</v>
      </c>
      <c r="D1146" s="4" t="s">
        <v>2353</v>
      </c>
      <c r="E1146" s="5">
        <v>42022.380949074075</v>
      </c>
      <c r="F1146" s="5">
        <v>44282.359039351853</v>
      </c>
      <c r="G1146" s="13">
        <f t="shared" si="102"/>
        <v>2259.9780902777784</v>
      </c>
      <c r="H1146" s="6" t="b">
        <v>0</v>
      </c>
      <c r="I1146" s="6" t="b">
        <v>0</v>
      </c>
      <c r="J1146" s="8">
        <v>1010</v>
      </c>
      <c r="K1146" s="8">
        <v>90</v>
      </c>
      <c r="L1146" s="8">
        <v>328</v>
      </c>
      <c r="M1146" s="8">
        <v>1</v>
      </c>
      <c r="N1146" s="8">
        <v>12</v>
      </c>
      <c r="O1146" s="8">
        <v>18</v>
      </c>
      <c r="P1146" s="8">
        <v>61</v>
      </c>
      <c r="Q1146" s="8">
        <v>0</v>
      </c>
      <c r="R1146" s="8">
        <v>93</v>
      </c>
      <c r="S1146" s="8">
        <v>17</v>
      </c>
      <c r="T1146" s="3" t="s">
        <v>49</v>
      </c>
      <c r="U1146" s="10">
        <v>1593</v>
      </c>
      <c r="V1146" s="32">
        <v>132</v>
      </c>
      <c r="W1146" s="27">
        <v>8.2862523540489647E-2</v>
      </c>
      <c r="X1146" s="34">
        <v>29</v>
      </c>
      <c r="Y1146" s="27">
        <v>0.2196969696969697</v>
      </c>
      <c r="Z1146" s="27">
        <v>1.820464532328939E-2</v>
      </c>
      <c r="AA1146" s="35">
        <v>45</v>
      </c>
      <c r="AB1146" s="27">
        <v>0.34090909090909088</v>
      </c>
      <c r="AC1146" s="27">
        <f t="shared" si="103"/>
        <v>2.8248587570621469E-2</v>
      </c>
      <c r="AD1146" s="36">
        <v>39</v>
      </c>
      <c r="AE1146" s="27">
        <v>0.29545454545454547</v>
      </c>
      <c r="AF1146" s="27">
        <f t="shared" si="104"/>
        <v>2.4482109227871938E-2</v>
      </c>
      <c r="AG1146" s="37">
        <v>18</v>
      </c>
      <c r="AH1146" s="27">
        <v>0.13636363636363635</v>
      </c>
      <c r="AI1146" s="27">
        <f t="shared" si="105"/>
        <v>1.1299435028248588E-2</v>
      </c>
      <c r="AJ1146" s="38">
        <v>0</v>
      </c>
      <c r="AK1146" s="27">
        <v>0</v>
      </c>
      <c r="AL1146" s="27">
        <f t="shared" si="106"/>
        <v>0</v>
      </c>
      <c r="AM1146" s="40">
        <v>0</v>
      </c>
      <c r="AN1146" s="27">
        <v>0</v>
      </c>
      <c r="AO1146" s="27">
        <f t="shared" si="107"/>
        <v>0</v>
      </c>
      <c r="AP1146" s="7" t="b">
        <v>1</v>
      </c>
      <c r="AQ1146" s="6" t="b">
        <v>0</v>
      </c>
      <c r="AR1146" s="6" t="b">
        <v>0</v>
      </c>
      <c r="AS1146" s="6" t="b">
        <v>0</v>
      </c>
      <c r="AT1146" s="7" t="b">
        <v>1</v>
      </c>
      <c r="AU1146" s="6" t="b">
        <v>0</v>
      </c>
      <c r="AV1146" s="6" t="b">
        <v>0</v>
      </c>
      <c r="AW1146" s="6" t="b">
        <v>0</v>
      </c>
      <c r="AX1146" s="6" t="b">
        <v>0</v>
      </c>
      <c r="AY1146" s="6" t="b">
        <v>0</v>
      </c>
      <c r="AZ1146" s="6" t="b">
        <v>0</v>
      </c>
      <c r="BA1146" s="6" t="b">
        <v>0</v>
      </c>
      <c r="BB1146" s="6" t="b">
        <v>0</v>
      </c>
    </row>
    <row r="1147" spans="1:54" ht="15" x14ac:dyDescent="0.25">
      <c r="A1147" s="3" t="s">
        <v>2354</v>
      </c>
      <c r="B1147" s="3" t="str">
        <f ca="1">IFERROR(__xludf.DUMMYFUNCTION("SPLIT(A1147,""/"")"),"yogeshojha")</f>
        <v>yogeshojha</v>
      </c>
      <c r="C1147" s="3" t="str">
        <f ca="1">IFERROR(__xludf.DUMMYFUNCTION("""COMPUTED_VALUE"""),"rengine")</f>
        <v>rengine</v>
      </c>
      <c r="D1147" s="4" t="s">
        <v>2355</v>
      </c>
      <c r="E1147" s="5">
        <v>43954.509166666663</v>
      </c>
      <c r="F1147" s="5">
        <v>44293.448703703703</v>
      </c>
      <c r="G1147" s="13">
        <f t="shared" si="102"/>
        <v>338.93953703704028</v>
      </c>
      <c r="H1147" s="6" t="b">
        <v>0</v>
      </c>
      <c r="I1147" s="6" t="b">
        <v>0</v>
      </c>
      <c r="J1147" s="8">
        <v>2697</v>
      </c>
      <c r="K1147" s="8">
        <v>99</v>
      </c>
      <c r="L1147" s="8">
        <v>388</v>
      </c>
      <c r="M1147" s="8">
        <v>4</v>
      </c>
      <c r="N1147" s="8">
        <v>4</v>
      </c>
      <c r="O1147" s="8">
        <v>25</v>
      </c>
      <c r="P1147" s="8">
        <v>140</v>
      </c>
      <c r="Q1147" s="8">
        <v>8</v>
      </c>
      <c r="R1147" s="8">
        <v>231</v>
      </c>
      <c r="S1147" s="8">
        <v>75</v>
      </c>
      <c r="T1147" s="3" t="s">
        <v>49</v>
      </c>
      <c r="U1147" s="10">
        <v>19278</v>
      </c>
      <c r="V1147" s="32">
        <v>325</v>
      </c>
      <c r="W1147" s="27">
        <v>1.6858595289967838E-2</v>
      </c>
      <c r="X1147" s="34">
        <v>104</v>
      </c>
      <c r="Y1147" s="27">
        <v>0.32</v>
      </c>
      <c r="Z1147" s="27">
        <v>5.3947504927897086E-3</v>
      </c>
      <c r="AA1147" s="35">
        <v>62</v>
      </c>
      <c r="AB1147" s="27">
        <v>0.19076923076923077</v>
      </c>
      <c r="AC1147" s="27">
        <f t="shared" si="103"/>
        <v>3.2161012553169415E-3</v>
      </c>
      <c r="AD1147" s="36">
        <v>10</v>
      </c>
      <c r="AE1147" s="27">
        <v>3.0769230769230771E-2</v>
      </c>
      <c r="AF1147" s="27">
        <f t="shared" si="104"/>
        <v>5.1872600892208731E-4</v>
      </c>
      <c r="AG1147" s="37">
        <v>60</v>
      </c>
      <c r="AH1147" s="27">
        <v>0.18461538461538463</v>
      </c>
      <c r="AI1147" s="27">
        <f t="shared" si="105"/>
        <v>3.1123560535325241E-3</v>
      </c>
      <c r="AJ1147" s="38">
        <v>15</v>
      </c>
      <c r="AK1147" s="27">
        <v>4.6153846153846156E-2</v>
      </c>
      <c r="AL1147" s="27">
        <f t="shared" si="106"/>
        <v>7.7808901338313101E-4</v>
      </c>
      <c r="AM1147" s="40">
        <v>74</v>
      </c>
      <c r="AN1147" s="27">
        <v>0.22769230769230769</v>
      </c>
      <c r="AO1147" s="27">
        <f t="shared" si="107"/>
        <v>3.8385724660234466E-3</v>
      </c>
      <c r="AP1147" s="7" t="b">
        <v>1</v>
      </c>
      <c r="AQ1147" s="7" t="b">
        <v>1</v>
      </c>
      <c r="AR1147" s="6" t="b">
        <v>0</v>
      </c>
      <c r="AS1147" s="6" t="b">
        <v>0</v>
      </c>
      <c r="AT1147" s="7" t="b">
        <v>1</v>
      </c>
      <c r="AU1147" s="6" t="b">
        <v>0</v>
      </c>
      <c r="AV1147" s="6" t="b">
        <v>0</v>
      </c>
      <c r="AW1147" s="6" t="b">
        <v>0</v>
      </c>
      <c r="AX1147" s="7" t="b">
        <v>1</v>
      </c>
      <c r="AY1147" s="6" t="b">
        <v>0</v>
      </c>
      <c r="AZ1147" s="6" t="b">
        <v>0</v>
      </c>
      <c r="BA1147" s="6" t="b">
        <v>0</v>
      </c>
      <c r="BB1147" s="6" t="b">
        <v>0</v>
      </c>
    </row>
    <row r="1148" spans="1:54" ht="15" x14ac:dyDescent="0.25">
      <c r="A1148" s="3" t="s">
        <v>2356</v>
      </c>
      <c r="B1148" s="3" t="str">
        <f ca="1">IFERROR(__xludf.DUMMYFUNCTION("SPLIT(A1148,""/"")"),"youngwanLEE")</f>
        <v>youngwanLEE</v>
      </c>
      <c r="C1148" s="3" t="str">
        <f ca="1">IFERROR(__xludf.DUMMYFUNCTION("""COMPUTED_VALUE"""),"CenterMask")</f>
        <v>CenterMask</v>
      </c>
      <c r="D1148" s="4" t="s">
        <v>2357</v>
      </c>
      <c r="E1148" s="5">
        <v>43804.391805555555</v>
      </c>
      <c r="F1148" s="5">
        <v>44294.354386574072</v>
      </c>
      <c r="G1148" s="13">
        <f t="shared" si="102"/>
        <v>489.96258101851708</v>
      </c>
      <c r="H1148" s="6" t="b">
        <v>0</v>
      </c>
      <c r="I1148" s="6" t="b">
        <v>0</v>
      </c>
      <c r="J1148" s="8">
        <v>656</v>
      </c>
      <c r="K1148" s="8">
        <v>30</v>
      </c>
      <c r="L1148" s="8">
        <v>104</v>
      </c>
      <c r="M1148" s="8">
        <v>0</v>
      </c>
      <c r="N1148" s="8">
        <v>0</v>
      </c>
      <c r="O1148" s="8">
        <v>3</v>
      </c>
      <c r="P1148" s="8">
        <v>1</v>
      </c>
      <c r="Q1148" s="8">
        <v>0</v>
      </c>
      <c r="R1148" s="8">
        <v>60</v>
      </c>
      <c r="S1148" s="8">
        <v>27</v>
      </c>
      <c r="T1148" s="3" t="s">
        <v>92</v>
      </c>
      <c r="U1148" s="10">
        <v>8895</v>
      </c>
      <c r="V1148" s="32">
        <v>47</v>
      </c>
      <c r="W1148" s="27">
        <v>5.2838673412029229E-3</v>
      </c>
      <c r="X1148" s="34">
        <v>0</v>
      </c>
      <c r="Y1148" s="27">
        <v>0</v>
      </c>
      <c r="Z1148" s="27">
        <v>0</v>
      </c>
      <c r="AA1148" s="35">
        <v>42</v>
      </c>
      <c r="AB1148" s="27">
        <v>0.8936170212765957</v>
      </c>
      <c r="AC1148" s="27">
        <f t="shared" si="103"/>
        <v>4.7217537942664421E-3</v>
      </c>
      <c r="AD1148" s="36">
        <v>4</v>
      </c>
      <c r="AE1148" s="27">
        <v>8.5106382978723402E-2</v>
      </c>
      <c r="AF1148" s="27">
        <f t="shared" si="104"/>
        <v>4.4969083754918494E-4</v>
      </c>
      <c r="AG1148" s="37">
        <v>1</v>
      </c>
      <c r="AH1148" s="27">
        <v>2.1276595744680851E-2</v>
      </c>
      <c r="AI1148" s="27">
        <f t="shared" si="105"/>
        <v>1.1242270938729624E-4</v>
      </c>
      <c r="AJ1148" s="38">
        <v>0</v>
      </c>
      <c r="AK1148" s="27">
        <v>0</v>
      </c>
      <c r="AL1148" s="27">
        <f t="shared" si="106"/>
        <v>0</v>
      </c>
      <c r="AM1148" s="40">
        <v>0</v>
      </c>
      <c r="AN1148" s="27">
        <v>0</v>
      </c>
      <c r="AO1148" s="27">
        <f t="shared" si="107"/>
        <v>0</v>
      </c>
      <c r="AP1148" s="7" t="b">
        <v>1</v>
      </c>
      <c r="AQ1148" s="6" t="b">
        <v>0</v>
      </c>
      <c r="AR1148" s="6" t="b">
        <v>0</v>
      </c>
      <c r="AS1148" s="6" t="b">
        <v>0</v>
      </c>
      <c r="AT1148" s="7" t="b">
        <v>1</v>
      </c>
      <c r="AU1148" s="6" t="b">
        <v>0</v>
      </c>
      <c r="AV1148" s="6" t="b">
        <v>0</v>
      </c>
      <c r="AW1148" s="6" t="b">
        <v>0</v>
      </c>
      <c r="AX1148" s="6" t="b">
        <v>0</v>
      </c>
      <c r="AY1148" s="6" t="b">
        <v>0</v>
      </c>
      <c r="AZ1148" s="6" t="b">
        <v>0</v>
      </c>
      <c r="BA1148" s="6" t="b">
        <v>0</v>
      </c>
      <c r="BB1148" s="6" t="b">
        <v>0</v>
      </c>
    </row>
    <row r="1149" spans="1:54" ht="15" x14ac:dyDescent="0.25">
      <c r="A1149" s="3" t="s">
        <v>2358</v>
      </c>
      <c r="B1149" s="3" t="str">
        <f ca="1">IFERROR(__xludf.DUMMYFUNCTION("SPLIT(A1149,""/"")"),"ysrc")</f>
        <v>ysrc</v>
      </c>
      <c r="C1149" s="3" t="str">
        <f ca="1">IFERROR(__xludf.DUMMYFUNCTION("""COMPUTED_VALUE"""),"GourdScanV2")</f>
        <v>GourdScanV2</v>
      </c>
      <c r="D1149" s="4" t="s">
        <v>2359</v>
      </c>
      <c r="E1149" s="5">
        <v>42653.414039351854</v>
      </c>
      <c r="F1149" s="5">
        <v>44293.692418981482</v>
      </c>
      <c r="G1149" s="13">
        <f t="shared" si="102"/>
        <v>1640.278379629628</v>
      </c>
      <c r="H1149" s="6" t="b">
        <v>0</v>
      </c>
      <c r="I1149" s="7" t="b">
        <v>1</v>
      </c>
      <c r="J1149" s="8">
        <v>742</v>
      </c>
      <c r="K1149" s="8">
        <v>50</v>
      </c>
      <c r="L1149" s="8">
        <v>300</v>
      </c>
      <c r="M1149" s="8">
        <v>0</v>
      </c>
      <c r="N1149" s="8">
        <v>2</v>
      </c>
      <c r="O1149" s="8">
        <v>5</v>
      </c>
      <c r="P1149" s="8">
        <v>4</v>
      </c>
      <c r="Q1149" s="8">
        <v>0</v>
      </c>
      <c r="R1149" s="8">
        <v>34</v>
      </c>
      <c r="S1149" s="8">
        <v>10</v>
      </c>
      <c r="T1149" s="3" t="s">
        <v>64</v>
      </c>
      <c r="U1149" s="10">
        <v>1267</v>
      </c>
      <c r="V1149" s="32">
        <v>11</v>
      </c>
      <c r="W1149" s="27">
        <v>8.6819258089976328E-3</v>
      </c>
      <c r="X1149" s="34">
        <v>5</v>
      </c>
      <c r="Y1149" s="27">
        <v>0.45454545454545453</v>
      </c>
      <c r="Z1149" s="27">
        <v>3.9463299131807421E-3</v>
      </c>
      <c r="AA1149" s="35">
        <v>0</v>
      </c>
      <c r="AB1149" s="27">
        <v>0</v>
      </c>
      <c r="AC1149" s="27">
        <f t="shared" si="103"/>
        <v>0</v>
      </c>
      <c r="AD1149" s="36">
        <v>2</v>
      </c>
      <c r="AE1149" s="27">
        <v>0.18181818181818182</v>
      </c>
      <c r="AF1149" s="27">
        <f t="shared" si="104"/>
        <v>1.5785319652722968E-3</v>
      </c>
      <c r="AG1149" s="37">
        <v>4</v>
      </c>
      <c r="AH1149" s="27">
        <v>0.36363636363636365</v>
      </c>
      <c r="AI1149" s="27">
        <f t="shared" si="105"/>
        <v>3.1570639305445935E-3</v>
      </c>
      <c r="AJ1149" s="38">
        <v>0</v>
      </c>
      <c r="AK1149" s="27">
        <v>0</v>
      </c>
      <c r="AL1149" s="27">
        <f t="shared" si="106"/>
        <v>0</v>
      </c>
      <c r="AM1149" s="40">
        <v>0</v>
      </c>
      <c r="AN1149" s="27">
        <v>0</v>
      </c>
      <c r="AO1149" s="27">
        <f t="shared" si="107"/>
        <v>0</v>
      </c>
      <c r="AP1149" s="7" t="b">
        <v>1</v>
      </c>
      <c r="AQ1149" s="6" t="b">
        <v>0</v>
      </c>
      <c r="AR1149" s="6" t="b">
        <v>0</v>
      </c>
      <c r="AS1149" s="6" t="b">
        <v>0</v>
      </c>
      <c r="AT1149" s="7" t="b">
        <v>1</v>
      </c>
      <c r="AU1149" s="6" t="b">
        <v>0</v>
      </c>
      <c r="AV1149" s="6" t="b">
        <v>0</v>
      </c>
      <c r="AW1149" s="6" t="b">
        <v>0</v>
      </c>
      <c r="AX1149" s="6" t="b">
        <v>0</v>
      </c>
      <c r="AY1149" s="6" t="b">
        <v>0</v>
      </c>
      <c r="AZ1149" s="6" t="b">
        <v>0</v>
      </c>
      <c r="BA1149" s="6" t="b">
        <v>0</v>
      </c>
      <c r="BB1149" s="6" t="b">
        <v>0</v>
      </c>
    </row>
    <row r="1150" spans="1:54" ht="15" x14ac:dyDescent="0.25">
      <c r="A1150" s="3" t="s">
        <v>2360</v>
      </c>
      <c r="B1150" s="3" t="str">
        <f ca="1">IFERROR(__xludf.DUMMYFUNCTION("SPLIT(A1150,""/"")"),"YunoHost")</f>
        <v>YunoHost</v>
      </c>
      <c r="C1150" s="3" t="str">
        <f ca="1">IFERROR(__xludf.DUMMYFUNCTION("""COMPUTED_VALUE"""),"yunohost")</f>
        <v>yunohost</v>
      </c>
      <c r="D1150" s="4" t="s">
        <v>2361</v>
      </c>
      <c r="E1150" s="5">
        <v>41775.47859953704</v>
      </c>
      <c r="F1150" s="5">
        <v>44294.917268518519</v>
      </c>
      <c r="G1150" s="13">
        <f t="shared" si="102"/>
        <v>2519.4386689814783</v>
      </c>
      <c r="H1150" s="6" t="b">
        <v>0</v>
      </c>
      <c r="I1150" s="7" t="b">
        <v>1</v>
      </c>
      <c r="J1150" s="8">
        <v>849</v>
      </c>
      <c r="K1150" s="8">
        <v>56</v>
      </c>
      <c r="L1150" s="8">
        <v>169</v>
      </c>
      <c r="M1150" s="8">
        <v>64</v>
      </c>
      <c r="N1150" s="8">
        <v>145</v>
      </c>
      <c r="O1150" s="8">
        <v>140</v>
      </c>
      <c r="P1150" s="8">
        <v>1135</v>
      </c>
      <c r="Q1150" s="8">
        <v>42</v>
      </c>
      <c r="R1150" s="8">
        <v>0</v>
      </c>
      <c r="S1150" s="8">
        <v>0</v>
      </c>
      <c r="T1150" s="3" t="s">
        <v>366</v>
      </c>
      <c r="U1150" s="10">
        <v>12265</v>
      </c>
      <c r="V1150" s="32">
        <v>411</v>
      </c>
      <c r="W1150" s="27">
        <v>3.3509987770077458E-2</v>
      </c>
      <c r="X1150" s="34">
        <v>128</v>
      </c>
      <c r="Y1150" s="27">
        <v>0.31143552311435524</v>
      </c>
      <c r="Z1150" s="27">
        <v>1.0436200570729718E-2</v>
      </c>
      <c r="AA1150" s="35">
        <v>64</v>
      </c>
      <c r="AB1150" s="27">
        <v>0.15571776155717762</v>
      </c>
      <c r="AC1150" s="27">
        <f t="shared" si="103"/>
        <v>5.2181002853648592E-3</v>
      </c>
      <c r="AD1150" s="36">
        <v>134</v>
      </c>
      <c r="AE1150" s="27">
        <v>0.32603406326034062</v>
      </c>
      <c r="AF1150" s="27">
        <f t="shared" si="104"/>
        <v>1.0925397472482674E-2</v>
      </c>
      <c r="AG1150" s="37">
        <v>81</v>
      </c>
      <c r="AH1150" s="27">
        <v>0.19708029197080293</v>
      </c>
      <c r="AI1150" s="27">
        <f t="shared" si="105"/>
        <v>6.6041581736648999E-3</v>
      </c>
      <c r="AJ1150" s="38">
        <v>0</v>
      </c>
      <c r="AK1150" s="27">
        <v>0</v>
      </c>
      <c r="AL1150" s="27">
        <f t="shared" si="106"/>
        <v>0</v>
      </c>
      <c r="AM1150" s="40">
        <v>0</v>
      </c>
      <c r="AN1150" s="27">
        <v>0</v>
      </c>
      <c r="AO1150" s="27">
        <f t="shared" si="107"/>
        <v>0</v>
      </c>
      <c r="AP1150" s="7" t="b">
        <v>1</v>
      </c>
      <c r="AQ1150" s="7" t="b">
        <v>1</v>
      </c>
      <c r="AR1150" s="6" t="b">
        <v>0</v>
      </c>
      <c r="AS1150" s="6" t="b">
        <v>0</v>
      </c>
      <c r="AT1150" s="7" t="b">
        <v>1</v>
      </c>
      <c r="AU1150" s="6" t="b">
        <v>0</v>
      </c>
      <c r="AV1150" s="6" t="b">
        <v>0</v>
      </c>
      <c r="AW1150" s="6" t="b">
        <v>0</v>
      </c>
      <c r="AX1150" s="6" t="b">
        <v>0</v>
      </c>
      <c r="AY1150" s="6" t="b">
        <v>0</v>
      </c>
      <c r="AZ1150" s="6" t="b">
        <v>0</v>
      </c>
      <c r="BA1150" s="6" t="b">
        <v>0</v>
      </c>
      <c r="BB1150" s="6" t="b">
        <v>0</v>
      </c>
    </row>
    <row r="1151" spans="1:54" ht="15" x14ac:dyDescent="0.25">
      <c r="A1151" s="3" t="s">
        <v>2362</v>
      </c>
      <c r="B1151" s="3" t="str">
        <f ca="1">IFERROR(__xludf.DUMMYFUNCTION("SPLIT(A1151,""/"")"),"zalando")</f>
        <v>zalando</v>
      </c>
      <c r="C1151" s="3" t="str">
        <f ca="1">IFERROR(__xludf.DUMMYFUNCTION("""COMPUTED_VALUE"""),"patroni")</f>
        <v>patroni</v>
      </c>
      <c r="D1151" s="4" t="s">
        <v>2363</v>
      </c>
      <c r="E1151" s="5">
        <v>42193.393969907411</v>
      </c>
      <c r="F1151" s="5">
        <v>44295.175300925926</v>
      </c>
      <c r="G1151" s="13">
        <f t="shared" si="102"/>
        <v>2101.7813310185156</v>
      </c>
      <c r="H1151" s="6" t="b">
        <v>0</v>
      </c>
      <c r="I1151" s="7" t="b">
        <v>1</v>
      </c>
      <c r="J1151" s="8">
        <v>3907</v>
      </c>
      <c r="K1151" s="8">
        <v>114</v>
      </c>
      <c r="L1151" s="8">
        <v>454</v>
      </c>
      <c r="M1151" s="8">
        <v>39</v>
      </c>
      <c r="N1151" s="8">
        <v>30</v>
      </c>
      <c r="O1151" s="8">
        <v>106</v>
      </c>
      <c r="P1151" s="8">
        <v>829</v>
      </c>
      <c r="Q1151" s="8">
        <v>9</v>
      </c>
      <c r="R1151" s="8">
        <v>1073</v>
      </c>
      <c r="S1151" s="8">
        <v>50</v>
      </c>
      <c r="T1151" s="3" t="s">
        <v>72</v>
      </c>
      <c r="U1151" s="10">
        <v>17829</v>
      </c>
      <c r="V1151" s="32">
        <v>378</v>
      </c>
      <c r="W1151" s="27">
        <v>2.1201413427561839E-2</v>
      </c>
      <c r="X1151" s="34">
        <v>33</v>
      </c>
      <c r="Y1151" s="27">
        <v>8.7301587301587297E-2</v>
      </c>
      <c r="Z1151" s="27">
        <v>1.8509170452633351E-3</v>
      </c>
      <c r="AA1151" s="35">
        <v>115</v>
      </c>
      <c r="AB1151" s="27">
        <v>0.30423280423280424</v>
      </c>
      <c r="AC1151" s="27">
        <f t="shared" si="103"/>
        <v>6.4501654607661673E-3</v>
      </c>
      <c r="AD1151" s="36">
        <v>82</v>
      </c>
      <c r="AE1151" s="27">
        <v>0.21693121693121692</v>
      </c>
      <c r="AF1151" s="27">
        <f t="shared" si="104"/>
        <v>4.5992484155028329E-3</v>
      </c>
      <c r="AG1151" s="37">
        <v>140</v>
      </c>
      <c r="AH1151" s="27">
        <v>0.37037037037037035</v>
      </c>
      <c r="AI1151" s="27">
        <f t="shared" si="105"/>
        <v>7.852375343541421E-3</v>
      </c>
      <c r="AJ1151" s="38">
        <v>3</v>
      </c>
      <c r="AK1151" s="27">
        <v>7.9365079365079361E-3</v>
      </c>
      <c r="AL1151" s="27">
        <f t="shared" si="106"/>
        <v>1.6826518593303046E-4</v>
      </c>
      <c r="AM1151" s="40">
        <v>0</v>
      </c>
      <c r="AN1151" s="27">
        <v>0</v>
      </c>
      <c r="AO1151" s="27">
        <f t="shared" si="107"/>
        <v>0</v>
      </c>
      <c r="AP1151" s="7" t="b">
        <v>1</v>
      </c>
      <c r="AQ1151" s="7" t="b">
        <v>1</v>
      </c>
      <c r="AR1151" s="6" t="b">
        <v>0</v>
      </c>
      <c r="AS1151" s="6" t="b">
        <v>0</v>
      </c>
      <c r="AT1151" s="7" t="b">
        <v>1</v>
      </c>
      <c r="AU1151" s="6" t="b">
        <v>0</v>
      </c>
      <c r="AV1151" s="6" t="b">
        <v>0</v>
      </c>
      <c r="AW1151" s="6" t="b">
        <v>0</v>
      </c>
      <c r="AX1151" s="6" t="b">
        <v>0</v>
      </c>
      <c r="AY1151" s="6" t="b">
        <v>0</v>
      </c>
      <c r="AZ1151" s="6" t="b">
        <v>0</v>
      </c>
      <c r="BA1151" s="6" t="b">
        <v>0</v>
      </c>
      <c r="BB1151" s="6" t="b">
        <v>0</v>
      </c>
    </row>
    <row r="1152" spans="1:54" ht="15" x14ac:dyDescent="0.25">
      <c r="A1152" s="3" t="s">
        <v>2364</v>
      </c>
      <c r="B1152" s="3" t="str">
        <f ca="1">IFERROR(__xludf.DUMMYFUNCTION("SPLIT(A1152,""/"")"),"zalando")</f>
        <v>zalando</v>
      </c>
      <c r="C1152" s="3" t="str">
        <f ca="1">IFERROR(__xludf.DUMMYFUNCTION("""COMPUTED_VALUE"""),"spilo")</f>
        <v>spilo</v>
      </c>
      <c r="D1152" s="4" t="s">
        <v>2365</v>
      </c>
      <c r="E1152" s="5">
        <v>42111.557430555556</v>
      </c>
      <c r="F1152" s="5">
        <v>44293.552395833336</v>
      </c>
      <c r="G1152" s="13">
        <f t="shared" si="102"/>
        <v>2181.9949652777796</v>
      </c>
      <c r="H1152" s="6" t="b">
        <v>0</v>
      </c>
      <c r="I1152" s="7" t="b">
        <v>1</v>
      </c>
      <c r="J1152" s="8">
        <v>786</v>
      </c>
      <c r="K1152" s="8">
        <v>42</v>
      </c>
      <c r="L1152" s="8">
        <v>169</v>
      </c>
      <c r="M1152" s="8">
        <v>19</v>
      </c>
      <c r="N1152" s="8">
        <v>28</v>
      </c>
      <c r="O1152" s="8">
        <v>58</v>
      </c>
      <c r="P1152" s="8">
        <v>376</v>
      </c>
      <c r="Q1152" s="8">
        <v>6</v>
      </c>
      <c r="R1152" s="8">
        <v>199</v>
      </c>
      <c r="S1152" s="8">
        <v>46</v>
      </c>
      <c r="T1152" s="3" t="s">
        <v>69</v>
      </c>
      <c r="U1152" s="10">
        <v>2536</v>
      </c>
      <c r="V1152" s="32">
        <v>125</v>
      </c>
      <c r="W1152" s="27">
        <v>4.9290220820189273E-2</v>
      </c>
      <c r="X1152" s="34">
        <v>17</v>
      </c>
      <c r="Y1152" s="27">
        <v>0.13600000000000001</v>
      </c>
      <c r="Z1152" s="27">
        <v>6.7034700315457413E-3</v>
      </c>
      <c r="AA1152" s="35">
        <v>62</v>
      </c>
      <c r="AB1152" s="27">
        <v>0.496</v>
      </c>
      <c r="AC1152" s="27">
        <f t="shared" si="103"/>
        <v>2.4447949526813881E-2</v>
      </c>
      <c r="AD1152" s="36">
        <v>13</v>
      </c>
      <c r="AE1152" s="27">
        <v>0.104</v>
      </c>
      <c r="AF1152" s="27">
        <f t="shared" si="104"/>
        <v>5.1261829652996848E-3</v>
      </c>
      <c r="AG1152" s="37">
        <v>33</v>
      </c>
      <c r="AH1152" s="27">
        <v>0.26400000000000001</v>
      </c>
      <c r="AI1152" s="27">
        <f t="shared" si="105"/>
        <v>1.3012618296529969E-2</v>
      </c>
      <c r="AJ1152" s="38">
        <v>0</v>
      </c>
      <c r="AK1152" s="27">
        <v>0</v>
      </c>
      <c r="AL1152" s="27">
        <f t="shared" si="106"/>
        <v>0</v>
      </c>
      <c r="AM1152" s="40">
        <v>0</v>
      </c>
      <c r="AN1152" s="27">
        <v>0</v>
      </c>
      <c r="AO1152" s="27">
        <f t="shared" si="107"/>
        <v>0</v>
      </c>
      <c r="AP1152" s="7" t="b">
        <v>1</v>
      </c>
      <c r="AQ1152" s="7" t="b">
        <v>1</v>
      </c>
      <c r="AR1152" s="6" t="b">
        <v>0</v>
      </c>
      <c r="AS1152" s="6" t="b">
        <v>0</v>
      </c>
      <c r="AT1152" s="7" t="b">
        <v>1</v>
      </c>
      <c r="AU1152" s="6" t="b">
        <v>0</v>
      </c>
      <c r="AV1152" s="6" t="b">
        <v>0</v>
      </c>
      <c r="AW1152" s="6" t="b">
        <v>0</v>
      </c>
      <c r="AX1152" s="6" t="b">
        <v>0</v>
      </c>
      <c r="AY1152" s="6" t="b">
        <v>0</v>
      </c>
      <c r="AZ1152" s="6" t="b">
        <v>0</v>
      </c>
      <c r="BA1152" s="6" t="b">
        <v>0</v>
      </c>
      <c r="BB1152" s="6" t="b">
        <v>0</v>
      </c>
    </row>
    <row r="1153" spans="1:54" ht="15" x14ac:dyDescent="0.25">
      <c r="A1153" s="3" t="s">
        <v>2366</v>
      </c>
      <c r="B1153" s="3" t="str">
        <f ca="1">IFERROR(__xludf.DUMMYFUNCTION("SPLIT(A1153,""/"")"),"zenodo")</f>
        <v>zenodo</v>
      </c>
      <c r="C1153" s="3" t="str">
        <f ca="1">IFERROR(__xludf.DUMMYFUNCTION("""COMPUTED_VALUE"""),"zenodo")</f>
        <v>zenodo</v>
      </c>
      <c r="D1153" s="4" t="s">
        <v>2367</v>
      </c>
      <c r="E1153" s="5">
        <v>41316.398923611108</v>
      </c>
      <c r="F1153" s="5">
        <v>44295.122129629628</v>
      </c>
      <c r="G1153" s="13">
        <f t="shared" si="102"/>
        <v>2978.7232060185197</v>
      </c>
      <c r="H1153" s="6" t="b">
        <v>0</v>
      </c>
      <c r="I1153" s="7" t="b">
        <v>1</v>
      </c>
      <c r="J1153" s="8">
        <v>544</v>
      </c>
      <c r="K1153" s="8">
        <v>38</v>
      </c>
      <c r="L1153" s="8">
        <v>168</v>
      </c>
      <c r="M1153" s="8">
        <v>0</v>
      </c>
      <c r="N1153" s="8">
        <v>2</v>
      </c>
      <c r="O1153" s="8">
        <v>51</v>
      </c>
      <c r="P1153" s="8">
        <v>925</v>
      </c>
      <c r="Q1153" s="8">
        <v>16</v>
      </c>
      <c r="R1153" s="8">
        <v>1234</v>
      </c>
      <c r="S1153" s="8">
        <v>420</v>
      </c>
      <c r="T1153" s="3" t="s">
        <v>64</v>
      </c>
      <c r="U1153" s="10">
        <v>16761</v>
      </c>
      <c r="V1153" s="32">
        <v>19</v>
      </c>
      <c r="W1153" s="27">
        <v>1.1335839150408687E-3</v>
      </c>
      <c r="X1153" s="34">
        <v>0</v>
      </c>
      <c r="Y1153" s="27">
        <v>0</v>
      </c>
      <c r="Z1153" s="27">
        <v>0</v>
      </c>
      <c r="AA1153" s="35">
        <v>3</v>
      </c>
      <c r="AB1153" s="27">
        <v>0.15789473684210525</v>
      </c>
      <c r="AC1153" s="27">
        <f t="shared" si="103"/>
        <v>1.7898693395382138E-4</v>
      </c>
      <c r="AD1153" s="36">
        <v>5</v>
      </c>
      <c r="AE1153" s="27">
        <v>0.26315789473684209</v>
      </c>
      <c r="AF1153" s="27">
        <f t="shared" si="104"/>
        <v>2.9831155658970228E-4</v>
      </c>
      <c r="AG1153" s="37">
        <v>11</v>
      </c>
      <c r="AH1153" s="27">
        <v>0.57894736842105265</v>
      </c>
      <c r="AI1153" s="27">
        <f t="shared" si="105"/>
        <v>6.5628542449734499E-4</v>
      </c>
      <c r="AJ1153" s="38">
        <v>0</v>
      </c>
      <c r="AK1153" s="27">
        <v>0</v>
      </c>
      <c r="AL1153" s="27">
        <f t="shared" si="106"/>
        <v>0</v>
      </c>
      <c r="AM1153" s="40">
        <v>0</v>
      </c>
      <c r="AN1153" s="27">
        <v>0</v>
      </c>
      <c r="AO1153" s="27">
        <f t="shared" si="107"/>
        <v>0</v>
      </c>
      <c r="AP1153" s="7" t="b">
        <v>1</v>
      </c>
      <c r="AQ1153" s="7" t="b">
        <v>1</v>
      </c>
      <c r="AR1153" s="6" t="b">
        <v>0</v>
      </c>
      <c r="AS1153" s="6" t="b">
        <v>0</v>
      </c>
      <c r="AT1153" s="7" t="b">
        <v>1</v>
      </c>
      <c r="AU1153" s="6" t="b">
        <v>0</v>
      </c>
      <c r="AV1153" s="6" t="b">
        <v>0</v>
      </c>
      <c r="AW1153" s="6" t="b">
        <v>0</v>
      </c>
      <c r="AX1153" s="6" t="b">
        <v>0</v>
      </c>
      <c r="AY1153" s="6" t="b">
        <v>0</v>
      </c>
      <c r="AZ1153" s="6" t="b">
        <v>0</v>
      </c>
      <c r="BA1153" s="6" t="b">
        <v>0</v>
      </c>
      <c r="BB1153" s="6" t="b">
        <v>0</v>
      </c>
    </row>
    <row r="1154" spans="1:54" ht="15" x14ac:dyDescent="0.25">
      <c r="A1154" s="3" t="s">
        <v>2368</v>
      </c>
      <c r="B1154" s="3" t="str">
        <f ca="1">IFERROR(__xludf.DUMMYFUNCTION("SPLIT(A1154,""/"")"),"zentralopensource")</f>
        <v>zentralopensource</v>
      </c>
      <c r="C1154" s="3" t="str">
        <f ca="1">IFERROR(__xludf.DUMMYFUNCTION("""COMPUTED_VALUE"""),"zentral")</f>
        <v>zentral</v>
      </c>
      <c r="D1154" s="4" t="s">
        <v>2369</v>
      </c>
      <c r="E1154" s="5">
        <v>42297.585451388892</v>
      </c>
      <c r="F1154" s="5">
        <v>44294.885474537034</v>
      </c>
      <c r="G1154" s="13">
        <f t="shared" si="102"/>
        <v>1997.3000231481419</v>
      </c>
      <c r="H1154" s="6" t="b">
        <v>0</v>
      </c>
      <c r="I1154" s="7" t="b">
        <v>1</v>
      </c>
      <c r="J1154" s="8">
        <v>529</v>
      </c>
      <c r="K1154" s="8">
        <v>29</v>
      </c>
      <c r="L1154" s="8">
        <v>57</v>
      </c>
      <c r="M1154" s="8">
        <v>9</v>
      </c>
      <c r="N1154" s="8">
        <v>0</v>
      </c>
      <c r="O1154" s="8">
        <v>12</v>
      </c>
      <c r="P1154" s="8">
        <v>157</v>
      </c>
      <c r="Q1154" s="8">
        <v>0</v>
      </c>
      <c r="R1154" s="8">
        <v>100</v>
      </c>
      <c r="S1154" s="8">
        <v>21</v>
      </c>
      <c r="T1154" s="3" t="s">
        <v>69</v>
      </c>
      <c r="U1154" s="10">
        <v>37369</v>
      </c>
      <c r="V1154" s="32">
        <v>392</v>
      </c>
      <c r="W1154" s="27">
        <v>1.0489978324279482E-2</v>
      </c>
      <c r="X1154" s="34">
        <v>69</v>
      </c>
      <c r="Y1154" s="27">
        <v>0.17602040816326531</v>
      </c>
      <c r="Z1154" s="27">
        <v>1.8464502662634804E-3</v>
      </c>
      <c r="AA1154" s="35">
        <v>70</v>
      </c>
      <c r="AB1154" s="27">
        <v>0.17857142857142858</v>
      </c>
      <c r="AC1154" s="27">
        <f t="shared" si="103"/>
        <v>1.8732104150499076E-3</v>
      </c>
      <c r="AD1154" s="36">
        <v>80</v>
      </c>
      <c r="AE1154" s="27">
        <v>0.20408163265306123</v>
      </c>
      <c r="AF1154" s="27">
        <f t="shared" si="104"/>
        <v>2.1408119029141803E-3</v>
      </c>
      <c r="AG1154" s="37">
        <v>170</v>
      </c>
      <c r="AH1154" s="27">
        <v>0.43367346938775508</v>
      </c>
      <c r="AI1154" s="27">
        <f t="shared" si="105"/>
        <v>4.5492252936926332E-3</v>
      </c>
      <c r="AJ1154" s="38">
        <v>0</v>
      </c>
      <c r="AK1154" s="27">
        <v>0</v>
      </c>
      <c r="AL1154" s="27">
        <f t="shared" si="106"/>
        <v>0</v>
      </c>
      <c r="AM1154" s="40">
        <v>3</v>
      </c>
      <c r="AN1154" s="27">
        <v>7.6530612244897957E-3</v>
      </c>
      <c r="AO1154" s="27">
        <f t="shared" si="107"/>
        <v>8.0280446359281754E-5</v>
      </c>
      <c r="AP1154" s="7" t="b">
        <v>1</v>
      </c>
      <c r="AQ1154" s="7" t="b">
        <v>1</v>
      </c>
      <c r="AR1154" s="6" t="b">
        <v>0</v>
      </c>
      <c r="AS1154" s="6" t="b">
        <v>0</v>
      </c>
      <c r="AT1154" s="7" t="b">
        <v>1</v>
      </c>
      <c r="AU1154" s="6" t="b">
        <v>0</v>
      </c>
      <c r="AV1154" s="6" t="b">
        <v>0</v>
      </c>
      <c r="AW1154" s="6" t="b">
        <v>0</v>
      </c>
      <c r="AX1154" s="6" t="b">
        <v>0</v>
      </c>
      <c r="AY1154" s="6" t="b">
        <v>0</v>
      </c>
      <c r="AZ1154" s="6" t="b">
        <v>0</v>
      </c>
      <c r="BA1154" s="6" t="b">
        <v>0</v>
      </c>
      <c r="BB1154" s="6" t="b">
        <v>0</v>
      </c>
    </row>
    <row r="1155" spans="1:54" ht="15" x14ac:dyDescent="0.25">
      <c r="A1155" s="3" t="s">
        <v>2370</v>
      </c>
      <c r="B1155" s="3" t="str">
        <f ca="1">IFERROR(__xludf.DUMMYFUNCTION("SPLIT(A1155,""/"")"),"zeromq")</f>
        <v>zeromq</v>
      </c>
      <c r="C1155" s="3" t="str">
        <f ca="1">IFERROR(__xludf.DUMMYFUNCTION("""COMPUTED_VALUE"""),"pyzmq")</f>
        <v>pyzmq</v>
      </c>
      <c r="D1155" s="4" t="s">
        <v>2371</v>
      </c>
      <c r="E1155" s="5">
        <v>40380.305983796294</v>
      </c>
      <c r="F1155" s="5">
        <v>44294.504652777781</v>
      </c>
      <c r="G1155" s="13">
        <f t="shared" ref="G1155:G1167" si="108">F1155-E1155</f>
        <v>3914.1986689814876</v>
      </c>
      <c r="H1155" s="6" t="b">
        <v>0</v>
      </c>
      <c r="I1155" s="7" t="b">
        <v>1</v>
      </c>
      <c r="J1155" s="8">
        <v>2764</v>
      </c>
      <c r="K1155" s="8">
        <v>109</v>
      </c>
      <c r="L1155" s="8">
        <v>537</v>
      </c>
      <c r="M1155" s="8">
        <v>5</v>
      </c>
      <c r="N1155" s="8">
        <v>26</v>
      </c>
      <c r="O1155" s="8">
        <v>149</v>
      </c>
      <c r="P1155" s="8">
        <v>683</v>
      </c>
      <c r="Q1155" s="8">
        <v>3</v>
      </c>
      <c r="R1155" s="8">
        <v>834</v>
      </c>
      <c r="S1155" s="8">
        <v>105</v>
      </c>
      <c r="T1155" s="3" t="s">
        <v>92</v>
      </c>
      <c r="U1155" s="10">
        <v>13582</v>
      </c>
      <c r="V1155" s="32">
        <v>112</v>
      </c>
      <c r="W1155" s="27">
        <v>8.2462082167574727E-3</v>
      </c>
      <c r="X1155" s="34">
        <v>35</v>
      </c>
      <c r="Y1155" s="27">
        <v>0.3125</v>
      </c>
      <c r="Z1155" s="27">
        <v>2.5769400677367106E-3</v>
      </c>
      <c r="AA1155" s="35">
        <v>18</v>
      </c>
      <c r="AB1155" s="27">
        <v>0.16071428571428573</v>
      </c>
      <c r="AC1155" s="27">
        <f t="shared" ref="AC1155:AC1167" si="109">AA1155/U1155</f>
        <v>1.3252834634074511E-3</v>
      </c>
      <c r="AD1155" s="36">
        <v>19</v>
      </c>
      <c r="AE1155" s="27">
        <v>0.16964285714285715</v>
      </c>
      <c r="AF1155" s="27">
        <f t="shared" ref="AF1155:AF1167" si="110">AD1155/U1155</f>
        <v>1.3989103224856427E-3</v>
      </c>
      <c r="AG1155" s="37">
        <v>34</v>
      </c>
      <c r="AH1155" s="27">
        <v>0.30357142857142855</v>
      </c>
      <c r="AI1155" s="27">
        <f t="shared" ref="AI1155:AI1167" si="111">AG1155/U1155</f>
        <v>2.5033132086585185E-3</v>
      </c>
      <c r="AJ1155" s="38">
        <v>4</v>
      </c>
      <c r="AK1155" s="27">
        <v>3.5714285714285712E-2</v>
      </c>
      <c r="AL1155" s="27">
        <f t="shared" ref="AL1155:AL1167" si="112">AJ1155/U1155</f>
        <v>2.945074363127669E-4</v>
      </c>
      <c r="AM1155" s="40">
        <v>2</v>
      </c>
      <c r="AN1155" s="27">
        <v>1.7857142857142856E-2</v>
      </c>
      <c r="AO1155" s="27">
        <f t="shared" ref="AO1155:AO1167" si="113">AM1155/U1155</f>
        <v>1.4725371815638345E-4</v>
      </c>
      <c r="AP1155" s="7" t="b">
        <v>1</v>
      </c>
      <c r="AQ1155" s="6" t="b">
        <v>0</v>
      </c>
      <c r="AR1155" s="6" t="b">
        <v>0</v>
      </c>
      <c r="AS1155" s="6" t="b">
        <v>0</v>
      </c>
      <c r="AT1155" s="7" t="b">
        <v>1</v>
      </c>
      <c r="AU1155" s="6" t="b">
        <v>0</v>
      </c>
      <c r="AV1155" s="6" t="b">
        <v>0</v>
      </c>
      <c r="AW1155" s="6" t="b">
        <v>0</v>
      </c>
      <c r="AX1155" s="6" t="b">
        <v>0</v>
      </c>
      <c r="AY1155" s="6" t="b">
        <v>0</v>
      </c>
      <c r="AZ1155" s="6" t="b">
        <v>0</v>
      </c>
      <c r="BA1155" s="6" t="b">
        <v>0</v>
      </c>
      <c r="BB1155" s="6" t="b">
        <v>0</v>
      </c>
    </row>
    <row r="1156" spans="1:54" ht="15" x14ac:dyDescent="0.25">
      <c r="A1156" s="3" t="s">
        <v>2372</v>
      </c>
      <c r="B1156" s="3" t="str">
        <f ca="1">IFERROR(__xludf.DUMMYFUNCTION("SPLIT(A1156,""/"")"),"zerosum0x0")</f>
        <v>zerosum0x0</v>
      </c>
      <c r="C1156" s="3" t="str">
        <f ca="1">IFERROR(__xludf.DUMMYFUNCTION("""COMPUTED_VALUE"""),"koadic")</f>
        <v>koadic</v>
      </c>
      <c r="D1156" s="4" t="s">
        <v>2373</v>
      </c>
      <c r="E1156" s="5">
        <v>42935.689918981479</v>
      </c>
      <c r="F1156" s="5">
        <v>44294.405509259261</v>
      </c>
      <c r="G1156" s="13">
        <f t="shared" si="108"/>
        <v>1358.7155902777813</v>
      </c>
      <c r="H1156" s="6" t="b">
        <v>0</v>
      </c>
      <c r="I1156" s="6" t="b">
        <v>0</v>
      </c>
      <c r="J1156" s="8">
        <v>1913</v>
      </c>
      <c r="K1156" s="8">
        <v>115</v>
      </c>
      <c r="L1156" s="8">
        <v>477</v>
      </c>
      <c r="M1156" s="8">
        <v>0</v>
      </c>
      <c r="N1156" s="8">
        <v>5</v>
      </c>
      <c r="O1156" s="8">
        <v>8</v>
      </c>
      <c r="P1156" s="8">
        <v>38</v>
      </c>
      <c r="Q1156" s="8">
        <v>0</v>
      </c>
      <c r="R1156" s="8">
        <v>107</v>
      </c>
      <c r="S1156" s="8">
        <v>5</v>
      </c>
      <c r="T1156" s="3" t="s">
        <v>69</v>
      </c>
      <c r="U1156" s="10">
        <v>7949</v>
      </c>
      <c r="V1156" s="32">
        <v>39</v>
      </c>
      <c r="W1156" s="27">
        <v>4.9062775191848033E-3</v>
      </c>
      <c r="X1156" s="34">
        <v>1</v>
      </c>
      <c r="Y1156" s="27">
        <v>2.564102564102564E-2</v>
      </c>
      <c r="Z1156" s="27">
        <v>1.258019876714052E-4</v>
      </c>
      <c r="AA1156" s="35">
        <v>3</v>
      </c>
      <c r="AB1156" s="27">
        <v>7.6923076923076927E-2</v>
      </c>
      <c r="AC1156" s="27">
        <f t="shared" si="109"/>
        <v>3.7740596301421561E-4</v>
      </c>
      <c r="AD1156" s="36">
        <v>0</v>
      </c>
      <c r="AE1156" s="27">
        <v>0</v>
      </c>
      <c r="AF1156" s="27">
        <f t="shared" si="110"/>
        <v>0</v>
      </c>
      <c r="AG1156" s="37">
        <v>32</v>
      </c>
      <c r="AH1156" s="27">
        <v>0.82051282051282048</v>
      </c>
      <c r="AI1156" s="27">
        <f t="shared" si="111"/>
        <v>4.0256636054849665E-3</v>
      </c>
      <c r="AJ1156" s="38">
        <v>0</v>
      </c>
      <c r="AK1156" s="27">
        <v>0</v>
      </c>
      <c r="AL1156" s="27">
        <f t="shared" si="112"/>
        <v>0</v>
      </c>
      <c r="AM1156" s="40">
        <v>0</v>
      </c>
      <c r="AN1156" s="27">
        <v>0</v>
      </c>
      <c r="AO1156" s="27">
        <f t="shared" si="113"/>
        <v>0</v>
      </c>
      <c r="AP1156" s="7" t="b">
        <v>1</v>
      </c>
      <c r="AQ1156" s="6" t="b">
        <v>0</v>
      </c>
      <c r="AR1156" s="6" t="b">
        <v>0</v>
      </c>
      <c r="AS1156" s="6" t="b">
        <v>0</v>
      </c>
      <c r="AT1156" s="7" t="b">
        <v>1</v>
      </c>
      <c r="AU1156" s="6" t="b">
        <v>0</v>
      </c>
      <c r="AV1156" s="6" t="b">
        <v>0</v>
      </c>
      <c r="AW1156" s="6" t="b">
        <v>0</v>
      </c>
      <c r="AX1156" s="6" t="b">
        <v>0</v>
      </c>
      <c r="AY1156" s="6" t="b">
        <v>0</v>
      </c>
      <c r="AZ1156" s="6" t="b">
        <v>0</v>
      </c>
      <c r="BA1156" s="6" t="b">
        <v>0</v>
      </c>
      <c r="BB1156" s="6" t="b">
        <v>0</v>
      </c>
    </row>
    <row r="1157" spans="1:54" ht="15" x14ac:dyDescent="0.25">
      <c r="A1157" s="3" t="s">
        <v>2374</v>
      </c>
      <c r="B1157" s="3" t="str">
        <f ca="1">IFERROR(__xludf.DUMMYFUNCTION("SPLIT(A1157,""/"")"),"zewelor")</f>
        <v>zewelor</v>
      </c>
      <c r="C1157" s="3" t="str">
        <f ca="1">IFERROR(__xludf.DUMMYFUNCTION("""COMPUTED_VALUE"""),"bt-mqtt-gateway")</f>
        <v>bt-mqtt-gateway</v>
      </c>
      <c r="D1157" s="4" t="s">
        <v>2375</v>
      </c>
      <c r="E1157" s="5">
        <v>43061.73641203704</v>
      </c>
      <c r="F1157" s="5">
        <v>44292.267592592594</v>
      </c>
      <c r="G1157" s="13">
        <f t="shared" si="108"/>
        <v>1230.5311805555539</v>
      </c>
      <c r="H1157" s="6" t="b">
        <v>0</v>
      </c>
      <c r="I1157" s="6" t="b">
        <v>0</v>
      </c>
      <c r="J1157" s="8">
        <v>357</v>
      </c>
      <c r="K1157" s="8">
        <v>26</v>
      </c>
      <c r="L1157" s="8">
        <v>81</v>
      </c>
      <c r="M1157" s="8">
        <v>0</v>
      </c>
      <c r="N1157" s="8">
        <v>5</v>
      </c>
      <c r="O1157" s="8">
        <v>32</v>
      </c>
      <c r="P1157" s="8">
        <v>108</v>
      </c>
      <c r="Q1157" s="8">
        <v>1</v>
      </c>
      <c r="R1157" s="8">
        <v>115</v>
      </c>
      <c r="S1157" s="8">
        <v>45</v>
      </c>
      <c r="T1157" s="3" t="s">
        <v>72</v>
      </c>
      <c r="U1157" s="10">
        <v>1994</v>
      </c>
      <c r="V1157" s="32">
        <v>88</v>
      </c>
      <c r="W1157" s="27">
        <v>4.4132397191574725E-2</v>
      </c>
      <c r="X1157" s="34">
        <v>49</v>
      </c>
      <c r="Y1157" s="27">
        <v>0.55681818181818177</v>
      </c>
      <c r="Z1157" s="27">
        <v>2.4573721163490471E-2</v>
      </c>
      <c r="AA1157" s="35">
        <v>34</v>
      </c>
      <c r="AB1157" s="27">
        <v>0.38636363636363635</v>
      </c>
      <c r="AC1157" s="27">
        <f t="shared" si="109"/>
        <v>1.7051153460381142E-2</v>
      </c>
      <c r="AD1157" s="36">
        <v>1</v>
      </c>
      <c r="AE1157" s="27">
        <v>1.1363636363636364E-2</v>
      </c>
      <c r="AF1157" s="27">
        <f t="shared" si="110"/>
        <v>5.0150451354062187E-4</v>
      </c>
      <c r="AG1157" s="37">
        <v>4</v>
      </c>
      <c r="AH1157" s="27">
        <v>4.5454545454545456E-2</v>
      </c>
      <c r="AI1157" s="27">
        <f t="shared" si="111"/>
        <v>2.0060180541624875E-3</v>
      </c>
      <c r="AJ1157" s="38">
        <v>0</v>
      </c>
      <c r="AK1157" s="27">
        <v>0</v>
      </c>
      <c r="AL1157" s="27">
        <f t="shared" si="112"/>
        <v>0</v>
      </c>
      <c r="AM1157" s="40">
        <v>0</v>
      </c>
      <c r="AN1157" s="27">
        <v>0</v>
      </c>
      <c r="AO1157" s="27">
        <f t="shared" si="113"/>
        <v>0</v>
      </c>
      <c r="AP1157" s="7" t="b">
        <v>1</v>
      </c>
      <c r="AQ1157" s="7" t="b">
        <v>1</v>
      </c>
      <c r="AR1157" s="6" t="b">
        <v>0</v>
      </c>
      <c r="AS1157" s="6" t="b">
        <v>0</v>
      </c>
      <c r="AT1157" s="7" t="b">
        <v>1</v>
      </c>
      <c r="AU1157" s="6" t="b">
        <v>0</v>
      </c>
      <c r="AV1157" s="6" t="b">
        <v>0</v>
      </c>
      <c r="AW1157" s="6" t="b">
        <v>0</v>
      </c>
      <c r="AX1157" s="6" t="b">
        <v>0</v>
      </c>
      <c r="AY1157" s="6" t="b">
        <v>0</v>
      </c>
      <c r="AZ1157" s="6" t="b">
        <v>0</v>
      </c>
      <c r="BA1157" s="6" t="b">
        <v>0</v>
      </c>
      <c r="BB1157" s="6" t="b">
        <v>0</v>
      </c>
    </row>
    <row r="1158" spans="1:54" ht="15" x14ac:dyDescent="0.25">
      <c r="A1158" s="3" t="s">
        <v>2376</v>
      </c>
      <c r="B1158" s="3" t="str">
        <f ca="1">IFERROR(__xludf.DUMMYFUNCTION("SPLIT(A1158,""/"")"),"zh-plus")</f>
        <v>zh-plus</v>
      </c>
      <c r="C1158" s="3" t="str">
        <f ca="1">IFERROR(__xludf.DUMMYFUNCTION("""COMPUTED_VALUE"""),"video-to-pose3D")</f>
        <v>video-to-pose3D</v>
      </c>
      <c r="D1158" s="4" t="s">
        <v>2377</v>
      </c>
      <c r="E1158" s="5">
        <v>43650.368668981479</v>
      </c>
      <c r="F1158" s="5">
        <v>44290.84878472222</v>
      </c>
      <c r="G1158" s="13">
        <f t="shared" si="108"/>
        <v>640.48011574074189</v>
      </c>
      <c r="H1158" s="6" t="b">
        <v>0</v>
      </c>
      <c r="I1158" s="6" t="b">
        <v>0</v>
      </c>
      <c r="J1158" s="8">
        <v>457</v>
      </c>
      <c r="K1158" s="8">
        <v>16</v>
      </c>
      <c r="L1158" s="8">
        <v>96</v>
      </c>
      <c r="M1158" s="8">
        <v>0</v>
      </c>
      <c r="N1158" s="8">
        <v>2</v>
      </c>
      <c r="O1158" s="8">
        <v>3</v>
      </c>
      <c r="P1158" s="8">
        <v>5</v>
      </c>
      <c r="Q1158" s="8">
        <v>1</v>
      </c>
      <c r="R1158" s="8">
        <v>38</v>
      </c>
      <c r="S1158" s="8">
        <v>4</v>
      </c>
      <c r="T1158" s="3" t="s">
        <v>72</v>
      </c>
      <c r="U1158" s="10">
        <v>25627</v>
      </c>
      <c r="V1158" s="32">
        <v>91</v>
      </c>
      <c r="W1158" s="27">
        <v>3.5509423654739142E-3</v>
      </c>
      <c r="X1158" s="34">
        <v>1</v>
      </c>
      <c r="Y1158" s="27">
        <v>1.098901098901099E-2</v>
      </c>
      <c r="Z1158" s="27">
        <v>3.9021344675537519E-5</v>
      </c>
      <c r="AA1158" s="35">
        <v>48</v>
      </c>
      <c r="AB1158" s="27">
        <v>0.52747252747252749</v>
      </c>
      <c r="AC1158" s="27">
        <f t="shared" si="109"/>
        <v>1.8730245444258009E-3</v>
      </c>
      <c r="AD1158" s="36">
        <v>4</v>
      </c>
      <c r="AE1158" s="27">
        <v>4.3956043956043959E-2</v>
      </c>
      <c r="AF1158" s="27">
        <f t="shared" si="110"/>
        <v>1.5608537870215008E-4</v>
      </c>
      <c r="AG1158" s="37">
        <v>10</v>
      </c>
      <c r="AH1158" s="27">
        <v>0.10989010989010989</v>
      </c>
      <c r="AI1158" s="27">
        <f t="shared" si="111"/>
        <v>3.9021344675537519E-4</v>
      </c>
      <c r="AJ1158" s="38">
        <v>3</v>
      </c>
      <c r="AK1158" s="27">
        <v>3.2967032967032968E-2</v>
      </c>
      <c r="AL1158" s="27">
        <f t="shared" si="112"/>
        <v>1.1706403402661256E-4</v>
      </c>
      <c r="AM1158" s="40">
        <v>25</v>
      </c>
      <c r="AN1158" s="27">
        <v>0.27472527472527475</v>
      </c>
      <c r="AO1158" s="27">
        <f t="shared" si="113"/>
        <v>9.7553361688843801E-4</v>
      </c>
      <c r="AP1158" s="7" t="b">
        <v>1</v>
      </c>
      <c r="AQ1158" s="6" t="b">
        <v>0</v>
      </c>
      <c r="AR1158" s="6" t="b">
        <v>0</v>
      </c>
      <c r="AS1158" s="6" t="b">
        <v>0</v>
      </c>
      <c r="AT1158" s="7" t="b">
        <v>1</v>
      </c>
      <c r="AU1158" s="6" t="b">
        <v>0</v>
      </c>
      <c r="AV1158" s="6" t="b">
        <v>0</v>
      </c>
      <c r="AW1158" s="6" t="b">
        <v>0</v>
      </c>
      <c r="AX1158" s="6" t="b">
        <v>0</v>
      </c>
      <c r="AY1158" s="6" t="b">
        <v>0</v>
      </c>
      <c r="AZ1158" s="6" t="b">
        <v>0</v>
      </c>
      <c r="BA1158" s="6" t="b">
        <v>0</v>
      </c>
      <c r="BB1158" s="6" t="b">
        <v>0</v>
      </c>
    </row>
    <row r="1159" spans="1:54" ht="15" x14ac:dyDescent="0.25">
      <c r="A1159" s="3" t="s">
        <v>2378</v>
      </c>
      <c r="B1159" s="3" t="str">
        <f ca="1">IFERROR(__xludf.DUMMYFUNCTION("SPLIT(A1159,""/"")"),"zhaoweicai")</f>
        <v>zhaoweicai</v>
      </c>
      <c r="C1159" s="3" t="str">
        <f ca="1">IFERROR(__xludf.DUMMYFUNCTION("""COMPUTED_VALUE"""),"Detectron-Cascade-RCNN")</f>
        <v>Detectron-Cascade-RCNN</v>
      </c>
      <c r="D1159" s="4" t="s">
        <v>2379</v>
      </c>
      <c r="E1159" s="5">
        <v>43370.001134259262</v>
      </c>
      <c r="F1159" s="5">
        <v>44292.402129629627</v>
      </c>
      <c r="G1159" s="13">
        <f t="shared" si="108"/>
        <v>922.4009953703644</v>
      </c>
      <c r="H1159" s="6" t="b">
        <v>0</v>
      </c>
      <c r="I1159" s="6" t="b">
        <v>0</v>
      </c>
      <c r="J1159" s="8">
        <v>436</v>
      </c>
      <c r="K1159" s="8">
        <v>15</v>
      </c>
      <c r="L1159" s="8">
        <v>99</v>
      </c>
      <c r="M1159" s="8">
        <v>0</v>
      </c>
      <c r="N1159" s="8">
        <v>0</v>
      </c>
      <c r="O1159" s="9">
        <v>0</v>
      </c>
      <c r="P1159" s="8">
        <v>0</v>
      </c>
      <c r="Q1159" s="8">
        <v>0</v>
      </c>
      <c r="R1159" s="8">
        <v>21</v>
      </c>
      <c r="S1159" s="8">
        <v>7</v>
      </c>
      <c r="T1159" s="3" t="s">
        <v>69</v>
      </c>
      <c r="U1159" s="10">
        <v>9586</v>
      </c>
      <c r="V1159" s="32">
        <v>173</v>
      </c>
      <c r="W1159" s="27">
        <v>1.8047152096807843E-2</v>
      </c>
      <c r="X1159" s="34">
        <v>24</v>
      </c>
      <c r="Y1159" s="27">
        <v>0.13872832369942195</v>
      </c>
      <c r="Z1159" s="27">
        <v>2.5036511579386604E-3</v>
      </c>
      <c r="AA1159" s="35">
        <v>124</v>
      </c>
      <c r="AB1159" s="27">
        <v>0.7167630057803468</v>
      </c>
      <c r="AC1159" s="27">
        <f t="shared" si="109"/>
        <v>1.293553098268308E-2</v>
      </c>
      <c r="AD1159" s="36">
        <v>22</v>
      </c>
      <c r="AE1159" s="27">
        <v>0.12716763005780346</v>
      </c>
      <c r="AF1159" s="27">
        <f t="shared" si="110"/>
        <v>2.2950135614437724E-3</v>
      </c>
      <c r="AG1159" s="37">
        <v>2</v>
      </c>
      <c r="AH1159" s="27">
        <v>1.1560693641618497E-2</v>
      </c>
      <c r="AI1159" s="27">
        <f t="shared" si="111"/>
        <v>2.0863759649488838E-4</v>
      </c>
      <c r="AJ1159" s="38">
        <v>1</v>
      </c>
      <c r="AK1159" s="27">
        <v>5.7803468208092483E-3</v>
      </c>
      <c r="AL1159" s="27">
        <f t="shared" si="112"/>
        <v>1.0431879824744419E-4</v>
      </c>
      <c r="AM1159" s="40">
        <v>0</v>
      </c>
      <c r="AN1159" s="27">
        <v>0</v>
      </c>
      <c r="AO1159" s="27">
        <f t="shared" si="113"/>
        <v>0</v>
      </c>
      <c r="AP1159" s="7" t="b">
        <v>1</v>
      </c>
      <c r="AQ1159" s="6" t="b">
        <v>0</v>
      </c>
      <c r="AR1159" s="6" t="b">
        <v>0</v>
      </c>
      <c r="AS1159" s="6" t="b">
        <v>0</v>
      </c>
      <c r="AT1159" s="7" t="b">
        <v>1</v>
      </c>
      <c r="AU1159" s="6" t="b">
        <v>0</v>
      </c>
      <c r="AV1159" s="6" t="b">
        <v>0</v>
      </c>
      <c r="AW1159" s="6" t="b">
        <v>0</v>
      </c>
      <c r="AX1159" s="6" t="b">
        <v>0</v>
      </c>
      <c r="AY1159" s="6" t="b">
        <v>0</v>
      </c>
      <c r="AZ1159" s="6" t="b">
        <v>0</v>
      </c>
      <c r="BA1159" s="6" t="b">
        <v>0</v>
      </c>
      <c r="BB1159" s="6" t="b">
        <v>0</v>
      </c>
    </row>
    <row r="1160" spans="1:54" ht="15" x14ac:dyDescent="0.25">
      <c r="A1160" s="3" t="s">
        <v>2380</v>
      </c>
      <c r="B1160" s="3" t="str">
        <f ca="1">IFERROR(__xludf.DUMMYFUNCTION("SPLIT(A1160,""/"")"),"Zhongdao")</f>
        <v>Zhongdao</v>
      </c>
      <c r="C1160" s="3" t="str">
        <f ca="1">IFERROR(__xludf.DUMMYFUNCTION("""COMPUTED_VALUE"""),"Towards-Realtime-MOT")</f>
        <v>Towards-Realtime-MOT</v>
      </c>
      <c r="D1160" s="4" t="s">
        <v>2381</v>
      </c>
      <c r="E1160" s="5">
        <v>43735.214965277781</v>
      </c>
      <c r="F1160" s="5">
        <v>44294.655474537038</v>
      </c>
      <c r="G1160" s="13">
        <f t="shared" si="108"/>
        <v>559.44050925925694</v>
      </c>
      <c r="H1160" s="6" t="b">
        <v>0</v>
      </c>
      <c r="I1160" s="6" t="b">
        <v>0</v>
      </c>
      <c r="J1160" s="8">
        <v>1632</v>
      </c>
      <c r="K1160" s="8">
        <v>57</v>
      </c>
      <c r="L1160" s="8">
        <v>429</v>
      </c>
      <c r="M1160" s="8">
        <v>0</v>
      </c>
      <c r="N1160" s="8">
        <v>3</v>
      </c>
      <c r="O1160" s="8">
        <v>7</v>
      </c>
      <c r="P1160" s="8">
        <v>14</v>
      </c>
      <c r="Q1160" s="8">
        <v>3</v>
      </c>
      <c r="R1160" s="8">
        <v>210</v>
      </c>
      <c r="S1160" s="8">
        <v>97</v>
      </c>
      <c r="T1160" s="3" t="s">
        <v>72</v>
      </c>
      <c r="U1160" s="10">
        <v>2358</v>
      </c>
      <c r="V1160" s="32">
        <v>15</v>
      </c>
      <c r="W1160" s="27">
        <v>6.3613231552162846E-3</v>
      </c>
      <c r="X1160" s="34">
        <v>5</v>
      </c>
      <c r="Y1160" s="27">
        <v>0.33333333333333331</v>
      </c>
      <c r="Z1160" s="27">
        <v>2.1204410517387615E-3</v>
      </c>
      <c r="AA1160" s="35">
        <v>8</v>
      </c>
      <c r="AB1160" s="27">
        <v>0.53333333333333333</v>
      </c>
      <c r="AC1160" s="27">
        <f t="shared" si="109"/>
        <v>3.3927056827820186E-3</v>
      </c>
      <c r="AD1160" s="36">
        <v>0</v>
      </c>
      <c r="AE1160" s="27">
        <v>0</v>
      </c>
      <c r="AF1160" s="27">
        <f t="shared" si="110"/>
        <v>0</v>
      </c>
      <c r="AG1160" s="37">
        <v>0</v>
      </c>
      <c r="AH1160" s="27">
        <v>0</v>
      </c>
      <c r="AI1160" s="27">
        <f t="shared" si="111"/>
        <v>0</v>
      </c>
      <c r="AJ1160" s="38">
        <v>0</v>
      </c>
      <c r="AK1160" s="27">
        <v>0</v>
      </c>
      <c r="AL1160" s="27">
        <f t="shared" si="112"/>
        <v>0</v>
      </c>
      <c r="AM1160" s="40">
        <v>0</v>
      </c>
      <c r="AN1160" s="27">
        <v>0</v>
      </c>
      <c r="AO1160" s="27">
        <f t="shared" si="113"/>
        <v>0</v>
      </c>
      <c r="AP1160" s="7" t="b">
        <v>1</v>
      </c>
      <c r="AQ1160" s="6" t="b">
        <v>0</v>
      </c>
      <c r="AR1160" s="6" t="b">
        <v>0</v>
      </c>
      <c r="AS1160" s="6" t="b">
        <v>0</v>
      </c>
      <c r="AT1160" s="7" t="b">
        <v>1</v>
      </c>
      <c r="AU1160" s="6" t="b">
        <v>0</v>
      </c>
      <c r="AV1160" s="6" t="b">
        <v>0</v>
      </c>
      <c r="AW1160" s="6" t="b">
        <v>0</v>
      </c>
      <c r="AX1160" s="6" t="b">
        <v>0</v>
      </c>
      <c r="AY1160" s="6" t="b">
        <v>0</v>
      </c>
      <c r="AZ1160" s="6" t="b">
        <v>0</v>
      </c>
      <c r="BA1160" s="6" t="b">
        <v>0</v>
      </c>
      <c r="BB1160" s="6" t="b">
        <v>0</v>
      </c>
    </row>
    <row r="1161" spans="1:54" ht="15" x14ac:dyDescent="0.25">
      <c r="A1161" s="3" t="s">
        <v>2382</v>
      </c>
      <c r="B1161" s="3" t="str">
        <f ca="1">IFERROR(__xludf.DUMMYFUNCTION("SPLIT(A1161,""/"")"),"zhoubear")</f>
        <v>zhoubear</v>
      </c>
      <c r="C1161" s="3" t="str">
        <f ca="1">IFERROR(__xludf.DUMMYFUNCTION("""COMPUTED_VALUE"""),"open-paperless")</f>
        <v>open-paperless</v>
      </c>
      <c r="D1161" s="4" t="s">
        <v>2383</v>
      </c>
      <c r="E1161" s="5">
        <v>43087.281944444447</v>
      </c>
      <c r="F1161" s="5">
        <v>44293.057997685188</v>
      </c>
      <c r="G1161" s="13">
        <f t="shared" si="108"/>
        <v>1205.776053240741</v>
      </c>
      <c r="H1161" s="6" t="b">
        <v>0</v>
      </c>
      <c r="I1161" s="6" t="b">
        <v>0</v>
      </c>
      <c r="J1161" s="8">
        <v>2509</v>
      </c>
      <c r="K1161" s="8">
        <v>98</v>
      </c>
      <c r="L1161" s="8">
        <v>208</v>
      </c>
      <c r="M1161" s="8">
        <v>0</v>
      </c>
      <c r="N1161" s="8">
        <v>0</v>
      </c>
      <c r="O1161" s="8">
        <v>8</v>
      </c>
      <c r="P1161" s="8">
        <v>8</v>
      </c>
      <c r="Q1161" s="8">
        <v>1</v>
      </c>
      <c r="R1161" s="8">
        <v>14</v>
      </c>
      <c r="S1161" s="8">
        <v>9</v>
      </c>
      <c r="T1161" s="3" t="s">
        <v>92</v>
      </c>
      <c r="U1161" s="10">
        <v>26679</v>
      </c>
      <c r="V1161" s="32">
        <v>291</v>
      </c>
      <c r="W1161" s="27">
        <v>1.090745530192286E-2</v>
      </c>
      <c r="X1161" s="34">
        <v>144</v>
      </c>
      <c r="Y1161" s="27">
        <v>0.49484536082474229</v>
      </c>
      <c r="Z1161" s="27">
        <v>5.3975036545597663E-3</v>
      </c>
      <c r="AA1161" s="35">
        <v>45</v>
      </c>
      <c r="AB1161" s="27">
        <v>0.15463917525773196</v>
      </c>
      <c r="AC1161" s="27">
        <f t="shared" si="109"/>
        <v>1.6867198920499269E-3</v>
      </c>
      <c r="AD1161" s="36">
        <v>26</v>
      </c>
      <c r="AE1161" s="27">
        <v>8.9347079037800689E-2</v>
      </c>
      <c r="AF1161" s="27">
        <f t="shared" si="110"/>
        <v>9.7454927096218E-4</v>
      </c>
      <c r="AG1161" s="37">
        <v>73</v>
      </c>
      <c r="AH1161" s="27">
        <v>0.25085910652920962</v>
      </c>
      <c r="AI1161" s="27">
        <f t="shared" si="111"/>
        <v>2.7362344915476591E-3</v>
      </c>
      <c r="AJ1161" s="38">
        <v>3</v>
      </c>
      <c r="AK1161" s="27">
        <v>1.0309278350515464E-2</v>
      </c>
      <c r="AL1161" s="27">
        <f t="shared" si="112"/>
        <v>1.1244799280332846E-4</v>
      </c>
      <c r="AM1161" s="40">
        <v>0</v>
      </c>
      <c r="AN1161" s="27">
        <v>0</v>
      </c>
      <c r="AO1161" s="27">
        <f t="shared" si="113"/>
        <v>0</v>
      </c>
      <c r="AP1161" s="7" t="b">
        <v>1</v>
      </c>
      <c r="AQ1161" s="7" t="b">
        <v>1</v>
      </c>
      <c r="AR1161" s="6" t="b">
        <v>0</v>
      </c>
      <c r="AS1161" s="6" t="b">
        <v>0</v>
      </c>
      <c r="AT1161" s="7" t="b">
        <v>1</v>
      </c>
      <c r="AU1161" s="6" t="b">
        <v>0</v>
      </c>
      <c r="AV1161" s="6" t="b">
        <v>0</v>
      </c>
      <c r="AW1161" s="6" t="b">
        <v>0</v>
      </c>
      <c r="AX1161" s="6" t="b">
        <v>0</v>
      </c>
      <c r="AY1161" s="6" t="b">
        <v>0</v>
      </c>
      <c r="AZ1161" s="6" t="b">
        <v>0</v>
      </c>
      <c r="BA1161" s="6" t="b">
        <v>0</v>
      </c>
      <c r="BB1161" s="6" t="b">
        <v>0</v>
      </c>
    </row>
    <row r="1162" spans="1:54" ht="15" x14ac:dyDescent="0.25">
      <c r="A1162" s="3" t="s">
        <v>2384</v>
      </c>
      <c r="B1162" s="3" t="str">
        <f ca="1">IFERROR(__xludf.DUMMYFUNCTION("SPLIT(A1162,""/"")"),"zhreshold")</f>
        <v>zhreshold</v>
      </c>
      <c r="C1162" s="3" t="str">
        <f ca="1">IFERROR(__xludf.DUMMYFUNCTION("""COMPUTED_VALUE"""),"mxnet-ssd")</f>
        <v>mxnet-ssd</v>
      </c>
      <c r="D1162" s="4" t="s">
        <v>2385</v>
      </c>
      <c r="E1162" s="5">
        <v>42641.972453703704</v>
      </c>
      <c r="F1162" s="5">
        <v>44293.159062500003</v>
      </c>
      <c r="G1162" s="13">
        <f t="shared" si="108"/>
        <v>1651.186608796299</v>
      </c>
      <c r="H1162" s="6" t="b">
        <v>0</v>
      </c>
      <c r="I1162" s="6" t="b">
        <v>0</v>
      </c>
      <c r="J1162" s="8">
        <v>765</v>
      </c>
      <c r="K1162" s="8">
        <v>50</v>
      </c>
      <c r="L1162" s="8">
        <v>343</v>
      </c>
      <c r="M1162" s="8">
        <v>5</v>
      </c>
      <c r="N1162" s="8">
        <v>5</v>
      </c>
      <c r="O1162" s="8">
        <v>7</v>
      </c>
      <c r="P1162" s="8">
        <v>8</v>
      </c>
      <c r="Q1162" s="8">
        <v>0</v>
      </c>
      <c r="R1162" s="8">
        <v>232</v>
      </c>
      <c r="S1162" s="8">
        <v>93</v>
      </c>
      <c r="T1162" s="3" t="s">
        <v>72</v>
      </c>
      <c r="U1162" s="10">
        <v>4353</v>
      </c>
      <c r="V1162" s="32">
        <v>14</v>
      </c>
      <c r="W1162" s="27">
        <v>3.2161727544222376E-3</v>
      </c>
      <c r="X1162" s="34">
        <v>0</v>
      </c>
      <c r="Y1162" s="27">
        <v>0</v>
      </c>
      <c r="Z1162" s="27">
        <v>0</v>
      </c>
      <c r="AA1162" s="35">
        <v>7</v>
      </c>
      <c r="AB1162" s="27">
        <v>0.5</v>
      </c>
      <c r="AC1162" s="27">
        <f t="shared" si="109"/>
        <v>1.6080863772111188E-3</v>
      </c>
      <c r="AD1162" s="36">
        <v>3</v>
      </c>
      <c r="AE1162" s="27">
        <v>0.21428571428571427</v>
      </c>
      <c r="AF1162" s="27">
        <f t="shared" si="110"/>
        <v>6.8917987594762232E-4</v>
      </c>
      <c r="AG1162" s="37">
        <v>4</v>
      </c>
      <c r="AH1162" s="27">
        <v>0.2857142857142857</v>
      </c>
      <c r="AI1162" s="27">
        <f t="shared" si="111"/>
        <v>9.1890650126349646E-4</v>
      </c>
      <c r="AJ1162" s="38">
        <v>0</v>
      </c>
      <c r="AK1162" s="27">
        <v>0</v>
      </c>
      <c r="AL1162" s="27">
        <f t="shared" si="112"/>
        <v>0</v>
      </c>
      <c r="AM1162" s="40">
        <v>0</v>
      </c>
      <c r="AN1162" s="27">
        <v>0</v>
      </c>
      <c r="AO1162" s="27">
        <f t="shared" si="113"/>
        <v>0</v>
      </c>
      <c r="AP1162" s="7" t="b">
        <v>1</v>
      </c>
      <c r="AQ1162" s="6" t="b">
        <v>0</v>
      </c>
      <c r="AR1162" s="6" t="b">
        <v>0</v>
      </c>
      <c r="AS1162" s="6" t="b">
        <v>0</v>
      </c>
      <c r="AT1162" s="7" t="b">
        <v>1</v>
      </c>
      <c r="AU1162" s="6" t="b">
        <v>0</v>
      </c>
      <c r="AV1162" s="6" t="b">
        <v>0</v>
      </c>
      <c r="AW1162" s="6" t="b">
        <v>0</v>
      </c>
      <c r="AX1162" s="6" t="b">
        <v>0</v>
      </c>
      <c r="AY1162" s="6" t="b">
        <v>0</v>
      </c>
      <c r="AZ1162" s="6" t="b">
        <v>0</v>
      </c>
      <c r="BA1162" s="6" t="b">
        <v>0</v>
      </c>
      <c r="BB1162" s="6" t="b">
        <v>0</v>
      </c>
    </row>
    <row r="1163" spans="1:54" ht="15" x14ac:dyDescent="0.25">
      <c r="A1163" s="3" t="s">
        <v>2386</v>
      </c>
      <c r="B1163" s="3" t="str">
        <f ca="1">IFERROR(__xludf.DUMMYFUNCTION("SPLIT(A1163,""/"")"),"zjhuang22")</f>
        <v>zjhuang22</v>
      </c>
      <c r="C1163" s="3" t="str">
        <f ca="1">IFERROR(__xludf.DUMMYFUNCTION("""COMPUTED_VALUE"""),"maskscoring_rcnn")</f>
        <v>maskscoring_rcnn</v>
      </c>
      <c r="D1163" s="4" t="s">
        <v>2387</v>
      </c>
      <c r="E1163" s="5">
        <v>43523.120775462965</v>
      </c>
      <c r="F1163" s="5">
        <v>44294.131018518521</v>
      </c>
      <c r="G1163" s="13">
        <f t="shared" si="108"/>
        <v>771.0102430555562</v>
      </c>
      <c r="H1163" s="6" t="b">
        <v>0</v>
      </c>
      <c r="I1163" s="6" t="b">
        <v>0</v>
      </c>
      <c r="J1163" s="8">
        <v>1798</v>
      </c>
      <c r="K1163" s="8">
        <v>45</v>
      </c>
      <c r="L1163" s="8">
        <v>374</v>
      </c>
      <c r="M1163" s="8">
        <v>0</v>
      </c>
      <c r="N1163" s="8">
        <v>2</v>
      </c>
      <c r="O1163" s="8">
        <v>2</v>
      </c>
      <c r="P1163" s="8">
        <v>6</v>
      </c>
      <c r="Q1163" s="8">
        <v>5</v>
      </c>
      <c r="R1163" s="8">
        <v>102</v>
      </c>
      <c r="S1163" s="8">
        <v>56</v>
      </c>
      <c r="T1163" s="3" t="s">
        <v>72</v>
      </c>
      <c r="U1163" s="10">
        <v>4002</v>
      </c>
      <c r="V1163" s="32">
        <v>37</v>
      </c>
      <c r="W1163" s="27">
        <v>9.2453773113443279E-3</v>
      </c>
      <c r="X1163" s="34">
        <v>0</v>
      </c>
      <c r="Y1163" s="27">
        <v>0</v>
      </c>
      <c r="Z1163" s="27">
        <v>0</v>
      </c>
      <c r="AA1163" s="35">
        <v>34</v>
      </c>
      <c r="AB1163" s="27">
        <v>0.91891891891891897</v>
      </c>
      <c r="AC1163" s="27">
        <f t="shared" si="109"/>
        <v>8.4957521239380305E-3</v>
      </c>
      <c r="AD1163" s="36">
        <v>2</v>
      </c>
      <c r="AE1163" s="27">
        <v>5.4054054054054057E-2</v>
      </c>
      <c r="AF1163" s="27">
        <f t="shared" si="110"/>
        <v>4.9975012493753122E-4</v>
      </c>
      <c r="AG1163" s="37">
        <v>1</v>
      </c>
      <c r="AH1163" s="27">
        <v>2.7027027027027029E-2</v>
      </c>
      <c r="AI1163" s="27">
        <f t="shared" si="111"/>
        <v>2.4987506246876561E-4</v>
      </c>
      <c r="AJ1163" s="38">
        <v>0</v>
      </c>
      <c r="AK1163" s="27">
        <v>0</v>
      </c>
      <c r="AL1163" s="27">
        <f t="shared" si="112"/>
        <v>0</v>
      </c>
      <c r="AM1163" s="40">
        <v>0</v>
      </c>
      <c r="AN1163" s="27">
        <v>0</v>
      </c>
      <c r="AO1163" s="27">
        <f t="shared" si="113"/>
        <v>0</v>
      </c>
      <c r="AP1163" s="7" t="b">
        <v>1</v>
      </c>
      <c r="AQ1163" s="6" t="b">
        <v>0</v>
      </c>
      <c r="AR1163" s="6" t="b">
        <v>0</v>
      </c>
      <c r="AS1163" s="6" t="b">
        <v>0</v>
      </c>
      <c r="AT1163" s="7" t="b">
        <v>1</v>
      </c>
      <c r="AU1163" s="6" t="b">
        <v>0</v>
      </c>
      <c r="AV1163" s="6" t="b">
        <v>0</v>
      </c>
      <c r="AW1163" s="6" t="b">
        <v>0</v>
      </c>
      <c r="AX1163" s="6" t="b">
        <v>0</v>
      </c>
      <c r="AY1163" s="6" t="b">
        <v>0</v>
      </c>
      <c r="AZ1163" s="6" t="b">
        <v>0</v>
      </c>
      <c r="BA1163" s="6" t="b">
        <v>0</v>
      </c>
      <c r="BB1163" s="6" t="b">
        <v>0</v>
      </c>
    </row>
    <row r="1164" spans="1:54" ht="15" x14ac:dyDescent="0.25">
      <c r="A1164" s="3" t="s">
        <v>2388</v>
      </c>
      <c r="B1164" s="3" t="str">
        <f ca="1">IFERROR(__xludf.DUMMYFUNCTION("SPLIT(A1164,""/"")"),"ZJULearning")</f>
        <v>ZJULearning</v>
      </c>
      <c r="C1164" s="3" t="str">
        <f ca="1">IFERROR(__xludf.DUMMYFUNCTION("""COMPUTED_VALUE"""),"ttfnet")</f>
        <v>ttfnet</v>
      </c>
      <c r="D1164" s="4" t="s">
        <v>2389</v>
      </c>
      <c r="E1164" s="5">
        <v>43688.571203703701</v>
      </c>
      <c r="F1164" s="5">
        <v>44293.094293981485</v>
      </c>
      <c r="G1164" s="13">
        <f t="shared" si="108"/>
        <v>604.52309027778392</v>
      </c>
      <c r="H1164" s="6" t="b">
        <v>0</v>
      </c>
      <c r="I1164" s="7" t="b">
        <v>1</v>
      </c>
      <c r="J1164" s="8">
        <v>400</v>
      </c>
      <c r="K1164" s="8">
        <v>21</v>
      </c>
      <c r="L1164" s="8">
        <v>78</v>
      </c>
      <c r="M1164" s="8">
        <v>0</v>
      </c>
      <c r="N1164" s="8">
        <v>1</v>
      </c>
      <c r="O1164" s="8">
        <v>37</v>
      </c>
      <c r="P1164" s="8">
        <v>0</v>
      </c>
      <c r="Q1164" s="8">
        <v>0</v>
      </c>
      <c r="R1164" s="8">
        <v>40</v>
      </c>
      <c r="S1164" s="8">
        <v>26</v>
      </c>
      <c r="T1164" s="3" t="s">
        <v>69</v>
      </c>
      <c r="U1164" s="10">
        <v>16103</v>
      </c>
      <c r="V1164" s="32">
        <v>6</v>
      </c>
      <c r="W1164" s="27">
        <v>3.7260137862510091E-4</v>
      </c>
      <c r="X1164" s="34">
        <v>0</v>
      </c>
      <c r="Y1164" s="27">
        <v>0</v>
      </c>
      <c r="Z1164" s="27">
        <v>0</v>
      </c>
      <c r="AA1164" s="35">
        <v>3</v>
      </c>
      <c r="AB1164" s="27">
        <v>0.5</v>
      </c>
      <c r="AC1164" s="27">
        <f t="shared" si="109"/>
        <v>1.8630068931255045E-4</v>
      </c>
      <c r="AD1164" s="36">
        <v>3</v>
      </c>
      <c r="AE1164" s="27">
        <v>0.5</v>
      </c>
      <c r="AF1164" s="27">
        <f t="shared" si="110"/>
        <v>1.8630068931255045E-4</v>
      </c>
      <c r="AG1164" s="37">
        <v>0</v>
      </c>
      <c r="AH1164" s="27">
        <v>0</v>
      </c>
      <c r="AI1164" s="27">
        <f t="shared" si="111"/>
        <v>0</v>
      </c>
      <c r="AJ1164" s="38">
        <v>0</v>
      </c>
      <c r="AK1164" s="27">
        <v>0</v>
      </c>
      <c r="AL1164" s="27">
        <f t="shared" si="112"/>
        <v>0</v>
      </c>
      <c r="AM1164" s="40">
        <v>0</v>
      </c>
      <c r="AN1164" s="27">
        <v>0</v>
      </c>
      <c r="AO1164" s="27">
        <f t="shared" si="113"/>
        <v>0</v>
      </c>
      <c r="AP1164" s="7" t="b">
        <v>1</v>
      </c>
      <c r="AQ1164" s="6" t="b">
        <v>0</v>
      </c>
      <c r="AR1164" s="6" t="b">
        <v>0</v>
      </c>
      <c r="AS1164" s="6" t="b">
        <v>0</v>
      </c>
      <c r="AT1164" s="7" t="b">
        <v>1</v>
      </c>
      <c r="AU1164" s="6" t="b">
        <v>0</v>
      </c>
      <c r="AV1164" s="6" t="b">
        <v>0</v>
      </c>
      <c r="AW1164" s="6" t="b">
        <v>0</v>
      </c>
      <c r="AX1164" s="6" t="b">
        <v>0</v>
      </c>
      <c r="AY1164" s="6" t="b">
        <v>0</v>
      </c>
      <c r="AZ1164" s="6" t="b">
        <v>0</v>
      </c>
      <c r="BA1164" s="6" t="b">
        <v>0</v>
      </c>
      <c r="BB1164" s="6" t="b">
        <v>0</v>
      </c>
    </row>
    <row r="1165" spans="1:54" ht="15" x14ac:dyDescent="0.25">
      <c r="A1165" s="3" t="s">
        <v>2390</v>
      </c>
      <c r="B1165" s="3" t="str">
        <f ca="1">IFERROR(__xludf.DUMMYFUNCTION("SPLIT(A1165,""/"")"),"zsdlove")</f>
        <v>zsdlove</v>
      </c>
      <c r="C1165" s="3" t="str">
        <f ca="1">IFERROR(__xludf.DUMMYFUNCTION("""COMPUTED_VALUE"""),"Hades")</f>
        <v>Hades</v>
      </c>
      <c r="D1165" s="4" t="s">
        <v>2391</v>
      </c>
      <c r="E1165" s="5">
        <v>43891.553229166668</v>
      </c>
      <c r="F1165" s="5">
        <v>44288.26525462963</v>
      </c>
      <c r="G1165" s="13">
        <f t="shared" si="108"/>
        <v>396.71202546296263</v>
      </c>
      <c r="H1165" s="6" t="b">
        <v>0</v>
      </c>
      <c r="I1165" s="6" t="b">
        <v>0</v>
      </c>
      <c r="J1165" s="8">
        <v>338</v>
      </c>
      <c r="K1165" s="8">
        <v>10</v>
      </c>
      <c r="L1165" s="8">
        <v>80</v>
      </c>
      <c r="M1165" s="8">
        <v>0</v>
      </c>
      <c r="N1165" s="8">
        <v>1</v>
      </c>
      <c r="O1165" s="8">
        <v>2</v>
      </c>
      <c r="P1165" s="8">
        <v>0</v>
      </c>
      <c r="Q1165" s="8">
        <v>0</v>
      </c>
      <c r="R1165" s="8">
        <v>6</v>
      </c>
      <c r="S1165" s="8">
        <v>0</v>
      </c>
      <c r="T1165" s="11" t="s">
        <v>52</v>
      </c>
      <c r="U1165" s="10">
        <v>2593</v>
      </c>
      <c r="V1165" s="32">
        <v>116</v>
      </c>
      <c r="W1165" s="27">
        <v>4.473582722715002E-2</v>
      </c>
      <c r="X1165" s="34">
        <v>0</v>
      </c>
      <c r="Y1165" s="27">
        <v>0</v>
      </c>
      <c r="Z1165" s="27">
        <v>0</v>
      </c>
      <c r="AA1165" s="35">
        <v>115</v>
      </c>
      <c r="AB1165" s="27">
        <v>0.99137931034482762</v>
      </c>
      <c r="AC1165" s="27">
        <f t="shared" si="109"/>
        <v>4.4350173544157344E-2</v>
      </c>
      <c r="AD1165" s="36">
        <v>0</v>
      </c>
      <c r="AE1165" s="27">
        <v>0</v>
      </c>
      <c r="AF1165" s="27">
        <f t="shared" si="110"/>
        <v>0</v>
      </c>
      <c r="AG1165" s="37">
        <v>1</v>
      </c>
      <c r="AH1165" s="27">
        <v>8.6206896551724137E-3</v>
      </c>
      <c r="AI1165" s="27">
        <f t="shared" si="111"/>
        <v>3.8565368299267258E-4</v>
      </c>
      <c r="AJ1165" s="38">
        <v>0</v>
      </c>
      <c r="AK1165" s="27">
        <v>0</v>
      </c>
      <c r="AL1165" s="27">
        <f t="shared" si="112"/>
        <v>0</v>
      </c>
      <c r="AM1165" s="40">
        <v>0</v>
      </c>
      <c r="AN1165" s="27">
        <v>0</v>
      </c>
      <c r="AO1165" s="27">
        <f t="shared" si="113"/>
        <v>0</v>
      </c>
      <c r="AP1165" s="7" t="b">
        <v>1</v>
      </c>
      <c r="AQ1165" s="6" t="b">
        <v>0</v>
      </c>
      <c r="AR1165" s="6" t="b">
        <v>0</v>
      </c>
      <c r="AS1165" s="6" t="b">
        <v>0</v>
      </c>
      <c r="AT1165" s="7" t="b">
        <v>1</v>
      </c>
      <c r="AU1165" s="6" t="b">
        <v>0</v>
      </c>
      <c r="AV1165" s="6" t="b">
        <v>0</v>
      </c>
      <c r="AW1165" s="6" t="b">
        <v>0</v>
      </c>
      <c r="AX1165" s="6" t="b">
        <v>0</v>
      </c>
      <c r="AY1165" s="6" t="b">
        <v>0</v>
      </c>
      <c r="AZ1165" s="6" t="b">
        <v>0</v>
      </c>
      <c r="BA1165" s="6" t="b">
        <v>0</v>
      </c>
      <c r="BB1165" s="6" t="b">
        <v>0</v>
      </c>
    </row>
    <row r="1166" spans="1:54" ht="15" x14ac:dyDescent="0.25">
      <c r="A1166" s="3" t="s">
        <v>2392</v>
      </c>
      <c r="B1166" s="3" t="str">
        <f ca="1">IFERROR(__xludf.DUMMYFUNCTION("SPLIT(A1166,""/"")"),"ztgrace")</f>
        <v>ztgrace</v>
      </c>
      <c r="C1166" s="3" t="str">
        <f ca="1">IFERROR(__xludf.DUMMYFUNCTION("""COMPUTED_VALUE"""),"changeme")</f>
        <v>changeme</v>
      </c>
      <c r="D1166" s="4" t="s">
        <v>2393</v>
      </c>
      <c r="E1166" s="5">
        <v>42440.715671296297</v>
      </c>
      <c r="F1166" s="5">
        <v>44294.587407407409</v>
      </c>
      <c r="G1166" s="13">
        <f t="shared" si="108"/>
        <v>1853.8717361111121</v>
      </c>
      <c r="H1166" s="6" t="b">
        <v>0</v>
      </c>
      <c r="I1166" s="6" t="b">
        <v>0</v>
      </c>
      <c r="J1166" s="8">
        <v>934</v>
      </c>
      <c r="K1166" s="8">
        <v>58</v>
      </c>
      <c r="L1166" s="8">
        <v>189</v>
      </c>
      <c r="M1166" s="8">
        <v>15</v>
      </c>
      <c r="N1166" s="8">
        <v>0</v>
      </c>
      <c r="O1166" s="8">
        <v>19</v>
      </c>
      <c r="P1166" s="8">
        <v>41</v>
      </c>
      <c r="Q1166" s="8">
        <v>0</v>
      </c>
      <c r="R1166" s="8">
        <v>55</v>
      </c>
      <c r="S1166" s="8">
        <v>12</v>
      </c>
      <c r="T1166" s="3" t="s">
        <v>49</v>
      </c>
      <c r="U1166" s="10">
        <v>1995</v>
      </c>
      <c r="V1166" s="32">
        <v>109</v>
      </c>
      <c r="W1166" s="27">
        <v>5.463659147869674E-2</v>
      </c>
      <c r="X1166" s="34">
        <v>70</v>
      </c>
      <c r="Y1166" s="27">
        <v>0.64220183486238536</v>
      </c>
      <c r="Z1166" s="27">
        <v>3.5087719298245612E-2</v>
      </c>
      <c r="AA1166" s="35">
        <v>12</v>
      </c>
      <c r="AB1166" s="27">
        <v>0.11009174311926606</v>
      </c>
      <c r="AC1166" s="27">
        <f t="shared" si="109"/>
        <v>6.0150375939849628E-3</v>
      </c>
      <c r="AD1166" s="36">
        <v>6</v>
      </c>
      <c r="AE1166" s="27">
        <v>5.5045871559633031E-2</v>
      </c>
      <c r="AF1166" s="27">
        <f t="shared" si="110"/>
        <v>3.0075187969924814E-3</v>
      </c>
      <c r="AG1166" s="37">
        <v>14</v>
      </c>
      <c r="AH1166" s="27">
        <v>0.12844036697247707</v>
      </c>
      <c r="AI1166" s="27">
        <f t="shared" si="111"/>
        <v>7.0175438596491229E-3</v>
      </c>
      <c r="AJ1166" s="38">
        <v>6</v>
      </c>
      <c r="AK1166" s="27">
        <v>5.5045871559633031E-2</v>
      </c>
      <c r="AL1166" s="27">
        <f t="shared" si="112"/>
        <v>3.0075187969924814E-3</v>
      </c>
      <c r="AM1166" s="40">
        <v>0</v>
      </c>
      <c r="AN1166" s="27">
        <v>0</v>
      </c>
      <c r="AO1166" s="27">
        <f t="shared" si="113"/>
        <v>0</v>
      </c>
      <c r="AP1166" s="7" t="b">
        <v>1</v>
      </c>
      <c r="AQ1166" s="6" t="b">
        <v>0</v>
      </c>
      <c r="AR1166" s="6" t="b">
        <v>0</v>
      </c>
      <c r="AS1166" s="6" t="b">
        <v>0</v>
      </c>
      <c r="AT1166" s="7" t="b">
        <v>1</v>
      </c>
      <c r="AU1166" s="6" t="b">
        <v>0</v>
      </c>
      <c r="AV1166" s="6" t="b">
        <v>0</v>
      </c>
      <c r="AW1166" s="6" t="b">
        <v>0</v>
      </c>
      <c r="AX1166" s="6" t="b">
        <v>0</v>
      </c>
      <c r="AY1166" s="6" t="b">
        <v>0</v>
      </c>
      <c r="AZ1166" s="6" t="b">
        <v>0</v>
      </c>
      <c r="BA1166" s="6" t="b">
        <v>0</v>
      </c>
      <c r="BB1166" s="6" t="b">
        <v>0</v>
      </c>
    </row>
    <row r="1167" spans="1:54" ht="15" x14ac:dyDescent="0.25">
      <c r="A1167" s="3" t="s">
        <v>2394</v>
      </c>
      <c r="B1167" s="3" t="str">
        <f ca="1">IFERROR(__xludf.DUMMYFUNCTION("SPLIT(A1167,""/"")"),"zulip")</f>
        <v>zulip</v>
      </c>
      <c r="C1167" s="3" t="str">
        <f ca="1">IFERROR(__xludf.DUMMYFUNCTION("""COMPUTED_VALUE"""),"zulip")</f>
        <v>zulip</v>
      </c>
      <c r="D1167" s="4" t="s">
        <v>2395</v>
      </c>
      <c r="E1167" s="5">
        <v>42272.692650462966</v>
      </c>
      <c r="F1167" s="5">
        <v>44295.085729166669</v>
      </c>
      <c r="G1167" s="13">
        <f t="shared" si="108"/>
        <v>2022.3930787037025</v>
      </c>
      <c r="H1167" s="6" t="b">
        <v>0</v>
      </c>
      <c r="I1167" s="7" t="b">
        <v>1</v>
      </c>
      <c r="J1167" s="8">
        <v>13336</v>
      </c>
      <c r="K1167" s="8">
        <v>375</v>
      </c>
      <c r="L1167" s="8">
        <v>4359</v>
      </c>
      <c r="M1167" s="8">
        <v>54</v>
      </c>
      <c r="N1167" s="8">
        <v>184</v>
      </c>
      <c r="O1167" s="8">
        <v>685</v>
      </c>
      <c r="P1167" s="8">
        <v>12011</v>
      </c>
      <c r="Q1167" s="8">
        <v>749</v>
      </c>
      <c r="R1167" s="8">
        <v>6005</v>
      </c>
      <c r="S1167" s="8">
        <v>1329</v>
      </c>
      <c r="T1167" s="3" t="s">
        <v>69</v>
      </c>
      <c r="U1167" s="10">
        <v>101567</v>
      </c>
      <c r="V1167" s="32">
        <v>359</v>
      </c>
      <c r="W1167" s="27">
        <v>3.5346126202408261E-3</v>
      </c>
      <c r="X1167" s="34">
        <v>12</v>
      </c>
      <c r="Y1167" s="27">
        <v>3.3426183844011144E-2</v>
      </c>
      <c r="Z1167" s="27">
        <v>1.181486112615318E-4</v>
      </c>
      <c r="AA1167" s="35">
        <v>212</v>
      </c>
      <c r="AB1167" s="27">
        <v>0.59052924791086348</v>
      </c>
      <c r="AC1167" s="27">
        <f t="shared" si="109"/>
        <v>2.0872921322870617E-3</v>
      </c>
      <c r="AD1167" s="36">
        <v>75</v>
      </c>
      <c r="AE1167" s="27">
        <v>0.20891364902506965</v>
      </c>
      <c r="AF1167" s="27">
        <f t="shared" si="110"/>
        <v>7.3842882038457371E-4</v>
      </c>
      <c r="AG1167" s="37">
        <v>55</v>
      </c>
      <c r="AH1167" s="27">
        <v>0.15320334261838439</v>
      </c>
      <c r="AI1167" s="27">
        <f t="shared" si="111"/>
        <v>5.4151446828202068E-4</v>
      </c>
      <c r="AJ1167" s="38">
        <v>2</v>
      </c>
      <c r="AK1167" s="27">
        <v>5.5710306406685237E-3</v>
      </c>
      <c r="AL1167" s="27">
        <f t="shared" si="112"/>
        <v>1.96914352102553E-5</v>
      </c>
      <c r="AM1167" s="40">
        <v>3</v>
      </c>
      <c r="AN1167" s="27">
        <v>8.356545961002786E-3</v>
      </c>
      <c r="AO1167" s="27">
        <f t="shared" si="113"/>
        <v>2.9537152815382949E-5</v>
      </c>
      <c r="AP1167" s="7" t="b">
        <v>1</v>
      </c>
      <c r="AQ1167" s="6" t="b">
        <v>0</v>
      </c>
      <c r="AR1167" s="6" t="b">
        <v>0</v>
      </c>
      <c r="AS1167" s="6" t="b">
        <v>0</v>
      </c>
      <c r="AT1167" s="7" t="b">
        <v>1</v>
      </c>
      <c r="AU1167" s="6" t="b">
        <v>0</v>
      </c>
      <c r="AV1167" s="6" t="b">
        <v>0</v>
      </c>
      <c r="AW1167" s="6" t="b">
        <v>0</v>
      </c>
      <c r="AX1167" s="6" t="b">
        <v>0</v>
      </c>
      <c r="AY1167" s="6" t="b">
        <v>0</v>
      </c>
      <c r="AZ1167" s="6" t="b">
        <v>0</v>
      </c>
      <c r="BA1167" s="6" t="b">
        <v>0</v>
      </c>
      <c r="BB1167" s="6" t="b">
        <v>0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C9" r:id="rId8" display="http://proxy.py/" xr:uid="{00000000-0004-0000-0000-000007000000}"/>
    <hyperlink ref="D9" r:id="rId9" xr:uid="{00000000-0004-0000-0000-000008000000}"/>
    <hyperlink ref="D10" r:id="rId10" xr:uid="{00000000-0004-0000-0000-000009000000}"/>
    <hyperlink ref="D11" r:id="rId11" xr:uid="{00000000-0004-0000-0000-00000A000000}"/>
    <hyperlink ref="D12" r:id="rId12" xr:uid="{00000000-0004-0000-0000-00000B000000}"/>
    <hyperlink ref="D13" r:id="rId13" xr:uid="{00000000-0004-0000-0000-00000C000000}"/>
    <hyperlink ref="D14" r:id="rId14" xr:uid="{00000000-0004-0000-0000-00000D000000}"/>
    <hyperlink ref="D15" r:id="rId15" xr:uid="{00000000-0004-0000-0000-00000E000000}"/>
    <hyperlink ref="D16" r:id="rId16" xr:uid="{00000000-0004-0000-0000-00000F000000}"/>
    <hyperlink ref="D17" r:id="rId17" xr:uid="{00000000-0004-0000-0000-000010000000}"/>
    <hyperlink ref="D18" r:id="rId18" xr:uid="{00000000-0004-0000-0000-000011000000}"/>
    <hyperlink ref="D19" r:id="rId19" xr:uid="{00000000-0004-0000-0000-000012000000}"/>
    <hyperlink ref="D20" r:id="rId20" xr:uid="{00000000-0004-0000-0000-000013000000}"/>
    <hyperlink ref="D21" r:id="rId21" xr:uid="{00000000-0004-0000-0000-000014000000}"/>
    <hyperlink ref="D22" r:id="rId22" xr:uid="{00000000-0004-0000-0000-000015000000}"/>
    <hyperlink ref="D23" r:id="rId23" xr:uid="{00000000-0004-0000-0000-000016000000}"/>
    <hyperlink ref="D24" r:id="rId24" xr:uid="{00000000-0004-0000-0000-000017000000}"/>
    <hyperlink ref="D25" r:id="rId25" xr:uid="{00000000-0004-0000-0000-000018000000}"/>
    <hyperlink ref="D26" r:id="rId26" xr:uid="{00000000-0004-0000-0000-000019000000}"/>
    <hyperlink ref="D27" r:id="rId27" xr:uid="{00000000-0004-0000-0000-00001A000000}"/>
    <hyperlink ref="D28" r:id="rId28" xr:uid="{00000000-0004-0000-0000-00001B000000}"/>
    <hyperlink ref="D29" r:id="rId29" xr:uid="{00000000-0004-0000-0000-00001C000000}"/>
    <hyperlink ref="D30" r:id="rId30" xr:uid="{00000000-0004-0000-0000-00001D000000}"/>
    <hyperlink ref="D31" r:id="rId31" xr:uid="{00000000-0004-0000-0000-00001E000000}"/>
    <hyperlink ref="D32" r:id="rId32" xr:uid="{00000000-0004-0000-0000-00001F000000}"/>
    <hyperlink ref="D33" r:id="rId33" xr:uid="{00000000-0004-0000-0000-000020000000}"/>
    <hyperlink ref="D34" r:id="rId34" xr:uid="{00000000-0004-0000-0000-000021000000}"/>
    <hyperlink ref="D35" r:id="rId35" xr:uid="{00000000-0004-0000-0000-000022000000}"/>
    <hyperlink ref="D36" r:id="rId36" xr:uid="{00000000-0004-0000-0000-000023000000}"/>
    <hyperlink ref="D37" r:id="rId37" xr:uid="{00000000-0004-0000-0000-000024000000}"/>
    <hyperlink ref="D38" r:id="rId38" xr:uid="{00000000-0004-0000-0000-000025000000}"/>
    <hyperlink ref="D39" r:id="rId39" xr:uid="{00000000-0004-0000-0000-000026000000}"/>
    <hyperlink ref="D40" r:id="rId40" xr:uid="{00000000-0004-0000-0000-000027000000}"/>
    <hyperlink ref="D41" r:id="rId41" xr:uid="{00000000-0004-0000-0000-000028000000}"/>
    <hyperlink ref="D42" r:id="rId42" xr:uid="{00000000-0004-0000-0000-000029000000}"/>
    <hyperlink ref="D43" r:id="rId43" xr:uid="{00000000-0004-0000-0000-00002A000000}"/>
    <hyperlink ref="D44" r:id="rId44" xr:uid="{00000000-0004-0000-0000-00002B000000}"/>
    <hyperlink ref="D45" r:id="rId45" xr:uid="{00000000-0004-0000-0000-00002C000000}"/>
    <hyperlink ref="D46" r:id="rId46" xr:uid="{00000000-0004-0000-0000-00002D000000}"/>
    <hyperlink ref="D47" r:id="rId47" xr:uid="{00000000-0004-0000-0000-00002E000000}"/>
    <hyperlink ref="D48" r:id="rId48" xr:uid="{00000000-0004-0000-0000-00002F000000}"/>
    <hyperlink ref="D49" r:id="rId49" xr:uid="{00000000-0004-0000-0000-000030000000}"/>
    <hyperlink ref="D50" r:id="rId50" xr:uid="{00000000-0004-0000-0000-000031000000}"/>
    <hyperlink ref="D51" r:id="rId51" xr:uid="{00000000-0004-0000-0000-000032000000}"/>
    <hyperlink ref="D52" r:id="rId52" xr:uid="{00000000-0004-0000-0000-000033000000}"/>
    <hyperlink ref="D53" r:id="rId53" xr:uid="{00000000-0004-0000-0000-000034000000}"/>
    <hyperlink ref="D54" r:id="rId54" xr:uid="{00000000-0004-0000-0000-000035000000}"/>
    <hyperlink ref="D55" r:id="rId55" xr:uid="{00000000-0004-0000-0000-000036000000}"/>
    <hyperlink ref="D56" r:id="rId56" xr:uid="{00000000-0004-0000-0000-000037000000}"/>
    <hyperlink ref="D57" r:id="rId57" xr:uid="{00000000-0004-0000-0000-000038000000}"/>
    <hyperlink ref="D58" r:id="rId58" xr:uid="{00000000-0004-0000-0000-000039000000}"/>
    <hyperlink ref="D59" r:id="rId59" xr:uid="{00000000-0004-0000-0000-00003A000000}"/>
    <hyperlink ref="D60" r:id="rId60" xr:uid="{00000000-0004-0000-0000-00003B000000}"/>
    <hyperlink ref="D61" r:id="rId61" xr:uid="{00000000-0004-0000-0000-00003C000000}"/>
    <hyperlink ref="D62" r:id="rId62" xr:uid="{00000000-0004-0000-0000-00003D000000}"/>
    <hyperlink ref="D63" r:id="rId63" xr:uid="{00000000-0004-0000-0000-00003E000000}"/>
    <hyperlink ref="D64" r:id="rId64" xr:uid="{00000000-0004-0000-0000-00003F000000}"/>
    <hyperlink ref="D65" r:id="rId65" xr:uid="{00000000-0004-0000-0000-000040000000}"/>
    <hyperlink ref="D66" r:id="rId66" xr:uid="{00000000-0004-0000-0000-000041000000}"/>
    <hyperlink ref="D67" r:id="rId67" xr:uid="{00000000-0004-0000-0000-000042000000}"/>
    <hyperlink ref="D68" r:id="rId68" xr:uid="{00000000-0004-0000-0000-000043000000}"/>
    <hyperlink ref="D69" r:id="rId69" xr:uid="{00000000-0004-0000-0000-000044000000}"/>
    <hyperlink ref="D70" r:id="rId70" xr:uid="{00000000-0004-0000-0000-000045000000}"/>
    <hyperlink ref="D71" r:id="rId71" xr:uid="{00000000-0004-0000-0000-000046000000}"/>
    <hyperlink ref="D72" r:id="rId72" xr:uid="{00000000-0004-0000-0000-000047000000}"/>
    <hyperlink ref="D73" r:id="rId73" xr:uid="{00000000-0004-0000-0000-000048000000}"/>
    <hyperlink ref="D74" r:id="rId74" xr:uid="{00000000-0004-0000-0000-000049000000}"/>
    <hyperlink ref="D75" r:id="rId75" xr:uid="{00000000-0004-0000-0000-00004A000000}"/>
    <hyperlink ref="D76" r:id="rId76" xr:uid="{00000000-0004-0000-0000-00004B000000}"/>
    <hyperlink ref="D77" r:id="rId77" xr:uid="{00000000-0004-0000-0000-00004C000000}"/>
    <hyperlink ref="D78" r:id="rId78" xr:uid="{00000000-0004-0000-0000-00004D000000}"/>
    <hyperlink ref="D79" r:id="rId79" xr:uid="{00000000-0004-0000-0000-00004E000000}"/>
    <hyperlink ref="D80" r:id="rId80" xr:uid="{00000000-0004-0000-0000-00004F000000}"/>
    <hyperlink ref="D81" r:id="rId81" xr:uid="{00000000-0004-0000-0000-000050000000}"/>
    <hyperlink ref="D82" r:id="rId82" xr:uid="{00000000-0004-0000-0000-000051000000}"/>
    <hyperlink ref="D83" r:id="rId83" xr:uid="{00000000-0004-0000-0000-000052000000}"/>
    <hyperlink ref="D84" r:id="rId84" xr:uid="{00000000-0004-0000-0000-000053000000}"/>
    <hyperlink ref="D85" r:id="rId85" xr:uid="{00000000-0004-0000-0000-000054000000}"/>
    <hyperlink ref="D86" r:id="rId86" xr:uid="{00000000-0004-0000-0000-000055000000}"/>
    <hyperlink ref="D87" r:id="rId87" xr:uid="{00000000-0004-0000-0000-000056000000}"/>
    <hyperlink ref="D88" r:id="rId88" xr:uid="{00000000-0004-0000-0000-000057000000}"/>
    <hyperlink ref="D89" r:id="rId89" xr:uid="{00000000-0004-0000-0000-000058000000}"/>
    <hyperlink ref="D90" r:id="rId90" xr:uid="{00000000-0004-0000-0000-000059000000}"/>
    <hyperlink ref="D91" r:id="rId91" xr:uid="{00000000-0004-0000-0000-00005A000000}"/>
    <hyperlink ref="D92" r:id="rId92" xr:uid="{00000000-0004-0000-0000-00005B000000}"/>
    <hyperlink ref="D93" r:id="rId93" xr:uid="{00000000-0004-0000-0000-00005C000000}"/>
    <hyperlink ref="D94" r:id="rId94" xr:uid="{00000000-0004-0000-0000-00005D000000}"/>
    <hyperlink ref="D95" r:id="rId95" xr:uid="{00000000-0004-0000-0000-00005E000000}"/>
    <hyperlink ref="D96" r:id="rId96" xr:uid="{00000000-0004-0000-0000-00005F000000}"/>
    <hyperlink ref="D97" r:id="rId97" xr:uid="{00000000-0004-0000-0000-000060000000}"/>
    <hyperlink ref="D98" r:id="rId98" xr:uid="{00000000-0004-0000-0000-000061000000}"/>
    <hyperlink ref="D99" r:id="rId99" xr:uid="{00000000-0004-0000-0000-000062000000}"/>
    <hyperlink ref="D100" r:id="rId100" xr:uid="{00000000-0004-0000-0000-000063000000}"/>
    <hyperlink ref="D101" r:id="rId101" xr:uid="{00000000-0004-0000-0000-000064000000}"/>
    <hyperlink ref="D102" r:id="rId102" xr:uid="{00000000-0004-0000-0000-000065000000}"/>
    <hyperlink ref="D103" r:id="rId103" xr:uid="{00000000-0004-0000-0000-000066000000}"/>
    <hyperlink ref="D104" r:id="rId104" xr:uid="{00000000-0004-0000-0000-000067000000}"/>
    <hyperlink ref="D105" r:id="rId105" xr:uid="{00000000-0004-0000-0000-000068000000}"/>
    <hyperlink ref="D106" r:id="rId106" xr:uid="{00000000-0004-0000-0000-000069000000}"/>
    <hyperlink ref="D107" r:id="rId107" xr:uid="{00000000-0004-0000-0000-00006A000000}"/>
    <hyperlink ref="D108" r:id="rId108" xr:uid="{00000000-0004-0000-0000-00006B000000}"/>
    <hyperlink ref="D109" r:id="rId109" xr:uid="{00000000-0004-0000-0000-00006C000000}"/>
    <hyperlink ref="D110" r:id="rId110" xr:uid="{00000000-0004-0000-0000-00006D000000}"/>
    <hyperlink ref="D111" r:id="rId111" xr:uid="{00000000-0004-0000-0000-00006E000000}"/>
    <hyperlink ref="D112" r:id="rId112" xr:uid="{00000000-0004-0000-0000-00006F000000}"/>
    <hyperlink ref="D113" r:id="rId113" xr:uid="{00000000-0004-0000-0000-000070000000}"/>
    <hyperlink ref="D114" r:id="rId114" xr:uid="{00000000-0004-0000-0000-000071000000}"/>
    <hyperlink ref="D115" r:id="rId115" xr:uid="{00000000-0004-0000-0000-000072000000}"/>
    <hyperlink ref="D116" r:id="rId116" xr:uid="{00000000-0004-0000-0000-000073000000}"/>
    <hyperlink ref="D117" r:id="rId117" xr:uid="{00000000-0004-0000-0000-000074000000}"/>
    <hyperlink ref="D118" r:id="rId118" xr:uid="{00000000-0004-0000-0000-000075000000}"/>
    <hyperlink ref="D119" r:id="rId119" xr:uid="{00000000-0004-0000-0000-000076000000}"/>
    <hyperlink ref="D120" r:id="rId120" xr:uid="{00000000-0004-0000-0000-000077000000}"/>
    <hyperlink ref="D121" r:id="rId121" xr:uid="{00000000-0004-0000-0000-000078000000}"/>
    <hyperlink ref="D122" r:id="rId122" xr:uid="{00000000-0004-0000-0000-000079000000}"/>
    <hyperlink ref="D123" r:id="rId123" xr:uid="{00000000-0004-0000-0000-00007A000000}"/>
    <hyperlink ref="D124" r:id="rId124" xr:uid="{00000000-0004-0000-0000-00007B000000}"/>
    <hyperlink ref="D125" r:id="rId125" xr:uid="{00000000-0004-0000-0000-00007C000000}"/>
    <hyperlink ref="D126" r:id="rId126" xr:uid="{00000000-0004-0000-0000-00007D000000}"/>
    <hyperlink ref="D127" r:id="rId127" xr:uid="{00000000-0004-0000-0000-00007E000000}"/>
    <hyperlink ref="D128" r:id="rId128" xr:uid="{00000000-0004-0000-0000-00007F000000}"/>
    <hyperlink ref="D129" r:id="rId129" xr:uid="{00000000-0004-0000-0000-000080000000}"/>
    <hyperlink ref="D130" r:id="rId130" xr:uid="{00000000-0004-0000-0000-000081000000}"/>
    <hyperlink ref="D131" r:id="rId131" xr:uid="{00000000-0004-0000-0000-000082000000}"/>
    <hyperlink ref="D132" r:id="rId132" xr:uid="{00000000-0004-0000-0000-000083000000}"/>
    <hyperlink ref="D133" r:id="rId133" xr:uid="{00000000-0004-0000-0000-000084000000}"/>
    <hyperlink ref="D134" r:id="rId134" xr:uid="{00000000-0004-0000-0000-000085000000}"/>
    <hyperlink ref="D135" r:id="rId135" xr:uid="{00000000-0004-0000-0000-000086000000}"/>
    <hyperlink ref="D136" r:id="rId136" xr:uid="{00000000-0004-0000-0000-000087000000}"/>
    <hyperlink ref="D137" r:id="rId137" xr:uid="{00000000-0004-0000-0000-000088000000}"/>
    <hyperlink ref="D138" r:id="rId138" xr:uid="{00000000-0004-0000-0000-000089000000}"/>
    <hyperlink ref="D139" r:id="rId139" xr:uid="{00000000-0004-0000-0000-00008A000000}"/>
    <hyperlink ref="D140" r:id="rId140" xr:uid="{00000000-0004-0000-0000-00008B000000}"/>
    <hyperlink ref="D141" r:id="rId141" xr:uid="{00000000-0004-0000-0000-00008C000000}"/>
    <hyperlink ref="D142" r:id="rId142" xr:uid="{00000000-0004-0000-0000-00008D000000}"/>
    <hyperlink ref="D143" r:id="rId143" xr:uid="{00000000-0004-0000-0000-00008E000000}"/>
    <hyperlink ref="D144" r:id="rId144" xr:uid="{00000000-0004-0000-0000-00008F000000}"/>
    <hyperlink ref="C145" r:id="rId145" display="http://osf.io/" xr:uid="{00000000-0004-0000-0000-000090000000}"/>
    <hyperlink ref="D145" r:id="rId146" xr:uid="{00000000-0004-0000-0000-000091000000}"/>
    <hyperlink ref="D146" r:id="rId147" xr:uid="{00000000-0004-0000-0000-000092000000}"/>
    <hyperlink ref="D147" r:id="rId148" xr:uid="{00000000-0004-0000-0000-000093000000}"/>
    <hyperlink ref="D148" r:id="rId149" xr:uid="{00000000-0004-0000-0000-000094000000}"/>
    <hyperlink ref="D149" r:id="rId150" xr:uid="{00000000-0004-0000-0000-000095000000}"/>
    <hyperlink ref="D150" r:id="rId151" xr:uid="{00000000-0004-0000-0000-000096000000}"/>
    <hyperlink ref="D151" r:id="rId152" xr:uid="{00000000-0004-0000-0000-000097000000}"/>
    <hyperlink ref="D152" r:id="rId153" xr:uid="{00000000-0004-0000-0000-000098000000}"/>
    <hyperlink ref="D153" r:id="rId154" xr:uid="{00000000-0004-0000-0000-000099000000}"/>
    <hyperlink ref="D154" r:id="rId155" xr:uid="{00000000-0004-0000-0000-00009A000000}"/>
    <hyperlink ref="D155" r:id="rId156" xr:uid="{00000000-0004-0000-0000-00009B000000}"/>
    <hyperlink ref="D156" r:id="rId157" xr:uid="{00000000-0004-0000-0000-00009C000000}"/>
    <hyperlink ref="D157" r:id="rId158" xr:uid="{00000000-0004-0000-0000-00009D000000}"/>
    <hyperlink ref="D158" r:id="rId159" xr:uid="{00000000-0004-0000-0000-00009E000000}"/>
    <hyperlink ref="D159" r:id="rId160" xr:uid="{00000000-0004-0000-0000-00009F000000}"/>
    <hyperlink ref="D160" r:id="rId161" xr:uid="{00000000-0004-0000-0000-0000A0000000}"/>
    <hyperlink ref="C161" r:id="rId162" display="http://cheat.sh/" xr:uid="{00000000-0004-0000-0000-0000A1000000}"/>
    <hyperlink ref="D161" r:id="rId163" xr:uid="{00000000-0004-0000-0000-0000A2000000}"/>
    <hyperlink ref="C162" r:id="rId164" display="http://wttr.in/" xr:uid="{00000000-0004-0000-0000-0000A3000000}"/>
    <hyperlink ref="D162" r:id="rId165" xr:uid="{00000000-0004-0000-0000-0000A4000000}"/>
    <hyperlink ref="D163" r:id="rId166" xr:uid="{00000000-0004-0000-0000-0000A5000000}"/>
    <hyperlink ref="D164" r:id="rId167" xr:uid="{00000000-0004-0000-0000-0000A6000000}"/>
    <hyperlink ref="D165" r:id="rId168" xr:uid="{00000000-0004-0000-0000-0000A7000000}"/>
    <hyperlink ref="D166" r:id="rId169" xr:uid="{00000000-0004-0000-0000-0000A8000000}"/>
    <hyperlink ref="D167" r:id="rId170" xr:uid="{00000000-0004-0000-0000-0000A9000000}"/>
    <hyperlink ref="D168" r:id="rId171" xr:uid="{00000000-0004-0000-0000-0000AA000000}"/>
    <hyperlink ref="D169" r:id="rId172" xr:uid="{00000000-0004-0000-0000-0000AB000000}"/>
    <hyperlink ref="D170" r:id="rId173" xr:uid="{00000000-0004-0000-0000-0000AC000000}"/>
    <hyperlink ref="D171" r:id="rId174" xr:uid="{00000000-0004-0000-0000-0000AD000000}"/>
    <hyperlink ref="D172" r:id="rId175" xr:uid="{00000000-0004-0000-0000-0000AE000000}"/>
    <hyperlink ref="D173" r:id="rId176" xr:uid="{00000000-0004-0000-0000-0000AF000000}"/>
    <hyperlink ref="D174" r:id="rId177" xr:uid="{00000000-0004-0000-0000-0000B0000000}"/>
    <hyperlink ref="D175" r:id="rId178" xr:uid="{00000000-0004-0000-0000-0000B1000000}"/>
    <hyperlink ref="D176" r:id="rId179" xr:uid="{00000000-0004-0000-0000-0000B2000000}"/>
    <hyperlink ref="D177" r:id="rId180" xr:uid="{00000000-0004-0000-0000-0000B3000000}"/>
    <hyperlink ref="D178" r:id="rId181" xr:uid="{00000000-0004-0000-0000-0000B4000000}"/>
    <hyperlink ref="D179" r:id="rId182" xr:uid="{00000000-0004-0000-0000-0000B5000000}"/>
    <hyperlink ref="C180" r:id="rId183" display="http://inthe.am/" xr:uid="{00000000-0004-0000-0000-0000B6000000}"/>
    <hyperlink ref="D180" r:id="rId184" xr:uid="{00000000-0004-0000-0000-0000B7000000}"/>
    <hyperlink ref="D181" r:id="rId185" xr:uid="{00000000-0004-0000-0000-0000B8000000}"/>
    <hyperlink ref="D182" r:id="rId186" xr:uid="{00000000-0004-0000-0000-0000B9000000}"/>
    <hyperlink ref="D183" r:id="rId187" xr:uid="{00000000-0004-0000-0000-0000BA000000}"/>
    <hyperlink ref="D184" r:id="rId188" xr:uid="{00000000-0004-0000-0000-0000BB000000}"/>
    <hyperlink ref="D185" r:id="rId189" xr:uid="{00000000-0004-0000-0000-0000BC000000}"/>
    <hyperlink ref="D186" r:id="rId190" xr:uid="{00000000-0004-0000-0000-0000BD000000}"/>
    <hyperlink ref="D187" r:id="rId191" xr:uid="{00000000-0004-0000-0000-0000BE000000}"/>
    <hyperlink ref="D188" r:id="rId192" xr:uid="{00000000-0004-0000-0000-0000BF000000}"/>
    <hyperlink ref="D189" r:id="rId193" xr:uid="{00000000-0004-0000-0000-0000C0000000}"/>
    <hyperlink ref="D190" r:id="rId194" xr:uid="{00000000-0004-0000-0000-0000C1000000}"/>
    <hyperlink ref="D191" r:id="rId195" xr:uid="{00000000-0004-0000-0000-0000C2000000}"/>
    <hyperlink ref="D192" r:id="rId196" xr:uid="{00000000-0004-0000-0000-0000C3000000}"/>
    <hyperlink ref="D193" r:id="rId197" xr:uid="{00000000-0004-0000-0000-0000C4000000}"/>
    <hyperlink ref="D194" r:id="rId198" xr:uid="{00000000-0004-0000-0000-0000C5000000}"/>
    <hyperlink ref="D195" r:id="rId199" xr:uid="{00000000-0004-0000-0000-0000C6000000}"/>
    <hyperlink ref="D196" r:id="rId200" xr:uid="{00000000-0004-0000-0000-0000C7000000}"/>
    <hyperlink ref="D197" r:id="rId201" xr:uid="{00000000-0004-0000-0000-0000C8000000}"/>
    <hyperlink ref="D198" r:id="rId202" xr:uid="{00000000-0004-0000-0000-0000C9000000}"/>
    <hyperlink ref="D199" r:id="rId203" xr:uid="{00000000-0004-0000-0000-0000CA000000}"/>
    <hyperlink ref="D200" r:id="rId204" xr:uid="{00000000-0004-0000-0000-0000CB000000}"/>
    <hyperlink ref="D201" r:id="rId205" xr:uid="{00000000-0004-0000-0000-0000CC000000}"/>
    <hyperlink ref="D202" r:id="rId206" xr:uid="{00000000-0004-0000-0000-0000CD000000}"/>
    <hyperlink ref="D203" r:id="rId207" xr:uid="{00000000-0004-0000-0000-0000CE000000}"/>
    <hyperlink ref="D204" r:id="rId208" xr:uid="{00000000-0004-0000-0000-0000CF000000}"/>
    <hyperlink ref="D205" r:id="rId209" xr:uid="{00000000-0004-0000-0000-0000D0000000}"/>
    <hyperlink ref="D206" r:id="rId210" xr:uid="{00000000-0004-0000-0000-0000D1000000}"/>
    <hyperlink ref="D207" r:id="rId211" xr:uid="{00000000-0004-0000-0000-0000D2000000}"/>
    <hyperlink ref="D208" r:id="rId212" xr:uid="{00000000-0004-0000-0000-0000D3000000}"/>
    <hyperlink ref="D209" r:id="rId213" xr:uid="{00000000-0004-0000-0000-0000D4000000}"/>
    <hyperlink ref="D210" r:id="rId214" xr:uid="{00000000-0004-0000-0000-0000D5000000}"/>
    <hyperlink ref="D211" r:id="rId215" xr:uid="{00000000-0004-0000-0000-0000D6000000}"/>
    <hyperlink ref="D212" r:id="rId216" xr:uid="{00000000-0004-0000-0000-0000D7000000}"/>
    <hyperlink ref="D213" r:id="rId217" xr:uid="{00000000-0004-0000-0000-0000D8000000}"/>
    <hyperlink ref="D214" r:id="rId218" xr:uid="{00000000-0004-0000-0000-0000D9000000}"/>
    <hyperlink ref="D215" r:id="rId219" xr:uid="{00000000-0004-0000-0000-0000DA000000}"/>
    <hyperlink ref="D216" r:id="rId220" xr:uid="{00000000-0004-0000-0000-0000DB000000}"/>
    <hyperlink ref="D217" r:id="rId221" xr:uid="{00000000-0004-0000-0000-0000DC000000}"/>
    <hyperlink ref="D218" r:id="rId222" xr:uid="{00000000-0004-0000-0000-0000DD000000}"/>
    <hyperlink ref="D219" r:id="rId223" xr:uid="{00000000-0004-0000-0000-0000DE000000}"/>
    <hyperlink ref="D220" r:id="rId224" xr:uid="{00000000-0004-0000-0000-0000DF000000}"/>
    <hyperlink ref="D221" r:id="rId225" xr:uid="{00000000-0004-0000-0000-0000E0000000}"/>
    <hyperlink ref="D222" r:id="rId226" xr:uid="{00000000-0004-0000-0000-0000E1000000}"/>
    <hyperlink ref="D223" r:id="rId227" xr:uid="{00000000-0004-0000-0000-0000E2000000}"/>
    <hyperlink ref="D224" r:id="rId228" xr:uid="{00000000-0004-0000-0000-0000E3000000}"/>
    <hyperlink ref="D225" r:id="rId229" xr:uid="{00000000-0004-0000-0000-0000E4000000}"/>
    <hyperlink ref="D226" r:id="rId230" xr:uid="{00000000-0004-0000-0000-0000E5000000}"/>
    <hyperlink ref="D227" r:id="rId231" xr:uid="{00000000-0004-0000-0000-0000E6000000}"/>
    <hyperlink ref="D228" r:id="rId232" xr:uid="{00000000-0004-0000-0000-0000E7000000}"/>
    <hyperlink ref="D229" r:id="rId233" xr:uid="{00000000-0004-0000-0000-0000E8000000}"/>
    <hyperlink ref="D230" r:id="rId234" xr:uid="{00000000-0004-0000-0000-0000E9000000}"/>
    <hyperlink ref="D231" r:id="rId235" xr:uid="{00000000-0004-0000-0000-0000EA000000}"/>
    <hyperlink ref="D232" r:id="rId236" xr:uid="{00000000-0004-0000-0000-0000EB000000}"/>
    <hyperlink ref="D233" r:id="rId237" xr:uid="{00000000-0004-0000-0000-0000EC000000}"/>
    <hyperlink ref="D234" r:id="rId238" xr:uid="{00000000-0004-0000-0000-0000ED000000}"/>
    <hyperlink ref="D235" r:id="rId239" xr:uid="{00000000-0004-0000-0000-0000EE000000}"/>
    <hyperlink ref="D236" r:id="rId240" xr:uid="{00000000-0004-0000-0000-0000EF000000}"/>
    <hyperlink ref="D237" r:id="rId241" xr:uid="{00000000-0004-0000-0000-0000F0000000}"/>
    <hyperlink ref="D238" r:id="rId242" xr:uid="{00000000-0004-0000-0000-0000F1000000}"/>
    <hyperlink ref="D239" r:id="rId243" xr:uid="{00000000-0004-0000-0000-0000F2000000}"/>
    <hyperlink ref="D240" r:id="rId244" xr:uid="{00000000-0004-0000-0000-0000F3000000}"/>
    <hyperlink ref="D241" r:id="rId245" xr:uid="{00000000-0004-0000-0000-0000F4000000}"/>
    <hyperlink ref="D242" r:id="rId246" xr:uid="{00000000-0004-0000-0000-0000F5000000}"/>
    <hyperlink ref="D243" r:id="rId247" xr:uid="{00000000-0004-0000-0000-0000F6000000}"/>
    <hyperlink ref="D244" r:id="rId248" xr:uid="{00000000-0004-0000-0000-0000F7000000}"/>
    <hyperlink ref="D245" r:id="rId249" xr:uid="{00000000-0004-0000-0000-0000F8000000}"/>
    <hyperlink ref="D246" r:id="rId250" xr:uid="{00000000-0004-0000-0000-0000F9000000}"/>
    <hyperlink ref="D247" r:id="rId251" xr:uid="{00000000-0004-0000-0000-0000FA000000}"/>
    <hyperlink ref="D248" r:id="rId252" xr:uid="{00000000-0004-0000-0000-0000FB000000}"/>
    <hyperlink ref="D249" r:id="rId253" xr:uid="{00000000-0004-0000-0000-0000FC000000}"/>
    <hyperlink ref="D250" r:id="rId254" xr:uid="{00000000-0004-0000-0000-0000FD000000}"/>
    <hyperlink ref="D251" r:id="rId255" xr:uid="{00000000-0004-0000-0000-0000FE000000}"/>
    <hyperlink ref="D252" r:id="rId256" xr:uid="{00000000-0004-0000-0000-0000FF000000}"/>
    <hyperlink ref="D253" r:id="rId257" xr:uid="{00000000-0004-0000-0000-000000010000}"/>
    <hyperlink ref="D254" r:id="rId258" xr:uid="{00000000-0004-0000-0000-000001010000}"/>
    <hyperlink ref="D255" r:id="rId259" xr:uid="{00000000-0004-0000-0000-000002010000}"/>
    <hyperlink ref="D256" r:id="rId260" xr:uid="{00000000-0004-0000-0000-000003010000}"/>
    <hyperlink ref="D257" r:id="rId261" xr:uid="{00000000-0004-0000-0000-000004010000}"/>
    <hyperlink ref="D258" r:id="rId262" xr:uid="{00000000-0004-0000-0000-000005010000}"/>
    <hyperlink ref="D259" r:id="rId263" xr:uid="{00000000-0004-0000-0000-000006010000}"/>
    <hyperlink ref="D260" r:id="rId264" xr:uid="{00000000-0004-0000-0000-000007010000}"/>
    <hyperlink ref="D261" r:id="rId265" xr:uid="{00000000-0004-0000-0000-000008010000}"/>
    <hyperlink ref="D262" r:id="rId266" xr:uid="{00000000-0004-0000-0000-000009010000}"/>
    <hyperlink ref="D263" r:id="rId267" xr:uid="{00000000-0004-0000-0000-00000A010000}"/>
    <hyperlink ref="D264" r:id="rId268" xr:uid="{00000000-0004-0000-0000-00000B010000}"/>
    <hyperlink ref="D265" r:id="rId269" xr:uid="{00000000-0004-0000-0000-00000C010000}"/>
    <hyperlink ref="D266" r:id="rId270" xr:uid="{00000000-0004-0000-0000-00000D010000}"/>
    <hyperlink ref="D267" r:id="rId271" xr:uid="{00000000-0004-0000-0000-00000E010000}"/>
    <hyperlink ref="D268" r:id="rId272" xr:uid="{00000000-0004-0000-0000-00000F010000}"/>
    <hyperlink ref="D269" r:id="rId273" xr:uid="{00000000-0004-0000-0000-000010010000}"/>
    <hyperlink ref="D270" r:id="rId274" xr:uid="{00000000-0004-0000-0000-000011010000}"/>
    <hyperlink ref="D271" r:id="rId275" xr:uid="{00000000-0004-0000-0000-000012010000}"/>
    <hyperlink ref="D272" r:id="rId276" xr:uid="{00000000-0004-0000-0000-000013010000}"/>
    <hyperlink ref="D273" r:id="rId277" xr:uid="{00000000-0004-0000-0000-000014010000}"/>
    <hyperlink ref="D274" r:id="rId278" xr:uid="{00000000-0004-0000-0000-000015010000}"/>
    <hyperlink ref="D275" r:id="rId279" xr:uid="{00000000-0004-0000-0000-000016010000}"/>
    <hyperlink ref="D276" r:id="rId280" xr:uid="{00000000-0004-0000-0000-000017010000}"/>
    <hyperlink ref="D277" r:id="rId281" xr:uid="{00000000-0004-0000-0000-000018010000}"/>
    <hyperlink ref="C278" r:id="rId282" display="http://pretrained.ml/" xr:uid="{00000000-0004-0000-0000-000019010000}"/>
    <hyperlink ref="D278" r:id="rId283" xr:uid="{00000000-0004-0000-0000-00001A010000}"/>
    <hyperlink ref="D279" r:id="rId284" xr:uid="{00000000-0004-0000-0000-00001B010000}"/>
    <hyperlink ref="D280" r:id="rId285" xr:uid="{00000000-0004-0000-0000-00001C010000}"/>
    <hyperlink ref="D281" r:id="rId286" xr:uid="{00000000-0004-0000-0000-00001D010000}"/>
    <hyperlink ref="D282" r:id="rId287" xr:uid="{00000000-0004-0000-0000-00001E010000}"/>
    <hyperlink ref="D283" r:id="rId288" xr:uid="{00000000-0004-0000-0000-00001F010000}"/>
    <hyperlink ref="D284" r:id="rId289" xr:uid="{00000000-0004-0000-0000-000020010000}"/>
    <hyperlink ref="D285" r:id="rId290" xr:uid="{00000000-0004-0000-0000-000021010000}"/>
    <hyperlink ref="D286" r:id="rId291" xr:uid="{00000000-0004-0000-0000-000022010000}"/>
    <hyperlink ref="D287" r:id="rId292" xr:uid="{00000000-0004-0000-0000-000023010000}"/>
    <hyperlink ref="D288" r:id="rId293" xr:uid="{00000000-0004-0000-0000-000024010000}"/>
    <hyperlink ref="D289" r:id="rId294" xr:uid="{00000000-0004-0000-0000-000025010000}"/>
    <hyperlink ref="D290" r:id="rId295" xr:uid="{00000000-0004-0000-0000-000026010000}"/>
    <hyperlink ref="C291" r:id="rId296" display="http://web3.py/" xr:uid="{00000000-0004-0000-0000-000027010000}"/>
    <hyperlink ref="D291" r:id="rId297" xr:uid="{00000000-0004-0000-0000-000028010000}"/>
    <hyperlink ref="D292" r:id="rId298" xr:uid="{00000000-0004-0000-0000-000029010000}"/>
    <hyperlink ref="D293" r:id="rId299" xr:uid="{00000000-0004-0000-0000-00002A010000}"/>
    <hyperlink ref="D294" r:id="rId300" xr:uid="{00000000-0004-0000-0000-00002B010000}"/>
    <hyperlink ref="D295" r:id="rId301" xr:uid="{00000000-0004-0000-0000-00002C010000}"/>
    <hyperlink ref="D296" r:id="rId302" xr:uid="{00000000-0004-0000-0000-00002D010000}"/>
    <hyperlink ref="D297" r:id="rId303" xr:uid="{00000000-0004-0000-0000-00002E010000}"/>
    <hyperlink ref="D298" r:id="rId304" xr:uid="{00000000-0004-0000-0000-00002F010000}"/>
    <hyperlink ref="D299" r:id="rId305" xr:uid="{00000000-0004-0000-0000-000030010000}"/>
    <hyperlink ref="D300" r:id="rId306" xr:uid="{00000000-0004-0000-0000-000031010000}"/>
    <hyperlink ref="D301" r:id="rId307" xr:uid="{00000000-0004-0000-0000-000032010000}"/>
    <hyperlink ref="D302" r:id="rId308" xr:uid="{00000000-0004-0000-0000-000033010000}"/>
    <hyperlink ref="D303" r:id="rId309" xr:uid="{00000000-0004-0000-0000-000034010000}"/>
    <hyperlink ref="D304" r:id="rId310" xr:uid="{00000000-0004-0000-0000-000035010000}"/>
    <hyperlink ref="D305" r:id="rId311" xr:uid="{00000000-0004-0000-0000-000036010000}"/>
    <hyperlink ref="D306" r:id="rId312" xr:uid="{00000000-0004-0000-0000-000037010000}"/>
    <hyperlink ref="D307" r:id="rId313" xr:uid="{00000000-0004-0000-0000-000038010000}"/>
    <hyperlink ref="D308" r:id="rId314" xr:uid="{00000000-0004-0000-0000-000039010000}"/>
    <hyperlink ref="D309" r:id="rId315" xr:uid="{00000000-0004-0000-0000-00003A010000}"/>
    <hyperlink ref="D310" r:id="rId316" xr:uid="{00000000-0004-0000-0000-00003B010000}"/>
    <hyperlink ref="D311" r:id="rId317" xr:uid="{00000000-0004-0000-0000-00003C010000}"/>
    <hyperlink ref="D312" r:id="rId318" xr:uid="{00000000-0004-0000-0000-00003D010000}"/>
    <hyperlink ref="D313" r:id="rId319" xr:uid="{00000000-0004-0000-0000-00003E010000}"/>
    <hyperlink ref="D314" r:id="rId320" xr:uid="{00000000-0004-0000-0000-00003F010000}"/>
    <hyperlink ref="D315" r:id="rId321" xr:uid="{00000000-0004-0000-0000-000040010000}"/>
    <hyperlink ref="D316" r:id="rId322" xr:uid="{00000000-0004-0000-0000-000041010000}"/>
    <hyperlink ref="D317" r:id="rId323" xr:uid="{00000000-0004-0000-0000-000042010000}"/>
    <hyperlink ref="D318" r:id="rId324" xr:uid="{00000000-0004-0000-0000-000043010000}"/>
    <hyperlink ref="D319" r:id="rId325" xr:uid="{00000000-0004-0000-0000-000044010000}"/>
    <hyperlink ref="D320" r:id="rId326" xr:uid="{00000000-0004-0000-0000-000045010000}"/>
    <hyperlink ref="D321" r:id="rId327" xr:uid="{00000000-0004-0000-0000-000046010000}"/>
    <hyperlink ref="D322" r:id="rId328" xr:uid="{00000000-0004-0000-0000-000047010000}"/>
    <hyperlink ref="D323" r:id="rId329" xr:uid="{00000000-0004-0000-0000-000048010000}"/>
    <hyperlink ref="D324" r:id="rId330" xr:uid="{00000000-0004-0000-0000-000049010000}"/>
    <hyperlink ref="D325" r:id="rId331" xr:uid="{00000000-0004-0000-0000-00004A010000}"/>
    <hyperlink ref="D326" r:id="rId332" xr:uid="{00000000-0004-0000-0000-00004B010000}"/>
    <hyperlink ref="D327" r:id="rId333" xr:uid="{00000000-0004-0000-0000-00004C010000}"/>
    <hyperlink ref="D328" r:id="rId334" xr:uid="{00000000-0004-0000-0000-00004D010000}"/>
    <hyperlink ref="D329" r:id="rId335" xr:uid="{00000000-0004-0000-0000-00004E010000}"/>
    <hyperlink ref="D330" r:id="rId336" xr:uid="{00000000-0004-0000-0000-00004F010000}"/>
    <hyperlink ref="D331" r:id="rId337" xr:uid="{00000000-0004-0000-0000-000050010000}"/>
    <hyperlink ref="D332" r:id="rId338" xr:uid="{00000000-0004-0000-0000-000051010000}"/>
    <hyperlink ref="D333" r:id="rId339" xr:uid="{00000000-0004-0000-0000-000052010000}"/>
    <hyperlink ref="D334" r:id="rId340" xr:uid="{00000000-0004-0000-0000-000053010000}"/>
    <hyperlink ref="D335" r:id="rId341" xr:uid="{00000000-0004-0000-0000-000054010000}"/>
    <hyperlink ref="D336" r:id="rId342" xr:uid="{00000000-0004-0000-0000-000055010000}"/>
    <hyperlink ref="D337" r:id="rId343" xr:uid="{00000000-0004-0000-0000-000056010000}"/>
    <hyperlink ref="D338" r:id="rId344" xr:uid="{00000000-0004-0000-0000-000057010000}"/>
    <hyperlink ref="D339" r:id="rId345" xr:uid="{00000000-0004-0000-0000-000058010000}"/>
    <hyperlink ref="D340" r:id="rId346" xr:uid="{00000000-0004-0000-0000-000059010000}"/>
    <hyperlink ref="D341" r:id="rId347" xr:uid="{00000000-0004-0000-0000-00005A010000}"/>
    <hyperlink ref="D342" r:id="rId348" xr:uid="{00000000-0004-0000-0000-00005B010000}"/>
    <hyperlink ref="C343" r:id="rId349" display="http://bloodhound.py/" xr:uid="{00000000-0004-0000-0000-00005C010000}"/>
    <hyperlink ref="D343" r:id="rId350" xr:uid="{00000000-0004-0000-0000-00005D010000}"/>
    <hyperlink ref="D344" r:id="rId351" xr:uid="{00000000-0004-0000-0000-00005E010000}"/>
    <hyperlink ref="D345" r:id="rId352" xr:uid="{00000000-0004-0000-0000-00005F010000}"/>
    <hyperlink ref="D346" r:id="rId353" xr:uid="{00000000-0004-0000-0000-000060010000}"/>
    <hyperlink ref="D347" r:id="rId354" xr:uid="{00000000-0004-0000-0000-000061010000}"/>
    <hyperlink ref="D348" r:id="rId355" xr:uid="{00000000-0004-0000-0000-000062010000}"/>
    <hyperlink ref="D349" r:id="rId356" xr:uid="{00000000-0004-0000-0000-000063010000}"/>
    <hyperlink ref="D350" r:id="rId357" xr:uid="{00000000-0004-0000-0000-000064010000}"/>
    <hyperlink ref="D351" r:id="rId358" xr:uid="{00000000-0004-0000-0000-000065010000}"/>
    <hyperlink ref="D352" r:id="rId359" xr:uid="{00000000-0004-0000-0000-000066010000}"/>
    <hyperlink ref="D353" r:id="rId360" xr:uid="{00000000-0004-0000-0000-000067010000}"/>
    <hyperlink ref="D354" r:id="rId361" xr:uid="{00000000-0004-0000-0000-000068010000}"/>
    <hyperlink ref="D355" r:id="rId362" xr:uid="{00000000-0004-0000-0000-000069010000}"/>
    <hyperlink ref="D356" r:id="rId363" xr:uid="{00000000-0004-0000-0000-00006A010000}"/>
    <hyperlink ref="D357" r:id="rId364" xr:uid="{00000000-0004-0000-0000-00006B010000}"/>
    <hyperlink ref="D358" r:id="rId365" xr:uid="{00000000-0004-0000-0000-00006C010000}"/>
    <hyperlink ref="D359" r:id="rId366" xr:uid="{00000000-0004-0000-0000-00006D010000}"/>
    <hyperlink ref="D360" r:id="rId367" xr:uid="{00000000-0004-0000-0000-00006E010000}"/>
    <hyperlink ref="D361" r:id="rId368" xr:uid="{00000000-0004-0000-0000-00006F010000}"/>
    <hyperlink ref="D362" r:id="rId369" xr:uid="{00000000-0004-0000-0000-000070010000}"/>
    <hyperlink ref="D363" r:id="rId370" xr:uid="{00000000-0004-0000-0000-000071010000}"/>
    <hyperlink ref="D364" r:id="rId371" xr:uid="{00000000-0004-0000-0000-000072010000}"/>
    <hyperlink ref="D365" r:id="rId372" xr:uid="{00000000-0004-0000-0000-000073010000}"/>
    <hyperlink ref="D366" r:id="rId373" xr:uid="{00000000-0004-0000-0000-000074010000}"/>
    <hyperlink ref="D367" r:id="rId374" xr:uid="{00000000-0004-0000-0000-000075010000}"/>
    <hyperlink ref="D368" r:id="rId375" xr:uid="{00000000-0004-0000-0000-000076010000}"/>
    <hyperlink ref="D369" r:id="rId376" xr:uid="{00000000-0004-0000-0000-000077010000}"/>
    <hyperlink ref="D370" r:id="rId377" xr:uid="{00000000-0004-0000-0000-000078010000}"/>
    <hyperlink ref="D371" r:id="rId378" xr:uid="{00000000-0004-0000-0000-000079010000}"/>
    <hyperlink ref="D372" r:id="rId379" xr:uid="{00000000-0004-0000-0000-00007A010000}"/>
    <hyperlink ref="D373" r:id="rId380" xr:uid="{00000000-0004-0000-0000-00007B010000}"/>
    <hyperlink ref="D374" r:id="rId381" xr:uid="{00000000-0004-0000-0000-00007C010000}"/>
    <hyperlink ref="D375" r:id="rId382" xr:uid="{00000000-0004-0000-0000-00007D010000}"/>
    <hyperlink ref="D376" r:id="rId383" xr:uid="{00000000-0004-0000-0000-00007E010000}"/>
    <hyperlink ref="D377" r:id="rId384" xr:uid="{00000000-0004-0000-0000-00007F010000}"/>
    <hyperlink ref="D378" r:id="rId385" xr:uid="{00000000-0004-0000-0000-000080010000}"/>
    <hyperlink ref="D379" r:id="rId386" xr:uid="{00000000-0004-0000-0000-000081010000}"/>
    <hyperlink ref="D380" r:id="rId387" xr:uid="{00000000-0004-0000-0000-000082010000}"/>
    <hyperlink ref="D381" r:id="rId388" xr:uid="{00000000-0004-0000-0000-000083010000}"/>
    <hyperlink ref="D382" r:id="rId389" xr:uid="{00000000-0004-0000-0000-000084010000}"/>
    <hyperlink ref="D383" r:id="rId390" xr:uid="{00000000-0004-0000-0000-000085010000}"/>
    <hyperlink ref="D384" r:id="rId391" xr:uid="{00000000-0004-0000-0000-000086010000}"/>
    <hyperlink ref="D385" r:id="rId392" xr:uid="{00000000-0004-0000-0000-000087010000}"/>
    <hyperlink ref="D386" r:id="rId393" xr:uid="{00000000-0004-0000-0000-000088010000}"/>
    <hyperlink ref="D387" r:id="rId394" xr:uid="{00000000-0004-0000-0000-000089010000}"/>
    <hyperlink ref="D388" r:id="rId395" xr:uid="{00000000-0004-0000-0000-00008A010000}"/>
    <hyperlink ref="D389" r:id="rId396" xr:uid="{00000000-0004-0000-0000-00008B010000}"/>
    <hyperlink ref="D390" r:id="rId397" xr:uid="{00000000-0004-0000-0000-00008C010000}"/>
    <hyperlink ref="D391" r:id="rId398" xr:uid="{00000000-0004-0000-0000-00008D010000}"/>
    <hyperlink ref="D392" r:id="rId399" xr:uid="{00000000-0004-0000-0000-00008E010000}"/>
    <hyperlink ref="D393" r:id="rId400" xr:uid="{00000000-0004-0000-0000-00008F010000}"/>
    <hyperlink ref="D394" r:id="rId401" xr:uid="{00000000-0004-0000-0000-000090010000}"/>
    <hyperlink ref="D395" r:id="rId402" xr:uid="{00000000-0004-0000-0000-000091010000}"/>
    <hyperlink ref="D396" r:id="rId403" xr:uid="{00000000-0004-0000-0000-000092010000}"/>
    <hyperlink ref="D397" r:id="rId404" xr:uid="{00000000-0004-0000-0000-000093010000}"/>
    <hyperlink ref="D398" r:id="rId405" xr:uid="{00000000-0004-0000-0000-000094010000}"/>
    <hyperlink ref="D399" r:id="rId406" xr:uid="{00000000-0004-0000-0000-000095010000}"/>
    <hyperlink ref="D400" r:id="rId407" xr:uid="{00000000-0004-0000-0000-000096010000}"/>
    <hyperlink ref="D401" r:id="rId408" xr:uid="{00000000-0004-0000-0000-000097010000}"/>
    <hyperlink ref="D402" r:id="rId409" xr:uid="{00000000-0004-0000-0000-000098010000}"/>
    <hyperlink ref="D403" r:id="rId410" xr:uid="{00000000-0004-0000-0000-000099010000}"/>
    <hyperlink ref="D404" r:id="rId411" xr:uid="{00000000-0004-0000-0000-00009A010000}"/>
    <hyperlink ref="D405" r:id="rId412" xr:uid="{00000000-0004-0000-0000-00009B010000}"/>
    <hyperlink ref="D406" r:id="rId413" xr:uid="{00000000-0004-0000-0000-00009C010000}"/>
    <hyperlink ref="D407" r:id="rId414" xr:uid="{00000000-0004-0000-0000-00009D010000}"/>
    <hyperlink ref="D408" r:id="rId415" xr:uid="{00000000-0004-0000-0000-00009E010000}"/>
    <hyperlink ref="D409" r:id="rId416" xr:uid="{00000000-0004-0000-0000-00009F010000}"/>
    <hyperlink ref="C410" r:id="rId417" display="http://gratipay.com/" xr:uid="{00000000-0004-0000-0000-0000A0010000}"/>
    <hyperlink ref="D410" r:id="rId418" xr:uid="{00000000-0004-0000-0000-0000A1010000}"/>
    <hyperlink ref="D411" r:id="rId419" xr:uid="{00000000-0004-0000-0000-0000A2010000}"/>
    <hyperlink ref="D412" r:id="rId420" xr:uid="{00000000-0004-0000-0000-0000A3010000}"/>
    <hyperlink ref="D413" r:id="rId421" xr:uid="{00000000-0004-0000-0000-0000A4010000}"/>
    <hyperlink ref="D414" r:id="rId422" xr:uid="{00000000-0004-0000-0000-0000A5010000}"/>
    <hyperlink ref="D415" r:id="rId423" xr:uid="{00000000-0004-0000-0000-0000A6010000}"/>
    <hyperlink ref="D416" r:id="rId424" xr:uid="{00000000-0004-0000-0000-0000A7010000}"/>
    <hyperlink ref="D417" r:id="rId425" xr:uid="{00000000-0004-0000-0000-0000A8010000}"/>
    <hyperlink ref="D418" r:id="rId426" xr:uid="{00000000-0004-0000-0000-0000A9010000}"/>
    <hyperlink ref="D419" r:id="rId427" xr:uid="{00000000-0004-0000-0000-0000AA010000}"/>
    <hyperlink ref="D420" r:id="rId428" xr:uid="{00000000-0004-0000-0000-0000AB010000}"/>
    <hyperlink ref="D421" r:id="rId429" xr:uid="{00000000-0004-0000-0000-0000AC010000}"/>
    <hyperlink ref="D422" r:id="rId430" xr:uid="{00000000-0004-0000-0000-0000AD010000}"/>
    <hyperlink ref="D423" r:id="rId431" xr:uid="{00000000-0004-0000-0000-0000AE010000}"/>
    <hyperlink ref="D424" r:id="rId432" xr:uid="{00000000-0004-0000-0000-0000AF010000}"/>
    <hyperlink ref="D425" r:id="rId433" xr:uid="{00000000-0004-0000-0000-0000B0010000}"/>
    <hyperlink ref="D426" r:id="rId434" xr:uid="{00000000-0004-0000-0000-0000B1010000}"/>
    <hyperlink ref="D427" r:id="rId435" xr:uid="{00000000-0004-0000-0000-0000B2010000}"/>
    <hyperlink ref="D428" r:id="rId436" xr:uid="{00000000-0004-0000-0000-0000B3010000}"/>
    <hyperlink ref="D429" r:id="rId437" xr:uid="{00000000-0004-0000-0000-0000B4010000}"/>
    <hyperlink ref="D430" r:id="rId438" xr:uid="{00000000-0004-0000-0000-0000B5010000}"/>
    <hyperlink ref="D431" r:id="rId439" xr:uid="{00000000-0004-0000-0000-0000B6010000}"/>
    <hyperlink ref="D432" r:id="rId440" xr:uid="{00000000-0004-0000-0000-0000B7010000}"/>
    <hyperlink ref="D433" r:id="rId441" xr:uid="{00000000-0004-0000-0000-0000B8010000}"/>
    <hyperlink ref="D434" r:id="rId442" xr:uid="{00000000-0004-0000-0000-0000B9010000}"/>
    <hyperlink ref="D435" r:id="rId443" xr:uid="{00000000-0004-0000-0000-0000BA010000}"/>
    <hyperlink ref="D436" r:id="rId444" xr:uid="{00000000-0004-0000-0000-0000BB010000}"/>
    <hyperlink ref="D437" r:id="rId445" xr:uid="{00000000-0004-0000-0000-0000BC010000}"/>
    <hyperlink ref="D438" r:id="rId446" xr:uid="{00000000-0004-0000-0000-0000BD010000}"/>
    <hyperlink ref="D439" r:id="rId447" xr:uid="{00000000-0004-0000-0000-0000BE010000}"/>
    <hyperlink ref="D440" r:id="rId448" xr:uid="{00000000-0004-0000-0000-0000BF010000}"/>
    <hyperlink ref="D441" r:id="rId449" xr:uid="{00000000-0004-0000-0000-0000C0010000}"/>
    <hyperlink ref="D442" r:id="rId450" xr:uid="{00000000-0004-0000-0000-0000C1010000}"/>
    <hyperlink ref="D443" r:id="rId451" xr:uid="{00000000-0004-0000-0000-0000C2010000}"/>
    <hyperlink ref="D444" r:id="rId452" xr:uid="{00000000-0004-0000-0000-0000C3010000}"/>
    <hyperlink ref="D445" r:id="rId453" xr:uid="{00000000-0004-0000-0000-0000C4010000}"/>
    <hyperlink ref="D446" r:id="rId454" xr:uid="{00000000-0004-0000-0000-0000C5010000}"/>
    <hyperlink ref="D447" r:id="rId455" xr:uid="{00000000-0004-0000-0000-0000C6010000}"/>
    <hyperlink ref="D448" r:id="rId456" xr:uid="{00000000-0004-0000-0000-0000C7010000}"/>
    <hyperlink ref="D449" r:id="rId457" xr:uid="{00000000-0004-0000-0000-0000C8010000}"/>
    <hyperlink ref="D450" r:id="rId458" xr:uid="{00000000-0004-0000-0000-0000C9010000}"/>
    <hyperlink ref="D451" r:id="rId459" xr:uid="{00000000-0004-0000-0000-0000CA010000}"/>
    <hyperlink ref="D452" r:id="rId460" xr:uid="{00000000-0004-0000-0000-0000CB010000}"/>
    <hyperlink ref="D453" r:id="rId461" xr:uid="{00000000-0004-0000-0000-0000CC010000}"/>
    <hyperlink ref="D454" r:id="rId462" xr:uid="{00000000-0004-0000-0000-0000CD010000}"/>
    <hyperlink ref="D455" r:id="rId463" xr:uid="{00000000-0004-0000-0000-0000CE010000}"/>
    <hyperlink ref="D456" r:id="rId464" xr:uid="{00000000-0004-0000-0000-0000CF010000}"/>
    <hyperlink ref="D457" r:id="rId465" xr:uid="{00000000-0004-0000-0000-0000D0010000}"/>
    <hyperlink ref="D458" r:id="rId466" xr:uid="{00000000-0004-0000-0000-0000D1010000}"/>
    <hyperlink ref="D459" r:id="rId467" xr:uid="{00000000-0004-0000-0000-0000D2010000}"/>
    <hyperlink ref="D460" r:id="rId468" xr:uid="{00000000-0004-0000-0000-0000D3010000}"/>
    <hyperlink ref="D461" r:id="rId469" xr:uid="{00000000-0004-0000-0000-0000D4010000}"/>
    <hyperlink ref="D462" r:id="rId470" xr:uid="{00000000-0004-0000-0000-0000D5010000}"/>
    <hyperlink ref="D463" r:id="rId471" xr:uid="{00000000-0004-0000-0000-0000D6010000}"/>
    <hyperlink ref="D464" r:id="rId472" xr:uid="{00000000-0004-0000-0000-0000D7010000}"/>
    <hyperlink ref="D465" r:id="rId473" xr:uid="{00000000-0004-0000-0000-0000D8010000}"/>
    <hyperlink ref="D466" r:id="rId474" xr:uid="{00000000-0004-0000-0000-0000D9010000}"/>
    <hyperlink ref="D467" r:id="rId475" xr:uid="{00000000-0004-0000-0000-0000DA010000}"/>
    <hyperlink ref="D468" r:id="rId476" xr:uid="{00000000-0004-0000-0000-0000DB010000}"/>
    <hyperlink ref="D469" r:id="rId477" xr:uid="{00000000-0004-0000-0000-0000DC010000}"/>
    <hyperlink ref="D470" r:id="rId478" xr:uid="{00000000-0004-0000-0000-0000DD010000}"/>
    <hyperlink ref="D471" r:id="rId479" xr:uid="{00000000-0004-0000-0000-0000DE010000}"/>
    <hyperlink ref="D472" r:id="rId480" xr:uid="{00000000-0004-0000-0000-0000DF010000}"/>
    <hyperlink ref="D473" r:id="rId481" xr:uid="{00000000-0004-0000-0000-0000E0010000}"/>
    <hyperlink ref="D474" r:id="rId482" xr:uid="{00000000-0004-0000-0000-0000E1010000}"/>
    <hyperlink ref="D475" r:id="rId483" xr:uid="{00000000-0004-0000-0000-0000E2010000}"/>
    <hyperlink ref="D476" r:id="rId484" xr:uid="{00000000-0004-0000-0000-0000E3010000}"/>
    <hyperlink ref="D477" r:id="rId485" xr:uid="{00000000-0004-0000-0000-0000E4010000}"/>
    <hyperlink ref="D478" r:id="rId486" xr:uid="{00000000-0004-0000-0000-0000E5010000}"/>
    <hyperlink ref="D479" r:id="rId487" xr:uid="{00000000-0004-0000-0000-0000E6010000}"/>
    <hyperlink ref="D480" r:id="rId488" xr:uid="{00000000-0004-0000-0000-0000E7010000}"/>
    <hyperlink ref="D481" r:id="rId489" xr:uid="{00000000-0004-0000-0000-0000E8010000}"/>
    <hyperlink ref="D482" r:id="rId490" xr:uid="{00000000-0004-0000-0000-0000E9010000}"/>
    <hyperlink ref="D483" r:id="rId491" xr:uid="{00000000-0004-0000-0000-0000EA010000}"/>
    <hyperlink ref="D484" r:id="rId492" xr:uid="{00000000-0004-0000-0000-0000EB010000}"/>
    <hyperlink ref="D485" r:id="rId493" xr:uid="{00000000-0004-0000-0000-0000EC010000}"/>
    <hyperlink ref="D486" r:id="rId494" xr:uid="{00000000-0004-0000-0000-0000ED010000}"/>
    <hyperlink ref="D487" r:id="rId495" xr:uid="{00000000-0004-0000-0000-0000EE010000}"/>
    <hyperlink ref="C488" r:id="rId496" display="http://stomp.py/" xr:uid="{00000000-0004-0000-0000-0000EF010000}"/>
    <hyperlink ref="D488" r:id="rId497" xr:uid="{00000000-0004-0000-0000-0000F0010000}"/>
    <hyperlink ref="D489" r:id="rId498" xr:uid="{00000000-0004-0000-0000-0000F1010000}"/>
    <hyperlink ref="D490" r:id="rId499" xr:uid="{00000000-0004-0000-0000-0000F2010000}"/>
    <hyperlink ref="D491" r:id="rId500" xr:uid="{00000000-0004-0000-0000-0000F3010000}"/>
    <hyperlink ref="C492" r:id="rId501" display="http://ghost.py/" xr:uid="{00000000-0004-0000-0000-0000F4010000}"/>
    <hyperlink ref="D492" r:id="rId502" xr:uid="{00000000-0004-0000-0000-0000F5010000}"/>
    <hyperlink ref="D493" r:id="rId503" xr:uid="{00000000-0004-0000-0000-0000F6010000}"/>
    <hyperlink ref="D494" r:id="rId504" xr:uid="{00000000-0004-0000-0000-0000F7010000}"/>
    <hyperlink ref="D495" r:id="rId505" xr:uid="{00000000-0004-0000-0000-0000F8010000}"/>
    <hyperlink ref="D496" r:id="rId506" xr:uid="{00000000-0004-0000-0000-0000F9010000}"/>
    <hyperlink ref="D497" r:id="rId507" xr:uid="{00000000-0004-0000-0000-0000FA010000}"/>
    <hyperlink ref="D498" r:id="rId508" xr:uid="{00000000-0004-0000-0000-0000FB010000}"/>
    <hyperlink ref="D499" r:id="rId509" xr:uid="{00000000-0004-0000-0000-0000FC010000}"/>
    <hyperlink ref="D500" r:id="rId510" xr:uid="{00000000-0004-0000-0000-0000FD010000}"/>
    <hyperlink ref="D501" r:id="rId511" xr:uid="{00000000-0004-0000-0000-0000FE010000}"/>
    <hyperlink ref="D502" r:id="rId512" xr:uid="{00000000-0004-0000-0000-0000FF010000}"/>
    <hyperlink ref="D503" r:id="rId513" xr:uid="{00000000-0004-0000-0000-000000020000}"/>
    <hyperlink ref="D504" r:id="rId514" xr:uid="{00000000-0004-0000-0000-000001020000}"/>
    <hyperlink ref="D505" r:id="rId515" xr:uid="{00000000-0004-0000-0000-000002020000}"/>
    <hyperlink ref="D506" r:id="rId516" xr:uid="{00000000-0004-0000-0000-000003020000}"/>
    <hyperlink ref="D507" r:id="rId517" xr:uid="{00000000-0004-0000-0000-000004020000}"/>
    <hyperlink ref="D508" r:id="rId518" xr:uid="{00000000-0004-0000-0000-000005020000}"/>
    <hyperlink ref="D509" r:id="rId519" xr:uid="{00000000-0004-0000-0000-000006020000}"/>
    <hyperlink ref="D510" r:id="rId520" xr:uid="{00000000-0004-0000-0000-000007020000}"/>
    <hyperlink ref="D511" r:id="rId521" xr:uid="{00000000-0004-0000-0000-000008020000}"/>
    <hyperlink ref="D512" r:id="rId522" xr:uid="{00000000-0004-0000-0000-000009020000}"/>
    <hyperlink ref="D513" r:id="rId523" xr:uid="{00000000-0004-0000-0000-00000A020000}"/>
    <hyperlink ref="D514" r:id="rId524" xr:uid="{00000000-0004-0000-0000-00000B020000}"/>
    <hyperlink ref="D515" r:id="rId525" xr:uid="{00000000-0004-0000-0000-00000C020000}"/>
    <hyperlink ref="D516" r:id="rId526" xr:uid="{00000000-0004-0000-0000-00000D020000}"/>
    <hyperlink ref="D517" r:id="rId527" xr:uid="{00000000-0004-0000-0000-00000E020000}"/>
    <hyperlink ref="D518" r:id="rId528" xr:uid="{00000000-0004-0000-0000-00000F020000}"/>
    <hyperlink ref="D519" r:id="rId529" xr:uid="{00000000-0004-0000-0000-000010020000}"/>
    <hyperlink ref="D520" r:id="rId530" xr:uid="{00000000-0004-0000-0000-000011020000}"/>
    <hyperlink ref="D521" r:id="rId531" xr:uid="{00000000-0004-0000-0000-000012020000}"/>
    <hyperlink ref="D522" r:id="rId532" xr:uid="{00000000-0004-0000-0000-000013020000}"/>
    <hyperlink ref="D523" r:id="rId533" xr:uid="{00000000-0004-0000-0000-000014020000}"/>
    <hyperlink ref="D524" r:id="rId534" xr:uid="{00000000-0004-0000-0000-000015020000}"/>
    <hyperlink ref="D525" r:id="rId535" xr:uid="{00000000-0004-0000-0000-000016020000}"/>
    <hyperlink ref="D526" r:id="rId536" xr:uid="{00000000-0004-0000-0000-000017020000}"/>
    <hyperlink ref="D527" r:id="rId537" xr:uid="{00000000-0004-0000-0000-000018020000}"/>
    <hyperlink ref="D528" r:id="rId538" xr:uid="{00000000-0004-0000-0000-000019020000}"/>
    <hyperlink ref="D529" r:id="rId539" xr:uid="{00000000-0004-0000-0000-00001A020000}"/>
    <hyperlink ref="D530" r:id="rId540" xr:uid="{00000000-0004-0000-0000-00001B020000}"/>
    <hyperlink ref="D531" r:id="rId541" xr:uid="{00000000-0004-0000-0000-00001C020000}"/>
    <hyperlink ref="D532" r:id="rId542" xr:uid="{00000000-0004-0000-0000-00001D020000}"/>
    <hyperlink ref="D533" r:id="rId543" xr:uid="{00000000-0004-0000-0000-00001E020000}"/>
    <hyperlink ref="D534" r:id="rId544" xr:uid="{00000000-0004-0000-0000-00001F020000}"/>
    <hyperlink ref="D535" r:id="rId545" xr:uid="{00000000-0004-0000-0000-000020020000}"/>
    <hyperlink ref="D536" r:id="rId546" xr:uid="{00000000-0004-0000-0000-000021020000}"/>
    <hyperlink ref="D537" r:id="rId547" xr:uid="{00000000-0004-0000-0000-000022020000}"/>
    <hyperlink ref="D538" r:id="rId548" xr:uid="{00000000-0004-0000-0000-000023020000}"/>
    <hyperlink ref="D539" r:id="rId549" xr:uid="{00000000-0004-0000-0000-000024020000}"/>
    <hyperlink ref="D540" r:id="rId550" xr:uid="{00000000-0004-0000-0000-000025020000}"/>
    <hyperlink ref="D541" r:id="rId551" xr:uid="{00000000-0004-0000-0000-000026020000}"/>
    <hyperlink ref="D542" r:id="rId552" xr:uid="{00000000-0004-0000-0000-000027020000}"/>
    <hyperlink ref="D543" r:id="rId553" xr:uid="{00000000-0004-0000-0000-000028020000}"/>
    <hyperlink ref="D544" r:id="rId554" xr:uid="{00000000-0004-0000-0000-000029020000}"/>
    <hyperlink ref="D545" r:id="rId555" xr:uid="{00000000-0004-0000-0000-00002A020000}"/>
    <hyperlink ref="D546" r:id="rId556" xr:uid="{00000000-0004-0000-0000-00002B020000}"/>
    <hyperlink ref="D547" r:id="rId557" xr:uid="{00000000-0004-0000-0000-00002C020000}"/>
    <hyperlink ref="D548" r:id="rId558" xr:uid="{00000000-0004-0000-0000-00002D020000}"/>
    <hyperlink ref="D549" r:id="rId559" xr:uid="{00000000-0004-0000-0000-00002E020000}"/>
    <hyperlink ref="D550" r:id="rId560" xr:uid="{00000000-0004-0000-0000-00002F020000}"/>
    <hyperlink ref="D551" r:id="rId561" xr:uid="{00000000-0004-0000-0000-000030020000}"/>
    <hyperlink ref="D552" r:id="rId562" xr:uid="{00000000-0004-0000-0000-000031020000}"/>
    <hyperlink ref="D553" r:id="rId563" xr:uid="{00000000-0004-0000-0000-000032020000}"/>
    <hyperlink ref="D554" r:id="rId564" xr:uid="{00000000-0004-0000-0000-000033020000}"/>
    <hyperlink ref="D555" r:id="rId565" xr:uid="{00000000-0004-0000-0000-000034020000}"/>
    <hyperlink ref="D556" r:id="rId566" xr:uid="{00000000-0004-0000-0000-000035020000}"/>
    <hyperlink ref="D557" r:id="rId567" xr:uid="{00000000-0004-0000-0000-000036020000}"/>
    <hyperlink ref="D558" r:id="rId568" xr:uid="{00000000-0004-0000-0000-000037020000}"/>
    <hyperlink ref="D559" r:id="rId569" xr:uid="{00000000-0004-0000-0000-000038020000}"/>
    <hyperlink ref="D560" r:id="rId570" xr:uid="{00000000-0004-0000-0000-000039020000}"/>
    <hyperlink ref="D561" r:id="rId571" xr:uid="{00000000-0004-0000-0000-00003A020000}"/>
    <hyperlink ref="D562" r:id="rId572" xr:uid="{00000000-0004-0000-0000-00003B020000}"/>
    <hyperlink ref="D563" r:id="rId573" xr:uid="{00000000-0004-0000-0000-00003C020000}"/>
    <hyperlink ref="D564" r:id="rId574" xr:uid="{00000000-0004-0000-0000-00003D020000}"/>
    <hyperlink ref="D565" r:id="rId575" xr:uid="{00000000-0004-0000-0000-00003E020000}"/>
    <hyperlink ref="D566" r:id="rId576" xr:uid="{00000000-0004-0000-0000-00003F020000}"/>
    <hyperlink ref="D567" r:id="rId577" xr:uid="{00000000-0004-0000-0000-000040020000}"/>
    <hyperlink ref="D568" r:id="rId578" xr:uid="{00000000-0004-0000-0000-000041020000}"/>
    <hyperlink ref="D569" r:id="rId579" xr:uid="{00000000-0004-0000-0000-000042020000}"/>
    <hyperlink ref="D570" r:id="rId580" xr:uid="{00000000-0004-0000-0000-000043020000}"/>
    <hyperlink ref="D571" r:id="rId581" xr:uid="{00000000-0004-0000-0000-000044020000}"/>
    <hyperlink ref="D572" r:id="rId582" xr:uid="{00000000-0004-0000-0000-000045020000}"/>
    <hyperlink ref="D573" r:id="rId583" xr:uid="{00000000-0004-0000-0000-000046020000}"/>
    <hyperlink ref="D574" r:id="rId584" xr:uid="{00000000-0004-0000-0000-000047020000}"/>
    <hyperlink ref="D575" r:id="rId585" xr:uid="{00000000-0004-0000-0000-000048020000}"/>
    <hyperlink ref="C576" r:id="rId586" display="http://liberapay.com/" xr:uid="{00000000-0004-0000-0000-000049020000}"/>
    <hyperlink ref="D576" r:id="rId587" xr:uid="{00000000-0004-0000-0000-00004A020000}"/>
    <hyperlink ref="D577" r:id="rId588" xr:uid="{00000000-0004-0000-0000-00004B020000}"/>
    <hyperlink ref="D578" r:id="rId589" xr:uid="{00000000-0004-0000-0000-00004C020000}"/>
    <hyperlink ref="D579" r:id="rId590" xr:uid="{00000000-0004-0000-0000-00004D020000}"/>
    <hyperlink ref="D580" r:id="rId591" xr:uid="{00000000-0004-0000-0000-00004E020000}"/>
    <hyperlink ref="D581" r:id="rId592" xr:uid="{00000000-0004-0000-0000-00004F020000}"/>
    <hyperlink ref="D582" r:id="rId593" xr:uid="{00000000-0004-0000-0000-000050020000}"/>
    <hyperlink ref="D583" r:id="rId594" xr:uid="{00000000-0004-0000-0000-000051020000}"/>
    <hyperlink ref="D584" r:id="rId595" xr:uid="{00000000-0004-0000-0000-000052020000}"/>
    <hyperlink ref="D585" r:id="rId596" xr:uid="{00000000-0004-0000-0000-000053020000}"/>
    <hyperlink ref="D586" r:id="rId597" xr:uid="{00000000-0004-0000-0000-000054020000}"/>
    <hyperlink ref="D587" r:id="rId598" xr:uid="{00000000-0004-0000-0000-000055020000}"/>
    <hyperlink ref="D588" r:id="rId599" xr:uid="{00000000-0004-0000-0000-000056020000}"/>
    <hyperlink ref="D589" r:id="rId600" xr:uid="{00000000-0004-0000-0000-000057020000}"/>
    <hyperlink ref="D590" r:id="rId601" xr:uid="{00000000-0004-0000-0000-000058020000}"/>
    <hyperlink ref="D591" r:id="rId602" xr:uid="{00000000-0004-0000-0000-000059020000}"/>
    <hyperlink ref="D592" r:id="rId603" xr:uid="{00000000-0004-0000-0000-00005A020000}"/>
    <hyperlink ref="D593" r:id="rId604" xr:uid="{00000000-0004-0000-0000-00005B020000}"/>
    <hyperlink ref="D594" r:id="rId605" xr:uid="{00000000-0004-0000-0000-00005C020000}"/>
    <hyperlink ref="D595" r:id="rId606" xr:uid="{00000000-0004-0000-0000-00005D020000}"/>
    <hyperlink ref="D596" r:id="rId607" xr:uid="{00000000-0004-0000-0000-00005E020000}"/>
    <hyperlink ref="D597" r:id="rId608" xr:uid="{00000000-0004-0000-0000-00005F020000}"/>
    <hyperlink ref="D598" r:id="rId609" xr:uid="{00000000-0004-0000-0000-000060020000}"/>
    <hyperlink ref="D599" r:id="rId610" xr:uid="{00000000-0004-0000-0000-000061020000}"/>
    <hyperlink ref="D600" r:id="rId611" xr:uid="{00000000-0004-0000-0000-000062020000}"/>
    <hyperlink ref="D601" r:id="rId612" xr:uid="{00000000-0004-0000-0000-000063020000}"/>
    <hyperlink ref="D602" r:id="rId613" xr:uid="{00000000-0004-0000-0000-000064020000}"/>
    <hyperlink ref="D603" r:id="rId614" xr:uid="{00000000-0004-0000-0000-000065020000}"/>
    <hyperlink ref="D604" r:id="rId615" xr:uid="{00000000-0004-0000-0000-000066020000}"/>
    <hyperlink ref="D605" r:id="rId616" xr:uid="{00000000-0004-0000-0000-000067020000}"/>
    <hyperlink ref="D606" r:id="rId617" xr:uid="{00000000-0004-0000-0000-000068020000}"/>
    <hyperlink ref="D607" r:id="rId618" xr:uid="{00000000-0004-0000-0000-000069020000}"/>
    <hyperlink ref="D608" r:id="rId619" xr:uid="{00000000-0004-0000-0000-00006A020000}"/>
    <hyperlink ref="D609" r:id="rId620" xr:uid="{00000000-0004-0000-0000-00006B020000}"/>
    <hyperlink ref="D610" r:id="rId621" xr:uid="{00000000-0004-0000-0000-00006C020000}"/>
    <hyperlink ref="D611" r:id="rId622" xr:uid="{00000000-0004-0000-0000-00006D020000}"/>
    <hyperlink ref="D612" r:id="rId623" xr:uid="{00000000-0004-0000-0000-00006E020000}"/>
    <hyperlink ref="D613" r:id="rId624" xr:uid="{00000000-0004-0000-0000-00006F020000}"/>
    <hyperlink ref="D614" r:id="rId625" xr:uid="{00000000-0004-0000-0000-000070020000}"/>
    <hyperlink ref="D615" r:id="rId626" xr:uid="{00000000-0004-0000-0000-000071020000}"/>
    <hyperlink ref="D616" r:id="rId627" xr:uid="{00000000-0004-0000-0000-000072020000}"/>
    <hyperlink ref="D617" r:id="rId628" xr:uid="{00000000-0004-0000-0000-000073020000}"/>
    <hyperlink ref="D618" r:id="rId629" xr:uid="{00000000-0004-0000-0000-000074020000}"/>
    <hyperlink ref="D619" r:id="rId630" xr:uid="{00000000-0004-0000-0000-000075020000}"/>
    <hyperlink ref="D620" r:id="rId631" xr:uid="{00000000-0004-0000-0000-000076020000}"/>
    <hyperlink ref="D621" r:id="rId632" xr:uid="{00000000-0004-0000-0000-000077020000}"/>
    <hyperlink ref="D622" r:id="rId633" xr:uid="{00000000-0004-0000-0000-000078020000}"/>
    <hyperlink ref="D623" r:id="rId634" xr:uid="{00000000-0004-0000-0000-000079020000}"/>
    <hyperlink ref="D624" r:id="rId635" xr:uid="{00000000-0004-0000-0000-00007A020000}"/>
    <hyperlink ref="D625" r:id="rId636" xr:uid="{00000000-0004-0000-0000-00007B020000}"/>
    <hyperlink ref="D626" r:id="rId637" xr:uid="{00000000-0004-0000-0000-00007C020000}"/>
    <hyperlink ref="D627" r:id="rId638" xr:uid="{00000000-0004-0000-0000-00007D020000}"/>
    <hyperlink ref="D628" r:id="rId639" xr:uid="{00000000-0004-0000-0000-00007E020000}"/>
    <hyperlink ref="D629" r:id="rId640" xr:uid="{00000000-0004-0000-0000-00007F020000}"/>
    <hyperlink ref="D630" r:id="rId641" xr:uid="{00000000-0004-0000-0000-000080020000}"/>
    <hyperlink ref="D631" r:id="rId642" xr:uid="{00000000-0004-0000-0000-000081020000}"/>
    <hyperlink ref="D632" r:id="rId643" xr:uid="{00000000-0004-0000-0000-000082020000}"/>
    <hyperlink ref="D633" r:id="rId644" xr:uid="{00000000-0004-0000-0000-000083020000}"/>
    <hyperlink ref="D634" r:id="rId645" xr:uid="{00000000-0004-0000-0000-000084020000}"/>
    <hyperlink ref="D635" r:id="rId646" xr:uid="{00000000-0004-0000-0000-000085020000}"/>
    <hyperlink ref="D636" r:id="rId647" xr:uid="{00000000-0004-0000-0000-000086020000}"/>
    <hyperlink ref="D637" r:id="rId648" xr:uid="{00000000-0004-0000-0000-000087020000}"/>
    <hyperlink ref="D638" r:id="rId649" xr:uid="{00000000-0004-0000-0000-000088020000}"/>
    <hyperlink ref="D639" r:id="rId650" xr:uid="{00000000-0004-0000-0000-000089020000}"/>
    <hyperlink ref="D640" r:id="rId651" xr:uid="{00000000-0004-0000-0000-00008A020000}"/>
    <hyperlink ref="D641" r:id="rId652" xr:uid="{00000000-0004-0000-0000-00008B020000}"/>
    <hyperlink ref="D642" r:id="rId653" xr:uid="{00000000-0004-0000-0000-00008C020000}"/>
    <hyperlink ref="D643" r:id="rId654" xr:uid="{00000000-0004-0000-0000-00008D020000}"/>
    <hyperlink ref="D644" r:id="rId655" xr:uid="{00000000-0004-0000-0000-00008E020000}"/>
    <hyperlink ref="D645" r:id="rId656" xr:uid="{00000000-0004-0000-0000-00008F020000}"/>
    <hyperlink ref="D646" r:id="rId657" xr:uid="{00000000-0004-0000-0000-000090020000}"/>
    <hyperlink ref="D647" r:id="rId658" xr:uid="{00000000-0004-0000-0000-000091020000}"/>
    <hyperlink ref="D648" r:id="rId659" xr:uid="{00000000-0004-0000-0000-000092020000}"/>
    <hyperlink ref="D649" r:id="rId660" xr:uid="{00000000-0004-0000-0000-000093020000}"/>
    <hyperlink ref="D650" r:id="rId661" xr:uid="{00000000-0004-0000-0000-000094020000}"/>
    <hyperlink ref="D651" r:id="rId662" xr:uid="{00000000-0004-0000-0000-000095020000}"/>
    <hyperlink ref="D652" r:id="rId663" xr:uid="{00000000-0004-0000-0000-000096020000}"/>
    <hyperlink ref="D653" r:id="rId664" xr:uid="{00000000-0004-0000-0000-000097020000}"/>
    <hyperlink ref="D654" r:id="rId665" xr:uid="{00000000-0004-0000-0000-000098020000}"/>
    <hyperlink ref="D655" r:id="rId666" xr:uid="{00000000-0004-0000-0000-000099020000}"/>
    <hyperlink ref="D656" r:id="rId667" xr:uid="{00000000-0004-0000-0000-00009A020000}"/>
    <hyperlink ref="D657" r:id="rId668" xr:uid="{00000000-0004-0000-0000-00009B020000}"/>
    <hyperlink ref="D658" r:id="rId669" xr:uid="{00000000-0004-0000-0000-00009C020000}"/>
    <hyperlink ref="D659" r:id="rId670" xr:uid="{00000000-0004-0000-0000-00009D020000}"/>
    <hyperlink ref="D660" r:id="rId671" xr:uid="{00000000-0004-0000-0000-00009E020000}"/>
    <hyperlink ref="D661" r:id="rId672" xr:uid="{00000000-0004-0000-0000-00009F020000}"/>
    <hyperlink ref="D662" r:id="rId673" xr:uid="{00000000-0004-0000-0000-0000A0020000}"/>
    <hyperlink ref="D663" r:id="rId674" xr:uid="{00000000-0004-0000-0000-0000A1020000}"/>
    <hyperlink ref="D664" r:id="rId675" xr:uid="{00000000-0004-0000-0000-0000A2020000}"/>
    <hyperlink ref="D665" r:id="rId676" xr:uid="{00000000-0004-0000-0000-0000A3020000}"/>
    <hyperlink ref="D666" r:id="rId677" xr:uid="{00000000-0004-0000-0000-0000A4020000}"/>
    <hyperlink ref="D667" r:id="rId678" xr:uid="{00000000-0004-0000-0000-0000A5020000}"/>
    <hyperlink ref="D668" r:id="rId679" xr:uid="{00000000-0004-0000-0000-0000A6020000}"/>
    <hyperlink ref="D669" r:id="rId680" xr:uid="{00000000-0004-0000-0000-0000A7020000}"/>
    <hyperlink ref="D670" r:id="rId681" xr:uid="{00000000-0004-0000-0000-0000A8020000}"/>
    <hyperlink ref="D671" r:id="rId682" xr:uid="{00000000-0004-0000-0000-0000A9020000}"/>
    <hyperlink ref="D672" r:id="rId683" xr:uid="{00000000-0004-0000-0000-0000AA020000}"/>
    <hyperlink ref="D673" r:id="rId684" xr:uid="{00000000-0004-0000-0000-0000AB020000}"/>
    <hyperlink ref="D674" r:id="rId685" xr:uid="{00000000-0004-0000-0000-0000AC020000}"/>
    <hyperlink ref="D675" r:id="rId686" xr:uid="{00000000-0004-0000-0000-0000AD020000}"/>
    <hyperlink ref="D676" r:id="rId687" xr:uid="{00000000-0004-0000-0000-0000AE020000}"/>
    <hyperlink ref="D677" r:id="rId688" xr:uid="{00000000-0004-0000-0000-0000AF020000}"/>
    <hyperlink ref="D678" r:id="rId689" xr:uid="{00000000-0004-0000-0000-0000B0020000}"/>
    <hyperlink ref="D679" r:id="rId690" xr:uid="{00000000-0004-0000-0000-0000B1020000}"/>
    <hyperlink ref="D680" r:id="rId691" xr:uid="{00000000-0004-0000-0000-0000B2020000}"/>
    <hyperlink ref="D681" r:id="rId692" xr:uid="{00000000-0004-0000-0000-0000B3020000}"/>
    <hyperlink ref="D682" r:id="rId693" xr:uid="{00000000-0004-0000-0000-0000B4020000}"/>
    <hyperlink ref="D683" r:id="rId694" xr:uid="{00000000-0004-0000-0000-0000B5020000}"/>
    <hyperlink ref="D684" r:id="rId695" xr:uid="{00000000-0004-0000-0000-0000B6020000}"/>
    <hyperlink ref="D685" r:id="rId696" xr:uid="{00000000-0004-0000-0000-0000B7020000}"/>
    <hyperlink ref="D686" r:id="rId697" xr:uid="{00000000-0004-0000-0000-0000B8020000}"/>
    <hyperlink ref="D687" r:id="rId698" xr:uid="{00000000-0004-0000-0000-0000B9020000}"/>
    <hyperlink ref="D688" r:id="rId699" xr:uid="{00000000-0004-0000-0000-0000BA020000}"/>
    <hyperlink ref="D689" r:id="rId700" xr:uid="{00000000-0004-0000-0000-0000BB020000}"/>
    <hyperlink ref="D690" r:id="rId701" xr:uid="{00000000-0004-0000-0000-0000BC020000}"/>
    <hyperlink ref="D691" r:id="rId702" xr:uid="{00000000-0004-0000-0000-0000BD020000}"/>
    <hyperlink ref="D692" r:id="rId703" xr:uid="{00000000-0004-0000-0000-0000BE020000}"/>
    <hyperlink ref="D693" r:id="rId704" xr:uid="{00000000-0004-0000-0000-0000BF020000}"/>
    <hyperlink ref="D694" r:id="rId705" xr:uid="{00000000-0004-0000-0000-0000C0020000}"/>
    <hyperlink ref="D695" r:id="rId706" xr:uid="{00000000-0004-0000-0000-0000C1020000}"/>
    <hyperlink ref="D696" r:id="rId707" xr:uid="{00000000-0004-0000-0000-0000C2020000}"/>
    <hyperlink ref="D697" r:id="rId708" xr:uid="{00000000-0004-0000-0000-0000C3020000}"/>
    <hyperlink ref="D698" r:id="rId709" xr:uid="{00000000-0004-0000-0000-0000C4020000}"/>
    <hyperlink ref="D699" r:id="rId710" xr:uid="{00000000-0004-0000-0000-0000C5020000}"/>
    <hyperlink ref="D700" r:id="rId711" xr:uid="{00000000-0004-0000-0000-0000C6020000}"/>
    <hyperlink ref="D701" r:id="rId712" xr:uid="{00000000-0004-0000-0000-0000C7020000}"/>
    <hyperlink ref="D702" r:id="rId713" xr:uid="{00000000-0004-0000-0000-0000C8020000}"/>
    <hyperlink ref="D703" r:id="rId714" xr:uid="{00000000-0004-0000-0000-0000C9020000}"/>
    <hyperlink ref="D704" r:id="rId715" xr:uid="{00000000-0004-0000-0000-0000CA020000}"/>
    <hyperlink ref="D705" r:id="rId716" xr:uid="{00000000-0004-0000-0000-0000CB020000}"/>
    <hyperlink ref="D706" r:id="rId717" xr:uid="{00000000-0004-0000-0000-0000CC020000}"/>
    <hyperlink ref="D707" r:id="rId718" xr:uid="{00000000-0004-0000-0000-0000CD020000}"/>
    <hyperlink ref="D708" r:id="rId719" xr:uid="{00000000-0004-0000-0000-0000CE020000}"/>
    <hyperlink ref="D709" r:id="rId720" xr:uid="{00000000-0004-0000-0000-0000CF020000}"/>
    <hyperlink ref="D710" r:id="rId721" xr:uid="{00000000-0004-0000-0000-0000D0020000}"/>
    <hyperlink ref="D711" r:id="rId722" xr:uid="{00000000-0004-0000-0000-0000D1020000}"/>
    <hyperlink ref="D712" r:id="rId723" xr:uid="{00000000-0004-0000-0000-0000D2020000}"/>
    <hyperlink ref="D713" r:id="rId724" xr:uid="{00000000-0004-0000-0000-0000D3020000}"/>
    <hyperlink ref="D714" r:id="rId725" xr:uid="{00000000-0004-0000-0000-0000D4020000}"/>
    <hyperlink ref="D715" r:id="rId726" xr:uid="{00000000-0004-0000-0000-0000D5020000}"/>
    <hyperlink ref="D716" r:id="rId727" xr:uid="{00000000-0004-0000-0000-0000D6020000}"/>
    <hyperlink ref="D717" r:id="rId728" xr:uid="{00000000-0004-0000-0000-0000D7020000}"/>
    <hyperlink ref="D718" r:id="rId729" xr:uid="{00000000-0004-0000-0000-0000D8020000}"/>
    <hyperlink ref="D719" r:id="rId730" xr:uid="{00000000-0004-0000-0000-0000D9020000}"/>
    <hyperlink ref="D720" r:id="rId731" xr:uid="{00000000-0004-0000-0000-0000DA020000}"/>
    <hyperlink ref="D721" r:id="rId732" xr:uid="{00000000-0004-0000-0000-0000DB020000}"/>
    <hyperlink ref="D722" r:id="rId733" xr:uid="{00000000-0004-0000-0000-0000DC020000}"/>
    <hyperlink ref="D723" r:id="rId734" xr:uid="{00000000-0004-0000-0000-0000DD020000}"/>
    <hyperlink ref="D724" r:id="rId735" xr:uid="{00000000-0004-0000-0000-0000DE020000}"/>
    <hyperlink ref="D725" r:id="rId736" xr:uid="{00000000-0004-0000-0000-0000DF020000}"/>
    <hyperlink ref="D726" r:id="rId737" xr:uid="{00000000-0004-0000-0000-0000E0020000}"/>
    <hyperlink ref="D727" r:id="rId738" xr:uid="{00000000-0004-0000-0000-0000E1020000}"/>
    <hyperlink ref="D728" r:id="rId739" xr:uid="{00000000-0004-0000-0000-0000E2020000}"/>
    <hyperlink ref="D729" r:id="rId740" xr:uid="{00000000-0004-0000-0000-0000E3020000}"/>
    <hyperlink ref="D730" r:id="rId741" xr:uid="{00000000-0004-0000-0000-0000E4020000}"/>
    <hyperlink ref="D731" r:id="rId742" xr:uid="{00000000-0004-0000-0000-0000E5020000}"/>
    <hyperlink ref="D732" r:id="rId743" xr:uid="{00000000-0004-0000-0000-0000E6020000}"/>
    <hyperlink ref="D733" r:id="rId744" xr:uid="{00000000-0004-0000-0000-0000E7020000}"/>
    <hyperlink ref="D734" r:id="rId745" xr:uid="{00000000-0004-0000-0000-0000E8020000}"/>
    <hyperlink ref="D735" r:id="rId746" xr:uid="{00000000-0004-0000-0000-0000E9020000}"/>
    <hyperlink ref="D736" r:id="rId747" xr:uid="{00000000-0004-0000-0000-0000EA020000}"/>
    <hyperlink ref="D737" r:id="rId748" xr:uid="{00000000-0004-0000-0000-0000EB020000}"/>
    <hyperlink ref="D738" r:id="rId749" xr:uid="{00000000-0004-0000-0000-0000EC020000}"/>
    <hyperlink ref="D739" r:id="rId750" xr:uid="{00000000-0004-0000-0000-0000ED020000}"/>
    <hyperlink ref="D740" r:id="rId751" xr:uid="{00000000-0004-0000-0000-0000EE020000}"/>
    <hyperlink ref="D741" r:id="rId752" xr:uid="{00000000-0004-0000-0000-0000EF020000}"/>
    <hyperlink ref="D742" r:id="rId753" xr:uid="{00000000-0004-0000-0000-0000F0020000}"/>
    <hyperlink ref="D743" r:id="rId754" xr:uid="{00000000-0004-0000-0000-0000F1020000}"/>
    <hyperlink ref="D744" r:id="rId755" xr:uid="{00000000-0004-0000-0000-0000F2020000}"/>
    <hyperlink ref="D745" r:id="rId756" xr:uid="{00000000-0004-0000-0000-0000F3020000}"/>
    <hyperlink ref="D746" r:id="rId757" xr:uid="{00000000-0004-0000-0000-0000F4020000}"/>
    <hyperlink ref="D747" r:id="rId758" xr:uid="{00000000-0004-0000-0000-0000F5020000}"/>
    <hyperlink ref="D748" r:id="rId759" xr:uid="{00000000-0004-0000-0000-0000F6020000}"/>
    <hyperlink ref="D749" r:id="rId760" xr:uid="{00000000-0004-0000-0000-0000F7020000}"/>
    <hyperlink ref="D750" r:id="rId761" xr:uid="{00000000-0004-0000-0000-0000F8020000}"/>
    <hyperlink ref="D751" r:id="rId762" xr:uid="{00000000-0004-0000-0000-0000F9020000}"/>
    <hyperlink ref="D752" r:id="rId763" xr:uid="{00000000-0004-0000-0000-0000FA020000}"/>
    <hyperlink ref="D753" r:id="rId764" xr:uid="{00000000-0004-0000-0000-0000FB020000}"/>
    <hyperlink ref="D754" r:id="rId765" xr:uid="{00000000-0004-0000-0000-0000FC020000}"/>
    <hyperlink ref="D755" r:id="rId766" xr:uid="{00000000-0004-0000-0000-0000FD020000}"/>
    <hyperlink ref="D756" r:id="rId767" xr:uid="{00000000-0004-0000-0000-0000FE020000}"/>
    <hyperlink ref="D757" r:id="rId768" xr:uid="{00000000-0004-0000-0000-0000FF020000}"/>
    <hyperlink ref="D758" r:id="rId769" xr:uid="{00000000-0004-0000-0000-000000030000}"/>
    <hyperlink ref="D759" r:id="rId770" xr:uid="{00000000-0004-0000-0000-000001030000}"/>
    <hyperlink ref="D760" r:id="rId771" xr:uid="{00000000-0004-0000-0000-000002030000}"/>
    <hyperlink ref="D761" r:id="rId772" xr:uid="{00000000-0004-0000-0000-000003030000}"/>
    <hyperlink ref="D762" r:id="rId773" xr:uid="{00000000-0004-0000-0000-000004030000}"/>
    <hyperlink ref="D763" r:id="rId774" xr:uid="{00000000-0004-0000-0000-000005030000}"/>
    <hyperlink ref="D764" r:id="rId775" xr:uid="{00000000-0004-0000-0000-000006030000}"/>
    <hyperlink ref="D765" r:id="rId776" xr:uid="{00000000-0004-0000-0000-000007030000}"/>
    <hyperlink ref="D766" r:id="rId777" xr:uid="{00000000-0004-0000-0000-000008030000}"/>
    <hyperlink ref="D767" r:id="rId778" xr:uid="{00000000-0004-0000-0000-000009030000}"/>
    <hyperlink ref="D768" r:id="rId779" xr:uid="{00000000-0004-0000-0000-00000A030000}"/>
    <hyperlink ref="D769" r:id="rId780" xr:uid="{00000000-0004-0000-0000-00000B030000}"/>
    <hyperlink ref="D770" r:id="rId781" xr:uid="{00000000-0004-0000-0000-00000C030000}"/>
    <hyperlink ref="D771" r:id="rId782" xr:uid="{00000000-0004-0000-0000-00000D030000}"/>
    <hyperlink ref="D772" r:id="rId783" xr:uid="{00000000-0004-0000-0000-00000E030000}"/>
    <hyperlink ref="D773" r:id="rId784" xr:uid="{00000000-0004-0000-0000-00000F030000}"/>
    <hyperlink ref="D774" r:id="rId785" xr:uid="{00000000-0004-0000-0000-000010030000}"/>
    <hyperlink ref="D775" r:id="rId786" xr:uid="{00000000-0004-0000-0000-000011030000}"/>
    <hyperlink ref="D776" r:id="rId787" xr:uid="{00000000-0004-0000-0000-000012030000}"/>
    <hyperlink ref="D777" r:id="rId788" xr:uid="{00000000-0004-0000-0000-000013030000}"/>
    <hyperlink ref="D778" r:id="rId789" xr:uid="{00000000-0004-0000-0000-000014030000}"/>
    <hyperlink ref="D779" r:id="rId790" xr:uid="{00000000-0004-0000-0000-000015030000}"/>
    <hyperlink ref="D780" r:id="rId791" xr:uid="{00000000-0004-0000-0000-000016030000}"/>
    <hyperlink ref="D781" r:id="rId792" xr:uid="{00000000-0004-0000-0000-000017030000}"/>
    <hyperlink ref="D782" r:id="rId793" xr:uid="{00000000-0004-0000-0000-000018030000}"/>
    <hyperlink ref="D783" r:id="rId794" xr:uid="{00000000-0004-0000-0000-000019030000}"/>
    <hyperlink ref="D784" r:id="rId795" xr:uid="{00000000-0004-0000-0000-00001A030000}"/>
    <hyperlink ref="D785" r:id="rId796" xr:uid="{00000000-0004-0000-0000-00001B030000}"/>
    <hyperlink ref="D786" r:id="rId797" xr:uid="{00000000-0004-0000-0000-00001C030000}"/>
    <hyperlink ref="D787" r:id="rId798" xr:uid="{00000000-0004-0000-0000-00001D030000}"/>
    <hyperlink ref="D788" r:id="rId799" xr:uid="{00000000-0004-0000-0000-00001E030000}"/>
    <hyperlink ref="D789" r:id="rId800" xr:uid="{00000000-0004-0000-0000-00001F030000}"/>
    <hyperlink ref="D790" r:id="rId801" xr:uid="{00000000-0004-0000-0000-000020030000}"/>
    <hyperlink ref="D791" r:id="rId802" xr:uid="{00000000-0004-0000-0000-000021030000}"/>
    <hyperlink ref="D792" r:id="rId803" xr:uid="{00000000-0004-0000-0000-000022030000}"/>
    <hyperlink ref="D793" r:id="rId804" xr:uid="{00000000-0004-0000-0000-000023030000}"/>
    <hyperlink ref="D794" r:id="rId805" xr:uid="{00000000-0004-0000-0000-000024030000}"/>
    <hyperlink ref="D795" r:id="rId806" xr:uid="{00000000-0004-0000-0000-000025030000}"/>
    <hyperlink ref="D796" r:id="rId807" xr:uid="{00000000-0004-0000-0000-000026030000}"/>
    <hyperlink ref="D797" r:id="rId808" xr:uid="{00000000-0004-0000-0000-000027030000}"/>
    <hyperlink ref="D798" r:id="rId809" xr:uid="{00000000-0004-0000-0000-000028030000}"/>
    <hyperlink ref="D799" r:id="rId810" xr:uid="{00000000-0004-0000-0000-000029030000}"/>
    <hyperlink ref="D800" r:id="rId811" xr:uid="{00000000-0004-0000-0000-00002A030000}"/>
    <hyperlink ref="D801" r:id="rId812" xr:uid="{00000000-0004-0000-0000-00002B030000}"/>
    <hyperlink ref="D802" r:id="rId813" xr:uid="{00000000-0004-0000-0000-00002C030000}"/>
    <hyperlink ref="D803" r:id="rId814" xr:uid="{00000000-0004-0000-0000-00002D030000}"/>
    <hyperlink ref="D804" r:id="rId815" xr:uid="{00000000-0004-0000-0000-00002E030000}"/>
    <hyperlink ref="D805" r:id="rId816" xr:uid="{00000000-0004-0000-0000-00002F030000}"/>
    <hyperlink ref="D806" r:id="rId817" xr:uid="{00000000-0004-0000-0000-000030030000}"/>
    <hyperlink ref="D807" r:id="rId818" xr:uid="{00000000-0004-0000-0000-000031030000}"/>
    <hyperlink ref="D808" r:id="rId819" xr:uid="{00000000-0004-0000-0000-000032030000}"/>
    <hyperlink ref="D809" r:id="rId820" xr:uid="{00000000-0004-0000-0000-000033030000}"/>
    <hyperlink ref="D810" r:id="rId821" xr:uid="{00000000-0004-0000-0000-000034030000}"/>
    <hyperlink ref="D811" r:id="rId822" xr:uid="{00000000-0004-0000-0000-000035030000}"/>
    <hyperlink ref="D812" r:id="rId823" xr:uid="{00000000-0004-0000-0000-000036030000}"/>
    <hyperlink ref="D813" r:id="rId824" xr:uid="{00000000-0004-0000-0000-000037030000}"/>
    <hyperlink ref="D814" r:id="rId825" xr:uid="{00000000-0004-0000-0000-000038030000}"/>
    <hyperlink ref="D815" r:id="rId826" xr:uid="{00000000-0004-0000-0000-000039030000}"/>
    <hyperlink ref="D816" r:id="rId827" xr:uid="{00000000-0004-0000-0000-00003A030000}"/>
    <hyperlink ref="D817" r:id="rId828" xr:uid="{00000000-0004-0000-0000-00003B030000}"/>
    <hyperlink ref="D818" r:id="rId829" xr:uid="{00000000-0004-0000-0000-00003C030000}"/>
    <hyperlink ref="D819" r:id="rId830" xr:uid="{00000000-0004-0000-0000-00003D030000}"/>
    <hyperlink ref="D820" r:id="rId831" xr:uid="{00000000-0004-0000-0000-00003E030000}"/>
    <hyperlink ref="D821" r:id="rId832" xr:uid="{00000000-0004-0000-0000-00003F030000}"/>
    <hyperlink ref="D822" r:id="rId833" xr:uid="{00000000-0004-0000-0000-000040030000}"/>
    <hyperlink ref="D823" r:id="rId834" xr:uid="{00000000-0004-0000-0000-000041030000}"/>
    <hyperlink ref="D824" r:id="rId835" xr:uid="{00000000-0004-0000-0000-000042030000}"/>
    <hyperlink ref="D825" r:id="rId836" xr:uid="{00000000-0004-0000-0000-000043030000}"/>
    <hyperlink ref="D826" r:id="rId837" xr:uid="{00000000-0004-0000-0000-000044030000}"/>
    <hyperlink ref="D827" r:id="rId838" xr:uid="{00000000-0004-0000-0000-000045030000}"/>
    <hyperlink ref="D828" r:id="rId839" xr:uid="{00000000-0004-0000-0000-000046030000}"/>
    <hyperlink ref="D829" r:id="rId840" xr:uid="{00000000-0004-0000-0000-000047030000}"/>
    <hyperlink ref="D830" r:id="rId841" xr:uid="{00000000-0004-0000-0000-000048030000}"/>
    <hyperlink ref="D831" r:id="rId842" xr:uid="{00000000-0004-0000-0000-000049030000}"/>
    <hyperlink ref="D832" r:id="rId843" xr:uid="{00000000-0004-0000-0000-00004A030000}"/>
    <hyperlink ref="D833" r:id="rId844" xr:uid="{00000000-0004-0000-0000-00004B030000}"/>
    <hyperlink ref="D834" r:id="rId845" xr:uid="{00000000-0004-0000-0000-00004C030000}"/>
    <hyperlink ref="D835" r:id="rId846" xr:uid="{00000000-0004-0000-0000-00004D030000}"/>
    <hyperlink ref="D836" r:id="rId847" xr:uid="{00000000-0004-0000-0000-00004E030000}"/>
    <hyperlink ref="D837" r:id="rId848" xr:uid="{00000000-0004-0000-0000-00004F030000}"/>
    <hyperlink ref="D838" r:id="rId849" xr:uid="{00000000-0004-0000-0000-000050030000}"/>
    <hyperlink ref="D839" r:id="rId850" xr:uid="{00000000-0004-0000-0000-000051030000}"/>
    <hyperlink ref="D840" r:id="rId851" xr:uid="{00000000-0004-0000-0000-000052030000}"/>
    <hyperlink ref="D841" r:id="rId852" xr:uid="{00000000-0004-0000-0000-000053030000}"/>
    <hyperlink ref="D842" r:id="rId853" xr:uid="{00000000-0004-0000-0000-000054030000}"/>
    <hyperlink ref="D843" r:id="rId854" xr:uid="{00000000-0004-0000-0000-000055030000}"/>
    <hyperlink ref="D844" r:id="rId855" xr:uid="{00000000-0004-0000-0000-000056030000}"/>
    <hyperlink ref="D845" r:id="rId856" xr:uid="{00000000-0004-0000-0000-000057030000}"/>
    <hyperlink ref="D846" r:id="rId857" xr:uid="{00000000-0004-0000-0000-000058030000}"/>
    <hyperlink ref="D847" r:id="rId858" xr:uid="{00000000-0004-0000-0000-000059030000}"/>
    <hyperlink ref="D848" r:id="rId859" xr:uid="{00000000-0004-0000-0000-00005A030000}"/>
    <hyperlink ref="D849" r:id="rId860" xr:uid="{00000000-0004-0000-0000-00005B030000}"/>
    <hyperlink ref="D850" r:id="rId861" xr:uid="{00000000-0004-0000-0000-00005C030000}"/>
    <hyperlink ref="D851" r:id="rId862" xr:uid="{00000000-0004-0000-0000-00005D030000}"/>
    <hyperlink ref="D852" r:id="rId863" xr:uid="{00000000-0004-0000-0000-00005E030000}"/>
    <hyperlink ref="D853" r:id="rId864" xr:uid="{00000000-0004-0000-0000-00005F030000}"/>
    <hyperlink ref="D854" r:id="rId865" xr:uid="{00000000-0004-0000-0000-000060030000}"/>
    <hyperlink ref="D855" r:id="rId866" xr:uid="{00000000-0004-0000-0000-000061030000}"/>
    <hyperlink ref="D856" r:id="rId867" xr:uid="{00000000-0004-0000-0000-000062030000}"/>
    <hyperlink ref="D857" r:id="rId868" xr:uid="{00000000-0004-0000-0000-000063030000}"/>
    <hyperlink ref="D858" r:id="rId869" xr:uid="{00000000-0004-0000-0000-000064030000}"/>
    <hyperlink ref="D859" r:id="rId870" xr:uid="{00000000-0004-0000-0000-000065030000}"/>
    <hyperlink ref="D860" r:id="rId871" xr:uid="{00000000-0004-0000-0000-000066030000}"/>
    <hyperlink ref="D861" r:id="rId872" xr:uid="{00000000-0004-0000-0000-000067030000}"/>
    <hyperlink ref="D862" r:id="rId873" xr:uid="{00000000-0004-0000-0000-000068030000}"/>
    <hyperlink ref="D863" r:id="rId874" xr:uid="{00000000-0004-0000-0000-000069030000}"/>
    <hyperlink ref="D864" r:id="rId875" xr:uid="{00000000-0004-0000-0000-00006A030000}"/>
    <hyperlink ref="D865" r:id="rId876" xr:uid="{00000000-0004-0000-0000-00006B030000}"/>
    <hyperlink ref="D866" r:id="rId877" xr:uid="{00000000-0004-0000-0000-00006C030000}"/>
    <hyperlink ref="D867" r:id="rId878" xr:uid="{00000000-0004-0000-0000-00006D030000}"/>
    <hyperlink ref="D868" r:id="rId879" xr:uid="{00000000-0004-0000-0000-00006E030000}"/>
    <hyperlink ref="D869" r:id="rId880" xr:uid="{00000000-0004-0000-0000-00006F030000}"/>
    <hyperlink ref="D870" r:id="rId881" xr:uid="{00000000-0004-0000-0000-000070030000}"/>
    <hyperlink ref="D871" r:id="rId882" xr:uid="{00000000-0004-0000-0000-000071030000}"/>
    <hyperlink ref="D872" r:id="rId883" xr:uid="{00000000-0004-0000-0000-000072030000}"/>
    <hyperlink ref="D873" r:id="rId884" xr:uid="{00000000-0004-0000-0000-000073030000}"/>
    <hyperlink ref="D874" r:id="rId885" xr:uid="{00000000-0004-0000-0000-000074030000}"/>
    <hyperlink ref="D875" r:id="rId886" xr:uid="{00000000-0004-0000-0000-000075030000}"/>
    <hyperlink ref="D876" r:id="rId887" xr:uid="{00000000-0004-0000-0000-000076030000}"/>
    <hyperlink ref="D877" r:id="rId888" xr:uid="{00000000-0004-0000-0000-000077030000}"/>
    <hyperlink ref="D878" r:id="rId889" xr:uid="{00000000-0004-0000-0000-000078030000}"/>
    <hyperlink ref="D879" r:id="rId890" xr:uid="{00000000-0004-0000-0000-000079030000}"/>
    <hyperlink ref="D880" r:id="rId891" xr:uid="{00000000-0004-0000-0000-00007A030000}"/>
    <hyperlink ref="D881" r:id="rId892" xr:uid="{00000000-0004-0000-0000-00007B030000}"/>
    <hyperlink ref="D882" r:id="rId893" xr:uid="{00000000-0004-0000-0000-00007C030000}"/>
    <hyperlink ref="D883" r:id="rId894" xr:uid="{00000000-0004-0000-0000-00007D030000}"/>
    <hyperlink ref="D884" r:id="rId895" xr:uid="{00000000-0004-0000-0000-00007E030000}"/>
    <hyperlink ref="D885" r:id="rId896" xr:uid="{00000000-0004-0000-0000-00007F030000}"/>
    <hyperlink ref="D886" r:id="rId897" xr:uid="{00000000-0004-0000-0000-000080030000}"/>
    <hyperlink ref="D887" r:id="rId898" xr:uid="{00000000-0004-0000-0000-000081030000}"/>
    <hyperlink ref="D888" r:id="rId899" xr:uid="{00000000-0004-0000-0000-000082030000}"/>
    <hyperlink ref="D889" r:id="rId900" xr:uid="{00000000-0004-0000-0000-000083030000}"/>
    <hyperlink ref="D890" r:id="rId901" xr:uid="{00000000-0004-0000-0000-000084030000}"/>
    <hyperlink ref="C891" r:id="rId902" display="http://readthedocs.org/" xr:uid="{00000000-0004-0000-0000-000085030000}"/>
    <hyperlink ref="D891" r:id="rId903" xr:uid="{00000000-0004-0000-0000-000086030000}"/>
    <hyperlink ref="D892" r:id="rId904" xr:uid="{00000000-0004-0000-0000-000087030000}"/>
    <hyperlink ref="C893" r:id="rId905" display="http://baseplate.py/" xr:uid="{00000000-0004-0000-0000-000088030000}"/>
    <hyperlink ref="D893" r:id="rId906" xr:uid="{00000000-0004-0000-0000-000089030000}"/>
    <hyperlink ref="D894" r:id="rId907" xr:uid="{00000000-0004-0000-0000-00008A030000}"/>
    <hyperlink ref="D895" r:id="rId908" xr:uid="{00000000-0004-0000-0000-00008B030000}"/>
    <hyperlink ref="D896" r:id="rId909" xr:uid="{00000000-0004-0000-0000-00008C030000}"/>
    <hyperlink ref="D897" r:id="rId910" xr:uid="{00000000-0004-0000-0000-00008D030000}"/>
    <hyperlink ref="D898" r:id="rId911" xr:uid="{00000000-0004-0000-0000-00008E030000}"/>
    <hyperlink ref="D899" r:id="rId912" xr:uid="{00000000-0004-0000-0000-00008F030000}"/>
    <hyperlink ref="D900" r:id="rId913" xr:uid="{00000000-0004-0000-0000-000090030000}"/>
    <hyperlink ref="D901" r:id="rId914" xr:uid="{00000000-0004-0000-0000-000091030000}"/>
    <hyperlink ref="D902" r:id="rId915" xr:uid="{00000000-0004-0000-0000-000092030000}"/>
    <hyperlink ref="D903" r:id="rId916" xr:uid="{00000000-0004-0000-0000-000093030000}"/>
    <hyperlink ref="D904" r:id="rId917" xr:uid="{00000000-0004-0000-0000-000094030000}"/>
    <hyperlink ref="D905" r:id="rId918" xr:uid="{00000000-0004-0000-0000-000095030000}"/>
    <hyperlink ref="D906" r:id="rId919" xr:uid="{00000000-0004-0000-0000-000096030000}"/>
    <hyperlink ref="D907" r:id="rId920" xr:uid="{00000000-0004-0000-0000-000097030000}"/>
    <hyperlink ref="D908" r:id="rId921" xr:uid="{00000000-0004-0000-0000-000098030000}"/>
    <hyperlink ref="D909" r:id="rId922" xr:uid="{00000000-0004-0000-0000-000099030000}"/>
    <hyperlink ref="D910" r:id="rId923" xr:uid="{00000000-0004-0000-0000-00009A030000}"/>
    <hyperlink ref="D911" r:id="rId924" xr:uid="{00000000-0004-0000-0000-00009B030000}"/>
    <hyperlink ref="D912" r:id="rId925" xr:uid="{00000000-0004-0000-0000-00009C030000}"/>
    <hyperlink ref="D913" r:id="rId926" xr:uid="{00000000-0004-0000-0000-00009D030000}"/>
    <hyperlink ref="D914" r:id="rId927" xr:uid="{00000000-0004-0000-0000-00009E030000}"/>
    <hyperlink ref="D915" r:id="rId928" xr:uid="{00000000-0004-0000-0000-00009F030000}"/>
    <hyperlink ref="D916" r:id="rId929" xr:uid="{00000000-0004-0000-0000-0000A0030000}"/>
    <hyperlink ref="D917" r:id="rId930" xr:uid="{00000000-0004-0000-0000-0000A1030000}"/>
    <hyperlink ref="D918" r:id="rId931" xr:uid="{00000000-0004-0000-0000-0000A2030000}"/>
    <hyperlink ref="D919" r:id="rId932" xr:uid="{00000000-0004-0000-0000-0000A3030000}"/>
    <hyperlink ref="D920" r:id="rId933" xr:uid="{00000000-0004-0000-0000-0000A4030000}"/>
    <hyperlink ref="D921" r:id="rId934" xr:uid="{00000000-0004-0000-0000-0000A5030000}"/>
    <hyperlink ref="D922" r:id="rId935" xr:uid="{00000000-0004-0000-0000-0000A6030000}"/>
    <hyperlink ref="D923" r:id="rId936" xr:uid="{00000000-0004-0000-0000-0000A7030000}"/>
    <hyperlink ref="D924" r:id="rId937" xr:uid="{00000000-0004-0000-0000-0000A8030000}"/>
    <hyperlink ref="D925" r:id="rId938" xr:uid="{00000000-0004-0000-0000-0000A9030000}"/>
    <hyperlink ref="D926" r:id="rId939" xr:uid="{00000000-0004-0000-0000-0000AA030000}"/>
    <hyperlink ref="D927" r:id="rId940" xr:uid="{00000000-0004-0000-0000-0000AB030000}"/>
    <hyperlink ref="D928" r:id="rId941" xr:uid="{00000000-0004-0000-0000-0000AC030000}"/>
    <hyperlink ref="D929" r:id="rId942" xr:uid="{00000000-0004-0000-0000-0000AD030000}"/>
    <hyperlink ref="D930" r:id="rId943" xr:uid="{00000000-0004-0000-0000-0000AE030000}"/>
    <hyperlink ref="D931" r:id="rId944" xr:uid="{00000000-0004-0000-0000-0000AF030000}"/>
    <hyperlink ref="D932" r:id="rId945" xr:uid="{00000000-0004-0000-0000-0000B0030000}"/>
    <hyperlink ref="D933" r:id="rId946" xr:uid="{00000000-0004-0000-0000-0000B1030000}"/>
    <hyperlink ref="D934" r:id="rId947" xr:uid="{00000000-0004-0000-0000-0000B2030000}"/>
    <hyperlink ref="D935" r:id="rId948" xr:uid="{00000000-0004-0000-0000-0000B3030000}"/>
    <hyperlink ref="D936" r:id="rId949" xr:uid="{00000000-0004-0000-0000-0000B4030000}"/>
    <hyperlink ref="D937" r:id="rId950" xr:uid="{00000000-0004-0000-0000-0000B5030000}"/>
    <hyperlink ref="D938" r:id="rId951" xr:uid="{00000000-0004-0000-0000-0000B6030000}"/>
    <hyperlink ref="D939" r:id="rId952" xr:uid="{00000000-0004-0000-0000-0000B7030000}"/>
    <hyperlink ref="D940" r:id="rId953" xr:uid="{00000000-0004-0000-0000-0000B8030000}"/>
    <hyperlink ref="D941" r:id="rId954" xr:uid="{00000000-0004-0000-0000-0000B9030000}"/>
    <hyperlink ref="D942" r:id="rId955" xr:uid="{00000000-0004-0000-0000-0000BA030000}"/>
    <hyperlink ref="D943" r:id="rId956" xr:uid="{00000000-0004-0000-0000-0000BB030000}"/>
    <hyperlink ref="D944" r:id="rId957" xr:uid="{00000000-0004-0000-0000-0000BC030000}"/>
    <hyperlink ref="D945" r:id="rId958" xr:uid="{00000000-0004-0000-0000-0000BD030000}"/>
    <hyperlink ref="D946" r:id="rId959" xr:uid="{00000000-0004-0000-0000-0000BE030000}"/>
    <hyperlink ref="D947" r:id="rId960" xr:uid="{00000000-0004-0000-0000-0000BF030000}"/>
    <hyperlink ref="D948" r:id="rId961" xr:uid="{00000000-0004-0000-0000-0000C0030000}"/>
    <hyperlink ref="D949" r:id="rId962" xr:uid="{00000000-0004-0000-0000-0000C1030000}"/>
    <hyperlink ref="D950" r:id="rId963" xr:uid="{00000000-0004-0000-0000-0000C2030000}"/>
    <hyperlink ref="D951" r:id="rId964" xr:uid="{00000000-0004-0000-0000-0000C3030000}"/>
    <hyperlink ref="D952" r:id="rId965" xr:uid="{00000000-0004-0000-0000-0000C4030000}"/>
    <hyperlink ref="D953" r:id="rId966" xr:uid="{00000000-0004-0000-0000-0000C5030000}"/>
    <hyperlink ref="D954" r:id="rId967" xr:uid="{00000000-0004-0000-0000-0000C6030000}"/>
    <hyperlink ref="D955" r:id="rId968" xr:uid="{00000000-0004-0000-0000-0000C7030000}"/>
    <hyperlink ref="D956" r:id="rId969" xr:uid="{00000000-0004-0000-0000-0000C8030000}"/>
    <hyperlink ref="D957" r:id="rId970" xr:uid="{00000000-0004-0000-0000-0000C9030000}"/>
    <hyperlink ref="D958" r:id="rId971" xr:uid="{00000000-0004-0000-0000-0000CA030000}"/>
    <hyperlink ref="D959" r:id="rId972" xr:uid="{00000000-0004-0000-0000-0000CB030000}"/>
    <hyperlink ref="D960" r:id="rId973" xr:uid="{00000000-0004-0000-0000-0000CC030000}"/>
    <hyperlink ref="D961" r:id="rId974" xr:uid="{00000000-0004-0000-0000-0000CD030000}"/>
    <hyperlink ref="D962" r:id="rId975" xr:uid="{00000000-0004-0000-0000-0000CE030000}"/>
    <hyperlink ref="D963" r:id="rId976" xr:uid="{00000000-0004-0000-0000-0000CF030000}"/>
    <hyperlink ref="D964" r:id="rId977" xr:uid="{00000000-0004-0000-0000-0000D0030000}"/>
    <hyperlink ref="D965" r:id="rId978" xr:uid="{00000000-0004-0000-0000-0000D1030000}"/>
    <hyperlink ref="D966" r:id="rId979" xr:uid="{00000000-0004-0000-0000-0000D2030000}"/>
    <hyperlink ref="D967" r:id="rId980" xr:uid="{00000000-0004-0000-0000-0000D3030000}"/>
    <hyperlink ref="D968" r:id="rId981" xr:uid="{00000000-0004-0000-0000-0000D4030000}"/>
    <hyperlink ref="D969" r:id="rId982" xr:uid="{00000000-0004-0000-0000-0000D5030000}"/>
    <hyperlink ref="D970" r:id="rId983" xr:uid="{00000000-0004-0000-0000-0000D6030000}"/>
    <hyperlink ref="D971" r:id="rId984" xr:uid="{00000000-0004-0000-0000-0000D7030000}"/>
    <hyperlink ref="D972" r:id="rId985" xr:uid="{00000000-0004-0000-0000-0000D8030000}"/>
    <hyperlink ref="D973" r:id="rId986" xr:uid="{00000000-0004-0000-0000-0000D9030000}"/>
    <hyperlink ref="D974" r:id="rId987" xr:uid="{00000000-0004-0000-0000-0000DA030000}"/>
    <hyperlink ref="D975" r:id="rId988" xr:uid="{00000000-0004-0000-0000-0000DB030000}"/>
    <hyperlink ref="D976" r:id="rId989" xr:uid="{00000000-0004-0000-0000-0000DC030000}"/>
    <hyperlink ref="D977" r:id="rId990" xr:uid="{00000000-0004-0000-0000-0000DD030000}"/>
    <hyperlink ref="D978" r:id="rId991" xr:uid="{00000000-0004-0000-0000-0000DE030000}"/>
    <hyperlink ref="D979" r:id="rId992" xr:uid="{00000000-0004-0000-0000-0000DF030000}"/>
    <hyperlink ref="D980" r:id="rId993" xr:uid="{00000000-0004-0000-0000-0000E0030000}"/>
    <hyperlink ref="D981" r:id="rId994" xr:uid="{00000000-0004-0000-0000-0000E1030000}"/>
    <hyperlink ref="D982" r:id="rId995" xr:uid="{00000000-0004-0000-0000-0000E2030000}"/>
    <hyperlink ref="D983" r:id="rId996" xr:uid="{00000000-0004-0000-0000-0000E3030000}"/>
    <hyperlink ref="D984" r:id="rId997" xr:uid="{00000000-0004-0000-0000-0000E4030000}"/>
    <hyperlink ref="D985" r:id="rId998" xr:uid="{00000000-0004-0000-0000-0000E5030000}"/>
    <hyperlink ref="D986" r:id="rId999" xr:uid="{00000000-0004-0000-0000-0000E6030000}"/>
    <hyperlink ref="D987" r:id="rId1000" xr:uid="{00000000-0004-0000-0000-0000E7030000}"/>
    <hyperlink ref="D988" r:id="rId1001" xr:uid="{00000000-0004-0000-0000-0000E8030000}"/>
    <hyperlink ref="D989" r:id="rId1002" xr:uid="{00000000-0004-0000-0000-0000E9030000}"/>
    <hyperlink ref="D990" r:id="rId1003" xr:uid="{00000000-0004-0000-0000-0000EA030000}"/>
    <hyperlink ref="D991" r:id="rId1004" xr:uid="{00000000-0004-0000-0000-0000EB030000}"/>
    <hyperlink ref="D992" r:id="rId1005" xr:uid="{00000000-0004-0000-0000-0000EC030000}"/>
    <hyperlink ref="D993" r:id="rId1006" xr:uid="{00000000-0004-0000-0000-0000ED030000}"/>
    <hyperlink ref="D994" r:id="rId1007" xr:uid="{00000000-0004-0000-0000-0000EE030000}"/>
    <hyperlink ref="D995" r:id="rId1008" xr:uid="{00000000-0004-0000-0000-0000EF030000}"/>
    <hyperlink ref="D996" r:id="rId1009" xr:uid="{00000000-0004-0000-0000-0000F0030000}"/>
    <hyperlink ref="D997" r:id="rId1010" xr:uid="{00000000-0004-0000-0000-0000F1030000}"/>
    <hyperlink ref="D998" r:id="rId1011" xr:uid="{00000000-0004-0000-0000-0000F2030000}"/>
    <hyperlink ref="D999" r:id="rId1012" xr:uid="{00000000-0004-0000-0000-0000F3030000}"/>
    <hyperlink ref="D1000" r:id="rId1013" xr:uid="{00000000-0004-0000-0000-0000F4030000}"/>
    <hyperlink ref="D1001" r:id="rId1014" xr:uid="{00000000-0004-0000-0000-0000F5030000}"/>
    <hyperlink ref="D1002" r:id="rId1015" xr:uid="{00000000-0004-0000-0000-0000F6030000}"/>
    <hyperlink ref="D1003" r:id="rId1016" xr:uid="{00000000-0004-0000-0000-0000F7030000}"/>
    <hyperlink ref="D1004" r:id="rId1017" xr:uid="{00000000-0004-0000-0000-0000F8030000}"/>
    <hyperlink ref="D1005" r:id="rId1018" xr:uid="{00000000-0004-0000-0000-0000F9030000}"/>
    <hyperlink ref="D1006" r:id="rId1019" xr:uid="{00000000-0004-0000-0000-0000FA030000}"/>
    <hyperlink ref="D1007" r:id="rId1020" xr:uid="{00000000-0004-0000-0000-0000FB030000}"/>
    <hyperlink ref="D1008" r:id="rId1021" xr:uid="{00000000-0004-0000-0000-0000FC030000}"/>
    <hyperlink ref="D1009" r:id="rId1022" xr:uid="{00000000-0004-0000-0000-0000FD030000}"/>
    <hyperlink ref="D1010" r:id="rId1023" xr:uid="{00000000-0004-0000-0000-0000FE030000}"/>
    <hyperlink ref="D1011" r:id="rId1024" xr:uid="{00000000-0004-0000-0000-0000FF030000}"/>
    <hyperlink ref="D1012" r:id="rId1025" xr:uid="{00000000-0004-0000-0000-000000040000}"/>
    <hyperlink ref="D1013" r:id="rId1026" xr:uid="{00000000-0004-0000-0000-000001040000}"/>
    <hyperlink ref="D1014" r:id="rId1027" xr:uid="{00000000-0004-0000-0000-000002040000}"/>
    <hyperlink ref="D1015" r:id="rId1028" xr:uid="{00000000-0004-0000-0000-000003040000}"/>
    <hyperlink ref="D1016" r:id="rId1029" xr:uid="{00000000-0004-0000-0000-000004040000}"/>
    <hyperlink ref="D1017" r:id="rId1030" xr:uid="{00000000-0004-0000-0000-000005040000}"/>
    <hyperlink ref="D1018" r:id="rId1031" xr:uid="{00000000-0004-0000-0000-000006040000}"/>
    <hyperlink ref="D1019" r:id="rId1032" xr:uid="{00000000-0004-0000-0000-000007040000}"/>
    <hyperlink ref="D1020" r:id="rId1033" xr:uid="{00000000-0004-0000-0000-000008040000}"/>
    <hyperlink ref="D1021" r:id="rId1034" xr:uid="{00000000-0004-0000-0000-000009040000}"/>
    <hyperlink ref="D1022" r:id="rId1035" xr:uid="{00000000-0004-0000-0000-00000A040000}"/>
    <hyperlink ref="D1023" r:id="rId1036" xr:uid="{00000000-0004-0000-0000-00000B040000}"/>
    <hyperlink ref="D1024" r:id="rId1037" xr:uid="{00000000-0004-0000-0000-00000C040000}"/>
    <hyperlink ref="D1025" r:id="rId1038" xr:uid="{00000000-0004-0000-0000-00000D040000}"/>
    <hyperlink ref="D1026" r:id="rId1039" xr:uid="{00000000-0004-0000-0000-00000E040000}"/>
    <hyperlink ref="D1027" r:id="rId1040" xr:uid="{00000000-0004-0000-0000-00000F040000}"/>
    <hyperlink ref="D1028" r:id="rId1041" xr:uid="{00000000-0004-0000-0000-000010040000}"/>
    <hyperlink ref="D1029" r:id="rId1042" xr:uid="{00000000-0004-0000-0000-000011040000}"/>
    <hyperlink ref="D1030" r:id="rId1043" xr:uid="{00000000-0004-0000-0000-000012040000}"/>
    <hyperlink ref="D1031" r:id="rId1044" xr:uid="{00000000-0004-0000-0000-000013040000}"/>
    <hyperlink ref="D1032" r:id="rId1045" xr:uid="{00000000-0004-0000-0000-000014040000}"/>
    <hyperlink ref="D1033" r:id="rId1046" xr:uid="{00000000-0004-0000-0000-000015040000}"/>
    <hyperlink ref="D1034" r:id="rId1047" xr:uid="{00000000-0004-0000-0000-000016040000}"/>
    <hyperlink ref="D1035" r:id="rId1048" xr:uid="{00000000-0004-0000-0000-000017040000}"/>
    <hyperlink ref="D1036" r:id="rId1049" xr:uid="{00000000-0004-0000-0000-000018040000}"/>
    <hyperlink ref="D1037" r:id="rId1050" xr:uid="{00000000-0004-0000-0000-000019040000}"/>
    <hyperlink ref="D1038" r:id="rId1051" xr:uid="{00000000-0004-0000-0000-00001A040000}"/>
    <hyperlink ref="D1039" r:id="rId1052" xr:uid="{00000000-0004-0000-0000-00001B040000}"/>
    <hyperlink ref="D1040" r:id="rId1053" xr:uid="{00000000-0004-0000-0000-00001C040000}"/>
    <hyperlink ref="D1041" r:id="rId1054" xr:uid="{00000000-0004-0000-0000-00001D040000}"/>
    <hyperlink ref="D1042" r:id="rId1055" xr:uid="{00000000-0004-0000-0000-00001E040000}"/>
    <hyperlink ref="D1043" r:id="rId1056" xr:uid="{00000000-0004-0000-0000-00001F040000}"/>
    <hyperlink ref="D1044" r:id="rId1057" xr:uid="{00000000-0004-0000-0000-000020040000}"/>
    <hyperlink ref="D1045" r:id="rId1058" xr:uid="{00000000-0004-0000-0000-000021040000}"/>
    <hyperlink ref="D1046" r:id="rId1059" xr:uid="{00000000-0004-0000-0000-000022040000}"/>
    <hyperlink ref="D1047" r:id="rId1060" xr:uid="{00000000-0004-0000-0000-000023040000}"/>
    <hyperlink ref="D1048" r:id="rId1061" xr:uid="{00000000-0004-0000-0000-000024040000}"/>
    <hyperlink ref="D1049" r:id="rId1062" xr:uid="{00000000-0004-0000-0000-000025040000}"/>
    <hyperlink ref="D1050" r:id="rId1063" xr:uid="{00000000-0004-0000-0000-000026040000}"/>
    <hyperlink ref="D1051" r:id="rId1064" xr:uid="{00000000-0004-0000-0000-000027040000}"/>
    <hyperlink ref="D1052" r:id="rId1065" xr:uid="{00000000-0004-0000-0000-000028040000}"/>
    <hyperlink ref="D1053" r:id="rId1066" xr:uid="{00000000-0004-0000-0000-000029040000}"/>
    <hyperlink ref="D1054" r:id="rId1067" xr:uid="{00000000-0004-0000-0000-00002A040000}"/>
    <hyperlink ref="D1055" r:id="rId1068" xr:uid="{00000000-0004-0000-0000-00002B040000}"/>
    <hyperlink ref="D1056" r:id="rId1069" xr:uid="{00000000-0004-0000-0000-00002C040000}"/>
    <hyperlink ref="D1057" r:id="rId1070" xr:uid="{00000000-0004-0000-0000-00002D040000}"/>
    <hyperlink ref="D1058" r:id="rId1071" xr:uid="{00000000-0004-0000-0000-00002E040000}"/>
    <hyperlink ref="D1059" r:id="rId1072" xr:uid="{00000000-0004-0000-0000-00002F040000}"/>
    <hyperlink ref="D1060" r:id="rId1073" xr:uid="{00000000-0004-0000-0000-000030040000}"/>
    <hyperlink ref="D1061" r:id="rId1074" xr:uid="{00000000-0004-0000-0000-000031040000}"/>
    <hyperlink ref="D1062" r:id="rId1075" xr:uid="{00000000-0004-0000-0000-000032040000}"/>
    <hyperlink ref="D1063" r:id="rId1076" xr:uid="{00000000-0004-0000-0000-000033040000}"/>
    <hyperlink ref="D1064" r:id="rId1077" xr:uid="{00000000-0004-0000-0000-000034040000}"/>
    <hyperlink ref="D1065" r:id="rId1078" xr:uid="{00000000-0004-0000-0000-000035040000}"/>
    <hyperlink ref="D1066" r:id="rId1079" xr:uid="{00000000-0004-0000-0000-000036040000}"/>
    <hyperlink ref="D1067" r:id="rId1080" xr:uid="{00000000-0004-0000-0000-000037040000}"/>
    <hyperlink ref="D1068" r:id="rId1081" xr:uid="{00000000-0004-0000-0000-000038040000}"/>
    <hyperlink ref="D1069" r:id="rId1082" xr:uid="{00000000-0004-0000-0000-000039040000}"/>
    <hyperlink ref="D1070" r:id="rId1083" xr:uid="{00000000-0004-0000-0000-00003A040000}"/>
    <hyperlink ref="D1071" r:id="rId1084" xr:uid="{00000000-0004-0000-0000-00003B040000}"/>
    <hyperlink ref="D1072" r:id="rId1085" xr:uid="{00000000-0004-0000-0000-00003C040000}"/>
    <hyperlink ref="D1073" r:id="rId1086" xr:uid="{00000000-0004-0000-0000-00003D040000}"/>
    <hyperlink ref="D1074" r:id="rId1087" xr:uid="{00000000-0004-0000-0000-00003E040000}"/>
    <hyperlink ref="D1075" r:id="rId1088" xr:uid="{00000000-0004-0000-0000-00003F040000}"/>
    <hyperlink ref="D1076" r:id="rId1089" xr:uid="{00000000-0004-0000-0000-000040040000}"/>
    <hyperlink ref="D1077" r:id="rId1090" xr:uid="{00000000-0004-0000-0000-000041040000}"/>
    <hyperlink ref="D1078" r:id="rId1091" xr:uid="{00000000-0004-0000-0000-000042040000}"/>
    <hyperlink ref="D1079" r:id="rId1092" xr:uid="{00000000-0004-0000-0000-000043040000}"/>
    <hyperlink ref="D1080" r:id="rId1093" xr:uid="{00000000-0004-0000-0000-000044040000}"/>
    <hyperlink ref="D1081" r:id="rId1094" xr:uid="{00000000-0004-0000-0000-000045040000}"/>
    <hyperlink ref="D1082" r:id="rId1095" xr:uid="{00000000-0004-0000-0000-000046040000}"/>
    <hyperlink ref="D1083" r:id="rId1096" xr:uid="{00000000-0004-0000-0000-000047040000}"/>
    <hyperlink ref="D1084" r:id="rId1097" xr:uid="{00000000-0004-0000-0000-000048040000}"/>
    <hyperlink ref="D1085" r:id="rId1098" xr:uid="{00000000-0004-0000-0000-000049040000}"/>
    <hyperlink ref="D1086" r:id="rId1099" xr:uid="{00000000-0004-0000-0000-00004A040000}"/>
    <hyperlink ref="D1087" r:id="rId1100" xr:uid="{00000000-0004-0000-0000-00004B040000}"/>
    <hyperlink ref="D1088" r:id="rId1101" xr:uid="{00000000-0004-0000-0000-00004C040000}"/>
    <hyperlink ref="D1089" r:id="rId1102" xr:uid="{00000000-0004-0000-0000-00004D040000}"/>
    <hyperlink ref="D1090" r:id="rId1103" xr:uid="{00000000-0004-0000-0000-00004E040000}"/>
    <hyperlink ref="D1091" r:id="rId1104" xr:uid="{00000000-0004-0000-0000-00004F040000}"/>
    <hyperlink ref="D1092" r:id="rId1105" xr:uid="{00000000-0004-0000-0000-000050040000}"/>
    <hyperlink ref="D1093" r:id="rId1106" xr:uid="{00000000-0004-0000-0000-000051040000}"/>
    <hyperlink ref="D1094" r:id="rId1107" xr:uid="{00000000-0004-0000-0000-000052040000}"/>
    <hyperlink ref="D1095" r:id="rId1108" xr:uid="{00000000-0004-0000-0000-000053040000}"/>
    <hyperlink ref="D1096" r:id="rId1109" xr:uid="{00000000-0004-0000-0000-000054040000}"/>
    <hyperlink ref="D1097" r:id="rId1110" xr:uid="{00000000-0004-0000-0000-000055040000}"/>
    <hyperlink ref="D1098" r:id="rId1111" xr:uid="{00000000-0004-0000-0000-000056040000}"/>
    <hyperlink ref="D1099" r:id="rId1112" xr:uid="{00000000-0004-0000-0000-000057040000}"/>
    <hyperlink ref="D1100" r:id="rId1113" xr:uid="{00000000-0004-0000-0000-000058040000}"/>
    <hyperlink ref="D1101" r:id="rId1114" xr:uid="{00000000-0004-0000-0000-000059040000}"/>
    <hyperlink ref="D1102" r:id="rId1115" xr:uid="{00000000-0004-0000-0000-00005A040000}"/>
    <hyperlink ref="D1103" r:id="rId1116" xr:uid="{00000000-0004-0000-0000-00005B040000}"/>
    <hyperlink ref="D1104" r:id="rId1117" xr:uid="{00000000-0004-0000-0000-00005C040000}"/>
    <hyperlink ref="D1105" r:id="rId1118" xr:uid="{00000000-0004-0000-0000-00005D040000}"/>
    <hyperlink ref="D1106" r:id="rId1119" xr:uid="{00000000-0004-0000-0000-00005E040000}"/>
    <hyperlink ref="D1107" r:id="rId1120" xr:uid="{00000000-0004-0000-0000-00005F040000}"/>
    <hyperlink ref="D1108" r:id="rId1121" xr:uid="{00000000-0004-0000-0000-000060040000}"/>
    <hyperlink ref="D1109" r:id="rId1122" xr:uid="{00000000-0004-0000-0000-000061040000}"/>
    <hyperlink ref="D1110" r:id="rId1123" xr:uid="{00000000-0004-0000-0000-000062040000}"/>
    <hyperlink ref="D1111" r:id="rId1124" xr:uid="{00000000-0004-0000-0000-000063040000}"/>
    <hyperlink ref="D1112" r:id="rId1125" xr:uid="{00000000-0004-0000-0000-000064040000}"/>
    <hyperlink ref="D1113" r:id="rId1126" xr:uid="{00000000-0004-0000-0000-000065040000}"/>
    <hyperlink ref="D1114" r:id="rId1127" xr:uid="{00000000-0004-0000-0000-000066040000}"/>
    <hyperlink ref="D1115" r:id="rId1128" xr:uid="{00000000-0004-0000-0000-000067040000}"/>
    <hyperlink ref="D1116" r:id="rId1129" xr:uid="{00000000-0004-0000-0000-000068040000}"/>
    <hyperlink ref="D1117" r:id="rId1130" xr:uid="{00000000-0004-0000-0000-000069040000}"/>
    <hyperlink ref="D1118" r:id="rId1131" xr:uid="{00000000-0004-0000-0000-00006A040000}"/>
    <hyperlink ref="D1119" r:id="rId1132" xr:uid="{00000000-0004-0000-0000-00006B040000}"/>
    <hyperlink ref="D1120" r:id="rId1133" xr:uid="{00000000-0004-0000-0000-00006C040000}"/>
    <hyperlink ref="D1121" r:id="rId1134" xr:uid="{00000000-0004-0000-0000-00006D040000}"/>
    <hyperlink ref="D1122" r:id="rId1135" xr:uid="{00000000-0004-0000-0000-00006E040000}"/>
    <hyperlink ref="D1123" r:id="rId1136" xr:uid="{00000000-0004-0000-0000-00006F040000}"/>
    <hyperlink ref="D1124" r:id="rId1137" xr:uid="{00000000-0004-0000-0000-000070040000}"/>
    <hyperlink ref="D1125" r:id="rId1138" xr:uid="{00000000-0004-0000-0000-000071040000}"/>
    <hyperlink ref="D1126" r:id="rId1139" xr:uid="{00000000-0004-0000-0000-000072040000}"/>
    <hyperlink ref="D1127" r:id="rId1140" xr:uid="{00000000-0004-0000-0000-000073040000}"/>
    <hyperlink ref="D1128" r:id="rId1141" xr:uid="{00000000-0004-0000-0000-000074040000}"/>
    <hyperlink ref="D1129" r:id="rId1142" xr:uid="{00000000-0004-0000-0000-000075040000}"/>
    <hyperlink ref="D1130" r:id="rId1143" xr:uid="{00000000-0004-0000-0000-000076040000}"/>
    <hyperlink ref="D1131" r:id="rId1144" xr:uid="{00000000-0004-0000-0000-000077040000}"/>
    <hyperlink ref="D1132" r:id="rId1145" xr:uid="{00000000-0004-0000-0000-000078040000}"/>
    <hyperlink ref="D1133" r:id="rId1146" xr:uid="{00000000-0004-0000-0000-000079040000}"/>
    <hyperlink ref="D1134" r:id="rId1147" xr:uid="{00000000-0004-0000-0000-00007A040000}"/>
    <hyperlink ref="D1135" r:id="rId1148" xr:uid="{00000000-0004-0000-0000-00007B040000}"/>
    <hyperlink ref="D1136" r:id="rId1149" xr:uid="{00000000-0004-0000-0000-00007C040000}"/>
    <hyperlink ref="D1137" r:id="rId1150" xr:uid="{00000000-0004-0000-0000-00007D040000}"/>
    <hyperlink ref="D1138" r:id="rId1151" xr:uid="{00000000-0004-0000-0000-00007E040000}"/>
    <hyperlink ref="D1139" r:id="rId1152" xr:uid="{00000000-0004-0000-0000-00007F040000}"/>
    <hyperlink ref="D1140" r:id="rId1153" xr:uid="{00000000-0004-0000-0000-000080040000}"/>
    <hyperlink ref="D1141" r:id="rId1154" xr:uid="{00000000-0004-0000-0000-000081040000}"/>
    <hyperlink ref="D1142" r:id="rId1155" xr:uid="{00000000-0004-0000-0000-000082040000}"/>
    <hyperlink ref="D1143" r:id="rId1156" xr:uid="{00000000-0004-0000-0000-000083040000}"/>
    <hyperlink ref="D1144" r:id="rId1157" xr:uid="{00000000-0004-0000-0000-000084040000}"/>
    <hyperlink ref="D1145" r:id="rId1158" xr:uid="{00000000-0004-0000-0000-000085040000}"/>
    <hyperlink ref="D1146" r:id="rId1159" xr:uid="{00000000-0004-0000-0000-000086040000}"/>
    <hyperlink ref="D1147" r:id="rId1160" xr:uid="{00000000-0004-0000-0000-000087040000}"/>
    <hyperlink ref="D1148" r:id="rId1161" xr:uid="{00000000-0004-0000-0000-000088040000}"/>
    <hyperlink ref="D1149" r:id="rId1162" xr:uid="{00000000-0004-0000-0000-000089040000}"/>
    <hyperlink ref="D1150" r:id="rId1163" xr:uid="{00000000-0004-0000-0000-00008A040000}"/>
    <hyperlink ref="D1151" r:id="rId1164" xr:uid="{00000000-0004-0000-0000-00008B040000}"/>
    <hyperlink ref="D1152" r:id="rId1165" xr:uid="{00000000-0004-0000-0000-00008C040000}"/>
    <hyperlink ref="D1153" r:id="rId1166" xr:uid="{00000000-0004-0000-0000-00008D040000}"/>
    <hyperlink ref="D1154" r:id="rId1167" xr:uid="{00000000-0004-0000-0000-00008E040000}"/>
    <hyperlink ref="D1155" r:id="rId1168" xr:uid="{00000000-0004-0000-0000-00008F040000}"/>
    <hyperlink ref="D1156" r:id="rId1169" xr:uid="{00000000-0004-0000-0000-000090040000}"/>
    <hyperlink ref="D1157" r:id="rId1170" xr:uid="{00000000-0004-0000-0000-000091040000}"/>
    <hyperlink ref="D1158" r:id="rId1171" xr:uid="{00000000-0004-0000-0000-000092040000}"/>
    <hyperlink ref="D1159" r:id="rId1172" xr:uid="{00000000-0004-0000-0000-000093040000}"/>
    <hyperlink ref="D1160" r:id="rId1173" xr:uid="{00000000-0004-0000-0000-000094040000}"/>
    <hyperlink ref="D1161" r:id="rId1174" xr:uid="{00000000-0004-0000-0000-000095040000}"/>
    <hyperlink ref="D1162" r:id="rId1175" xr:uid="{00000000-0004-0000-0000-000096040000}"/>
    <hyperlink ref="D1163" r:id="rId1176" xr:uid="{00000000-0004-0000-0000-000097040000}"/>
    <hyperlink ref="D1164" r:id="rId1177" xr:uid="{00000000-0004-0000-0000-000098040000}"/>
    <hyperlink ref="D1165" r:id="rId1178" xr:uid="{00000000-0004-0000-0000-000099040000}"/>
    <hyperlink ref="D1166" r:id="rId1179" xr:uid="{00000000-0004-0000-0000-00009A040000}"/>
    <hyperlink ref="D1167" r:id="rId1180" xr:uid="{00000000-0004-0000-0000-00009B040000}"/>
  </hyperlinks>
  <pageMargins left="0.511811024" right="0.511811024" top="0.78740157499999996" bottom="0.78740157499999996" header="0.31496062000000002" footer="0.31496062000000002"/>
  <pageSetup paperSize="9" orientation="portrait" horizontalDpi="360" verticalDpi="360" r:id="rId118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A291A-9ECF-4B8B-9BE2-CB02F1C301C6}">
  <dimension ref="A1:B36"/>
  <sheetViews>
    <sheetView workbookViewId="0">
      <selection activeCell="C28" sqref="C28"/>
    </sheetView>
  </sheetViews>
  <sheetFormatPr defaultRowHeight="12.75" x14ac:dyDescent="0.2"/>
  <cols>
    <col min="1" max="1" width="12" bestFit="1" customWidth="1"/>
    <col min="2" max="2" width="10.7109375" bestFit="1" customWidth="1"/>
  </cols>
  <sheetData>
    <row r="1" spans="1:2" x14ac:dyDescent="0.2">
      <c r="A1" s="20" t="s">
        <v>2400</v>
      </c>
      <c r="B1" s="20" t="s">
        <v>2402</v>
      </c>
    </row>
    <row r="2" spans="1:2" x14ac:dyDescent="0.2">
      <c r="A2" s="22">
        <v>72</v>
      </c>
      <c r="B2" s="18">
        <v>1</v>
      </c>
    </row>
    <row r="3" spans="1:2" x14ac:dyDescent="0.2">
      <c r="A3" s="22">
        <v>103190.82352941176</v>
      </c>
      <c r="B3" s="18">
        <v>1117</v>
      </c>
    </row>
    <row r="4" spans="1:2" x14ac:dyDescent="0.2">
      <c r="A4" s="22">
        <v>206309.64705882352</v>
      </c>
      <c r="B4" s="18">
        <v>28</v>
      </c>
    </row>
    <row r="5" spans="1:2" x14ac:dyDescent="0.2">
      <c r="A5" s="22">
        <v>309428.4705882353</v>
      </c>
      <c r="B5" s="18">
        <v>13</v>
      </c>
    </row>
    <row r="6" spans="1:2" x14ac:dyDescent="0.2">
      <c r="A6" s="22">
        <v>412547.29411764705</v>
      </c>
      <c r="B6" s="18">
        <v>1</v>
      </c>
    </row>
    <row r="7" spans="1:2" x14ac:dyDescent="0.2">
      <c r="A7" s="22">
        <v>515666.1176470588</v>
      </c>
      <c r="B7" s="18">
        <v>4</v>
      </c>
    </row>
    <row r="8" spans="1:2" x14ac:dyDescent="0.2">
      <c r="A8" s="22">
        <v>618784.9411764706</v>
      </c>
      <c r="B8" s="18">
        <v>0</v>
      </c>
    </row>
    <row r="9" spans="1:2" x14ac:dyDescent="0.2">
      <c r="A9" s="22">
        <v>721903.76470588229</v>
      </c>
      <c r="B9" s="18">
        <v>0</v>
      </c>
    </row>
    <row r="10" spans="1:2" x14ac:dyDescent="0.2">
      <c r="A10" s="22">
        <v>825022.5882352941</v>
      </c>
      <c r="B10" s="18">
        <v>0</v>
      </c>
    </row>
    <row r="11" spans="1:2" x14ac:dyDescent="0.2">
      <c r="A11" s="22">
        <v>928141.4117647059</v>
      </c>
      <c r="B11" s="18">
        <v>1</v>
      </c>
    </row>
    <row r="12" spans="1:2" x14ac:dyDescent="0.2">
      <c r="A12" s="22">
        <v>1031260.2352941176</v>
      </c>
      <c r="B12" s="18">
        <v>0</v>
      </c>
    </row>
    <row r="13" spans="1:2" x14ac:dyDescent="0.2">
      <c r="A13" s="22">
        <v>1134379.0588235294</v>
      </c>
      <c r="B13" s="18">
        <v>0</v>
      </c>
    </row>
    <row r="14" spans="1:2" x14ac:dyDescent="0.2">
      <c r="A14" s="22">
        <v>1237497.8823529412</v>
      </c>
      <c r="B14" s="18">
        <v>0</v>
      </c>
    </row>
    <row r="15" spans="1:2" x14ac:dyDescent="0.2">
      <c r="A15" s="22">
        <v>1340616.705882353</v>
      </c>
      <c r="B15" s="18">
        <v>0</v>
      </c>
    </row>
    <row r="16" spans="1:2" x14ac:dyDescent="0.2">
      <c r="A16" s="22">
        <v>1443735.5294117646</v>
      </c>
      <c r="B16" s="18">
        <v>0</v>
      </c>
    </row>
    <row r="17" spans="1:2" x14ac:dyDescent="0.2">
      <c r="A17" s="22">
        <v>1546854.3529411764</v>
      </c>
      <c r="B17" s="18">
        <v>0</v>
      </c>
    </row>
    <row r="18" spans="1:2" x14ac:dyDescent="0.2">
      <c r="A18" s="22">
        <v>1649973.1764705882</v>
      </c>
      <c r="B18" s="18">
        <v>0</v>
      </c>
    </row>
    <row r="19" spans="1:2" x14ac:dyDescent="0.2">
      <c r="A19" s="22">
        <v>1753092</v>
      </c>
      <c r="B19" s="18">
        <v>0</v>
      </c>
    </row>
    <row r="20" spans="1:2" x14ac:dyDescent="0.2">
      <c r="A20" s="22">
        <v>1856210.8235294118</v>
      </c>
      <c r="B20" s="18">
        <v>0</v>
      </c>
    </row>
    <row r="21" spans="1:2" x14ac:dyDescent="0.2">
      <c r="A21" s="22">
        <v>1959329.6470588234</v>
      </c>
      <c r="B21" s="18">
        <v>0</v>
      </c>
    </row>
    <row r="22" spans="1:2" x14ac:dyDescent="0.2">
      <c r="A22" s="22">
        <v>2062448.4705882352</v>
      </c>
      <c r="B22" s="18">
        <v>0</v>
      </c>
    </row>
    <row r="23" spans="1:2" x14ac:dyDescent="0.2">
      <c r="A23" s="22">
        <v>2165567.2941176472</v>
      </c>
      <c r="B23" s="18">
        <v>0</v>
      </c>
    </row>
    <row r="24" spans="1:2" x14ac:dyDescent="0.2">
      <c r="A24" s="22">
        <v>2268686.1176470588</v>
      </c>
      <c r="B24" s="18">
        <v>0</v>
      </c>
    </row>
    <row r="25" spans="1:2" x14ac:dyDescent="0.2">
      <c r="A25" s="22">
        <v>2371804.9411764704</v>
      </c>
      <c r="B25" s="18">
        <v>0</v>
      </c>
    </row>
    <row r="26" spans="1:2" x14ac:dyDescent="0.2">
      <c r="A26" s="22">
        <v>2474923.7647058824</v>
      </c>
      <c r="B26" s="18">
        <v>0</v>
      </c>
    </row>
    <row r="27" spans="1:2" x14ac:dyDescent="0.2">
      <c r="A27" s="22">
        <v>2578042.588235294</v>
      </c>
      <c r="B27" s="18">
        <v>0</v>
      </c>
    </row>
    <row r="28" spans="1:2" x14ac:dyDescent="0.2">
      <c r="A28" s="22">
        <v>2681161.411764706</v>
      </c>
      <c r="B28" s="18">
        <v>0</v>
      </c>
    </row>
    <row r="29" spans="1:2" x14ac:dyDescent="0.2">
      <c r="A29" s="22">
        <v>2784280.2352941176</v>
      </c>
      <c r="B29" s="18">
        <v>0</v>
      </c>
    </row>
    <row r="30" spans="1:2" x14ac:dyDescent="0.2">
      <c r="A30" s="22">
        <v>2887399.0588235292</v>
      </c>
      <c r="B30" s="18">
        <v>0</v>
      </c>
    </row>
    <row r="31" spans="1:2" x14ac:dyDescent="0.2">
      <c r="A31" s="22">
        <v>2990517.8823529412</v>
      </c>
      <c r="B31" s="18">
        <v>0</v>
      </c>
    </row>
    <row r="32" spans="1:2" x14ac:dyDescent="0.2">
      <c r="A32" s="22">
        <v>3093636.7058823528</v>
      </c>
      <c r="B32" s="18">
        <v>0</v>
      </c>
    </row>
    <row r="33" spans="1:2" x14ac:dyDescent="0.2">
      <c r="A33" s="22">
        <v>3196755.5294117648</v>
      </c>
      <c r="B33" s="18">
        <v>0</v>
      </c>
    </row>
    <row r="34" spans="1:2" x14ac:dyDescent="0.2">
      <c r="A34" s="22">
        <v>3299874.3529411764</v>
      </c>
      <c r="B34" s="18">
        <v>0</v>
      </c>
    </row>
    <row r="35" spans="1:2" x14ac:dyDescent="0.2">
      <c r="A35" s="22">
        <v>3402993.176470588</v>
      </c>
      <c r="B35" s="18">
        <v>0</v>
      </c>
    </row>
    <row r="36" spans="1:2" ht="13.5" thickBot="1" x14ac:dyDescent="0.25">
      <c r="A36" s="19" t="s">
        <v>2401</v>
      </c>
      <c r="B36" s="19">
        <v>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AB217-51DF-408A-9473-68BB538D9750}">
  <dimension ref="A1:B36"/>
  <sheetViews>
    <sheetView workbookViewId="0">
      <selection activeCell="B36" sqref="B36"/>
    </sheetView>
  </sheetViews>
  <sheetFormatPr defaultRowHeight="12.75" x14ac:dyDescent="0.2"/>
  <sheetData>
    <row r="1" spans="1:2" x14ac:dyDescent="0.2">
      <c r="A1" s="20" t="s">
        <v>2400</v>
      </c>
      <c r="B1" s="20" t="s">
        <v>2402</v>
      </c>
    </row>
    <row r="2" spans="1:2" x14ac:dyDescent="0.2">
      <c r="A2" s="18">
        <v>326</v>
      </c>
      <c r="B2" s="18">
        <v>1</v>
      </c>
    </row>
    <row r="3" spans="1:2" x14ac:dyDescent="0.2">
      <c r="A3" s="18">
        <v>2357.8529411764703</v>
      </c>
      <c r="B3" s="18">
        <v>889</v>
      </c>
    </row>
    <row r="4" spans="1:2" x14ac:dyDescent="0.2">
      <c r="A4" s="18">
        <v>4389.7058823529405</v>
      </c>
      <c r="B4" s="18">
        <v>126</v>
      </c>
    </row>
    <row r="5" spans="1:2" x14ac:dyDescent="0.2">
      <c r="A5" s="18">
        <v>6421.5588235294117</v>
      </c>
      <c r="B5" s="18">
        <v>49</v>
      </c>
    </row>
    <row r="6" spans="1:2" x14ac:dyDescent="0.2">
      <c r="A6" s="18">
        <v>8453.4117647058811</v>
      </c>
      <c r="B6" s="18">
        <v>34</v>
      </c>
    </row>
    <row r="7" spans="1:2" x14ac:dyDescent="0.2">
      <c r="A7" s="18">
        <v>10485.264705882353</v>
      </c>
      <c r="B7" s="18">
        <v>16</v>
      </c>
    </row>
    <row r="8" spans="1:2" x14ac:dyDescent="0.2">
      <c r="A8" s="18">
        <v>12517.117647058823</v>
      </c>
      <c r="B8" s="18">
        <v>13</v>
      </c>
    </row>
    <row r="9" spans="1:2" x14ac:dyDescent="0.2">
      <c r="A9" s="18">
        <v>14548.970588235294</v>
      </c>
      <c r="B9" s="18">
        <v>6</v>
      </c>
    </row>
    <row r="10" spans="1:2" x14ac:dyDescent="0.2">
      <c r="A10" s="18">
        <v>16580.823529411762</v>
      </c>
      <c r="B10" s="18">
        <v>9</v>
      </c>
    </row>
    <row r="11" spans="1:2" x14ac:dyDescent="0.2">
      <c r="A11" s="18">
        <v>18612.676470588234</v>
      </c>
      <c r="B11" s="18">
        <v>3</v>
      </c>
    </row>
    <row r="12" spans="1:2" x14ac:dyDescent="0.2">
      <c r="A12" s="18">
        <v>20644.529411764706</v>
      </c>
      <c r="B12" s="18">
        <v>2</v>
      </c>
    </row>
    <row r="13" spans="1:2" x14ac:dyDescent="0.2">
      <c r="A13" s="18">
        <v>22676.382352941175</v>
      </c>
      <c r="B13" s="18">
        <v>4</v>
      </c>
    </row>
    <row r="14" spans="1:2" x14ac:dyDescent="0.2">
      <c r="A14" s="18">
        <v>24708.235294117647</v>
      </c>
      <c r="B14" s="18">
        <v>3</v>
      </c>
    </row>
    <row r="15" spans="1:2" x14ac:dyDescent="0.2">
      <c r="A15" s="18">
        <v>26740.088235294115</v>
      </c>
      <c r="B15" s="18">
        <v>0</v>
      </c>
    </row>
    <row r="16" spans="1:2" x14ac:dyDescent="0.2">
      <c r="A16" s="18">
        <v>28771.941176470587</v>
      </c>
      <c r="B16" s="18">
        <v>2</v>
      </c>
    </row>
    <row r="17" spans="1:2" x14ac:dyDescent="0.2">
      <c r="A17" s="18">
        <v>30803.794117647056</v>
      </c>
      <c r="B17" s="18">
        <v>4</v>
      </c>
    </row>
    <row r="18" spans="1:2" x14ac:dyDescent="0.2">
      <c r="A18" s="18">
        <v>32835.647058823524</v>
      </c>
      <c r="B18" s="18">
        <v>0</v>
      </c>
    </row>
    <row r="19" spans="1:2" x14ac:dyDescent="0.2">
      <c r="A19" s="18">
        <v>34867.5</v>
      </c>
      <c r="B19" s="18">
        <v>0</v>
      </c>
    </row>
    <row r="20" spans="1:2" x14ac:dyDescent="0.2">
      <c r="A20" s="18">
        <v>36899.352941176468</v>
      </c>
      <c r="B20" s="18">
        <v>1</v>
      </c>
    </row>
    <row r="21" spans="1:2" x14ac:dyDescent="0.2">
      <c r="A21" s="18">
        <v>38931.205882352937</v>
      </c>
      <c r="B21" s="18">
        <v>0</v>
      </c>
    </row>
    <row r="22" spans="1:2" x14ac:dyDescent="0.2">
      <c r="A22" s="18">
        <v>40963.058823529413</v>
      </c>
      <c r="B22" s="18">
        <v>0</v>
      </c>
    </row>
    <row r="23" spans="1:2" x14ac:dyDescent="0.2">
      <c r="A23" s="18">
        <v>42994.911764705881</v>
      </c>
      <c r="B23" s="18">
        <v>1</v>
      </c>
    </row>
    <row r="24" spans="1:2" x14ac:dyDescent="0.2">
      <c r="A24" s="18">
        <v>45026.76470588235</v>
      </c>
      <c r="B24" s="18">
        <v>1</v>
      </c>
    </row>
    <row r="25" spans="1:2" x14ac:dyDescent="0.2">
      <c r="A25" s="18">
        <v>47058.617647058818</v>
      </c>
      <c r="B25" s="18">
        <v>0</v>
      </c>
    </row>
    <row r="26" spans="1:2" x14ac:dyDescent="0.2">
      <c r="A26" s="18">
        <v>49090.470588235294</v>
      </c>
      <c r="B26" s="18">
        <v>1</v>
      </c>
    </row>
    <row r="27" spans="1:2" x14ac:dyDescent="0.2">
      <c r="A27" s="18">
        <v>51122.323529411762</v>
      </c>
      <c r="B27" s="18">
        <v>0</v>
      </c>
    </row>
    <row r="28" spans="1:2" x14ac:dyDescent="0.2">
      <c r="A28" s="18">
        <v>53154.176470588231</v>
      </c>
      <c r="B28" s="18">
        <v>0</v>
      </c>
    </row>
    <row r="29" spans="1:2" x14ac:dyDescent="0.2">
      <c r="A29" s="18">
        <v>55186.029411764706</v>
      </c>
      <c r="B29" s="18">
        <v>0</v>
      </c>
    </row>
    <row r="30" spans="1:2" x14ac:dyDescent="0.2">
      <c r="A30" s="18">
        <v>57217.882352941175</v>
      </c>
      <c r="B30" s="18">
        <v>0</v>
      </c>
    </row>
    <row r="31" spans="1:2" x14ac:dyDescent="0.2">
      <c r="A31" s="18">
        <v>59249.735294117643</v>
      </c>
      <c r="B31" s="18">
        <v>0</v>
      </c>
    </row>
    <row r="32" spans="1:2" x14ac:dyDescent="0.2">
      <c r="A32" s="18">
        <v>61281.588235294112</v>
      </c>
      <c r="B32" s="18">
        <v>0</v>
      </c>
    </row>
    <row r="33" spans="1:2" x14ac:dyDescent="0.2">
      <c r="A33" s="18">
        <v>63313.441176470587</v>
      </c>
      <c r="B33" s="18">
        <v>0</v>
      </c>
    </row>
    <row r="34" spans="1:2" x14ac:dyDescent="0.2">
      <c r="A34" s="18">
        <v>65345.294117647056</v>
      </c>
      <c r="B34" s="18">
        <v>0</v>
      </c>
    </row>
    <row r="35" spans="1:2" x14ac:dyDescent="0.2">
      <c r="A35" s="18">
        <v>67377.147058823524</v>
      </c>
      <c r="B35" s="18">
        <v>0</v>
      </c>
    </row>
    <row r="36" spans="1:2" ht="13.5" thickBot="1" x14ac:dyDescent="0.25">
      <c r="A36" s="19" t="s">
        <v>2401</v>
      </c>
      <c r="B36" s="19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C7ED-81C8-4DA1-B487-169029314A24}">
  <dimension ref="A1:O19"/>
  <sheetViews>
    <sheetView zoomScale="70" zoomScaleNormal="70" workbookViewId="0">
      <selection activeCell="F57" sqref="F57"/>
    </sheetView>
  </sheetViews>
  <sheetFormatPr defaultRowHeight="12.75" x14ac:dyDescent="0.2"/>
  <cols>
    <col min="1" max="1" width="36.7109375" bestFit="1" customWidth="1"/>
    <col min="2" max="2" width="18.85546875" bestFit="1" customWidth="1"/>
    <col min="3" max="3" width="20" bestFit="1" customWidth="1"/>
    <col min="4" max="4" width="19.85546875" bestFit="1" customWidth="1"/>
    <col min="5" max="5" width="23.42578125" bestFit="1" customWidth="1"/>
    <col min="6" max="6" width="21" bestFit="1" customWidth="1"/>
    <col min="7" max="7" width="17.5703125" bestFit="1" customWidth="1"/>
    <col min="8" max="8" width="25.140625" bestFit="1" customWidth="1"/>
    <col min="9" max="9" width="21.7109375" bestFit="1" customWidth="1"/>
    <col min="10" max="10" width="22.140625" bestFit="1" customWidth="1"/>
    <col min="11" max="11" width="18.5703125" bestFit="1" customWidth="1"/>
    <col min="12" max="12" width="23.85546875" bestFit="1" customWidth="1"/>
    <col min="13" max="13" width="20.28515625" bestFit="1" customWidth="1"/>
    <col min="14" max="14" width="26.85546875" bestFit="1" customWidth="1"/>
    <col min="15" max="15" width="23.28515625" bestFit="1" customWidth="1"/>
  </cols>
  <sheetData>
    <row r="1" spans="1:15" x14ac:dyDescent="0.2">
      <c r="A1" s="14" t="s">
        <v>2397</v>
      </c>
      <c r="B1" t="s">
        <v>2409</v>
      </c>
      <c r="C1" t="s">
        <v>2399</v>
      </c>
      <c r="D1" t="s">
        <v>2410</v>
      </c>
      <c r="E1" t="s">
        <v>2411</v>
      </c>
      <c r="F1" t="s">
        <v>2412</v>
      </c>
      <c r="G1" t="s">
        <v>2421</v>
      </c>
      <c r="H1" t="s">
        <v>2420</v>
      </c>
      <c r="I1" t="s">
        <v>2419</v>
      </c>
      <c r="J1" t="s">
        <v>2418</v>
      </c>
      <c r="K1" t="s">
        <v>2417</v>
      </c>
      <c r="L1" t="s">
        <v>2416</v>
      </c>
      <c r="M1" t="s">
        <v>2415</v>
      </c>
      <c r="N1" t="s">
        <v>2414</v>
      </c>
      <c r="O1" t="s">
        <v>2413</v>
      </c>
    </row>
    <row r="2" spans="1:15" x14ac:dyDescent="0.2">
      <c r="A2" s="15" t="s">
        <v>69</v>
      </c>
      <c r="B2" s="23">
        <v>1402.5885679747219</v>
      </c>
      <c r="C2" s="23">
        <v>1.3210811197914469E-2</v>
      </c>
      <c r="D2" s="23">
        <v>3.3866859688130874E-3</v>
      </c>
      <c r="E2" s="23">
        <v>0.19825478146139844</v>
      </c>
      <c r="F2" s="23">
        <v>0.41429773847575585</v>
      </c>
      <c r="G2" s="23">
        <v>5.7050916974722438E-3</v>
      </c>
      <c r="H2" s="23">
        <v>0.19236834499677002</v>
      </c>
      <c r="I2" s="23">
        <v>1.7014664430860173E-3</v>
      </c>
      <c r="J2" s="23">
        <v>0.12985200637754638</v>
      </c>
      <c r="K2" s="23">
        <v>1.8169858007878411E-3</v>
      </c>
      <c r="L2" s="23">
        <v>5.5257966480336028E-3</v>
      </c>
      <c r="M2" s="23">
        <v>7.7575746953218626E-5</v>
      </c>
      <c r="N2" s="23">
        <v>3.4304506643670199E-2</v>
      </c>
      <c r="O2" s="23">
        <v>5.2300554080207087E-4</v>
      </c>
    </row>
    <row r="3" spans="1:15" x14ac:dyDescent="0.2">
      <c r="A3" s="15" t="s">
        <v>153</v>
      </c>
      <c r="B3" s="23">
        <v>2192.502319155094</v>
      </c>
      <c r="C3" s="23">
        <v>1.3151786351022937E-2</v>
      </c>
      <c r="D3" s="23">
        <v>3.99856028644227E-3</v>
      </c>
      <c r="E3" s="23">
        <v>0.24757790745330038</v>
      </c>
      <c r="F3" s="23">
        <v>0.36521162761381237</v>
      </c>
      <c r="G3" s="23">
        <v>4.1729836445474301E-3</v>
      </c>
      <c r="H3" s="23">
        <v>0.17154201737020142</v>
      </c>
      <c r="I3" s="23">
        <v>1.878493288255207E-3</v>
      </c>
      <c r="J3" s="23">
        <v>8.9604510326049519E-2</v>
      </c>
      <c r="K3" s="23">
        <v>1.8673431586037675E-3</v>
      </c>
      <c r="L3" s="23">
        <v>4.4118143644780363E-3</v>
      </c>
      <c r="M3" s="23">
        <v>3.1020244485197859E-5</v>
      </c>
      <c r="N3" s="23">
        <v>0.12165212287215832</v>
      </c>
      <c r="O3" s="23">
        <v>1.2033857286890643E-3</v>
      </c>
    </row>
    <row r="4" spans="1:15" x14ac:dyDescent="0.2">
      <c r="A4" s="15" t="s">
        <v>57</v>
      </c>
      <c r="B4" s="23">
        <v>2098.4304804221592</v>
      </c>
      <c r="C4" s="23">
        <v>9.9764311262948071E-3</v>
      </c>
      <c r="D4" s="23">
        <v>2.4805078629466632E-3</v>
      </c>
      <c r="E4" s="23">
        <v>0.19220833419249517</v>
      </c>
      <c r="F4" s="23">
        <v>0.33172528886615471</v>
      </c>
      <c r="G4" s="23">
        <v>3.8925642557602106E-3</v>
      </c>
      <c r="H4" s="23">
        <v>0.26305047749339661</v>
      </c>
      <c r="I4" s="23">
        <v>1.5482067061074012E-3</v>
      </c>
      <c r="J4" s="23">
        <v>0.11426795629755247</v>
      </c>
      <c r="K4" s="23">
        <v>1.2589947453482007E-3</v>
      </c>
      <c r="L4" s="23">
        <v>1.0927204440333139E-2</v>
      </c>
      <c r="M4" s="23">
        <v>2.2660239489481816E-4</v>
      </c>
      <c r="N4" s="23">
        <v>3.6973281082949269E-2</v>
      </c>
      <c r="O4" s="23">
        <v>5.695551612375188E-4</v>
      </c>
    </row>
    <row r="5" spans="1:15" x14ac:dyDescent="0.2">
      <c r="A5" s="15" t="s">
        <v>387</v>
      </c>
      <c r="B5" s="23">
        <v>1738.3613541666709</v>
      </c>
      <c r="C5" s="23">
        <v>6.5810593900481537E-2</v>
      </c>
      <c r="D5" s="23">
        <v>3.2102728731942212E-2</v>
      </c>
      <c r="E5" s="23">
        <v>0.48780487804878048</v>
      </c>
      <c r="F5" s="23">
        <v>0</v>
      </c>
      <c r="G5" s="23">
        <v>0</v>
      </c>
      <c r="H5" s="23">
        <v>0.13414634146341464</v>
      </c>
      <c r="I5" s="23">
        <v>8.8282504012841094E-3</v>
      </c>
      <c r="J5" s="23">
        <v>3.6585365853658534E-2</v>
      </c>
      <c r="K5" s="23">
        <v>2.407704654895666E-3</v>
      </c>
      <c r="L5" s="23">
        <v>0</v>
      </c>
      <c r="M5" s="23">
        <v>0</v>
      </c>
      <c r="N5" s="23">
        <v>0.34146341463414637</v>
      </c>
      <c r="O5" s="23">
        <v>2.247191011235955E-2</v>
      </c>
    </row>
    <row r="6" spans="1:15" x14ac:dyDescent="0.2">
      <c r="A6" s="15" t="s">
        <v>1078</v>
      </c>
      <c r="B6" s="23">
        <v>2614.2550115740742</v>
      </c>
      <c r="C6" s="23">
        <v>9.0802987861811388E-2</v>
      </c>
      <c r="D6" s="23">
        <v>4.3650793650793648E-2</v>
      </c>
      <c r="E6" s="23">
        <v>0.48071979434447298</v>
      </c>
      <c r="F6" s="23">
        <v>5.3984575835475578E-2</v>
      </c>
      <c r="G6" s="23">
        <v>4.9019607843137254E-3</v>
      </c>
      <c r="H6" s="23">
        <v>0.31619537275064269</v>
      </c>
      <c r="I6" s="23">
        <v>2.8711484593837534E-2</v>
      </c>
      <c r="J6" s="23">
        <v>0.13624678663239073</v>
      </c>
      <c r="K6" s="23">
        <v>1.2371615312791783E-2</v>
      </c>
      <c r="L6" s="23">
        <v>0</v>
      </c>
      <c r="M6" s="23">
        <v>0</v>
      </c>
      <c r="N6" s="23">
        <v>1.2853470437017995E-2</v>
      </c>
      <c r="O6" s="23">
        <v>1.1671335200746965E-3</v>
      </c>
    </row>
    <row r="7" spans="1:15" x14ac:dyDescent="0.2">
      <c r="A7" s="15" t="s">
        <v>366</v>
      </c>
      <c r="B7" s="23">
        <v>1966.5783040577346</v>
      </c>
      <c r="C7" s="23">
        <v>1.6528340001958096E-2</v>
      </c>
      <c r="D7" s="23">
        <v>3.4319707593580655E-3</v>
      </c>
      <c r="E7" s="23">
        <v>0.20578615120730678</v>
      </c>
      <c r="F7" s="23">
        <v>0.32002492760484685</v>
      </c>
      <c r="G7" s="23">
        <v>7.4548149635160991E-3</v>
      </c>
      <c r="H7" s="23">
        <v>0.17272225809834382</v>
      </c>
      <c r="I7" s="23">
        <v>2.4076553906632499E-3</v>
      </c>
      <c r="J7" s="23">
        <v>0.14296130034322904</v>
      </c>
      <c r="K7" s="23">
        <v>1.8188027003814319E-3</v>
      </c>
      <c r="L7" s="23">
        <v>9.1807884990509764E-3</v>
      </c>
      <c r="M7" s="23">
        <v>2.262752036354019E-4</v>
      </c>
      <c r="N7" s="23">
        <v>6.1089280129575457E-2</v>
      </c>
      <c r="O7" s="23">
        <v>1.1888209844038518E-3</v>
      </c>
    </row>
    <row r="8" spans="1:15" x14ac:dyDescent="0.2">
      <c r="A8" s="15" t="s">
        <v>64</v>
      </c>
      <c r="B8" s="23">
        <v>2136.0236820987648</v>
      </c>
      <c r="C8" s="23">
        <v>1.0032911869432067E-2</v>
      </c>
      <c r="D8" s="23">
        <v>3.7010153808558458E-3</v>
      </c>
      <c r="E8" s="23">
        <v>0.27304127440566162</v>
      </c>
      <c r="F8" s="23">
        <v>0.21655059114758743</v>
      </c>
      <c r="G8" s="23">
        <v>2.5952627016546628E-3</v>
      </c>
      <c r="H8" s="23">
        <v>0.28710002928426326</v>
      </c>
      <c r="I8" s="23">
        <v>1.9523511685246499E-3</v>
      </c>
      <c r="J8" s="23">
        <v>0.17287181868806348</v>
      </c>
      <c r="K8" s="23">
        <v>1.5180794738599388E-3</v>
      </c>
      <c r="L8" s="23">
        <v>8.7765497851947909E-3</v>
      </c>
      <c r="M8" s="23">
        <v>1.0471745815821809E-4</v>
      </c>
      <c r="N8" s="23">
        <v>4.1659736689229496E-2</v>
      </c>
      <c r="O8" s="23">
        <v>1.6148568637875402E-4</v>
      </c>
    </row>
    <row r="9" spans="1:15" x14ac:dyDescent="0.2">
      <c r="A9" s="15" t="s">
        <v>49</v>
      </c>
      <c r="B9" s="23">
        <v>1662.7169737268516</v>
      </c>
      <c r="C9" s="23">
        <v>2.3395501880287103E-2</v>
      </c>
      <c r="D9" s="23">
        <v>7.6702029345005023E-3</v>
      </c>
      <c r="E9" s="23">
        <v>0.28637278528006416</v>
      </c>
      <c r="F9" s="23">
        <v>0.32064794054083845</v>
      </c>
      <c r="G9" s="23">
        <v>7.8821469537447945E-3</v>
      </c>
      <c r="H9" s="23">
        <v>0.13126934159145986</v>
      </c>
      <c r="I9" s="23">
        <v>2.5267863674404661E-3</v>
      </c>
      <c r="J9" s="23">
        <v>0.16943983775453975</v>
      </c>
      <c r="K9" s="23">
        <v>4.0672726146004914E-3</v>
      </c>
      <c r="L9" s="23">
        <v>1.5277222881327183E-2</v>
      </c>
      <c r="M9" s="23">
        <v>3.8625774377122466E-4</v>
      </c>
      <c r="N9" s="23">
        <v>4.6992871951770418E-2</v>
      </c>
      <c r="O9" s="23">
        <v>8.6283526622963681E-4</v>
      </c>
    </row>
    <row r="10" spans="1:15" x14ac:dyDescent="0.2">
      <c r="A10" s="15" t="s">
        <v>1410</v>
      </c>
      <c r="B10" s="23">
        <v>2204.3636381172837</v>
      </c>
      <c r="C10" s="23">
        <v>1.8867764033525133E-2</v>
      </c>
      <c r="D10" s="23">
        <v>6.154379371024702E-3</v>
      </c>
      <c r="E10" s="23">
        <v>0.40876185033113249</v>
      </c>
      <c r="F10" s="23">
        <v>0.26695894558999733</v>
      </c>
      <c r="G10" s="23">
        <v>6.4997284396604441E-3</v>
      </c>
      <c r="H10" s="23">
        <v>5.6204785754034502E-2</v>
      </c>
      <c r="I10" s="23">
        <v>2.670050493034076E-3</v>
      </c>
      <c r="J10" s="23">
        <v>0.22647355201612296</v>
      </c>
      <c r="K10" s="23">
        <v>3.0379606659462605E-3</v>
      </c>
      <c r="L10" s="23">
        <v>0</v>
      </c>
      <c r="M10" s="23">
        <v>0</v>
      </c>
      <c r="N10" s="23">
        <v>4.1600866308712722E-2</v>
      </c>
      <c r="O10" s="23">
        <v>5.0564506385964759E-4</v>
      </c>
    </row>
    <row r="11" spans="1:15" x14ac:dyDescent="0.2">
      <c r="A11" s="15" t="s">
        <v>160</v>
      </c>
      <c r="B11" s="23">
        <v>2276.6230993716936</v>
      </c>
      <c r="C11" s="23">
        <v>1.4428639472867457E-2</v>
      </c>
      <c r="D11" s="23">
        <v>5.3402570072111346E-3</v>
      </c>
      <c r="E11" s="23">
        <v>0.300574007024138</v>
      </c>
      <c r="F11" s="23">
        <v>0.2071030052388057</v>
      </c>
      <c r="G11" s="23">
        <v>4.3677535067124535E-3</v>
      </c>
      <c r="H11" s="23">
        <v>0.17176988571007565</v>
      </c>
      <c r="I11" s="23">
        <v>1.1155505533208662E-3</v>
      </c>
      <c r="J11" s="23">
        <v>0.20351555816738304</v>
      </c>
      <c r="K11" s="23">
        <v>2.3771182455086721E-3</v>
      </c>
      <c r="L11" s="23">
        <v>8.035560271413061E-3</v>
      </c>
      <c r="M11" s="23">
        <v>2.2645857635709515E-4</v>
      </c>
      <c r="N11" s="23">
        <v>3.7573412159613136E-2</v>
      </c>
      <c r="O11" s="23">
        <v>1.0015015837572358E-3</v>
      </c>
    </row>
    <row r="12" spans="1:15" x14ac:dyDescent="0.2">
      <c r="A12" s="15" t="s">
        <v>1405</v>
      </c>
      <c r="B12" s="23">
        <v>2451.4950694444437</v>
      </c>
      <c r="C12" s="23">
        <v>6.6038580596226122E-4</v>
      </c>
      <c r="D12" s="23">
        <v>9.9076606031783769E-5</v>
      </c>
      <c r="E12" s="23">
        <v>5.9523809523809527E-2</v>
      </c>
      <c r="F12" s="23">
        <v>0.14285714285714285</v>
      </c>
      <c r="G12" s="23">
        <v>2.3778385447628106E-4</v>
      </c>
      <c r="H12" s="23">
        <v>9.5238095238095233E-2</v>
      </c>
      <c r="I12" s="23">
        <v>9.4340829423180157E-5</v>
      </c>
      <c r="J12" s="23">
        <v>0.14285714285714285</v>
      </c>
      <c r="K12" s="23">
        <v>1.094203740209333E-4</v>
      </c>
      <c r="L12" s="23">
        <v>0.22619047619047616</v>
      </c>
      <c r="M12" s="23">
        <v>1.1976414201008285E-4</v>
      </c>
      <c r="N12" s="23">
        <v>0</v>
      </c>
      <c r="O12" s="23">
        <v>0</v>
      </c>
    </row>
    <row r="13" spans="1:15" x14ac:dyDescent="0.2">
      <c r="A13" s="15" t="s">
        <v>72</v>
      </c>
      <c r="B13" s="23">
        <v>1519.3168223602213</v>
      </c>
      <c r="C13" s="23">
        <v>1.4981516821005538E-2</v>
      </c>
      <c r="D13" s="23">
        <v>3.6393712324994634E-3</v>
      </c>
      <c r="E13" s="23">
        <v>0.18416278444926112</v>
      </c>
      <c r="F13" s="23">
        <v>0.41712243515087422</v>
      </c>
      <c r="G13" s="23">
        <v>6.6556941031717092E-3</v>
      </c>
      <c r="H13" s="23">
        <v>0.15508581797052015</v>
      </c>
      <c r="I13" s="23">
        <v>1.6456977335401841E-3</v>
      </c>
      <c r="J13" s="23">
        <v>0.13305179242604437</v>
      </c>
      <c r="K13" s="23">
        <v>2.1489181967785063E-3</v>
      </c>
      <c r="L13" s="23">
        <v>1.2279999858730194E-2</v>
      </c>
      <c r="M13" s="23">
        <v>2.6365999653246637E-4</v>
      </c>
      <c r="N13" s="23">
        <v>3.419460604200561E-2</v>
      </c>
      <c r="O13" s="23">
        <v>6.2817555848319992E-4</v>
      </c>
    </row>
    <row r="14" spans="1:15" x14ac:dyDescent="0.2">
      <c r="A14" s="15" t="s">
        <v>225</v>
      </c>
      <c r="B14" s="23">
        <v>510.28099537037633</v>
      </c>
      <c r="C14" s="23">
        <v>1.2849979105725032E-2</v>
      </c>
      <c r="D14" s="23">
        <v>7.7308817384036778E-3</v>
      </c>
      <c r="E14" s="23">
        <v>0.60162601626016265</v>
      </c>
      <c r="F14" s="23">
        <v>0.30894308943089432</v>
      </c>
      <c r="G14" s="23">
        <v>3.9699122440451312E-3</v>
      </c>
      <c r="H14" s="23">
        <v>1.6260162601626018E-2</v>
      </c>
      <c r="I14" s="23">
        <v>2.0894274968658589E-4</v>
      </c>
      <c r="J14" s="23">
        <v>0</v>
      </c>
      <c r="K14" s="23">
        <v>0</v>
      </c>
      <c r="L14" s="23">
        <v>8.130081300813009E-3</v>
      </c>
      <c r="M14" s="23">
        <v>1.0447137484329294E-4</v>
      </c>
      <c r="N14" s="23">
        <v>6.5040650406504072E-2</v>
      </c>
      <c r="O14" s="23">
        <v>8.3577099874634355E-4</v>
      </c>
    </row>
    <row r="15" spans="1:15" x14ac:dyDescent="0.2">
      <c r="A15" s="15" t="s">
        <v>75</v>
      </c>
      <c r="B15" s="23">
        <v>2168.8076515151511</v>
      </c>
      <c r="C15" s="23">
        <v>1.2604381612855859E-2</v>
      </c>
      <c r="D15" s="23">
        <v>2.0419424304905522E-3</v>
      </c>
      <c r="E15" s="23">
        <v>0.18291103783148943</v>
      </c>
      <c r="F15" s="23">
        <v>0.28472212178360051</v>
      </c>
      <c r="G15" s="23">
        <v>3.9158558439808455E-3</v>
      </c>
      <c r="H15" s="23">
        <v>0.11105570314861629</v>
      </c>
      <c r="I15" s="23">
        <v>1.5341711203688097E-3</v>
      </c>
      <c r="J15" s="23">
        <v>0.29013253341837097</v>
      </c>
      <c r="K15" s="23">
        <v>4.7072252532233934E-3</v>
      </c>
      <c r="L15" s="23">
        <v>7.6871657754010699E-3</v>
      </c>
      <c r="M15" s="23">
        <v>6.8441663838370441E-5</v>
      </c>
      <c r="N15" s="23">
        <v>3.2582347133430722E-2</v>
      </c>
      <c r="O15" s="23">
        <v>3.3674530095388708E-4</v>
      </c>
    </row>
    <row r="16" spans="1:15" x14ac:dyDescent="0.2">
      <c r="A16" s="15" t="s">
        <v>52</v>
      </c>
      <c r="B16" s="23">
        <v>1688.7975298685783</v>
      </c>
      <c r="C16" s="23">
        <v>1.9850750572325902E-2</v>
      </c>
      <c r="D16" s="23">
        <v>3.5474821466293526E-3</v>
      </c>
      <c r="E16" s="23">
        <v>0.14246505729926595</v>
      </c>
      <c r="F16" s="23">
        <v>0.44646813862459367</v>
      </c>
      <c r="G16" s="23">
        <v>1.1453459347380693E-2</v>
      </c>
      <c r="H16" s="23">
        <v>9.1856823816604136E-2</v>
      </c>
      <c r="I16" s="23">
        <v>1.4662141012004226E-3</v>
      </c>
      <c r="J16" s="23">
        <v>0.17349463767747639</v>
      </c>
      <c r="K16" s="23">
        <v>2.6850199239658867E-3</v>
      </c>
      <c r="L16" s="23">
        <v>3.0658698273017932E-3</v>
      </c>
      <c r="M16" s="23">
        <v>8.4608654118436839E-5</v>
      </c>
      <c r="N16" s="23">
        <v>2.9746246948306486E-2</v>
      </c>
      <c r="O16" s="23">
        <v>6.1396639903111259E-4</v>
      </c>
    </row>
    <row r="17" spans="1:15" x14ac:dyDescent="0.2">
      <c r="A17" s="15" t="s">
        <v>92</v>
      </c>
      <c r="B17" s="23">
        <v>1961.187531227079</v>
      </c>
      <c r="C17" s="23">
        <v>1.016866561634642E-2</v>
      </c>
      <c r="D17" s="23">
        <v>2.8451878715447217E-3</v>
      </c>
      <c r="E17" s="23">
        <v>0.1983720233655539</v>
      </c>
      <c r="F17" s="23">
        <v>0.32314486896783018</v>
      </c>
      <c r="G17" s="23">
        <v>3.5958332735828813E-3</v>
      </c>
      <c r="H17" s="23">
        <v>0.18274490651628145</v>
      </c>
      <c r="I17" s="23">
        <v>1.369901719396443E-3</v>
      </c>
      <c r="J17" s="23">
        <v>0.16705918453838373</v>
      </c>
      <c r="K17" s="23">
        <v>1.7639453999067892E-3</v>
      </c>
      <c r="L17" s="23">
        <v>1.1526832960568837E-2</v>
      </c>
      <c r="M17" s="23">
        <v>1.2719093903340529E-4</v>
      </c>
      <c r="N17" s="23">
        <v>6.2696738106827507E-2</v>
      </c>
      <c r="O17" s="23">
        <v>4.6660641288217756E-4</v>
      </c>
    </row>
    <row r="18" spans="1:15" x14ac:dyDescent="0.2">
      <c r="A18" s="15" t="s">
        <v>1965</v>
      </c>
      <c r="B18" s="23">
        <v>2612.1586921296293</v>
      </c>
      <c r="C18" s="23">
        <v>2.6104417670682729E-2</v>
      </c>
      <c r="D18" s="23">
        <v>6.6934404283801872E-4</v>
      </c>
      <c r="E18" s="23">
        <v>1.282051282051282E-2</v>
      </c>
      <c r="F18" s="23">
        <v>0.37179487179487181</v>
      </c>
      <c r="G18" s="23">
        <v>1.9410977242302542E-2</v>
      </c>
      <c r="H18" s="23">
        <v>1.282051282051282E-2</v>
      </c>
      <c r="I18" s="23">
        <v>6.6934404283801872E-4</v>
      </c>
      <c r="J18" s="23">
        <v>0.10256410256410256</v>
      </c>
      <c r="K18" s="23">
        <v>5.3547523427041497E-3</v>
      </c>
      <c r="L18" s="23">
        <v>0</v>
      </c>
      <c r="M18" s="23">
        <v>0</v>
      </c>
      <c r="N18" s="23">
        <v>0</v>
      </c>
      <c r="O18" s="23">
        <v>0</v>
      </c>
    </row>
    <row r="19" spans="1:15" x14ac:dyDescent="0.2">
      <c r="A19" s="15" t="s">
        <v>2398</v>
      </c>
      <c r="B19" s="16">
        <v>1674.6101884211623</v>
      </c>
      <c r="C19" s="16">
        <v>1.4359263193669295E-2</v>
      </c>
      <c r="D19" s="16">
        <v>3.7760161766931212E-3</v>
      </c>
      <c r="E19" s="16">
        <v>0.20339667026336586</v>
      </c>
      <c r="F19" s="16">
        <v>0.37463719040507998</v>
      </c>
      <c r="G19" s="16">
        <v>5.9161645695146644E-3</v>
      </c>
      <c r="H19" s="16">
        <v>0.17327830447406803</v>
      </c>
      <c r="I19" s="16">
        <v>1.7250675105079767E-3</v>
      </c>
      <c r="J19" s="16">
        <v>0.14546406202172185</v>
      </c>
      <c r="K19" s="16">
        <v>2.1473914491489847E-3</v>
      </c>
      <c r="L19" s="16">
        <v>1.011381470587569E-2</v>
      </c>
      <c r="M19" s="16">
        <v>1.7611504963688639E-4</v>
      </c>
      <c r="N19" s="16">
        <v>4.2509615076715454E-2</v>
      </c>
      <c r="O19" s="16">
        <v>6.1850843816765747E-4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7D2D-7751-47E6-8C0A-712B0DB80263}">
  <dimension ref="A1:O18"/>
  <sheetViews>
    <sheetView topLeftCell="J1" workbookViewId="0">
      <selection activeCell="O1" sqref="N1:O1048576"/>
    </sheetView>
  </sheetViews>
  <sheetFormatPr defaultRowHeight="12.75" x14ac:dyDescent="0.2"/>
  <cols>
    <col min="1" max="1" width="36.7109375" bestFit="1" customWidth="1"/>
    <col min="2" max="2" width="18.85546875" bestFit="1" customWidth="1"/>
    <col min="3" max="3" width="20" bestFit="1" customWidth="1"/>
    <col min="4" max="4" width="19.85546875" bestFit="1" customWidth="1"/>
    <col min="5" max="5" width="23.42578125" bestFit="1" customWidth="1"/>
    <col min="6" max="6" width="21" bestFit="1" customWidth="1"/>
    <col min="7" max="7" width="17.5703125" bestFit="1" customWidth="1"/>
    <col min="8" max="8" width="25.140625" bestFit="1" customWidth="1"/>
    <col min="9" max="9" width="21.7109375" bestFit="1" customWidth="1"/>
    <col min="10" max="10" width="22.140625" bestFit="1" customWidth="1"/>
    <col min="11" max="11" width="18.5703125" bestFit="1" customWidth="1"/>
    <col min="12" max="12" width="23.85546875" bestFit="1" customWidth="1"/>
    <col min="13" max="13" width="20.28515625" bestFit="1" customWidth="1"/>
    <col min="14" max="14" width="26.85546875" bestFit="1" customWidth="1"/>
    <col min="15" max="15" width="23.28515625" bestFit="1" customWidth="1"/>
  </cols>
  <sheetData>
    <row r="1" spans="1:15" x14ac:dyDescent="0.2">
      <c r="A1" s="29" t="s">
        <v>2397</v>
      </c>
      <c r="B1" s="24" t="s">
        <v>2409</v>
      </c>
      <c r="C1" s="24" t="s">
        <v>2399</v>
      </c>
      <c r="D1" s="24" t="s">
        <v>2410</v>
      </c>
      <c r="E1" s="24" t="s">
        <v>2411</v>
      </c>
      <c r="F1" s="24" t="s">
        <v>2412</v>
      </c>
      <c r="G1" s="24" t="s">
        <v>2421</v>
      </c>
      <c r="H1" s="24" t="s">
        <v>2420</v>
      </c>
      <c r="I1" s="24" t="s">
        <v>2419</v>
      </c>
      <c r="J1" s="24" t="s">
        <v>2418</v>
      </c>
      <c r="K1" s="24" t="s">
        <v>2417</v>
      </c>
      <c r="L1" s="24" t="s">
        <v>2416</v>
      </c>
      <c r="M1" s="24" t="s">
        <v>2415</v>
      </c>
      <c r="N1" s="24" t="s">
        <v>2414</v>
      </c>
      <c r="O1" s="24" t="s">
        <v>2413</v>
      </c>
    </row>
    <row r="2" spans="1:15" x14ac:dyDescent="0.2">
      <c r="A2" s="15" t="s">
        <v>69</v>
      </c>
      <c r="B2" s="23">
        <v>1402.5885679747219</v>
      </c>
      <c r="C2" s="23">
        <v>1.3210811197914469E-2</v>
      </c>
      <c r="D2" s="23">
        <v>3.3866859688130874E-3</v>
      </c>
      <c r="E2" s="23">
        <v>0.19825478146139844</v>
      </c>
      <c r="F2" s="23">
        <v>0.41429773847575585</v>
      </c>
      <c r="G2" s="23">
        <v>5.7050916974722438E-3</v>
      </c>
      <c r="H2" s="23">
        <v>0.19236834499677002</v>
      </c>
      <c r="I2" s="23">
        <v>1.7014664430860173E-3</v>
      </c>
      <c r="J2" s="23">
        <v>0.12985200637754638</v>
      </c>
      <c r="K2" s="23">
        <v>1.8169858007878411E-3</v>
      </c>
      <c r="L2" s="23">
        <v>5.5257966480336028E-3</v>
      </c>
      <c r="M2" s="23">
        <v>7.7575746953218626E-5</v>
      </c>
      <c r="N2" s="23">
        <v>3.4304506643670199E-2</v>
      </c>
      <c r="O2" s="23">
        <v>5.2300554080207087E-4</v>
      </c>
    </row>
    <row r="3" spans="1:15" x14ac:dyDescent="0.2">
      <c r="A3" s="15" t="s">
        <v>153</v>
      </c>
      <c r="B3" s="23">
        <v>2192.502319155094</v>
      </c>
      <c r="C3" s="23">
        <v>1.3151786351022937E-2</v>
      </c>
      <c r="D3" s="23">
        <v>3.99856028644227E-3</v>
      </c>
      <c r="E3" s="23">
        <v>0.24757790745330038</v>
      </c>
      <c r="F3" s="23">
        <v>0.36521162761381237</v>
      </c>
      <c r="G3" s="23">
        <v>4.1729836445474301E-3</v>
      </c>
      <c r="H3" s="23">
        <v>0.17154201737020142</v>
      </c>
      <c r="I3" s="23">
        <v>1.878493288255207E-3</v>
      </c>
      <c r="J3" s="23">
        <v>8.9604510326049519E-2</v>
      </c>
      <c r="K3" s="23">
        <v>1.8673431586037675E-3</v>
      </c>
      <c r="L3" s="23">
        <v>4.4118143644780363E-3</v>
      </c>
      <c r="M3" s="23">
        <v>3.1020244485197859E-5</v>
      </c>
      <c r="N3" s="23">
        <v>0.12165212287215832</v>
      </c>
      <c r="O3" s="23">
        <v>1.2033857286890643E-3</v>
      </c>
    </row>
    <row r="4" spans="1:15" x14ac:dyDescent="0.2">
      <c r="A4" s="15" t="s">
        <v>57</v>
      </c>
      <c r="B4" s="23">
        <v>2098.4304804221592</v>
      </c>
      <c r="C4" s="23">
        <v>9.9764311262948071E-3</v>
      </c>
      <c r="D4" s="23">
        <v>2.4805078629466632E-3</v>
      </c>
      <c r="E4" s="23">
        <v>0.19220833419249517</v>
      </c>
      <c r="F4" s="23">
        <v>0.33172528886615471</v>
      </c>
      <c r="G4" s="23">
        <v>3.8925642557602106E-3</v>
      </c>
      <c r="H4" s="23">
        <v>0.26305047749339661</v>
      </c>
      <c r="I4" s="23">
        <v>1.5482067061074012E-3</v>
      </c>
      <c r="J4" s="23">
        <v>0.11426795629755247</v>
      </c>
      <c r="K4" s="23">
        <v>1.2589947453482007E-3</v>
      </c>
      <c r="L4" s="23">
        <v>1.0927204440333139E-2</v>
      </c>
      <c r="M4" s="23">
        <v>2.2660239489481816E-4</v>
      </c>
      <c r="N4" s="23">
        <v>3.6973281082949269E-2</v>
      </c>
      <c r="O4" s="23">
        <v>5.695551612375188E-4</v>
      </c>
    </row>
    <row r="5" spans="1:15" x14ac:dyDescent="0.2">
      <c r="A5" s="15" t="s">
        <v>387</v>
      </c>
      <c r="B5" s="23">
        <v>1738.3613541666709</v>
      </c>
      <c r="C5" s="23">
        <v>6.5810593900481537E-2</v>
      </c>
      <c r="D5" s="23">
        <v>3.2102728731942212E-2</v>
      </c>
      <c r="E5" s="23">
        <v>0.48780487804878048</v>
      </c>
      <c r="F5" s="23">
        <v>0</v>
      </c>
      <c r="G5" s="23">
        <v>0</v>
      </c>
      <c r="H5" s="23">
        <v>0.13414634146341464</v>
      </c>
      <c r="I5" s="23">
        <v>8.8282504012841094E-3</v>
      </c>
      <c r="J5" s="23">
        <v>3.6585365853658534E-2</v>
      </c>
      <c r="K5" s="23">
        <v>2.407704654895666E-3</v>
      </c>
      <c r="L5" s="23">
        <v>0</v>
      </c>
      <c r="M5" s="23">
        <v>0</v>
      </c>
      <c r="N5" s="23">
        <v>0.34146341463414637</v>
      </c>
      <c r="O5" s="23">
        <v>2.247191011235955E-2</v>
      </c>
    </row>
    <row r="6" spans="1:15" x14ac:dyDescent="0.2">
      <c r="A6" s="15" t="s">
        <v>1078</v>
      </c>
      <c r="B6" s="23">
        <v>2614.2550115740742</v>
      </c>
      <c r="C6" s="23">
        <v>9.0802987861811388E-2</v>
      </c>
      <c r="D6" s="23">
        <v>4.3650793650793648E-2</v>
      </c>
      <c r="E6" s="23">
        <v>0.48071979434447298</v>
      </c>
      <c r="F6" s="23">
        <v>5.3984575835475578E-2</v>
      </c>
      <c r="G6" s="23">
        <v>4.9019607843137254E-3</v>
      </c>
      <c r="H6" s="23">
        <v>0.31619537275064269</v>
      </c>
      <c r="I6" s="23">
        <v>2.8711484593837534E-2</v>
      </c>
      <c r="J6" s="23">
        <v>0.13624678663239073</v>
      </c>
      <c r="K6" s="23">
        <v>1.2371615312791783E-2</v>
      </c>
      <c r="L6" s="23">
        <v>0</v>
      </c>
      <c r="M6" s="23">
        <v>0</v>
      </c>
      <c r="N6" s="23">
        <v>1.2853470437017995E-2</v>
      </c>
      <c r="O6" s="23">
        <v>1.1671335200746965E-3</v>
      </c>
    </row>
    <row r="7" spans="1:15" x14ac:dyDescent="0.2">
      <c r="A7" s="15" t="s">
        <v>366</v>
      </c>
      <c r="B7" s="23">
        <v>1966.5783040577346</v>
      </c>
      <c r="C7" s="23">
        <v>1.6528340001958096E-2</v>
      </c>
      <c r="D7" s="23">
        <v>3.4319707593580655E-3</v>
      </c>
      <c r="E7" s="23">
        <v>0.20578615120730678</v>
      </c>
      <c r="F7" s="23">
        <v>0.32002492760484685</v>
      </c>
      <c r="G7" s="23">
        <v>7.4548149635160991E-3</v>
      </c>
      <c r="H7" s="23">
        <v>0.17272225809834382</v>
      </c>
      <c r="I7" s="23">
        <v>2.4076553906632499E-3</v>
      </c>
      <c r="J7" s="23">
        <v>0.14296130034322904</v>
      </c>
      <c r="K7" s="23">
        <v>1.8188027003814319E-3</v>
      </c>
      <c r="L7" s="23">
        <v>9.1807884990509764E-3</v>
      </c>
      <c r="M7" s="23">
        <v>2.262752036354019E-4</v>
      </c>
      <c r="N7" s="23">
        <v>6.1089280129575457E-2</v>
      </c>
      <c r="O7" s="23">
        <v>1.1888209844038518E-3</v>
      </c>
    </row>
    <row r="8" spans="1:15" x14ac:dyDescent="0.2">
      <c r="A8" s="15" t="s">
        <v>64</v>
      </c>
      <c r="B8" s="23">
        <v>2136.0236820987648</v>
      </c>
      <c r="C8" s="23">
        <v>1.0032911869432067E-2</v>
      </c>
      <c r="D8" s="23">
        <v>3.7010153808558458E-3</v>
      </c>
      <c r="E8" s="23">
        <v>0.27304127440566162</v>
      </c>
      <c r="F8" s="23">
        <v>0.21655059114758743</v>
      </c>
      <c r="G8" s="23">
        <v>2.5952627016546628E-3</v>
      </c>
      <c r="H8" s="23">
        <v>0.28710002928426326</v>
      </c>
      <c r="I8" s="23">
        <v>1.9523511685246499E-3</v>
      </c>
      <c r="J8" s="23">
        <v>0.17287181868806348</v>
      </c>
      <c r="K8" s="23">
        <v>1.5180794738599388E-3</v>
      </c>
      <c r="L8" s="23">
        <v>8.7765497851947909E-3</v>
      </c>
      <c r="M8" s="23">
        <v>1.0471745815821809E-4</v>
      </c>
      <c r="N8" s="23">
        <v>4.1659736689229496E-2</v>
      </c>
      <c r="O8" s="23">
        <v>1.6148568637875402E-4</v>
      </c>
    </row>
    <row r="9" spans="1:15" x14ac:dyDescent="0.2">
      <c r="A9" s="15" t="s">
        <v>49</v>
      </c>
      <c r="B9" s="23">
        <v>1662.7169737268516</v>
      </c>
      <c r="C9" s="23">
        <v>2.3395501880287103E-2</v>
      </c>
      <c r="D9" s="23">
        <v>7.6702029345005023E-3</v>
      </c>
      <c r="E9" s="23">
        <v>0.28637278528006416</v>
      </c>
      <c r="F9" s="23">
        <v>0.32064794054083845</v>
      </c>
      <c r="G9" s="23">
        <v>7.8821469537447945E-3</v>
      </c>
      <c r="H9" s="23">
        <v>0.13126934159145986</v>
      </c>
      <c r="I9" s="23">
        <v>2.5267863674404661E-3</v>
      </c>
      <c r="J9" s="23">
        <v>0.16943983775453975</v>
      </c>
      <c r="K9" s="23">
        <v>4.0672726146004914E-3</v>
      </c>
      <c r="L9" s="23">
        <v>1.5277222881327183E-2</v>
      </c>
      <c r="M9" s="23">
        <v>3.8625774377122466E-4</v>
      </c>
      <c r="N9" s="23">
        <v>4.6992871951770418E-2</v>
      </c>
      <c r="O9" s="23">
        <v>8.6283526622963681E-4</v>
      </c>
    </row>
    <row r="10" spans="1:15" x14ac:dyDescent="0.2">
      <c r="A10" s="15" t="s">
        <v>1410</v>
      </c>
      <c r="B10" s="23">
        <v>2204.3636381172837</v>
      </c>
      <c r="C10" s="23">
        <v>1.8867764033525133E-2</v>
      </c>
      <c r="D10" s="23">
        <v>6.154379371024702E-3</v>
      </c>
      <c r="E10" s="23">
        <v>0.40876185033113249</v>
      </c>
      <c r="F10" s="23">
        <v>0.26695894558999733</v>
      </c>
      <c r="G10" s="23">
        <v>6.4997284396604441E-3</v>
      </c>
      <c r="H10" s="23">
        <v>5.6204785754034502E-2</v>
      </c>
      <c r="I10" s="23">
        <v>2.670050493034076E-3</v>
      </c>
      <c r="J10" s="23">
        <v>0.22647355201612296</v>
      </c>
      <c r="K10" s="23">
        <v>3.0379606659462605E-3</v>
      </c>
      <c r="L10" s="23">
        <v>0</v>
      </c>
      <c r="M10" s="23">
        <v>0</v>
      </c>
      <c r="N10" s="23">
        <v>4.1600866308712722E-2</v>
      </c>
      <c r="O10" s="23">
        <v>5.0564506385964759E-4</v>
      </c>
    </row>
    <row r="11" spans="1:15" x14ac:dyDescent="0.2">
      <c r="A11" s="15" t="s">
        <v>160</v>
      </c>
      <c r="B11" s="23">
        <v>2276.6230993716936</v>
      </c>
      <c r="C11" s="23">
        <v>1.4428639472867457E-2</v>
      </c>
      <c r="D11" s="23">
        <v>5.3402570072111346E-3</v>
      </c>
      <c r="E11" s="23">
        <v>0.300574007024138</v>
      </c>
      <c r="F11" s="23">
        <v>0.2071030052388057</v>
      </c>
      <c r="G11" s="23">
        <v>4.3677535067124535E-3</v>
      </c>
      <c r="H11" s="23">
        <v>0.17176988571007565</v>
      </c>
      <c r="I11" s="23">
        <v>1.1155505533208662E-3</v>
      </c>
      <c r="J11" s="23">
        <v>0.20351555816738304</v>
      </c>
      <c r="K11" s="23">
        <v>2.3771182455086721E-3</v>
      </c>
      <c r="L11" s="23">
        <v>8.035560271413061E-3</v>
      </c>
      <c r="M11" s="23">
        <v>2.2645857635709515E-4</v>
      </c>
      <c r="N11" s="23">
        <v>3.7573412159613136E-2</v>
      </c>
      <c r="O11" s="23">
        <v>1.0015015837572358E-3</v>
      </c>
    </row>
    <row r="12" spans="1:15" x14ac:dyDescent="0.2">
      <c r="A12" s="15" t="s">
        <v>1405</v>
      </c>
      <c r="B12" s="23">
        <v>2451.4950694444437</v>
      </c>
      <c r="C12" s="23">
        <v>6.6038580596226122E-4</v>
      </c>
      <c r="D12" s="23">
        <v>9.9076606031783769E-5</v>
      </c>
      <c r="E12" s="23">
        <v>5.9523809523809527E-2</v>
      </c>
      <c r="F12" s="23">
        <v>0.14285714285714285</v>
      </c>
      <c r="G12" s="23">
        <v>2.3778385447628106E-4</v>
      </c>
      <c r="H12" s="23">
        <v>9.5238095238095233E-2</v>
      </c>
      <c r="I12" s="23">
        <v>9.4340829423180157E-5</v>
      </c>
      <c r="J12" s="23">
        <v>0.14285714285714285</v>
      </c>
      <c r="K12" s="23">
        <v>1.094203740209333E-4</v>
      </c>
      <c r="L12" s="23">
        <v>0.22619047619047616</v>
      </c>
      <c r="M12" s="23">
        <v>1.1976414201008285E-4</v>
      </c>
      <c r="N12" s="23">
        <v>0</v>
      </c>
      <c r="O12" s="23">
        <v>0</v>
      </c>
    </row>
    <row r="13" spans="1:15" x14ac:dyDescent="0.2">
      <c r="A13" s="15" t="s">
        <v>72</v>
      </c>
      <c r="B13" s="23">
        <v>1519.3168223602213</v>
      </c>
      <c r="C13" s="23">
        <v>1.4981516821005538E-2</v>
      </c>
      <c r="D13" s="23">
        <v>3.6393712324994634E-3</v>
      </c>
      <c r="E13" s="23">
        <v>0.18416278444926112</v>
      </c>
      <c r="F13" s="23">
        <v>0.41712243515087422</v>
      </c>
      <c r="G13" s="23">
        <v>6.6556941031717092E-3</v>
      </c>
      <c r="H13" s="23">
        <v>0.15508581797052015</v>
      </c>
      <c r="I13" s="23">
        <v>1.6456977335401841E-3</v>
      </c>
      <c r="J13" s="23">
        <v>0.13305179242604437</v>
      </c>
      <c r="K13" s="23">
        <v>2.1489181967785063E-3</v>
      </c>
      <c r="L13" s="23">
        <v>1.2279999858730194E-2</v>
      </c>
      <c r="M13" s="23">
        <v>2.6365999653246637E-4</v>
      </c>
      <c r="N13" s="23">
        <v>3.419460604200561E-2</v>
      </c>
      <c r="O13" s="23">
        <v>6.2817555848319992E-4</v>
      </c>
    </row>
    <row r="14" spans="1:15" x14ac:dyDescent="0.2">
      <c r="A14" s="15" t="s">
        <v>225</v>
      </c>
      <c r="B14" s="23">
        <v>510.28099537037633</v>
      </c>
      <c r="C14" s="23">
        <v>1.2849979105725032E-2</v>
      </c>
      <c r="D14" s="23">
        <v>7.7308817384036778E-3</v>
      </c>
      <c r="E14" s="23">
        <v>0.60162601626016265</v>
      </c>
      <c r="F14" s="23">
        <v>0.30894308943089432</v>
      </c>
      <c r="G14" s="23">
        <v>3.9699122440451312E-3</v>
      </c>
      <c r="H14" s="23">
        <v>1.6260162601626018E-2</v>
      </c>
      <c r="I14" s="23">
        <v>2.0894274968658589E-4</v>
      </c>
      <c r="J14" s="23">
        <v>0</v>
      </c>
      <c r="K14" s="23">
        <v>0</v>
      </c>
      <c r="L14" s="23">
        <v>8.130081300813009E-3</v>
      </c>
      <c r="M14" s="23">
        <v>1.0447137484329294E-4</v>
      </c>
      <c r="N14" s="23">
        <v>6.5040650406504072E-2</v>
      </c>
      <c r="O14" s="23">
        <v>8.3577099874634355E-4</v>
      </c>
    </row>
    <row r="15" spans="1:15" x14ac:dyDescent="0.2">
      <c r="A15" s="15" t="s">
        <v>75</v>
      </c>
      <c r="B15" s="23">
        <v>2168.8076515151511</v>
      </c>
      <c r="C15" s="23">
        <v>1.2604381612855859E-2</v>
      </c>
      <c r="D15" s="23">
        <v>2.0419424304905522E-3</v>
      </c>
      <c r="E15" s="23">
        <v>0.18291103783148943</v>
      </c>
      <c r="F15" s="23">
        <v>0.28472212178360051</v>
      </c>
      <c r="G15" s="23">
        <v>3.9158558439808455E-3</v>
      </c>
      <c r="H15" s="23">
        <v>0.11105570314861629</v>
      </c>
      <c r="I15" s="23">
        <v>1.5341711203688097E-3</v>
      </c>
      <c r="J15" s="23">
        <v>0.29013253341837097</v>
      </c>
      <c r="K15" s="23">
        <v>4.7072252532233934E-3</v>
      </c>
      <c r="L15" s="23">
        <v>7.6871657754010699E-3</v>
      </c>
      <c r="M15" s="23">
        <v>6.8441663838370441E-5</v>
      </c>
      <c r="N15" s="23">
        <v>3.2582347133430722E-2</v>
      </c>
      <c r="O15" s="23">
        <v>3.3674530095388708E-4</v>
      </c>
    </row>
    <row r="16" spans="1:15" x14ac:dyDescent="0.2">
      <c r="A16" s="15" t="s">
        <v>52</v>
      </c>
      <c r="B16" s="23">
        <v>1688.7975298685783</v>
      </c>
      <c r="C16" s="23">
        <v>1.9850750572325902E-2</v>
      </c>
      <c r="D16" s="23">
        <v>3.5474821466293526E-3</v>
      </c>
      <c r="E16" s="23">
        <v>0.14246505729926595</v>
      </c>
      <c r="F16" s="23">
        <v>0.44646813862459367</v>
      </c>
      <c r="G16" s="23">
        <v>1.1453459347380693E-2</v>
      </c>
      <c r="H16" s="23">
        <v>9.1856823816604136E-2</v>
      </c>
      <c r="I16" s="23">
        <v>1.4662141012004226E-3</v>
      </c>
      <c r="J16" s="23">
        <v>0.17349463767747639</v>
      </c>
      <c r="K16" s="23">
        <v>2.6850199239658867E-3</v>
      </c>
      <c r="L16" s="23">
        <v>3.0658698273017932E-3</v>
      </c>
      <c r="M16" s="23">
        <v>8.4608654118436839E-5</v>
      </c>
      <c r="N16" s="23">
        <v>2.9746246948306486E-2</v>
      </c>
      <c r="O16" s="23">
        <v>6.1396639903111259E-4</v>
      </c>
    </row>
    <row r="17" spans="1:15" x14ac:dyDescent="0.2">
      <c r="A17" s="15" t="s">
        <v>92</v>
      </c>
      <c r="B17" s="23">
        <v>1961.187531227079</v>
      </c>
      <c r="C17" s="23">
        <v>1.016866561634642E-2</v>
      </c>
      <c r="D17" s="23">
        <v>2.8451878715447217E-3</v>
      </c>
      <c r="E17" s="23">
        <v>0.1983720233655539</v>
      </c>
      <c r="F17" s="23">
        <v>0.32314486896783018</v>
      </c>
      <c r="G17" s="23">
        <v>3.5958332735828813E-3</v>
      </c>
      <c r="H17" s="23">
        <v>0.18274490651628145</v>
      </c>
      <c r="I17" s="23">
        <v>1.369901719396443E-3</v>
      </c>
      <c r="J17" s="23">
        <v>0.16705918453838373</v>
      </c>
      <c r="K17" s="23">
        <v>1.7639453999067892E-3</v>
      </c>
      <c r="L17" s="23">
        <v>1.1526832960568837E-2</v>
      </c>
      <c r="M17" s="23">
        <v>1.2719093903340529E-4</v>
      </c>
      <c r="N17" s="23">
        <v>6.2696738106827507E-2</v>
      </c>
      <c r="O17" s="23">
        <v>4.6660641288217756E-4</v>
      </c>
    </row>
    <row r="18" spans="1:15" x14ac:dyDescent="0.2">
      <c r="A18" s="15" t="s">
        <v>1965</v>
      </c>
      <c r="B18" s="23">
        <v>2612.1586921296293</v>
      </c>
      <c r="C18" s="23">
        <v>2.6104417670682729E-2</v>
      </c>
      <c r="D18" s="23">
        <v>6.6934404283801872E-4</v>
      </c>
      <c r="E18" s="23">
        <v>1.282051282051282E-2</v>
      </c>
      <c r="F18" s="23">
        <v>0.37179487179487181</v>
      </c>
      <c r="G18" s="23">
        <v>1.9410977242302542E-2</v>
      </c>
      <c r="H18" s="23">
        <v>1.282051282051282E-2</v>
      </c>
      <c r="I18" s="23">
        <v>6.6934404283801872E-4</v>
      </c>
      <c r="J18" s="23">
        <v>0.10256410256410256</v>
      </c>
      <c r="K18" s="23">
        <v>5.3547523427041497E-3</v>
      </c>
      <c r="L18" s="23">
        <v>0</v>
      </c>
      <c r="M18" s="23">
        <v>0</v>
      </c>
      <c r="N18" s="23">
        <v>0</v>
      </c>
      <c r="O18" s="23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99A2D-C03E-4DF2-BDEA-59B0EE086D18}">
  <dimension ref="A1:AH33"/>
  <sheetViews>
    <sheetView zoomScale="80" zoomScaleNormal="80" workbookViewId="0"/>
  </sheetViews>
  <sheetFormatPr defaultRowHeight="12.75" x14ac:dyDescent="0.2"/>
  <cols>
    <col min="1" max="1" width="24.85546875" customWidth="1"/>
    <col min="14" max="14" width="12.85546875" bestFit="1" customWidth="1"/>
    <col min="15" max="15" width="11.28515625" bestFit="1" customWidth="1"/>
    <col min="16" max="16" width="16.7109375" bestFit="1" customWidth="1"/>
    <col min="17" max="17" width="14.85546875" bestFit="1" customWidth="1"/>
  </cols>
  <sheetData>
    <row r="1" spans="1:34" x14ac:dyDescent="0.2">
      <c r="A1" s="20"/>
      <c r="B1" s="20" t="s">
        <v>2396</v>
      </c>
      <c r="C1" s="20" t="s">
        <v>8</v>
      </c>
      <c r="D1" s="20" t="s">
        <v>9</v>
      </c>
      <c r="E1" s="20" t="s">
        <v>10</v>
      </c>
      <c r="F1" s="20" t="s">
        <v>11</v>
      </c>
      <c r="G1" s="20" t="s">
        <v>12</v>
      </c>
      <c r="H1" s="20" t="s">
        <v>13</v>
      </c>
      <c r="I1" s="20" t="s">
        <v>14</v>
      </c>
      <c r="J1" s="20" t="s">
        <v>15</v>
      </c>
      <c r="K1" s="20" t="s">
        <v>16</v>
      </c>
      <c r="L1" s="20" t="s">
        <v>17</v>
      </c>
      <c r="M1" s="20" t="s">
        <v>19</v>
      </c>
      <c r="N1" s="20" t="s">
        <v>20</v>
      </c>
      <c r="O1" s="20" t="s">
        <v>21</v>
      </c>
      <c r="P1" s="20" t="s">
        <v>22</v>
      </c>
      <c r="Q1" s="20" t="s">
        <v>23</v>
      </c>
      <c r="R1" s="20" t="s">
        <v>2403</v>
      </c>
      <c r="S1" s="20" t="s">
        <v>24</v>
      </c>
      <c r="T1" s="20" t="s">
        <v>25</v>
      </c>
      <c r="U1" s="20" t="s">
        <v>2404</v>
      </c>
      <c r="V1" s="20" t="s">
        <v>26</v>
      </c>
      <c r="W1" s="20" t="s">
        <v>27</v>
      </c>
      <c r="X1" s="20" t="s">
        <v>2405</v>
      </c>
      <c r="Y1" s="20" t="s">
        <v>28</v>
      </c>
      <c r="Z1" s="20" t="s">
        <v>29</v>
      </c>
      <c r="AA1" s="20" t="s">
        <v>2406</v>
      </c>
      <c r="AB1" s="20" t="s">
        <v>30</v>
      </c>
      <c r="AC1" s="20" t="s">
        <v>31</v>
      </c>
      <c r="AD1" s="20" t="s">
        <v>2407</v>
      </c>
      <c r="AE1" s="20" t="s">
        <v>32</v>
      </c>
      <c r="AF1" s="20" t="s">
        <v>33</v>
      </c>
      <c r="AG1" s="20" t="s">
        <v>2408</v>
      </c>
    </row>
    <row r="2" spans="1:34" x14ac:dyDescent="0.2">
      <c r="A2" s="18" t="s">
        <v>2396</v>
      </c>
      <c r="B2" s="21">
        <v>1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17"/>
    </row>
    <row r="3" spans="1:34" x14ac:dyDescent="0.2">
      <c r="A3" s="18" t="s">
        <v>8</v>
      </c>
      <c r="B3" s="21">
        <v>0.15406933734170983</v>
      </c>
      <c r="C3" s="21">
        <v>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17"/>
    </row>
    <row r="4" spans="1:34" x14ac:dyDescent="0.2">
      <c r="A4" s="18" t="s">
        <v>9</v>
      </c>
      <c r="B4" s="21">
        <v>0.24676896070358784</v>
      </c>
      <c r="C4" s="21">
        <v>0.87835946412084154</v>
      </c>
      <c r="D4" s="21">
        <v>1</v>
      </c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17"/>
    </row>
    <row r="5" spans="1:34" x14ac:dyDescent="0.2">
      <c r="A5" s="18" t="s">
        <v>10</v>
      </c>
      <c r="B5" s="21">
        <v>0.14009876732602924</v>
      </c>
      <c r="C5" s="21">
        <v>0.82804531775531676</v>
      </c>
      <c r="D5" s="21">
        <v>0.85217562029819227</v>
      </c>
      <c r="E5" s="21">
        <v>1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17"/>
    </row>
    <row r="6" spans="1:34" x14ac:dyDescent="0.2">
      <c r="A6" s="18" t="s">
        <v>11</v>
      </c>
      <c r="B6" s="21">
        <v>0.1070271620588721</v>
      </c>
      <c r="C6" s="21">
        <v>0.13598542599274821</v>
      </c>
      <c r="D6" s="21">
        <v>0.13002841723276148</v>
      </c>
      <c r="E6" s="21">
        <v>0.11137441774845323</v>
      </c>
      <c r="F6" s="21">
        <v>1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17"/>
    </row>
    <row r="7" spans="1:34" x14ac:dyDescent="0.2">
      <c r="A7" s="18" t="s">
        <v>12</v>
      </c>
      <c r="B7" s="21">
        <v>2.5549465842400192E-2</v>
      </c>
      <c r="C7" s="21">
        <v>1.4575478734426293E-2</v>
      </c>
      <c r="D7" s="21">
        <v>1.6892406624146247E-2</v>
      </c>
      <c r="E7" s="21">
        <v>1.321574281988883E-2</v>
      </c>
      <c r="F7" s="21">
        <v>-3.1965428362875086E-3</v>
      </c>
      <c r="G7" s="21">
        <v>1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17"/>
    </row>
    <row r="8" spans="1:34" x14ac:dyDescent="0.2">
      <c r="A8" s="18" t="s">
        <v>13</v>
      </c>
      <c r="B8" s="21">
        <v>0.29871516440919754</v>
      </c>
      <c r="C8" s="21">
        <v>0.50894101603217134</v>
      </c>
      <c r="D8" s="21">
        <v>0.4605328382256359</v>
      </c>
      <c r="E8" s="21">
        <v>0.48869077537761957</v>
      </c>
      <c r="F8" s="21">
        <v>0.25798029483275792</v>
      </c>
      <c r="G8" s="21">
        <v>4.592075137569105E-2</v>
      </c>
      <c r="H8" s="21">
        <v>1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17"/>
    </row>
    <row r="9" spans="1:34" x14ac:dyDescent="0.2">
      <c r="A9" s="18" t="s">
        <v>14</v>
      </c>
      <c r="B9" s="21">
        <v>0.25016681095119503</v>
      </c>
      <c r="C9" s="21">
        <v>0.4328248137292558</v>
      </c>
      <c r="D9" s="21">
        <v>0.44419377265860849</v>
      </c>
      <c r="E9" s="21">
        <v>0.44451027023241435</v>
      </c>
      <c r="F9" s="21">
        <v>0.27485830007462664</v>
      </c>
      <c r="G9" s="21">
        <v>0.12575947956036834</v>
      </c>
      <c r="H9" s="21">
        <v>0.65834061543358913</v>
      </c>
      <c r="I9" s="21">
        <v>1</v>
      </c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17"/>
    </row>
    <row r="10" spans="1:34" x14ac:dyDescent="0.2">
      <c r="A10" s="18" t="s">
        <v>15</v>
      </c>
      <c r="B10" s="21">
        <v>0.18288844489416087</v>
      </c>
      <c r="C10" s="21">
        <v>0.43503950128819274</v>
      </c>
      <c r="D10" s="21">
        <v>0.42016093326729381</v>
      </c>
      <c r="E10" s="21">
        <v>0.4296204943569244</v>
      </c>
      <c r="F10" s="21">
        <v>0.16722960952537361</v>
      </c>
      <c r="G10" s="21">
        <v>3.8809884131965629E-2</v>
      </c>
      <c r="H10" s="21">
        <v>0.59768880163612703</v>
      </c>
      <c r="I10" s="21">
        <v>0.75570722923231382</v>
      </c>
      <c r="J10" s="21">
        <v>1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17"/>
    </row>
    <row r="11" spans="1:34" x14ac:dyDescent="0.2">
      <c r="A11" s="18" t="s">
        <v>16</v>
      </c>
      <c r="B11" s="21">
        <v>0.25037077735895191</v>
      </c>
      <c r="C11" s="21">
        <v>0.56299193523521762</v>
      </c>
      <c r="D11" s="21">
        <v>0.5426222932065714</v>
      </c>
      <c r="E11" s="21">
        <v>0.5573748591712524</v>
      </c>
      <c r="F11" s="21">
        <v>0.25338491111284123</v>
      </c>
      <c r="G11" s="21">
        <v>2.1622025409719761E-2</v>
      </c>
      <c r="H11" s="21">
        <v>0.70939986278579659</v>
      </c>
      <c r="I11" s="21">
        <v>0.76507347273565829</v>
      </c>
      <c r="J11" s="21">
        <v>0.69448617084346631</v>
      </c>
      <c r="K11" s="21">
        <v>1</v>
      </c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17"/>
    </row>
    <row r="12" spans="1:34" x14ac:dyDescent="0.2">
      <c r="A12" s="18" t="s">
        <v>17</v>
      </c>
      <c r="B12" s="21">
        <v>0.2193171600781374</v>
      </c>
      <c r="C12" s="21">
        <v>0.4640406177848983</v>
      </c>
      <c r="D12" s="21">
        <v>0.42946886595932549</v>
      </c>
      <c r="E12" s="21">
        <v>0.43789855739726069</v>
      </c>
      <c r="F12" s="21">
        <v>0.20124504436092591</v>
      </c>
      <c r="G12" s="21">
        <v>1.4097619088092718E-2</v>
      </c>
      <c r="H12" s="21">
        <v>0.67573332234721806</v>
      </c>
      <c r="I12" s="21">
        <v>0.56982221337704264</v>
      </c>
      <c r="J12" s="21">
        <v>0.7055849762703138</v>
      </c>
      <c r="K12" s="21">
        <v>0.79285032959600876</v>
      </c>
      <c r="L12" s="21">
        <v>1</v>
      </c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17"/>
    </row>
    <row r="13" spans="1:34" x14ac:dyDescent="0.2">
      <c r="A13" s="18" t="s">
        <v>19</v>
      </c>
      <c r="B13" s="21">
        <v>0.13008739058979574</v>
      </c>
      <c r="C13" s="21">
        <v>0.10597441061668129</v>
      </c>
      <c r="D13" s="21">
        <v>0.14197666959640476</v>
      </c>
      <c r="E13" s="21">
        <v>0.1326387717427828</v>
      </c>
      <c r="F13" s="21">
        <v>0.68010187258879129</v>
      </c>
      <c r="G13" s="21">
        <v>1.4219999909815326E-2</v>
      </c>
      <c r="H13" s="21">
        <v>0.2898627475486667</v>
      </c>
      <c r="I13" s="21">
        <v>0.35607129605376592</v>
      </c>
      <c r="J13" s="21">
        <v>0.27684925710906977</v>
      </c>
      <c r="K13" s="21">
        <v>0.28198386401697512</v>
      </c>
      <c r="L13" s="21">
        <v>0.28082594113577919</v>
      </c>
      <c r="M13" s="21">
        <v>1</v>
      </c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17"/>
    </row>
    <row r="14" spans="1:34" x14ac:dyDescent="0.2">
      <c r="A14" s="18" t="s">
        <v>20</v>
      </c>
      <c r="B14" s="21">
        <v>0.15305713483109548</v>
      </c>
      <c r="C14" s="21">
        <v>0.19982597027742888</v>
      </c>
      <c r="D14" s="21">
        <v>0.22834065094342854</v>
      </c>
      <c r="E14" s="21">
        <v>0.22960948081546831</v>
      </c>
      <c r="F14" s="21">
        <v>0.23164510510748679</v>
      </c>
      <c r="G14" s="21">
        <v>3.7510091498116738E-2</v>
      </c>
      <c r="H14" s="21">
        <v>0.56012530816692663</v>
      </c>
      <c r="I14" s="21">
        <v>0.47951738115577885</v>
      </c>
      <c r="J14" s="21">
        <v>0.37269553051015203</v>
      </c>
      <c r="K14" s="21">
        <v>0.47551071238557208</v>
      </c>
      <c r="L14" s="21">
        <v>0.33486600813988288</v>
      </c>
      <c r="M14" s="21">
        <v>0.32725576300020948</v>
      </c>
      <c r="N14" s="21">
        <v>1</v>
      </c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17"/>
    </row>
    <row r="15" spans="1:34" x14ac:dyDescent="0.2">
      <c r="A15" s="18" t="s">
        <v>21</v>
      </c>
      <c r="B15" s="21">
        <v>-2.314771400765692E-2</v>
      </c>
      <c r="C15" s="21">
        <v>-9.5002261961057557E-2</v>
      </c>
      <c r="D15" s="21">
        <v>-6.5187452365447263E-2</v>
      </c>
      <c r="E15" s="21">
        <v>-5.9976436129804661E-2</v>
      </c>
      <c r="F15" s="21">
        <v>-5.4657632493210553E-2</v>
      </c>
      <c r="G15" s="21">
        <v>6.1814203787691263E-3</v>
      </c>
      <c r="H15" s="21">
        <v>-9.366011528458304E-2</v>
      </c>
      <c r="I15" s="21">
        <v>-8.7603585042403245E-2</v>
      </c>
      <c r="J15" s="21">
        <v>-8.8021408414923369E-2</v>
      </c>
      <c r="K15" s="21">
        <v>-8.1343831861284535E-2</v>
      </c>
      <c r="L15" s="21">
        <v>-9.9275160447991465E-2</v>
      </c>
      <c r="M15" s="21">
        <v>-8.1518425343635487E-2</v>
      </c>
      <c r="N15" s="21">
        <v>0.10449752626849972</v>
      </c>
      <c r="O15" s="21">
        <v>1</v>
      </c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17"/>
    </row>
    <row r="16" spans="1:34" x14ac:dyDescent="0.2">
      <c r="A16" s="18" t="s">
        <v>22</v>
      </c>
      <c r="B16" s="21">
        <v>0.15653797001913108</v>
      </c>
      <c r="C16" s="21">
        <v>0.12834020456573009</v>
      </c>
      <c r="D16" s="21">
        <v>0.15599256294508518</v>
      </c>
      <c r="E16" s="21">
        <v>0.13921958624947794</v>
      </c>
      <c r="F16" s="21">
        <v>0.2094614780776782</v>
      </c>
      <c r="G16" s="21">
        <v>1.7654452362300663E-2</v>
      </c>
      <c r="H16" s="21">
        <v>0.479091298586376</v>
      </c>
      <c r="I16" s="21">
        <v>0.38980805198740948</v>
      </c>
      <c r="J16" s="21">
        <v>0.29745102819461872</v>
      </c>
      <c r="K16" s="21">
        <v>0.42455065456065977</v>
      </c>
      <c r="L16" s="21">
        <v>0.28526466967972713</v>
      </c>
      <c r="M16" s="21">
        <v>0.27924419733894118</v>
      </c>
      <c r="N16" s="21">
        <v>0.93757191218304425</v>
      </c>
      <c r="O16" s="21">
        <v>0.11184778267821949</v>
      </c>
      <c r="P16" s="21">
        <v>1</v>
      </c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17"/>
    </row>
    <row r="17" spans="1:34" x14ac:dyDescent="0.2">
      <c r="A17" s="18" t="s">
        <v>23</v>
      </c>
      <c r="B17" s="21">
        <v>0.17025292476592602</v>
      </c>
      <c r="C17" s="21">
        <v>-1.7544690698097269E-2</v>
      </c>
      <c r="D17" s="21">
        <v>-7.1866635411813717E-3</v>
      </c>
      <c r="E17" s="21">
        <v>-4.1739146230411063E-2</v>
      </c>
      <c r="F17" s="21">
        <v>6.898123613054373E-2</v>
      </c>
      <c r="G17" s="21">
        <v>-7.5672997663924864E-3</v>
      </c>
      <c r="H17" s="21">
        <v>3.6539285252982057E-2</v>
      </c>
      <c r="I17" s="21">
        <v>1.5543700127182584E-2</v>
      </c>
      <c r="J17" s="21">
        <v>-1.0136942724911938E-3</v>
      </c>
      <c r="K17" s="21">
        <v>3.2718135524257501E-2</v>
      </c>
      <c r="L17" s="21">
        <v>2.7672589347334558E-2</v>
      </c>
      <c r="M17" s="21">
        <v>2.5470785094831097E-2</v>
      </c>
      <c r="N17" s="21">
        <v>0.1516573724344554</v>
      </c>
      <c r="O17" s="21">
        <v>0.20688786910273652</v>
      </c>
      <c r="P17" s="21">
        <v>0.2634907833301357</v>
      </c>
      <c r="Q17" s="21">
        <v>1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17"/>
    </row>
    <row r="18" spans="1:34" x14ac:dyDescent="0.2">
      <c r="A18" s="18" t="s">
        <v>2403</v>
      </c>
      <c r="B18" s="21">
        <v>2.4775035664716918E-2</v>
      </c>
      <c r="C18" s="21">
        <v>-6.0437213733660643E-2</v>
      </c>
      <c r="D18" s="21">
        <v>-3.6541059277785962E-2</v>
      </c>
      <c r="E18" s="21">
        <v>-5.0698628264334265E-2</v>
      </c>
      <c r="F18" s="21">
        <v>-1.6949965205942382E-2</v>
      </c>
      <c r="G18" s="21">
        <v>-5.0312668223443319E-3</v>
      </c>
      <c r="H18" s="21">
        <v>-4.4160036890828917E-2</v>
      </c>
      <c r="I18" s="21">
        <v>-4.9474321964941601E-2</v>
      </c>
      <c r="J18" s="21">
        <v>-5.1897751070858006E-2</v>
      </c>
      <c r="K18" s="21">
        <v>-3.9760722774545502E-2</v>
      </c>
      <c r="L18" s="21">
        <v>-4.4964959914789784E-2</v>
      </c>
      <c r="M18" s="21">
        <v>-4.5665307755026467E-2</v>
      </c>
      <c r="N18" s="21">
        <v>0.134077525459042</v>
      </c>
      <c r="O18" s="21">
        <v>0.67909381602431307</v>
      </c>
      <c r="P18" s="21">
        <v>0.22550058924127198</v>
      </c>
      <c r="Q18" s="21">
        <v>0.59732217405538834</v>
      </c>
      <c r="R18" s="21">
        <v>1</v>
      </c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17"/>
    </row>
    <row r="19" spans="1:34" x14ac:dyDescent="0.2">
      <c r="A19" s="18" t="s">
        <v>24</v>
      </c>
      <c r="B19" s="21">
        <v>4.1828900766738598E-2</v>
      </c>
      <c r="C19" s="21">
        <v>0.22769973588719725</v>
      </c>
      <c r="D19" s="21">
        <v>0.25056937812303132</v>
      </c>
      <c r="E19" s="21">
        <v>0.29009979886059023</v>
      </c>
      <c r="F19" s="21">
        <v>0.15007532957491815</v>
      </c>
      <c r="G19" s="21">
        <v>6.7504299338043749E-2</v>
      </c>
      <c r="H19" s="21">
        <v>0.41141019694358422</v>
      </c>
      <c r="I19" s="21">
        <v>0.36270576423483614</v>
      </c>
      <c r="J19" s="21">
        <v>0.28880325568419846</v>
      </c>
      <c r="K19" s="21">
        <v>0.31663757879011817</v>
      </c>
      <c r="L19" s="21">
        <v>0.25527691124397739</v>
      </c>
      <c r="M19" s="21">
        <v>0.30034428715921241</v>
      </c>
      <c r="N19" s="21">
        <v>0.77629441235985031</v>
      </c>
      <c r="O19" s="21">
        <v>0.1124551600221583</v>
      </c>
      <c r="P19" s="21">
        <v>0.56202399302865957</v>
      </c>
      <c r="Q19" s="21">
        <v>1.943713177639809E-3</v>
      </c>
      <c r="R19" s="21">
        <v>3.0436829467812298E-2</v>
      </c>
      <c r="S19" s="21">
        <v>1</v>
      </c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17"/>
    </row>
    <row r="20" spans="1:34" x14ac:dyDescent="0.2">
      <c r="A20" s="18" t="s">
        <v>25</v>
      </c>
      <c r="B20" s="21">
        <v>-0.25484463081379</v>
      </c>
      <c r="C20" s="21">
        <v>-8.7490066027463441E-4</v>
      </c>
      <c r="D20" s="21">
        <v>-1.5678209677422533E-2</v>
      </c>
      <c r="E20" s="21">
        <v>1.6379932623278557E-2</v>
      </c>
      <c r="F20" s="21">
        <v>-6.5908575956259305E-2</v>
      </c>
      <c r="G20" s="21">
        <v>2.5376284365189912E-2</v>
      </c>
      <c r="H20" s="21">
        <v>-9.0051480073125703E-2</v>
      </c>
      <c r="I20" s="21">
        <v>-5.4398826341045946E-2</v>
      </c>
      <c r="J20" s="21">
        <v>-3.5037443859221827E-2</v>
      </c>
      <c r="K20" s="21">
        <v>-6.5020673677672128E-2</v>
      </c>
      <c r="L20" s="21">
        <v>-6.0211169525816531E-2</v>
      </c>
      <c r="M20" s="21">
        <v>-3.0225523765392056E-2</v>
      </c>
      <c r="N20" s="21">
        <v>-5.6998577375273467E-2</v>
      </c>
      <c r="O20" s="21">
        <v>0.10042580723820867</v>
      </c>
      <c r="P20" s="21">
        <v>-0.13832427932837377</v>
      </c>
      <c r="Q20" s="21">
        <v>-0.41214669790346931</v>
      </c>
      <c r="R20" s="21">
        <v>-0.22447468345457605</v>
      </c>
      <c r="S20" s="21">
        <v>0.17960476315043475</v>
      </c>
      <c r="T20" s="21">
        <v>1</v>
      </c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17"/>
    </row>
    <row r="21" spans="1:34" x14ac:dyDescent="0.2">
      <c r="A21" s="18" t="s">
        <v>2404</v>
      </c>
      <c r="B21" s="21">
        <v>-9.1117524782763651E-2</v>
      </c>
      <c r="C21" s="21">
        <v>-7.4684125711162522E-2</v>
      </c>
      <c r="D21" s="21">
        <v>-6.5101362788224051E-2</v>
      </c>
      <c r="E21" s="21">
        <v>-3.9273153723705323E-2</v>
      </c>
      <c r="F21" s="21">
        <v>-7.6043084981361031E-2</v>
      </c>
      <c r="G21" s="21">
        <v>1.7527199459870028E-2</v>
      </c>
      <c r="H21" s="21">
        <v>-9.8444684995930579E-2</v>
      </c>
      <c r="I21" s="21">
        <v>-8.5523079333826593E-2</v>
      </c>
      <c r="J21" s="21">
        <v>-8.2113308505986929E-2</v>
      </c>
      <c r="K21" s="21">
        <v>-8.6981166328129134E-2</v>
      </c>
      <c r="L21" s="21">
        <v>-9.855506623673313E-2</v>
      </c>
      <c r="M21" s="21">
        <v>-7.2516602100598876E-2</v>
      </c>
      <c r="N21" s="21">
        <v>9.5689139899543443E-3</v>
      </c>
      <c r="O21" s="21">
        <v>0.77760110007317584</v>
      </c>
      <c r="P21" s="21">
        <v>-3.1779030370047832E-2</v>
      </c>
      <c r="Q21" s="21">
        <v>-0.11666937908842981</v>
      </c>
      <c r="R21" s="21">
        <v>0.17391323648919327</v>
      </c>
      <c r="S21" s="21">
        <v>0.13528747879387815</v>
      </c>
      <c r="T21" s="21">
        <v>0.42882341930200707</v>
      </c>
      <c r="U21" s="21">
        <v>1</v>
      </c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17"/>
    </row>
    <row r="22" spans="1:34" x14ac:dyDescent="0.2">
      <c r="A22" s="18" t="s">
        <v>26</v>
      </c>
      <c r="B22" s="21">
        <v>0.16549828909924991</v>
      </c>
      <c r="C22" s="21">
        <v>0.22877904054090467</v>
      </c>
      <c r="D22" s="21">
        <v>0.24775820787915337</v>
      </c>
      <c r="E22" s="21">
        <v>0.25123936845701161</v>
      </c>
      <c r="F22" s="21">
        <v>0.22219137780756354</v>
      </c>
      <c r="G22" s="21">
        <v>2.1909246247785008E-2</v>
      </c>
      <c r="H22" s="21">
        <v>0.54129983547784644</v>
      </c>
      <c r="I22" s="21">
        <v>0.48830728622488961</v>
      </c>
      <c r="J22" s="21">
        <v>0.38626664563213853</v>
      </c>
      <c r="K22" s="21">
        <v>0.50522575255098867</v>
      </c>
      <c r="L22" s="21">
        <v>0.39262205763375857</v>
      </c>
      <c r="M22" s="21">
        <v>0.31957948775484785</v>
      </c>
      <c r="N22" s="21">
        <v>0.83789976852666992</v>
      </c>
      <c r="O22" s="21">
        <v>3.5419967300724574E-2</v>
      </c>
      <c r="P22" s="21">
        <v>0.7241558057519526</v>
      </c>
      <c r="Q22" s="21">
        <v>8.9928389032604653E-2</v>
      </c>
      <c r="R22" s="21">
        <v>4.8006369986021959E-2</v>
      </c>
      <c r="S22" s="21">
        <v>0.69130246588643451</v>
      </c>
      <c r="T22" s="21">
        <v>-9.9857443788431727E-2</v>
      </c>
      <c r="U22" s="21">
        <v>-4.4658810857843498E-2</v>
      </c>
      <c r="V22" s="21">
        <v>1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17"/>
    </row>
    <row r="23" spans="1:34" x14ac:dyDescent="0.2">
      <c r="A23" s="18" t="s">
        <v>27</v>
      </c>
      <c r="B23" s="21">
        <v>8.8268858126116317E-2</v>
      </c>
      <c r="C23" s="21">
        <v>7.2761051625271814E-2</v>
      </c>
      <c r="D23" s="21">
        <v>8.328964835308407E-2</v>
      </c>
      <c r="E23" s="21">
        <v>6.8136238869541371E-2</v>
      </c>
      <c r="F23" s="21">
        <v>5.397867026705503E-2</v>
      </c>
      <c r="G23" s="21">
        <v>-1.199971216735953E-2</v>
      </c>
      <c r="H23" s="21">
        <v>0.13961719175468315</v>
      </c>
      <c r="I23" s="21">
        <v>8.7153505312125457E-2</v>
      </c>
      <c r="J23" s="21">
        <v>0.1099659245893337</v>
      </c>
      <c r="K23" s="21">
        <v>0.11834486242103516</v>
      </c>
      <c r="L23" s="21">
        <v>0.1509392607138216</v>
      </c>
      <c r="M23" s="21">
        <v>4.1606146700579424E-2</v>
      </c>
      <c r="N23" s="21">
        <v>-1.6740079319032358E-2</v>
      </c>
      <c r="O23" s="21">
        <v>-0.19948695246877035</v>
      </c>
      <c r="P23" s="21">
        <v>-3.8195106275348348E-2</v>
      </c>
      <c r="Q23" s="21">
        <v>-0.17629405231808501</v>
      </c>
      <c r="R23" s="21">
        <v>-0.16645923407229804</v>
      </c>
      <c r="S23" s="21">
        <v>-6.0403857007234621E-2</v>
      </c>
      <c r="T23" s="21">
        <v>-0.29083184799796535</v>
      </c>
      <c r="U23" s="21">
        <v>-0.21978721317044125</v>
      </c>
      <c r="V23" s="21">
        <v>0.1650321016504864</v>
      </c>
      <c r="W23" s="21">
        <v>1</v>
      </c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17"/>
    </row>
    <row r="24" spans="1:34" x14ac:dyDescent="0.2">
      <c r="A24" s="18" t="s">
        <v>2405</v>
      </c>
      <c r="B24" s="21">
        <v>5.3517383797892552E-2</v>
      </c>
      <c r="C24" s="21">
        <v>-3.4002053545174417E-2</v>
      </c>
      <c r="D24" s="21">
        <v>-7.6170593925746792E-3</v>
      </c>
      <c r="E24" s="21">
        <v>-1.3088167978092908E-2</v>
      </c>
      <c r="F24" s="21">
        <v>-6.4265327428359702E-3</v>
      </c>
      <c r="G24" s="21">
        <v>-4.7196322709501925E-3</v>
      </c>
      <c r="H24" s="21">
        <v>-5.7789433152351096E-3</v>
      </c>
      <c r="I24" s="21">
        <v>-1.417622793238122E-2</v>
      </c>
      <c r="J24" s="21">
        <v>-2.0634064833391887E-2</v>
      </c>
      <c r="K24" s="21">
        <v>-1.8822166529133258E-3</v>
      </c>
      <c r="L24" s="21">
        <v>-2.2294961101046836E-2</v>
      </c>
      <c r="M24" s="21">
        <v>-3.4521060182137228E-2</v>
      </c>
      <c r="N24" s="21">
        <v>0.11702631118033265</v>
      </c>
      <c r="O24" s="21">
        <v>0.47550439848302029</v>
      </c>
      <c r="P24" s="21">
        <v>8.5741446067583105E-2</v>
      </c>
      <c r="Q24" s="21">
        <v>6.6919425514554459E-2</v>
      </c>
      <c r="R24" s="21">
        <v>0.31903173232861143</v>
      </c>
      <c r="S24" s="21">
        <v>9.3032821575711522E-2</v>
      </c>
      <c r="T24" s="21">
        <v>-0.11172864184216399</v>
      </c>
      <c r="U24" s="21">
        <v>0.18230676007316562</v>
      </c>
      <c r="V24" s="21">
        <v>0.2548492528183412</v>
      </c>
      <c r="W24" s="21">
        <v>0.27686895947265439</v>
      </c>
      <c r="X24" s="21">
        <v>1</v>
      </c>
      <c r="Y24" s="21"/>
      <c r="Z24" s="21"/>
      <c r="AA24" s="21"/>
      <c r="AB24" s="21"/>
      <c r="AC24" s="21"/>
      <c r="AD24" s="21"/>
      <c r="AE24" s="21"/>
      <c r="AF24" s="21"/>
      <c r="AG24" s="21"/>
      <c r="AH24" s="17"/>
    </row>
    <row r="25" spans="1:34" x14ac:dyDescent="0.2">
      <c r="A25" s="18" t="s">
        <v>28</v>
      </c>
      <c r="B25" s="21">
        <v>0.1639559432348241</v>
      </c>
      <c r="C25" s="21">
        <v>0.16692247370699609</v>
      </c>
      <c r="D25" s="21">
        <v>0.1888722257916873</v>
      </c>
      <c r="E25" s="21">
        <v>0.18343441346696177</v>
      </c>
      <c r="F25" s="21">
        <v>0.23262647056337277</v>
      </c>
      <c r="G25" s="21">
        <v>2.8084802120097906E-2</v>
      </c>
      <c r="H25" s="21">
        <v>0.55537098592509015</v>
      </c>
      <c r="I25" s="21">
        <v>0.46577863767706362</v>
      </c>
      <c r="J25" s="21">
        <v>0.3594176716704417</v>
      </c>
      <c r="K25" s="21">
        <v>0.44968205916221732</v>
      </c>
      <c r="L25" s="21">
        <v>0.26565939394099514</v>
      </c>
      <c r="M25" s="21">
        <v>0.25865480976406147</v>
      </c>
      <c r="N25" s="21">
        <v>0.88060723865647206</v>
      </c>
      <c r="O25" s="21">
        <v>6.5140536307550262E-2</v>
      </c>
      <c r="P25" s="21">
        <v>0.85447321515552566</v>
      </c>
      <c r="Q25" s="21">
        <v>9.2844851574320847E-2</v>
      </c>
      <c r="R25" s="21">
        <v>8.0127329700841826E-2</v>
      </c>
      <c r="S25" s="21">
        <v>0.51380950541244585</v>
      </c>
      <c r="T25" s="21">
        <v>-0.10239032543868784</v>
      </c>
      <c r="U25" s="21">
        <v>-2.3369261236771896E-2</v>
      </c>
      <c r="V25" s="21">
        <v>0.61210453381657337</v>
      </c>
      <c r="W25" s="21">
        <v>-3.9351088000741677E-2</v>
      </c>
      <c r="X25" s="21">
        <v>4.1579938551000881E-2</v>
      </c>
      <c r="Y25" s="21">
        <v>1</v>
      </c>
      <c r="Z25" s="21"/>
      <c r="AA25" s="21"/>
      <c r="AB25" s="21"/>
      <c r="AC25" s="21"/>
      <c r="AD25" s="21"/>
      <c r="AE25" s="21"/>
      <c r="AF25" s="21"/>
      <c r="AG25" s="21"/>
      <c r="AH25" s="17"/>
    </row>
    <row r="26" spans="1:34" x14ac:dyDescent="0.2">
      <c r="A26" s="18" t="s">
        <v>29</v>
      </c>
      <c r="B26" s="21">
        <v>0.10449094515270435</v>
      </c>
      <c r="C26" s="21">
        <v>-1.6668370583536905E-2</v>
      </c>
      <c r="D26" s="21">
        <v>-9.5802066636334737E-3</v>
      </c>
      <c r="E26" s="21">
        <v>-2.5566692206843079E-2</v>
      </c>
      <c r="F26" s="21">
        <v>-1.0330623301794248E-3</v>
      </c>
      <c r="G26" s="21">
        <v>-2.718949501635965E-3</v>
      </c>
      <c r="H26" s="21">
        <v>1.5713730081966727E-2</v>
      </c>
      <c r="I26" s="21">
        <v>1.0775436658538737E-2</v>
      </c>
      <c r="J26" s="21">
        <v>-1.0211435101170499E-2</v>
      </c>
      <c r="K26" s="21">
        <v>-3.2153680256236483E-3</v>
      </c>
      <c r="L26" s="21">
        <v>-2.0988291108669805E-2</v>
      </c>
      <c r="M26" s="21">
        <v>-1.0217357312487952E-2</v>
      </c>
      <c r="N26" s="21">
        <v>1.8632652962509266E-2</v>
      </c>
      <c r="O26" s="21">
        <v>1.7216792843568949E-2</v>
      </c>
      <c r="P26" s="21">
        <v>1.1123386797542135E-2</v>
      </c>
      <c r="Q26" s="21">
        <v>-0.10805363181747837</v>
      </c>
      <c r="R26" s="21">
        <v>-5.7206392317432367E-2</v>
      </c>
      <c r="S26" s="21">
        <v>-7.0919088208855757E-2</v>
      </c>
      <c r="T26" s="21">
        <v>-0.28639962614199793</v>
      </c>
      <c r="U26" s="21">
        <v>-9.2680101415861624E-2</v>
      </c>
      <c r="V26" s="21">
        <v>-2.8086828539455502E-2</v>
      </c>
      <c r="W26" s="21">
        <v>-0.16215450298450218</v>
      </c>
      <c r="X26" s="21">
        <v>-3.8898891101611099E-2</v>
      </c>
      <c r="Y26" s="21">
        <v>0.15057376507162237</v>
      </c>
      <c r="Z26" s="21">
        <v>1</v>
      </c>
      <c r="AA26" s="21"/>
      <c r="AB26" s="21"/>
      <c r="AC26" s="21"/>
      <c r="AD26" s="21"/>
      <c r="AE26" s="21"/>
      <c r="AF26" s="21"/>
      <c r="AG26" s="21"/>
      <c r="AH26" s="17"/>
    </row>
    <row r="27" spans="1:34" x14ac:dyDescent="0.2">
      <c r="A27" s="18" t="s">
        <v>2406</v>
      </c>
      <c r="B27" s="21">
        <v>2.4704460131217413E-2</v>
      </c>
      <c r="C27" s="21">
        <v>-7.2217726841183022E-2</v>
      </c>
      <c r="D27" s="21">
        <v>-3.7798528425988492E-2</v>
      </c>
      <c r="E27" s="21">
        <v>-4.8395314804860465E-2</v>
      </c>
      <c r="F27" s="21">
        <v>-1.7308996215536273E-2</v>
      </c>
      <c r="G27" s="21">
        <v>-1.979789829507304E-3</v>
      </c>
      <c r="H27" s="21">
        <v>-5.8645367361639972E-2</v>
      </c>
      <c r="I27" s="21">
        <v>-5.2753784382517016E-2</v>
      </c>
      <c r="J27" s="21">
        <v>-5.7366997800970217E-2</v>
      </c>
      <c r="K27" s="21">
        <v>-4.9583142523774389E-2</v>
      </c>
      <c r="L27" s="21">
        <v>-6.8530827466646724E-2</v>
      </c>
      <c r="M27" s="21">
        <v>-5.1499663652517028E-2</v>
      </c>
      <c r="N27" s="21">
        <v>7.660884359675689E-2</v>
      </c>
      <c r="O27" s="21">
        <v>0.62519782092875953</v>
      </c>
      <c r="P27" s="21">
        <v>7.5641145670974408E-2</v>
      </c>
      <c r="Q27" s="21">
        <v>3.5813744088572907E-2</v>
      </c>
      <c r="R27" s="21">
        <v>0.33077091554903948</v>
      </c>
      <c r="S27" s="21">
        <v>1.8492376638084073E-2</v>
      </c>
      <c r="T27" s="21">
        <v>-0.10141895816179225</v>
      </c>
      <c r="U27" s="21">
        <v>0.34956695787732328</v>
      </c>
      <c r="V27" s="21">
        <v>-3.3423523425663293E-3</v>
      </c>
      <c r="W27" s="21">
        <v>-0.16450073966144882</v>
      </c>
      <c r="X27" s="21">
        <v>0.2499804732542279</v>
      </c>
      <c r="Y27" s="21">
        <v>0.1521110315006271</v>
      </c>
      <c r="Z27" s="21">
        <v>0.46730052379325226</v>
      </c>
      <c r="AA27" s="21">
        <v>1</v>
      </c>
      <c r="AB27" s="21"/>
      <c r="AC27" s="21"/>
      <c r="AD27" s="21"/>
      <c r="AE27" s="21"/>
      <c r="AF27" s="21"/>
      <c r="AG27" s="21"/>
      <c r="AH27" s="17"/>
    </row>
    <row r="28" spans="1:34" x14ac:dyDescent="0.2">
      <c r="A28" s="18" t="s">
        <v>30</v>
      </c>
      <c r="B28" s="21">
        <v>0.10826767090473176</v>
      </c>
      <c r="C28" s="21">
        <v>2.535918062431344E-2</v>
      </c>
      <c r="D28" s="21">
        <v>5.9085073215013613E-2</v>
      </c>
      <c r="E28" s="21">
        <v>3.3742938910219615E-2</v>
      </c>
      <c r="F28" s="21">
        <v>0.10201708549091672</v>
      </c>
      <c r="G28" s="21">
        <v>5.3339209972495805E-3</v>
      </c>
      <c r="H28" s="21">
        <v>0.18545792876429004</v>
      </c>
      <c r="I28" s="21">
        <v>0.17920318277007047</v>
      </c>
      <c r="J28" s="21">
        <v>0.17074358006554682</v>
      </c>
      <c r="K28" s="21">
        <v>0.23308176144004991</v>
      </c>
      <c r="L28" s="21">
        <v>0.13136667775431105</v>
      </c>
      <c r="M28" s="21">
        <v>0.10210146776801446</v>
      </c>
      <c r="N28" s="21">
        <v>0.35482640925655595</v>
      </c>
      <c r="O28" s="21">
        <v>7.3105027803320663E-2</v>
      </c>
      <c r="P28" s="21">
        <v>0.33475921465972863</v>
      </c>
      <c r="Q28" s="21">
        <v>8.5547978838028699E-2</v>
      </c>
      <c r="R28" s="21">
        <v>9.049001648167064E-2</v>
      </c>
      <c r="S28" s="21">
        <v>0.21451127727569039</v>
      </c>
      <c r="T28" s="21">
        <v>-8.1872157373852672E-2</v>
      </c>
      <c r="U28" s="21">
        <v>-6.8739612883577973E-3</v>
      </c>
      <c r="V28" s="21">
        <v>0.22799812472401851</v>
      </c>
      <c r="W28" s="21">
        <v>-2.8516606288297448E-2</v>
      </c>
      <c r="X28" s="21">
        <v>5.9831647762972673E-2</v>
      </c>
      <c r="Y28" s="21">
        <v>0.37465938910958951</v>
      </c>
      <c r="Z28" s="21">
        <v>2.3597212974641207E-2</v>
      </c>
      <c r="AA28" s="21">
        <v>4.7066790221214648E-2</v>
      </c>
      <c r="AB28" s="21">
        <v>1</v>
      </c>
      <c r="AC28" s="21"/>
      <c r="AD28" s="21"/>
      <c r="AE28" s="21"/>
      <c r="AF28" s="21"/>
      <c r="AG28" s="21"/>
      <c r="AH28" s="17"/>
    </row>
    <row r="29" spans="1:34" x14ac:dyDescent="0.2">
      <c r="A29" s="18" t="s">
        <v>31</v>
      </c>
      <c r="B29" s="21">
        <v>5.4562331769126025E-2</v>
      </c>
      <c r="C29" s="21">
        <v>-2.3923213558813168E-2</v>
      </c>
      <c r="D29" s="21">
        <v>-1.7457209203638861E-2</v>
      </c>
      <c r="E29" s="21">
        <v>-2.487432459471672E-2</v>
      </c>
      <c r="F29" s="21">
        <v>2.6212185774754829E-2</v>
      </c>
      <c r="G29" s="21">
        <v>-6.3311928427143864E-3</v>
      </c>
      <c r="H29" s="21">
        <v>-2.3167316188008134E-2</v>
      </c>
      <c r="I29" s="21">
        <v>-1.3123960533632222E-2</v>
      </c>
      <c r="J29" s="21">
        <v>-1.8094891445151095E-2</v>
      </c>
      <c r="K29" s="21">
        <v>3.1543301043897836E-3</v>
      </c>
      <c r="L29" s="21">
        <v>-1.2966018923520639E-2</v>
      </c>
      <c r="M29" s="21">
        <v>-9.0047925985001949E-3</v>
      </c>
      <c r="N29" s="21">
        <v>4.2722755597276877E-4</v>
      </c>
      <c r="O29" s="21">
        <v>3.5730588255024953E-2</v>
      </c>
      <c r="P29" s="21">
        <v>4.8276703646563477E-3</v>
      </c>
      <c r="Q29" s="21">
        <v>1.5536818548672268E-2</v>
      </c>
      <c r="R29" s="21">
        <v>5.3660335911246963E-2</v>
      </c>
      <c r="S29" s="21">
        <v>-2.8303072791162433E-2</v>
      </c>
      <c r="T29" s="21">
        <v>-9.8734159857023232E-2</v>
      </c>
      <c r="U29" s="21">
        <v>-2.5359111019948123E-2</v>
      </c>
      <c r="V29" s="21">
        <v>-1.1759550229895386E-2</v>
      </c>
      <c r="W29" s="21">
        <v>-5.3682531806921591E-2</v>
      </c>
      <c r="X29" s="21">
        <v>1.7336991507877975E-2</v>
      </c>
      <c r="Y29" s="21">
        <v>5.7703610272208557E-3</v>
      </c>
      <c r="Z29" s="21">
        <v>8.9900918111873902E-3</v>
      </c>
      <c r="AA29" s="21">
        <v>1.3459505080125226E-2</v>
      </c>
      <c r="AB29" s="21">
        <v>0.37837428656358896</v>
      </c>
      <c r="AC29" s="21">
        <v>1</v>
      </c>
      <c r="AD29" s="21"/>
      <c r="AE29" s="21"/>
      <c r="AF29" s="21"/>
      <c r="AG29" s="21"/>
      <c r="AH29" s="17"/>
    </row>
    <row r="30" spans="1:34" x14ac:dyDescent="0.2">
      <c r="A30" s="18" t="s">
        <v>2407</v>
      </c>
      <c r="B30" s="21">
        <v>1.9988873692848404E-2</v>
      </c>
      <c r="C30" s="21">
        <v>-2.0067744828965318E-2</v>
      </c>
      <c r="D30" s="21">
        <v>-1.5054783093499082E-2</v>
      </c>
      <c r="E30" s="21">
        <v>-1.6302049936960907E-2</v>
      </c>
      <c r="F30" s="21">
        <v>1.4352390403038965E-2</v>
      </c>
      <c r="G30" s="21">
        <v>-7.3325392116832993E-3</v>
      </c>
      <c r="H30" s="21">
        <v>-3.3644743000879246E-2</v>
      </c>
      <c r="I30" s="21">
        <v>-3.0077336042280443E-2</v>
      </c>
      <c r="J30" s="21">
        <v>-2.6623119730537104E-2</v>
      </c>
      <c r="K30" s="21">
        <v>-8.9867728461570217E-3</v>
      </c>
      <c r="L30" s="21">
        <v>-2.7931438849634092E-2</v>
      </c>
      <c r="M30" s="21">
        <v>-2.5586250842200373E-2</v>
      </c>
      <c r="N30" s="21">
        <v>2.1438086989615031E-2</v>
      </c>
      <c r="O30" s="21">
        <v>0.25475811198353615</v>
      </c>
      <c r="P30" s="21">
        <v>2.8716117585569738E-2</v>
      </c>
      <c r="Q30" s="21">
        <v>0.10945267723529986</v>
      </c>
      <c r="R30" s="21">
        <v>0.2657554668051969</v>
      </c>
      <c r="S30" s="21">
        <v>-3.6137371115249552E-3</v>
      </c>
      <c r="T30" s="21">
        <v>-7.4512555604932487E-2</v>
      </c>
      <c r="U30" s="21">
        <v>8.6513856705275213E-2</v>
      </c>
      <c r="V30" s="21">
        <v>-2.2625927591523958E-3</v>
      </c>
      <c r="W30" s="21">
        <v>-5.9267200306177631E-2</v>
      </c>
      <c r="X30" s="21">
        <v>0.14482520287318501</v>
      </c>
      <c r="Y30" s="21">
        <v>1.1027989322747879E-2</v>
      </c>
      <c r="Z30" s="21">
        <v>-7.8850838165008021E-3</v>
      </c>
      <c r="AA30" s="21">
        <v>0.11746442921603406</v>
      </c>
      <c r="AB30" s="21">
        <v>0.45305331132277832</v>
      </c>
      <c r="AC30" s="21">
        <v>0.53721263774268491</v>
      </c>
      <c r="AD30" s="21">
        <v>1</v>
      </c>
      <c r="AE30" s="21"/>
      <c r="AF30" s="21"/>
      <c r="AG30" s="21"/>
      <c r="AH30" s="17"/>
    </row>
    <row r="31" spans="1:34" x14ac:dyDescent="0.2">
      <c r="A31" s="18" t="s">
        <v>32</v>
      </c>
      <c r="B31" s="21">
        <v>0.12135565776843074</v>
      </c>
      <c r="C31" s="21">
        <v>9.7798822222447915E-2</v>
      </c>
      <c r="D31" s="21">
        <v>0.1252309164035102</v>
      </c>
      <c r="E31" s="21">
        <v>0.10605757547885039</v>
      </c>
      <c r="F31" s="21">
        <v>0.1500952420545727</v>
      </c>
      <c r="G31" s="21">
        <v>2.1966546768075027E-2</v>
      </c>
      <c r="H31" s="21">
        <v>0.36664657067127177</v>
      </c>
      <c r="I31" s="21">
        <v>0.35410373918674826</v>
      </c>
      <c r="J31" s="21">
        <v>0.263124400039974</v>
      </c>
      <c r="K31" s="21">
        <v>0.27673994375065508</v>
      </c>
      <c r="L31" s="21">
        <v>0.24487358582209631</v>
      </c>
      <c r="M31" s="21">
        <v>0.21010240849621961</v>
      </c>
      <c r="N31" s="21">
        <v>0.7140507872986811</v>
      </c>
      <c r="O31" s="21">
        <v>8.3631167973338624E-2</v>
      </c>
      <c r="P31" s="21">
        <v>0.66745144404724255</v>
      </c>
      <c r="Q31" s="21">
        <v>8.5701439671414914E-2</v>
      </c>
      <c r="R31" s="21">
        <v>8.606521655744967E-2</v>
      </c>
      <c r="S31" s="21">
        <v>0.48262755145990238</v>
      </c>
      <c r="T31" s="21">
        <v>-8.8612152168269037E-2</v>
      </c>
      <c r="U31" s="21">
        <v>-1.02261526992225E-2</v>
      </c>
      <c r="V31" s="21">
        <v>0.52713443368817869</v>
      </c>
      <c r="W31" s="21">
        <v>-4.3712502965716389E-2</v>
      </c>
      <c r="X31" s="21">
        <v>3.9189099916238687E-2</v>
      </c>
      <c r="Y31" s="21">
        <v>0.62415024706041788</v>
      </c>
      <c r="Z31" s="21">
        <v>1.2702012954276894E-2</v>
      </c>
      <c r="AA31" s="21">
        <v>5.4618144783137305E-2</v>
      </c>
      <c r="AB31" s="21">
        <v>0.15263493488924026</v>
      </c>
      <c r="AC31" s="21">
        <v>-2.4138187009325084E-2</v>
      </c>
      <c r="AD31" s="21">
        <v>-2.0526160246769447E-2</v>
      </c>
      <c r="AE31" s="21">
        <v>1</v>
      </c>
      <c r="AF31" s="21"/>
      <c r="AG31" s="21"/>
      <c r="AH31" s="17"/>
    </row>
    <row r="32" spans="1:34" x14ac:dyDescent="0.2">
      <c r="A32" s="18" t="s">
        <v>33</v>
      </c>
      <c r="B32" s="21">
        <v>4.7270164284582646E-2</v>
      </c>
      <c r="C32" s="21">
        <v>-1.5098286919662647E-2</v>
      </c>
      <c r="D32" s="21">
        <v>-1.4502267369983831E-2</v>
      </c>
      <c r="E32" s="21">
        <v>-1.6932227132801857E-2</v>
      </c>
      <c r="F32" s="21">
        <v>8.1088030006111096E-3</v>
      </c>
      <c r="G32" s="21">
        <v>-2.7940689246741669E-3</v>
      </c>
      <c r="H32" s="21">
        <v>-1.4648800398187713E-3</v>
      </c>
      <c r="I32" s="21">
        <v>8.5930177509870014E-3</v>
      </c>
      <c r="J32" s="21">
        <v>9.9328026305551401E-5</v>
      </c>
      <c r="K32" s="21">
        <v>-9.7246828814430211E-3</v>
      </c>
      <c r="L32" s="21">
        <v>-1.070345320783069E-2</v>
      </c>
      <c r="M32" s="21">
        <v>-8.5391421204822366E-3</v>
      </c>
      <c r="N32" s="21">
        <v>1.260245370556725E-2</v>
      </c>
      <c r="O32" s="21">
        <v>4.0635033743968785E-3</v>
      </c>
      <c r="P32" s="21">
        <v>5.3156260079593037E-3</v>
      </c>
      <c r="Q32" s="21">
        <v>-4.8260434759508822E-2</v>
      </c>
      <c r="R32" s="21">
        <v>-6.3912067614232985E-3</v>
      </c>
      <c r="S32" s="21">
        <v>-2.2486966578669835E-2</v>
      </c>
      <c r="T32" s="21">
        <v>-0.1586979513558173</v>
      </c>
      <c r="U32" s="21">
        <v>-5.2138311573139397E-2</v>
      </c>
      <c r="V32" s="21">
        <v>-1.4950203090568262E-2</v>
      </c>
      <c r="W32" s="21">
        <v>-0.10053135464021608</v>
      </c>
      <c r="X32" s="21">
        <v>-4.7000033855213896E-2</v>
      </c>
      <c r="Y32" s="21">
        <v>8.4583985752252327E-3</v>
      </c>
      <c r="Z32" s="21">
        <v>-5.7826794354758092E-2</v>
      </c>
      <c r="AA32" s="21">
        <v>-5.1213467891477835E-2</v>
      </c>
      <c r="AB32" s="21">
        <v>-2.861445377257401E-2</v>
      </c>
      <c r="AC32" s="21">
        <v>-1.7278085757678297E-2</v>
      </c>
      <c r="AD32" s="21">
        <v>-3.7329316893347973E-2</v>
      </c>
      <c r="AE32" s="21">
        <v>0.24301925552353304</v>
      </c>
      <c r="AF32" s="21">
        <v>1</v>
      </c>
      <c r="AG32" s="21"/>
      <c r="AH32" s="17"/>
    </row>
    <row r="33" spans="1:34" ht="13.5" thickBot="1" x14ac:dyDescent="0.25">
      <c r="A33" s="19" t="s">
        <v>2408</v>
      </c>
      <c r="B33" s="30">
        <v>2.5632784986322328E-2</v>
      </c>
      <c r="C33" s="30">
        <v>-4.1237734277273008E-2</v>
      </c>
      <c r="D33" s="30">
        <v>-2.2954991403241903E-2</v>
      </c>
      <c r="E33" s="30">
        <v>-2.5860966160778338E-2</v>
      </c>
      <c r="F33" s="30">
        <v>-2.142181876503411E-3</v>
      </c>
      <c r="G33" s="30">
        <v>-1.3437988266511223E-3</v>
      </c>
      <c r="H33" s="30">
        <v>-3.2128231646894052E-2</v>
      </c>
      <c r="I33" s="30">
        <v>-2.6111053907787882E-2</v>
      </c>
      <c r="J33" s="30">
        <v>-2.1435657863171986E-2</v>
      </c>
      <c r="K33" s="30">
        <v>-3.0794196807614343E-2</v>
      </c>
      <c r="L33" s="30">
        <v>-3.6249709850066383E-2</v>
      </c>
      <c r="M33" s="30">
        <v>-2.5903620008275344E-2</v>
      </c>
      <c r="N33" s="30">
        <v>5.6450157903171254E-2</v>
      </c>
      <c r="O33" s="30">
        <v>0.40734073502875834</v>
      </c>
      <c r="P33" s="30">
        <v>4.7659526576117286E-2</v>
      </c>
      <c r="Q33" s="30">
        <v>5.7459200795383414E-2</v>
      </c>
      <c r="R33" s="30">
        <v>0.28321522508040597</v>
      </c>
      <c r="S33" s="30">
        <v>3.0908835914280088E-2</v>
      </c>
      <c r="T33" s="30">
        <v>-5.9082782492737546E-2</v>
      </c>
      <c r="U33" s="30">
        <v>0.20404365385001083</v>
      </c>
      <c r="V33" s="30">
        <v>5.1140845037432928E-4</v>
      </c>
      <c r="W33" s="30">
        <v>-0.10368607048426082</v>
      </c>
      <c r="X33" s="30">
        <v>0.11058922624575644</v>
      </c>
      <c r="Y33" s="30">
        <v>3.225101842083939E-2</v>
      </c>
      <c r="Z33" s="30">
        <v>-5.1691961879038281E-2</v>
      </c>
      <c r="AA33" s="30">
        <v>0.14881398803624155</v>
      </c>
      <c r="AB33" s="30">
        <v>-1.1010856233159873E-2</v>
      </c>
      <c r="AC33" s="30">
        <v>-2.0876509556128735E-2</v>
      </c>
      <c r="AD33" s="30">
        <v>5.5227251202461091E-3</v>
      </c>
      <c r="AE33" s="30">
        <v>0.29473701384704504</v>
      </c>
      <c r="AF33" s="30">
        <v>0.46164328233010676</v>
      </c>
      <c r="AG33" s="30">
        <v>1</v>
      </c>
      <c r="AH33" s="17"/>
    </row>
  </sheetData>
  <conditionalFormatting sqref="B2:AG33">
    <cfRule type="cellIs" dxfId="2" priority="3" operator="lessThanOrEqual">
      <formula>-0.7</formula>
    </cfRule>
    <cfRule type="cellIs" dxfId="1" priority="4" operator="greaterThanOrEqual">
      <formula>0.7</formula>
    </cfRule>
  </conditionalFormatting>
  <conditionalFormatting sqref="A1:XFD1048576">
    <cfRule type="cellIs" dxfId="0" priority="1" stopIfTrue="1" operator="equal">
      <formula>1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640FE-146D-428C-8EC1-0A1CC8CBB972}">
  <dimension ref="A1:B1025"/>
  <sheetViews>
    <sheetView workbookViewId="0">
      <selection sqref="A1:B1048576"/>
    </sheetView>
  </sheetViews>
  <sheetFormatPr defaultRowHeight="12.75" x14ac:dyDescent="0.2"/>
  <sheetData>
    <row r="1" spans="1:2" x14ac:dyDescent="0.2">
      <c r="A1" s="20" t="s">
        <v>2400</v>
      </c>
      <c r="B1" s="20" t="s">
        <v>2402</v>
      </c>
    </row>
    <row r="2" spans="1:2" x14ac:dyDescent="0.2">
      <c r="A2" s="18">
        <v>0</v>
      </c>
      <c r="B2" s="18">
        <v>59</v>
      </c>
    </row>
    <row r="3" spans="1:2" x14ac:dyDescent="0.2">
      <c r="A3" s="18">
        <v>1.8186364773011435E-4</v>
      </c>
      <c r="B3" s="18">
        <v>18</v>
      </c>
    </row>
    <row r="4" spans="1:2" x14ac:dyDescent="0.2">
      <c r="A4" s="18">
        <v>3.6372729546022871E-4</v>
      </c>
      <c r="B4" s="18">
        <v>19</v>
      </c>
    </row>
    <row r="5" spans="1:2" x14ac:dyDescent="0.2">
      <c r="A5" s="18">
        <v>5.4559094319034309E-4</v>
      </c>
      <c r="B5" s="18">
        <v>28</v>
      </c>
    </row>
    <row r="6" spans="1:2" x14ac:dyDescent="0.2">
      <c r="A6" s="18">
        <v>7.2745459092045741E-4</v>
      </c>
      <c r="B6" s="18">
        <v>18</v>
      </c>
    </row>
    <row r="7" spans="1:2" x14ac:dyDescent="0.2">
      <c r="A7" s="18">
        <v>9.0931823865057174E-4</v>
      </c>
      <c r="B7" s="18">
        <v>17</v>
      </c>
    </row>
    <row r="8" spans="1:2" x14ac:dyDescent="0.2">
      <c r="A8" s="18">
        <v>1.0911818863806862E-3</v>
      </c>
      <c r="B8" s="18">
        <v>21</v>
      </c>
    </row>
    <row r="9" spans="1:2" x14ac:dyDescent="0.2">
      <c r="A9" s="18">
        <v>1.2730455341108005E-3</v>
      </c>
      <c r="B9" s="18">
        <v>16</v>
      </c>
    </row>
    <row r="10" spans="1:2" x14ac:dyDescent="0.2">
      <c r="A10" s="18">
        <v>1.4549091818409148E-3</v>
      </c>
      <c r="B10" s="18">
        <v>14</v>
      </c>
    </row>
    <row r="11" spans="1:2" x14ac:dyDescent="0.2">
      <c r="A11" s="18">
        <v>1.6367728295710292E-3</v>
      </c>
      <c r="B11" s="18">
        <v>12</v>
      </c>
    </row>
    <row r="12" spans="1:2" x14ac:dyDescent="0.2">
      <c r="A12" s="18">
        <v>1.8186364773011435E-3</v>
      </c>
      <c r="B12" s="18">
        <v>18</v>
      </c>
    </row>
    <row r="13" spans="1:2" x14ac:dyDescent="0.2">
      <c r="A13" s="18">
        <v>2.000500125031258E-3</v>
      </c>
      <c r="B13" s="18">
        <v>14</v>
      </c>
    </row>
    <row r="14" spans="1:2" x14ac:dyDescent="0.2">
      <c r="A14" s="18">
        <v>2.1823637727613724E-3</v>
      </c>
      <c r="B14" s="18">
        <v>13</v>
      </c>
    </row>
    <row r="15" spans="1:2" x14ac:dyDescent="0.2">
      <c r="A15" s="18">
        <v>2.3642274204914867E-3</v>
      </c>
      <c r="B15" s="18">
        <v>9</v>
      </c>
    </row>
    <row r="16" spans="1:2" x14ac:dyDescent="0.2">
      <c r="A16" s="18">
        <v>2.546091068221601E-3</v>
      </c>
      <c r="B16" s="18">
        <v>17</v>
      </c>
    </row>
    <row r="17" spans="1:2" x14ac:dyDescent="0.2">
      <c r="A17" s="18">
        <v>2.7279547159517153E-3</v>
      </c>
      <c r="B17" s="18">
        <v>10</v>
      </c>
    </row>
    <row r="18" spans="1:2" x14ac:dyDescent="0.2">
      <c r="A18" s="18">
        <v>2.9098183636818297E-3</v>
      </c>
      <c r="B18" s="18">
        <v>9</v>
      </c>
    </row>
    <row r="19" spans="1:2" x14ac:dyDescent="0.2">
      <c r="A19" s="18">
        <v>3.091682011411944E-3</v>
      </c>
      <c r="B19" s="18">
        <v>17</v>
      </c>
    </row>
    <row r="20" spans="1:2" x14ac:dyDescent="0.2">
      <c r="A20" s="18">
        <v>3.2735456591420583E-3</v>
      </c>
      <c r="B20" s="18">
        <v>6</v>
      </c>
    </row>
    <row r="21" spans="1:2" x14ac:dyDescent="0.2">
      <c r="A21" s="18">
        <v>3.4554093068721726E-3</v>
      </c>
      <c r="B21" s="18">
        <v>17</v>
      </c>
    </row>
    <row r="22" spans="1:2" x14ac:dyDescent="0.2">
      <c r="A22" s="18">
        <v>3.637272954602287E-3</v>
      </c>
      <c r="B22" s="18">
        <v>11</v>
      </c>
    </row>
    <row r="23" spans="1:2" x14ac:dyDescent="0.2">
      <c r="A23" s="18">
        <v>3.8191366023324013E-3</v>
      </c>
      <c r="B23" s="18">
        <v>14</v>
      </c>
    </row>
    <row r="24" spans="1:2" x14ac:dyDescent="0.2">
      <c r="A24" s="18">
        <v>4.001000250062516E-3</v>
      </c>
      <c r="B24" s="18">
        <v>9</v>
      </c>
    </row>
    <row r="25" spans="1:2" x14ac:dyDescent="0.2">
      <c r="A25" s="18">
        <v>4.1828638977926304E-3</v>
      </c>
      <c r="B25" s="18">
        <v>10</v>
      </c>
    </row>
    <row r="26" spans="1:2" x14ac:dyDescent="0.2">
      <c r="A26" s="18">
        <v>4.3647275455227447E-3</v>
      </c>
      <c r="B26" s="18">
        <v>4</v>
      </c>
    </row>
    <row r="27" spans="1:2" x14ac:dyDescent="0.2">
      <c r="A27" s="18">
        <v>4.546591193252859E-3</v>
      </c>
      <c r="B27" s="18">
        <v>7</v>
      </c>
    </row>
    <row r="28" spans="1:2" x14ac:dyDescent="0.2">
      <c r="A28" s="18">
        <v>4.7284548409829734E-3</v>
      </c>
      <c r="B28" s="18">
        <v>12</v>
      </c>
    </row>
    <row r="29" spans="1:2" x14ac:dyDescent="0.2">
      <c r="A29" s="18">
        <v>4.9103184887130877E-3</v>
      </c>
      <c r="B29" s="18">
        <v>12</v>
      </c>
    </row>
    <row r="30" spans="1:2" x14ac:dyDescent="0.2">
      <c r="A30" s="18">
        <v>5.092182136443202E-3</v>
      </c>
      <c r="B30" s="18">
        <v>8</v>
      </c>
    </row>
    <row r="31" spans="1:2" x14ac:dyDescent="0.2">
      <c r="A31" s="18">
        <v>5.2740457841733163E-3</v>
      </c>
      <c r="B31" s="18">
        <v>7</v>
      </c>
    </row>
    <row r="32" spans="1:2" x14ac:dyDescent="0.2">
      <c r="A32" s="18">
        <v>5.4559094319034307E-3</v>
      </c>
      <c r="B32" s="18">
        <v>10</v>
      </c>
    </row>
    <row r="33" spans="1:2" x14ac:dyDescent="0.2">
      <c r="A33" s="18">
        <v>5.637773079633545E-3</v>
      </c>
      <c r="B33" s="18">
        <v>11</v>
      </c>
    </row>
    <row r="34" spans="1:2" x14ac:dyDescent="0.2">
      <c r="A34" s="18">
        <v>5.8196367273636593E-3</v>
      </c>
      <c r="B34" s="18">
        <v>8</v>
      </c>
    </row>
    <row r="35" spans="1:2" x14ac:dyDescent="0.2">
      <c r="A35" s="18">
        <v>6.0015003750937736E-3</v>
      </c>
      <c r="B35" s="18">
        <v>13</v>
      </c>
    </row>
    <row r="36" spans="1:2" x14ac:dyDescent="0.2">
      <c r="A36" s="18">
        <v>6.183364022823888E-3</v>
      </c>
      <c r="B36" s="18">
        <v>6</v>
      </c>
    </row>
    <row r="37" spans="1:2" x14ac:dyDescent="0.2">
      <c r="A37" s="18">
        <v>6.3652276705540023E-3</v>
      </c>
      <c r="B37" s="18">
        <v>9</v>
      </c>
    </row>
    <row r="38" spans="1:2" x14ac:dyDescent="0.2">
      <c r="A38" s="18">
        <v>6.5470913182841166E-3</v>
      </c>
      <c r="B38" s="18">
        <v>3</v>
      </c>
    </row>
    <row r="39" spans="1:2" x14ac:dyDescent="0.2">
      <c r="A39" s="18">
        <v>6.7289549660142309E-3</v>
      </c>
      <c r="B39" s="18">
        <v>12</v>
      </c>
    </row>
    <row r="40" spans="1:2" x14ac:dyDescent="0.2">
      <c r="A40" s="18">
        <v>6.9108186137443453E-3</v>
      </c>
      <c r="B40" s="18">
        <v>6</v>
      </c>
    </row>
    <row r="41" spans="1:2" x14ac:dyDescent="0.2">
      <c r="A41" s="18">
        <v>7.0926822614744596E-3</v>
      </c>
      <c r="B41" s="18">
        <v>8</v>
      </c>
    </row>
    <row r="42" spans="1:2" x14ac:dyDescent="0.2">
      <c r="A42" s="18">
        <v>7.2745459092045739E-3</v>
      </c>
      <c r="B42" s="18">
        <v>9</v>
      </c>
    </row>
    <row r="43" spans="1:2" x14ac:dyDescent="0.2">
      <c r="A43" s="18">
        <v>7.4564095569346883E-3</v>
      </c>
      <c r="B43" s="18">
        <v>7</v>
      </c>
    </row>
    <row r="44" spans="1:2" x14ac:dyDescent="0.2">
      <c r="A44" s="18">
        <v>7.6382732046648026E-3</v>
      </c>
      <c r="B44" s="18">
        <v>3</v>
      </c>
    </row>
    <row r="45" spans="1:2" x14ac:dyDescent="0.2">
      <c r="A45" s="18">
        <v>7.8201368523949169E-3</v>
      </c>
      <c r="B45" s="18">
        <v>10</v>
      </c>
    </row>
    <row r="46" spans="1:2" x14ac:dyDescent="0.2">
      <c r="A46" s="18">
        <v>8.0020005001250321E-3</v>
      </c>
      <c r="B46" s="18">
        <v>10</v>
      </c>
    </row>
    <row r="47" spans="1:2" x14ac:dyDescent="0.2">
      <c r="A47" s="18">
        <v>8.1838641478551456E-3</v>
      </c>
      <c r="B47" s="18">
        <v>9</v>
      </c>
    </row>
    <row r="48" spans="1:2" x14ac:dyDescent="0.2">
      <c r="A48" s="18">
        <v>8.3657277955852608E-3</v>
      </c>
      <c r="B48" s="18">
        <v>4</v>
      </c>
    </row>
    <row r="49" spans="1:2" x14ac:dyDescent="0.2">
      <c r="A49" s="18">
        <v>8.5475914433153742E-3</v>
      </c>
      <c r="B49" s="18">
        <v>8</v>
      </c>
    </row>
    <row r="50" spans="1:2" x14ac:dyDescent="0.2">
      <c r="A50" s="18">
        <v>8.7294550910454894E-3</v>
      </c>
      <c r="B50" s="18">
        <v>8</v>
      </c>
    </row>
    <row r="51" spans="1:2" x14ac:dyDescent="0.2">
      <c r="A51" s="18">
        <v>8.9113187387756029E-3</v>
      </c>
      <c r="B51" s="18">
        <v>13</v>
      </c>
    </row>
    <row r="52" spans="1:2" x14ac:dyDescent="0.2">
      <c r="A52" s="18">
        <v>9.0931823865057181E-3</v>
      </c>
      <c r="B52" s="18">
        <v>3</v>
      </c>
    </row>
    <row r="53" spans="1:2" x14ac:dyDescent="0.2">
      <c r="A53" s="18">
        <v>9.2750460342358315E-3</v>
      </c>
      <c r="B53" s="18">
        <v>12</v>
      </c>
    </row>
    <row r="54" spans="1:2" x14ac:dyDescent="0.2">
      <c r="A54" s="18">
        <v>9.4569096819659467E-3</v>
      </c>
      <c r="B54" s="18">
        <v>8</v>
      </c>
    </row>
    <row r="55" spans="1:2" x14ac:dyDescent="0.2">
      <c r="A55" s="18">
        <v>9.6387733296960602E-3</v>
      </c>
      <c r="B55" s="18">
        <v>8</v>
      </c>
    </row>
    <row r="56" spans="1:2" x14ac:dyDescent="0.2">
      <c r="A56" s="18">
        <v>9.8206369774261754E-3</v>
      </c>
      <c r="B56" s="18">
        <v>3</v>
      </c>
    </row>
    <row r="57" spans="1:2" x14ac:dyDescent="0.2">
      <c r="A57" s="18">
        <v>1.0002500625156289E-2</v>
      </c>
      <c r="B57" s="18">
        <v>8</v>
      </c>
    </row>
    <row r="58" spans="1:2" x14ac:dyDescent="0.2">
      <c r="A58" s="18">
        <v>1.0184364272886404E-2</v>
      </c>
      <c r="B58" s="18">
        <v>11</v>
      </c>
    </row>
    <row r="59" spans="1:2" x14ac:dyDescent="0.2">
      <c r="A59" s="18">
        <v>1.0366227920616517E-2</v>
      </c>
      <c r="B59" s="18">
        <v>4</v>
      </c>
    </row>
    <row r="60" spans="1:2" x14ac:dyDescent="0.2">
      <c r="A60" s="18">
        <v>1.0548091568346633E-2</v>
      </c>
      <c r="B60" s="18">
        <v>10</v>
      </c>
    </row>
    <row r="61" spans="1:2" x14ac:dyDescent="0.2">
      <c r="A61" s="18">
        <v>1.0729955216076746E-2</v>
      </c>
      <c r="B61" s="18">
        <v>4</v>
      </c>
    </row>
    <row r="62" spans="1:2" x14ac:dyDescent="0.2">
      <c r="A62" s="18">
        <v>1.0911818863806861E-2</v>
      </c>
      <c r="B62" s="18">
        <v>6</v>
      </c>
    </row>
    <row r="63" spans="1:2" x14ac:dyDescent="0.2">
      <c r="A63" s="18">
        <v>1.1093682511536975E-2</v>
      </c>
      <c r="B63" s="18">
        <v>7</v>
      </c>
    </row>
    <row r="64" spans="1:2" x14ac:dyDescent="0.2">
      <c r="A64" s="18">
        <v>1.127554615926709E-2</v>
      </c>
      <c r="B64" s="18">
        <v>3</v>
      </c>
    </row>
    <row r="65" spans="1:2" x14ac:dyDescent="0.2">
      <c r="A65" s="18">
        <v>1.1457409806997203E-2</v>
      </c>
      <c r="B65" s="18">
        <v>5</v>
      </c>
    </row>
    <row r="66" spans="1:2" x14ac:dyDescent="0.2">
      <c r="A66" s="18">
        <v>1.1639273454727319E-2</v>
      </c>
      <c r="B66" s="18">
        <v>5</v>
      </c>
    </row>
    <row r="67" spans="1:2" x14ac:dyDescent="0.2">
      <c r="A67" s="18">
        <v>1.1821137102457434E-2</v>
      </c>
      <c r="B67" s="18">
        <v>2</v>
      </c>
    </row>
    <row r="68" spans="1:2" x14ac:dyDescent="0.2">
      <c r="A68" s="18">
        <v>1.2003000750187547E-2</v>
      </c>
      <c r="B68" s="18">
        <v>4</v>
      </c>
    </row>
    <row r="69" spans="1:2" x14ac:dyDescent="0.2">
      <c r="A69" s="18">
        <v>1.2184864397917662E-2</v>
      </c>
      <c r="B69" s="18">
        <v>4</v>
      </c>
    </row>
    <row r="70" spans="1:2" x14ac:dyDescent="0.2">
      <c r="A70" s="18">
        <v>1.2366728045647776E-2</v>
      </c>
      <c r="B70" s="18">
        <v>4</v>
      </c>
    </row>
    <row r="71" spans="1:2" x14ac:dyDescent="0.2">
      <c r="A71" s="18">
        <v>1.2548591693377891E-2</v>
      </c>
      <c r="B71" s="18">
        <v>4</v>
      </c>
    </row>
    <row r="72" spans="1:2" x14ac:dyDescent="0.2">
      <c r="A72" s="18">
        <v>1.2730455341108005E-2</v>
      </c>
      <c r="B72" s="18">
        <v>6</v>
      </c>
    </row>
    <row r="73" spans="1:2" x14ac:dyDescent="0.2">
      <c r="A73" s="18">
        <v>1.291231898883812E-2</v>
      </c>
      <c r="B73" s="18">
        <v>4</v>
      </c>
    </row>
    <row r="74" spans="1:2" x14ac:dyDescent="0.2">
      <c r="A74" s="18">
        <v>1.3094182636568233E-2</v>
      </c>
      <c r="B74" s="18">
        <v>1</v>
      </c>
    </row>
    <row r="75" spans="1:2" x14ac:dyDescent="0.2">
      <c r="A75" s="18">
        <v>1.3276046284298348E-2</v>
      </c>
      <c r="B75" s="18">
        <v>1</v>
      </c>
    </row>
    <row r="76" spans="1:2" x14ac:dyDescent="0.2">
      <c r="A76" s="18">
        <v>1.3457909932028462E-2</v>
      </c>
      <c r="B76" s="18">
        <v>4</v>
      </c>
    </row>
    <row r="77" spans="1:2" x14ac:dyDescent="0.2">
      <c r="A77" s="18">
        <v>1.3639773579758577E-2</v>
      </c>
      <c r="B77" s="18">
        <v>6</v>
      </c>
    </row>
    <row r="78" spans="1:2" x14ac:dyDescent="0.2">
      <c r="A78" s="18">
        <v>1.3821637227488691E-2</v>
      </c>
      <c r="B78" s="18">
        <v>7</v>
      </c>
    </row>
    <row r="79" spans="1:2" x14ac:dyDescent="0.2">
      <c r="A79" s="18">
        <v>1.4003500875218806E-2</v>
      </c>
      <c r="B79" s="18">
        <v>3</v>
      </c>
    </row>
    <row r="80" spans="1:2" x14ac:dyDescent="0.2">
      <c r="A80" s="18">
        <v>1.4185364522948919E-2</v>
      </c>
      <c r="B80" s="18">
        <v>3</v>
      </c>
    </row>
    <row r="81" spans="1:2" x14ac:dyDescent="0.2">
      <c r="A81" s="18">
        <v>1.4367228170679034E-2</v>
      </c>
      <c r="B81" s="18">
        <v>4</v>
      </c>
    </row>
    <row r="82" spans="1:2" x14ac:dyDescent="0.2">
      <c r="A82" s="18">
        <v>1.4549091818409148E-2</v>
      </c>
      <c r="B82" s="18">
        <v>5</v>
      </c>
    </row>
    <row r="83" spans="1:2" x14ac:dyDescent="0.2">
      <c r="A83" s="18">
        <v>1.4730955466139263E-2</v>
      </c>
      <c r="B83" s="18">
        <v>3</v>
      </c>
    </row>
    <row r="84" spans="1:2" x14ac:dyDescent="0.2">
      <c r="A84" s="18">
        <v>1.4912819113869377E-2</v>
      </c>
      <c r="B84" s="18">
        <v>4</v>
      </c>
    </row>
    <row r="85" spans="1:2" x14ac:dyDescent="0.2">
      <c r="A85" s="18">
        <v>1.5094682761599492E-2</v>
      </c>
      <c r="B85" s="18">
        <v>6</v>
      </c>
    </row>
    <row r="86" spans="1:2" x14ac:dyDescent="0.2">
      <c r="A86" s="18">
        <v>1.5276546409329605E-2</v>
      </c>
      <c r="B86" s="18">
        <v>3</v>
      </c>
    </row>
    <row r="87" spans="1:2" x14ac:dyDescent="0.2">
      <c r="A87" s="18">
        <v>1.545841005705972E-2</v>
      </c>
      <c r="B87" s="18">
        <v>4</v>
      </c>
    </row>
    <row r="88" spans="1:2" x14ac:dyDescent="0.2">
      <c r="A88" s="18">
        <v>1.5640273704789834E-2</v>
      </c>
      <c r="B88" s="18">
        <v>1</v>
      </c>
    </row>
    <row r="89" spans="1:2" x14ac:dyDescent="0.2">
      <c r="A89" s="18">
        <v>1.5822137352519947E-2</v>
      </c>
      <c r="B89" s="18">
        <v>5</v>
      </c>
    </row>
    <row r="90" spans="1:2" x14ac:dyDescent="0.2">
      <c r="A90" s="18">
        <v>1.6004001000250064E-2</v>
      </c>
      <c r="B90" s="18">
        <v>8</v>
      </c>
    </row>
    <row r="91" spans="1:2" x14ac:dyDescent="0.2">
      <c r="A91" s="18">
        <v>1.6185864647980178E-2</v>
      </c>
      <c r="B91" s="18">
        <v>4</v>
      </c>
    </row>
    <row r="92" spans="1:2" x14ac:dyDescent="0.2">
      <c r="A92" s="18">
        <v>1.6367728295710291E-2</v>
      </c>
      <c r="B92" s="18">
        <v>2</v>
      </c>
    </row>
    <row r="93" spans="1:2" x14ac:dyDescent="0.2">
      <c r="A93" s="18">
        <v>1.6549591943440405E-2</v>
      </c>
      <c r="B93" s="18">
        <v>10</v>
      </c>
    </row>
    <row r="94" spans="1:2" x14ac:dyDescent="0.2">
      <c r="A94" s="18">
        <v>1.6731455591170522E-2</v>
      </c>
      <c r="B94" s="18">
        <v>5</v>
      </c>
    </row>
    <row r="95" spans="1:2" x14ac:dyDescent="0.2">
      <c r="A95" s="18">
        <v>1.6913319238900635E-2</v>
      </c>
      <c r="B95" s="18">
        <v>8</v>
      </c>
    </row>
    <row r="96" spans="1:2" x14ac:dyDescent="0.2">
      <c r="A96" s="18">
        <v>1.7095182886630748E-2</v>
      </c>
      <c r="B96" s="18">
        <v>5</v>
      </c>
    </row>
    <row r="97" spans="1:2" x14ac:dyDescent="0.2">
      <c r="A97" s="18">
        <v>1.7277046534360862E-2</v>
      </c>
      <c r="B97" s="18">
        <v>3</v>
      </c>
    </row>
    <row r="98" spans="1:2" x14ac:dyDescent="0.2">
      <c r="A98" s="18">
        <v>1.7458910182090979E-2</v>
      </c>
      <c r="B98" s="18">
        <v>3</v>
      </c>
    </row>
    <row r="99" spans="1:2" x14ac:dyDescent="0.2">
      <c r="A99" s="18">
        <v>1.7640773829821092E-2</v>
      </c>
      <c r="B99" s="18">
        <v>3</v>
      </c>
    </row>
    <row r="100" spans="1:2" x14ac:dyDescent="0.2">
      <c r="A100" s="18">
        <v>1.7822637477551206E-2</v>
      </c>
      <c r="B100" s="18">
        <v>2</v>
      </c>
    </row>
    <row r="101" spans="1:2" x14ac:dyDescent="0.2">
      <c r="A101" s="18">
        <v>1.8004501125281323E-2</v>
      </c>
      <c r="B101" s="18">
        <v>2</v>
      </c>
    </row>
    <row r="102" spans="1:2" x14ac:dyDescent="0.2">
      <c r="A102" s="18">
        <v>1.8186364773011436E-2</v>
      </c>
      <c r="B102" s="18">
        <v>3</v>
      </c>
    </row>
    <row r="103" spans="1:2" x14ac:dyDescent="0.2">
      <c r="A103" s="18">
        <v>1.836822842074155E-2</v>
      </c>
      <c r="B103" s="18">
        <v>6</v>
      </c>
    </row>
    <row r="104" spans="1:2" x14ac:dyDescent="0.2">
      <c r="A104" s="18">
        <v>1.8550092068471663E-2</v>
      </c>
      <c r="B104" s="18">
        <v>1</v>
      </c>
    </row>
    <row r="105" spans="1:2" x14ac:dyDescent="0.2">
      <c r="A105" s="18">
        <v>1.873195571620178E-2</v>
      </c>
      <c r="B105" s="18">
        <v>5</v>
      </c>
    </row>
    <row r="106" spans="1:2" x14ac:dyDescent="0.2">
      <c r="A106" s="18">
        <v>1.8913819363931893E-2</v>
      </c>
      <c r="B106" s="18">
        <v>3</v>
      </c>
    </row>
    <row r="107" spans="1:2" x14ac:dyDescent="0.2">
      <c r="A107" s="18">
        <v>1.9095683011662007E-2</v>
      </c>
      <c r="B107" s="18">
        <v>9</v>
      </c>
    </row>
    <row r="108" spans="1:2" x14ac:dyDescent="0.2">
      <c r="A108" s="18">
        <v>1.927754665939212E-2</v>
      </c>
      <c r="B108" s="18">
        <v>2</v>
      </c>
    </row>
    <row r="109" spans="1:2" x14ac:dyDescent="0.2">
      <c r="A109" s="18">
        <v>1.9459410307122237E-2</v>
      </c>
      <c r="B109" s="18">
        <v>0</v>
      </c>
    </row>
    <row r="110" spans="1:2" x14ac:dyDescent="0.2">
      <c r="A110" s="18">
        <v>1.9641273954852351E-2</v>
      </c>
      <c r="B110" s="18">
        <v>2</v>
      </c>
    </row>
    <row r="111" spans="1:2" x14ac:dyDescent="0.2">
      <c r="A111" s="18">
        <v>1.9823137602582464E-2</v>
      </c>
      <c r="B111" s="18">
        <v>3</v>
      </c>
    </row>
    <row r="112" spans="1:2" x14ac:dyDescent="0.2">
      <c r="A112" s="18">
        <v>2.0005001250312578E-2</v>
      </c>
      <c r="B112" s="18">
        <v>3</v>
      </c>
    </row>
    <row r="113" spans="1:2" x14ac:dyDescent="0.2">
      <c r="A113" s="18">
        <v>2.0186864898042695E-2</v>
      </c>
      <c r="B113" s="18">
        <v>3</v>
      </c>
    </row>
    <row r="114" spans="1:2" x14ac:dyDescent="0.2">
      <c r="A114" s="18">
        <v>2.0368728545772808E-2</v>
      </c>
      <c r="B114" s="18">
        <v>2</v>
      </c>
    </row>
    <row r="115" spans="1:2" x14ac:dyDescent="0.2">
      <c r="A115" s="18">
        <v>2.0550592193502921E-2</v>
      </c>
      <c r="B115" s="18">
        <v>2</v>
      </c>
    </row>
    <row r="116" spans="1:2" x14ac:dyDescent="0.2">
      <c r="A116" s="18">
        <v>2.0732455841233035E-2</v>
      </c>
      <c r="B116" s="18">
        <v>1</v>
      </c>
    </row>
    <row r="117" spans="1:2" x14ac:dyDescent="0.2">
      <c r="A117" s="18">
        <v>2.0914319488963152E-2</v>
      </c>
      <c r="B117" s="18">
        <v>4</v>
      </c>
    </row>
    <row r="118" spans="1:2" x14ac:dyDescent="0.2">
      <c r="A118" s="18">
        <v>2.1096183136693265E-2</v>
      </c>
      <c r="B118" s="18">
        <v>2</v>
      </c>
    </row>
    <row r="119" spans="1:2" x14ac:dyDescent="0.2">
      <c r="A119" s="18">
        <v>2.1278046784423379E-2</v>
      </c>
      <c r="B119" s="18">
        <v>4</v>
      </c>
    </row>
    <row r="120" spans="1:2" x14ac:dyDescent="0.2">
      <c r="A120" s="18">
        <v>2.1459910432153492E-2</v>
      </c>
      <c r="B120" s="18">
        <v>2</v>
      </c>
    </row>
    <row r="121" spans="1:2" x14ac:dyDescent="0.2">
      <c r="A121" s="18">
        <v>2.1641774079883609E-2</v>
      </c>
      <c r="B121" s="18">
        <v>3</v>
      </c>
    </row>
    <row r="122" spans="1:2" x14ac:dyDescent="0.2">
      <c r="A122" s="18">
        <v>2.1823637727613723E-2</v>
      </c>
      <c r="B122" s="18">
        <v>3</v>
      </c>
    </row>
    <row r="123" spans="1:2" x14ac:dyDescent="0.2">
      <c r="A123" s="18">
        <v>2.2005501375343836E-2</v>
      </c>
      <c r="B123" s="18">
        <v>1</v>
      </c>
    </row>
    <row r="124" spans="1:2" x14ac:dyDescent="0.2">
      <c r="A124" s="18">
        <v>2.218736502307395E-2</v>
      </c>
      <c r="B124" s="18">
        <v>1</v>
      </c>
    </row>
    <row r="125" spans="1:2" x14ac:dyDescent="0.2">
      <c r="A125" s="18">
        <v>2.2369228670804066E-2</v>
      </c>
      <c r="B125" s="18">
        <v>7</v>
      </c>
    </row>
    <row r="126" spans="1:2" x14ac:dyDescent="0.2">
      <c r="A126" s="18">
        <v>2.255109231853418E-2</v>
      </c>
      <c r="B126" s="18">
        <v>3</v>
      </c>
    </row>
    <row r="127" spans="1:2" x14ac:dyDescent="0.2">
      <c r="A127" s="18">
        <v>2.2732955966264293E-2</v>
      </c>
      <c r="B127" s="18">
        <v>0</v>
      </c>
    </row>
    <row r="128" spans="1:2" x14ac:dyDescent="0.2">
      <c r="A128" s="18">
        <v>2.2914819613994407E-2</v>
      </c>
      <c r="B128" s="18">
        <v>1</v>
      </c>
    </row>
    <row r="129" spans="1:2" x14ac:dyDescent="0.2">
      <c r="A129" s="18">
        <v>2.3096683261724524E-2</v>
      </c>
      <c r="B129" s="18">
        <v>5</v>
      </c>
    </row>
    <row r="130" spans="1:2" x14ac:dyDescent="0.2">
      <c r="A130" s="18">
        <v>2.3278546909454637E-2</v>
      </c>
      <c r="B130" s="18">
        <v>1</v>
      </c>
    </row>
    <row r="131" spans="1:2" x14ac:dyDescent="0.2">
      <c r="A131" s="18">
        <v>2.3460410557184751E-2</v>
      </c>
      <c r="B131" s="18">
        <v>0</v>
      </c>
    </row>
    <row r="132" spans="1:2" x14ac:dyDescent="0.2">
      <c r="A132" s="18">
        <v>2.3642274204914868E-2</v>
      </c>
      <c r="B132" s="18">
        <v>1</v>
      </c>
    </row>
    <row r="133" spans="1:2" x14ac:dyDescent="0.2">
      <c r="A133" s="18">
        <v>2.3824137852644981E-2</v>
      </c>
      <c r="B133" s="18">
        <v>3</v>
      </c>
    </row>
    <row r="134" spans="1:2" x14ac:dyDescent="0.2">
      <c r="A134" s="18">
        <v>2.4006001500375095E-2</v>
      </c>
      <c r="B134" s="18">
        <v>4</v>
      </c>
    </row>
    <row r="135" spans="1:2" x14ac:dyDescent="0.2">
      <c r="A135" s="18">
        <v>2.4187865148105208E-2</v>
      </c>
      <c r="B135" s="18">
        <v>3</v>
      </c>
    </row>
    <row r="136" spans="1:2" x14ac:dyDescent="0.2">
      <c r="A136" s="18">
        <v>2.4369728795835325E-2</v>
      </c>
      <c r="B136" s="18">
        <v>3</v>
      </c>
    </row>
    <row r="137" spans="1:2" x14ac:dyDescent="0.2">
      <c r="A137" s="18">
        <v>2.4551592443565438E-2</v>
      </c>
      <c r="B137" s="18">
        <v>0</v>
      </c>
    </row>
    <row r="138" spans="1:2" x14ac:dyDescent="0.2">
      <c r="A138" s="18">
        <v>2.4733456091295552E-2</v>
      </c>
      <c r="B138" s="18">
        <v>2</v>
      </c>
    </row>
    <row r="139" spans="1:2" x14ac:dyDescent="0.2">
      <c r="A139" s="18">
        <v>2.4915319739025665E-2</v>
      </c>
      <c r="B139" s="18">
        <v>1</v>
      </c>
    </row>
    <row r="140" spans="1:2" x14ac:dyDescent="0.2">
      <c r="A140" s="18">
        <v>2.5097183386755782E-2</v>
      </c>
      <c r="B140" s="18">
        <v>4</v>
      </c>
    </row>
    <row r="141" spans="1:2" x14ac:dyDescent="0.2">
      <c r="A141" s="18">
        <v>2.5279047034485896E-2</v>
      </c>
      <c r="B141" s="18">
        <v>1</v>
      </c>
    </row>
    <row r="142" spans="1:2" x14ac:dyDescent="0.2">
      <c r="A142" s="18">
        <v>2.5460910682216009E-2</v>
      </c>
      <c r="B142" s="18">
        <v>7</v>
      </c>
    </row>
    <row r="143" spans="1:2" x14ac:dyDescent="0.2">
      <c r="A143" s="18">
        <v>2.5642774329946123E-2</v>
      </c>
      <c r="B143" s="18">
        <v>1</v>
      </c>
    </row>
    <row r="144" spans="1:2" x14ac:dyDescent="0.2">
      <c r="A144" s="18">
        <v>2.582463797767624E-2</v>
      </c>
      <c r="B144" s="18">
        <v>1</v>
      </c>
    </row>
    <row r="145" spans="1:2" x14ac:dyDescent="0.2">
      <c r="A145" s="18">
        <v>2.6006501625406353E-2</v>
      </c>
      <c r="B145" s="18">
        <v>5</v>
      </c>
    </row>
    <row r="146" spans="1:2" x14ac:dyDescent="0.2">
      <c r="A146" s="18">
        <v>2.6188365273136466E-2</v>
      </c>
      <c r="B146" s="18">
        <v>2</v>
      </c>
    </row>
    <row r="147" spans="1:2" x14ac:dyDescent="0.2">
      <c r="A147" s="18">
        <v>2.637022892086658E-2</v>
      </c>
      <c r="B147" s="18">
        <v>2</v>
      </c>
    </row>
    <row r="148" spans="1:2" x14ac:dyDescent="0.2">
      <c r="A148" s="18">
        <v>2.6552092568596697E-2</v>
      </c>
      <c r="B148" s="18">
        <v>2</v>
      </c>
    </row>
    <row r="149" spans="1:2" x14ac:dyDescent="0.2">
      <c r="A149" s="18">
        <v>2.673395621632681E-2</v>
      </c>
      <c r="B149" s="18">
        <v>2</v>
      </c>
    </row>
    <row r="150" spans="1:2" x14ac:dyDescent="0.2">
      <c r="A150" s="18">
        <v>2.6915819864056924E-2</v>
      </c>
      <c r="B150" s="18">
        <v>0</v>
      </c>
    </row>
    <row r="151" spans="1:2" x14ac:dyDescent="0.2">
      <c r="A151" s="18">
        <v>2.7097683511787037E-2</v>
      </c>
      <c r="B151" s="18">
        <v>3</v>
      </c>
    </row>
    <row r="152" spans="1:2" x14ac:dyDescent="0.2">
      <c r="A152" s="18">
        <v>2.7279547159517154E-2</v>
      </c>
      <c r="B152" s="18">
        <v>2</v>
      </c>
    </row>
    <row r="153" spans="1:2" x14ac:dyDescent="0.2">
      <c r="A153" s="18">
        <v>2.7461410807247268E-2</v>
      </c>
      <c r="B153" s="18">
        <v>1</v>
      </c>
    </row>
    <row r="154" spans="1:2" x14ac:dyDescent="0.2">
      <c r="A154" s="18">
        <v>2.7643274454977381E-2</v>
      </c>
      <c r="B154" s="18">
        <v>1</v>
      </c>
    </row>
    <row r="155" spans="1:2" x14ac:dyDescent="0.2">
      <c r="A155" s="18">
        <v>2.7825138102707495E-2</v>
      </c>
      <c r="B155" s="18">
        <v>2</v>
      </c>
    </row>
    <row r="156" spans="1:2" x14ac:dyDescent="0.2">
      <c r="A156" s="18">
        <v>2.8007001750437611E-2</v>
      </c>
      <c r="B156" s="18">
        <v>0</v>
      </c>
    </row>
    <row r="157" spans="1:2" x14ac:dyDescent="0.2">
      <c r="A157" s="18">
        <v>2.8188865398167725E-2</v>
      </c>
      <c r="B157" s="18">
        <v>3</v>
      </c>
    </row>
    <row r="158" spans="1:2" x14ac:dyDescent="0.2">
      <c r="A158" s="18">
        <v>2.8370729045897838E-2</v>
      </c>
      <c r="B158" s="18">
        <v>0</v>
      </c>
    </row>
    <row r="159" spans="1:2" x14ac:dyDescent="0.2">
      <c r="A159" s="18">
        <v>2.8552592693627952E-2</v>
      </c>
      <c r="B159" s="18">
        <v>1</v>
      </c>
    </row>
    <row r="160" spans="1:2" x14ac:dyDescent="0.2">
      <c r="A160" s="18">
        <v>2.8734456341358069E-2</v>
      </c>
      <c r="B160" s="18">
        <v>2</v>
      </c>
    </row>
    <row r="161" spans="1:2" x14ac:dyDescent="0.2">
      <c r="A161" s="18">
        <v>2.8916319989088182E-2</v>
      </c>
      <c r="B161" s="18">
        <v>3</v>
      </c>
    </row>
    <row r="162" spans="1:2" x14ac:dyDescent="0.2">
      <c r="A162" s="18">
        <v>2.9098183636818296E-2</v>
      </c>
      <c r="B162" s="18">
        <v>2</v>
      </c>
    </row>
    <row r="163" spans="1:2" x14ac:dyDescent="0.2">
      <c r="A163" s="18">
        <v>2.9280047284548413E-2</v>
      </c>
      <c r="B163" s="18">
        <v>2</v>
      </c>
    </row>
    <row r="164" spans="1:2" x14ac:dyDescent="0.2">
      <c r="A164" s="18">
        <v>2.9461910932278526E-2</v>
      </c>
      <c r="B164" s="18">
        <v>0</v>
      </c>
    </row>
    <row r="165" spans="1:2" x14ac:dyDescent="0.2">
      <c r="A165" s="18">
        <v>2.964377458000864E-2</v>
      </c>
      <c r="B165" s="18">
        <v>1</v>
      </c>
    </row>
    <row r="166" spans="1:2" x14ac:dyDescent="0.2">
      <c r="A166" s="18">
        <v>2.9825638227738753E-2</v>
      </c>
      <c r="B166" s="18">
        <v>1</v>
      </c>
    </row>
    <row r="167" spans="1:2" x14ac:dyDescent="0.2">
      <c r="A167" s="18">
        <v>3.000750187546887E-2</v>
      </c>
      <c r="B167" s="18">
        <v>0</v>
      </c>
    </row>
    <row r="168" spans="1:2" x14ac:dyDescent="0.2">
      <c r="A168" s="18">
        <v>3.0189365523198983E-2</v>
      </c>
      <c r="B168" s="18">
        <v>2</v>
      </c>
    </row>
    <row r="169" spans="1:2" x14ac:dyDescent="0.2">
      <c r="A169" s="18">
        <v>3.0371229170929097E-2</v>
      </c>
      <c r="B169" s="18">
        <v>4</v>
      </c>
    </row>
    <row r="170" spans="1:2" x14ac:dyDescent="0.2">
      <c r="A170" s="18">
        <v>3.055309281865921E-2</v>
      </c>
      <c r="B170" s="18">
        <v>1</v>
      </c>
    </row>
    <row r="171" spans="1:2" x14ac:dyDescent="0.2">
      <c r="A171" s="18">
        <v>3.0734956466389327E-2</v>
      </c>
      <c r="B171" s="18">
        <v>3</v>
      </c>
    </row>
    <row r="172" spans="1:2" x14ac:dyDescent="0.2">
      <c r="A172" s="18">
        <v>3.0916820114119441E-2</v>
      </c>
      <c r="B172" s="18">
        <v>1</v>
      </c>
    </row>
    <row r="173" spans="1:2" x14ac:dyDescent="0.2">
      <c r="A173" s="18">
        <v>3.1098683761849554E-2</v>
      </c>
      <c r="B173" s="18">
        <v>1</v>
      </c>
    </row>
    <row r="174" spans="1:2" x14ac:dyDescent="0.2">
      <c r="A174" s="18">
        <v>3.1280547409579668E-2</v>
      </c>
      <c r="B174" s="18">
        <v>1</v>
      </c>
    </row>
    <row r="175" spans="1:2" x14ac:dyDescent="0.2">
      <c r="A175" s="18">
        <v>3.1462411057309785E-2</v>
      </c>
      <c r="B175" s="18">
        <v>1</v>
      </c>
    </row>
    <row r="176" spans="1:2" x14ac:dyDescent="0.2">
      <c r="A176" s="18">
        <v>3.1644274705039895E-2</v>
      </c>
      <c r="B176" s="18">
        <v>2</v>
      </c>
    </row>
    <row r="177" spans="1:2" x14ac:dyDescent="0.2">
      <c r="A177" s="18">
        <v>3.1826138352770011E-2</v>
      </c>
      <c r="B177" s="18">
        <v>2</v>
      </c>
    </row>
    <row r="178" spans="1:2" x14ac:dyDescent="0.2">
      <c r="A178" s="18">
        <v>3.2008002000500128E-2</v>
      </c>
      <c r="B178" s="18">
        <v>0</v>
      </c>
    </row>
    <row r="179" spans="1:2" x14ac:dyDescent="0.2">
      <c r="A179" s="18">
        <v>3.2189865648230238E-2</v>
      </c>
      <c r="B179" s="18">
        <v>2</v>
      </c>
    </row>
    <row r="180" spans="1:2" x14ac:dyDescent="0.2">
      <c r="A180" s="18">
        <v>3.2371729295960355E-2</v>
      </c>
      <c r="B180" s="18">
        <v>0</v>
      </c>
    </row>
    <row r="181" spans="1:2" x14ac:dyDescent="0.2">
      <c r="A181" s="18">
        <v>3.2553592943690472E-2</v>
      </c>
      <c r="B181" s="18">
        <v>1</v>
      </c>
    </row>
    <row r="182" spans="1:2" x14ac:dyDescent="0.2">
      <c r="A182" s="18">
        <v>3.2735456591420582E-2</v>
      </c>
      <c r="B182" s="18">
        <v>2</v>
      </c>
    </row>
    <row r="183" spans="1:2" x14ac:dyDescent="0.2">
      <c r="A183" s="18">
        <v>3.2917320239150699E-2</v>
      </c>
      <c r="B183" s="18">
        <v>1</v>
      </c>
    </row>
    <row r="184" spans="1:2" x14ac:dyDescent="0.2">
      <c r="A184" s="18">
        <v>3.3099183886880809E-2</v>
      </c>
      <c r="B184" s="18">
        <v>0</v>
      </c>
    </row>
    <row r="185" spans="1:2" x14ac:dyDescent="0.2">
      <c r="A185" s="18">
        <v>3.3281047534610926E-2</v>
      </c>
      <c r="B185" s="18">
        <v>2</v>
      </c>
    </row>
    <row r="186" spans="1:2" x14ac:dyDescent="0.2">
      <c r="A186" s="18">
        <v>3.3462911182341043E-2</v>
      </c>
      <c r="B186" s="18">
        <v>3</v>
      </c>
    </row>
    <row r="187" spans="1:2" x14ac:dyDescent="0.2">
      <c r="A187" s="18">
        <v>3.3644774830071153E-2</v>
      </c>
      <c r="B187" s="18">
        <v>1</v>
      </c>
    </row>
    <row r="188" spans="1:2" x14ac:dyDescent="0.2">
      <c r="A188" s="18">
        <v>3.382663847780127E-2</v>
      </c>
      <c r="B188" s="18">
        <v>1</v>
      </c>
    </row>
    <row r="189" spans="1:2" x14ac:dyDescent="0.2">
      <c r="A189" s="18">
        <v>3.4008502125531387E-2</v>
      </c>
      <c r="B189" s="18">
        <v>0</v>
      </c>
    </row>
    <row r="190" spans="1:2" x14ac:dyDescent="0.2">
      <c r="A190" s="18">
        <v>3.4190365773261497E-2</v>
      </c>
      <c r="B190" s="18">
        <v>0</v>
      </c>
    </row>
    <row r="191" spans="1:2" x14ac:dyDescent="0.2">
      <c r="A191" s="18">
        <v>3.4372229420991614E-2</v>
      </c>
      <c r="B191" s="18">
        <v>1</v>
      </c>
    </row>
    <row r="192" spans="1:2" x14ac:dyDescent="0.2">
      <c r="A192" s="18">
        <v>3.4554093068721724E-2</v>
      </c>
      <c r="B192" s="18">
        <v>1</v>
      </c>
    </row>
    <row r="193" spans="1:2" x14ac:dyDescent="0.2">
      <c r="A193" s="18">
        <v>3.4735956716451841E-2</v>
      </c>
      <c r="B193" s="18">
        <v>2</v>
      </c>
    </row>
    <row r="194" spans="1:2" x14ac:dyDescent="0.2">
      <c r="A194" s="18">
        <v>3.4917820364181958E-2</v>
      </c>
      <c r="B194" s="18">
        <v>2</v>
      </c>
    </row>
    <row r="195" spans="1:2" x14ac:dyDescent="0.2">
      <c r="A195" s="18">
        <v>3.5099684011912068E-2</v>
      </c>
      <c r="B195" s="18">
        <v>0</v>
      </c>
    </row>
    <row r="196" spans="1:2" x14ac:dyDescent="0.2">
      <c r="A196" s="18">
        <v>3.5281547659642185E-2</v>
      </c>
      <c r="B196" s="18">
        <v>1</v>
      </c>
    </row>
    <row r="197" spans="1:2" x14ac:dyDescent="0.2">
      <c r="A197" s="18">
        <v>3.5463411307372301E-2</v>
      </c>
      <c r="B197" s="18">
        <v>2</v>
      </c>
    </row>
    <row r="198" spans="1:2" x14ac:dyDescent="0.2">
      <c r="A198" s="18">
        <v>3.5645274955102411E-2</v>
      </c>
      <c r="B198" s="18">
        <v>0</v>
      </c>
    </row>
    <row r="199" spans="1:2" x14ac:dyDescent="0.2">
      <c r="A199" s="18">
        <v>3.5827138602832528E-2</v>
      </c>
      <c r="B199" s="18">
        <v>3</v>
      </c>
    </row>
    <row r="200" spans="1:2" x14ac:dyDescent="0.2">
      <c r="A200" s="18">
        <v>3.6009002250562645E-2</v>
      </c>
      <c r="B200" s="18">
        <v>0</v>
      </c>
    </row>
    <row r="201" spans="1:2" x14ac:dyDescent="0.2">
      <c r="A201" s="18">
        <v>3.6190865898292755E-2</v>
      </c>
      <c r="B201" s="18">
        <v>2</v>
      </c>
    </row>
    <row r="202" spans="1:2" x14ac:dyDescent="0.2">
      <c r="A202" s="18">
        <v>3.6372729546022872E-2</v>
      </c>
      <c r="B202" s="18">
        <v>0</v>
      </c>
    </row>
    <row r="203" spans="1:2" x14ac:dyDescent="0.2">
      <c r="A203" s="18">
        <v>3.6554593193752982E-2</v>
      </c>
      <c r="B203" s="18">
        <v>2</v>
      </c>
    </row>
    <row r="204" spans="1:2" x14ac:dyDescent="0.2">
      <c r="A204" s="18">
        <v>3.6736456841483099E-2</v>
      </c>
      <c r="B204" s="18">
        <v>0</v>
      </c>
    </row>
    <row r="205" spans="1:2" x14ac:dyDescent="0.2">
      <c r="A205" s="18">
        <v>3.6918320489213216E-2</v>
      </c>
      <c r="B205" s="18">
        <v>3</v>
      </c>
    </row>
    <row r="206" spans="1:2" x14ac:dyDescent="0.2">
      <c r="A206" s="18">
        <v>3.7100184136943326E-2</v>
      </c>
      <c r="B206" s="18">
        <v>0</v>
      </c>
    </row>
    <row r="207" spans="1:2" x14ac:dyDescent="0.2">
      <c r="A207" s="18">
        <v>3.7282047784673443E-2</v>
      </c>
      <c r="B207" s="18">
        <v>1</v>
      </c>
    </row>
    <row r="208" spans="1:2" x14ac:dyDescent="0.2">
      <c r="A208" s="18">
        <v>3.746391143240356E-2</v>
      </c>
      <c r="B208" s="18">
        <v>0</v>
      </c>
    </row>
    <row r="209" spans="1:2" x14ac:dyDescent="0.2">
      <c r="A209" s="18">
        <v>3.764577508013367E-2</v>
      </c>
      <c r="B209" s="18">
        <v>1</v>
      </c>
    </row>
    <row r="210" spans="1:2" x14ac:dyDescent="0.2">
      <c r="A210" s="18">
        <v>3.7827638727863787E-2</v>
      </c>
      <c r="B210" s="18">
        <v>1</v>
      </c>
    </row>
    <row r="211" spans="1:2" x14ac:dyDescent="0.2">
      <c r="A211" s="18">
        <v>3.8009502375593897E-2</v>
      </c>
      <c r="B211" s="18">
        <v>0</v>
      </c>
    </row>
    <row r="212" spans="1:2" x14ac:dyDescent="0.2">
      <c r="A212" s="18">
        <v>3.8191366023324014E-2</v>
      </c>
      <c r="B212" s="18">
        <v>0</v>
      </c>
    </row>
    <row r="213" spans="1:2" x14ac:dyDescent="0.2">
      <c r="A213" s="18">
        <v>3.8373229671054131E-2</v>
      </c>
      <c r="B213" s="18">
        <v>1</v>
      </c>
    </row>
    <row r="214" spans="1:2" x14ac:dyDescent="0.2">
      <c r="A214" s="18">
        <v>3.8555093318784241E-2</v>
      </c>
      <c r="B214" s="18">
        <v>0</v>
      </c>
    </row>
    <row r="215" spans="1:2" x14ac:dyDescent="0.2">
      <c r="A215" s="18">
        <v>3.8736956966514358E-2</v>
      </c>
      <c r="B215" s="18">
        <v>0</v>
      </c>
    </row>
    <row r="216" spans="1:2" x14ac:dyDescent="0.2">
      <c r="A216" s="18">
        <v>3.8918820614244475E-2</v>
      </c>
      <c r="B216" s="18">
        <v>2</v>
      </c>
    </row>
    <row r="217" spans="1:2" x14ac:dyDescent="0.2">
      <c r="A217" s="18">
        <v>3.9100684261974585E-2</v>
      </c>
      <c r="B217" s="18">
        <v>0</v>
      </c>
    </row>
    <row r="218" spans="1:2" x14ac:dyDescent="0.2">
      <c r="A218" s="18">
        <v>3.9282547909704701E-2</v>
      </c>
      <c r="B218" s="18">
        <v>2</v>
      </c>
    </row>
    <row r="219" spans="1:2" x14ac:dyDescent="0.2">
      <c r="A219" s="18">
        <v>3.9464411557434811E-2</v>
      </c>
      <c r="B219" s="18">
        <v>1</v>
      </c>
    </row>
    <row r="220" spans="1:2" x14ac:dyDescent="0.2">
      <c r="A220" s="18">
        <v>3.9646275205164928E-2</v>
      </c>
      <c r="B220" s="18">
        <v>1</v>
      </c>
    </row>
    <row r="221" spans="1:2" x14ac:dyDescent="0.2">
      <c r="A221" s="18">
        <v>3.9828138852895045E-2</v>
      </c>
      <c r="B221" s="18">
        <v>1</v>
      </c>
    </row>
    <row r="222" spans="1:2" x14ac:dyDescent="0.2">
      <c r="A222" s="18">
        <v>4.0010002500625155E-2</v>
      </c>
      <c r="B222" s="18">
        <v>3</v>
      </c>
    </row>
    <row r="223" spans="1:2" x14ac:dyDescent="0.2">
      <c r="A223" s="18">
        <v>4.0191866148355272E-2</v>
      </c>
      <c r="B223" s="18">
        <v>0</v>
      </c>
    </row>
    <row r="224" spans="1:2" x14ac:dyDescent="0.2">
      <c r="A224" s="18">
        <v>4.0373729796085389E-2</v>
      </c>
      <c r="B224" s="18">
        <v>1</v>
      </c>
    </row>
    <row r="225" spans="1:2" x14ac:dyDescent="0.2">
      <c r="A225" s="18">
        <v>4.0555593443815499E-2</v>
      </c>
      <c r="B225" s="18">
        <v>1</v>
      </c>
    </row>
    <row r="226" spans="1:2" x14ac:dyDescent="0.2">
      <c r="A226" s="18">
        <v>4.0737457091545616E-2</v>
      </c>
      <c r="B226" s="18">
        <v>0</v>
      </c>
    </row>
    <row r="227" spans="1:2" x14ac:dyDescent="0.2">
      <c r="A227" s="18">
        <v>4.0919320739275733E-2</v>
      </c>
      <c r="B227" s="18">
        <v>1</v>
      </c>
    </row>
    <row r="228" spans="1:2" x14ac:dyDescent="0.2">
      <c r="A228" s="18">
        <v>4.1101184387005843E-2</v>
      </c>
      <c r="B228" s="18">
        <v>2</v>
      </c>
    </row>
    <row r="229" spans="1:2" x14ac:dyDescent="0.2">
      <c r="A229" s="18">
        <v>4.128304803473596E-2</v>
      </c>
      <c r="B229" s="18">
        <v>1</v>
      </c>
    </row>
    <row r="230" spans="1:2" x14ac:dyDescent="0.2">
      <c r="A230" s="18">
        <v>4.146491168246607E-2</v>
      </c>
      <c r="B230" s="18">
        <v>0</v>
      </c>
    </row>
    <row r="231" spans="1:2" x14ac:dyDescent="0.2">
      <c r="A231" s="18">
        <v>4.1646775330196187E-2</v>
      </c>
      <c r="B231" s="18">
        <v>1</v>
      </c>
    </row>
    <row r="232" spans="1:2" x14ac:dyDescent="0.2">
      <c r="A232" s="18">
        <v>4.1828638977926304E-2</v>
      </c>
      <c r="B232" s="18">
        <v>2</v>
      </c>
    </row>
    <row r="233" spans="1:2" x14ac:dyDescent="0.2">
      <c r="A233" s="18">
        <v>4.2010502625656414E-2</v>
      </c>
      <c r="B233" s="18">
        <v>3</v>
      </c>
    </row>
    <row r="234" spans="1:2" x14ac:dyDescent="0.2">
      <c r="A234" s="18">
        <v>4.2192366273386531E-2</v>
      </c>
      <c r="B234" s="18">
        <v>3</v>
      </c>
    </row>
    <row r="235" spans="1:2" x14ac:dyDescent="0.2">
      <c r="A235" s="18">
        <v>4.2374229921116648E-2</v>
      </c>
      <c r="B235" s="18">
        <v>1</v>
      </c>
    </row>
    <row r="236" spans="1:2" x14ac:dyDescent="0.2">
      <c r="A236" s="18">
        <v>4.2556093568846758E-2</v>
      </c>
      <c r="B236" s="18">
        <v>0</v>
      </c>
    </row>
    <row r="237" spans="1:2" x14ac:dyDescent="0.2">
      <c r="A237" s="18">
        <v>4.2737957216576875E-2</v>
      </c>
      <c r="B237" s="18">
        <v>0</v>
      </c>
    </row>
    <row r="238" spans="1:2" x14ac:dyDescent="0.2">
      <c r="A238" s="18">
        <v>4.2919820864306985E-2</v>
      </c>
      <c r="B238" s="18">
        <v>1</v>
      </c>
    </row>
    <row r="239" spans="1:2" x14ac:dyDescent="0.2">
      <c r="A239" s="18">
        <v>4.3101684512037101E-2</v>
      </c>
      <c r="B239" s="18">
        <v>0</v>
      </c>
    </row>
    <row r="240" spans="1:2" x14ac:dyDescent="0.2">
      <c r="A240" s="18">
        <v>4.3283548159767218E-2</v>
      </c>
      <c r="B240" s="18">
        <v>0</v>
      </c>
    </row>
    <row r="241" spans="1:2" x14ac:dyDescent="0.2">
      <c r="A241" s="18">
        <v>4.3465411807497328E-2</v>
      </c>
      <c r="B241" s="18">
        <v>0</v>
      </c>
    </row>
    <row r="242" spans="1:2" x14ac:dyDescent="0.2">
      <c r="A242" s="18">
        <v>4.3647275455227445E-2</v>
      </c>
      <c r="B242" s="18">
        <v>1</v>
      </c>
    </row>
    <row r="243" spans="1:2" x14ac:dyDescent="0.2">
      <c r="A243" s="18">
        <v>4.3829139102957562E-2</v>
      </c>
      <c r="B243" s="18">
        <v>0</v>
      </c>
    </row>
    <row r="244" spans="1:2" x14ac:dyDescent="0.2">
      <c r="A244" s="18">
        <v>4.4011002750687672E-2</v>
      </c>
      <c r="B244" s="18">
        <v>1</v>
      </c>
    </row>
    <row r="245" spans="1:2" x14ac:dyDescent="0.2">
      <c r="A245" s="18">
        <v>4.4192866398417789E-2</v>
      </c>
      <c r="B245" s="18">
        <v>1</v>
      </c>
    </row>
    <row r="246" spans="1:2" x14ac:dyDescent="0.2">
      <c r="A246" s="18">
        <v>4.4374730046147899E-2</v>
      </c>
      <c r="B246" s="18">
        <v>2</v>
      </c>
    </row>
    <row r="247" spans="1:2" x14ac:dyDescent="0.2">
      <c r="A247" s="18">
        <v>4.4556593693878016E-2</v>
      </c>
      <c r="B247" s="18">
        <v>1</v>
      </c>
    </row>
    <row r="248" spans="1:2" x14ac:dyDescent="0.2">
      <c r="A248" s="18">
        <v>4.4738457341608133E-2</v>
      </c>
      <c r="B248" s="18">
        <v>1</v>
      </c>
    </row>
    <row r="249" spans="1:2" x14ac:dyDescent="0.2">
      <c r="A249" s="18">
        <v>4.4920320989338243E-2</v>
      </c>
      <c r="B249" s="18">
        <v>0</v>
      </c>
    </row>
    <row r="250" spans="1:2" x14ac:dyDescent="0.2">
      <c r="A250" s="18">
        <v>4.510218463706836E-2</v>
      </c>
      <c r="B250" s="18">
        <v>0</v>
      </c>
    </row>
    <row r="251" spans="1:2" x14ac:dyDescent="0.2">
      <c r="A251" s="18">
        <v>4.5284048284798477E-2</v>
      </c>
      <c r="B251" s="18">
        <v>0</v>
      </c>
    </row>
    <row r="252" spans="1:2" x14ac:dyDescent="0.2">
      <c r="A252" s="18">
        <v>4.5465911932528587E-2</v>
      </c>
      <c r="B252" s="18">
        <v>1</v>
      </c>
    </row>
    <row r="253" spans="1:2" x14ac:dyDescent="0.2">
      <c r="A253" s="18">
        <v>4.5647775580258704E-2</v>
      </c>
      <c r="B253" s="18">
        <v>1</v>
      </c>
    </row>
    <row r="254" spans="1:2" x14ac:dyDescent="0.2">
      <c r="A254" s="18">
        <v>4.5829639227988814E-2</v>
      </c>
      <c r="B254" s="18">
        <v>1</v>
      </c>
    </row>
    <row r="255" spans="1:2" x14ac:dyDescent="0.2">
      <c r="A255" s="18">
        <v>4.6011502875718931E-2</v>
      </c>
      <c r="B255" s="18">
        <v>0</v>
      </c>
    </row>
    <row r="256" spans="1:2" x14ac:dyDescent="0.2">
      <c r="A256" s="18">
        <v>4.6193366523449048E-2</v>
      </c>
      <c r="B256" s="18">
        <v>0</v>
      </c>
    </row>
    <row r="257" spans="1:2" x14ac:dyDescent="0.2">
      <c r="A257" s="18">
        <v>4.6375230171179158E-2</v>
      </c>
      <c r="B257" s="18">
        <v>1</v>
      </c>
    </row>
    <row r="258" spans="1:2" x14ac:dyDescent="0.2">
      <c r="A258" s="18">
        <v>4.6557093818909275E-2</v>
      </c>
      <c r="B258" s="18">
        <v>0</v>
      </c>
    </row>
    <row r="259" spans="1:2" x14ac:dyDescent="0.2">
      <c r="A259" s="18">
        <v>4.6738957466639391E-2</v>
      </c>
      <c r="B259" s="18">
        <v>0</v>
      </c>
    </row>
    <row r="260" spans="1:2" x14ac:dyDescent="0.2">
      <c r="A260" s="18">
        <v>4.6920821114369501E-2</v>
      </c>
      <c r="B260" s="18">
        <v>2</v>
      </c>
    </row>
    <row r="261" spans="1:2" x14ac:dyDescent="0.2">
      <c r="A261" s="18">
        <v>4.7102684762099618E-2</v>
      </c>
      <c r="B261" s="18">
        <v>1</v>
      </c>
    </row>
    <row r="262" spans="1:2" x14ac:dyDescent="0.2">
      <c r="A262" s="18">
        <v>4.7284548409829735E-2</v>
      </c>
      <c r="B262" s="18">
        <v>1</v>
      </c>
    </row>
    <row r="263" spans="1:2" x14ac:dyDescent="0.2">
      <c r="A263" s="18">
        <v>4.7466412057559845E-2</v>
      </c>
      <c r="B263" s="18">
        <v>0</v>
      </c>
    </row>
    <row r="264" spans="1:2" x14ac:dyDescent="0.2">
      <c r="A264" s="18">
        <v>4.7648275705289962E-2</v>
      </c>
      <c r="B264" s="18">
        <v>1</v>
      </c>
    </row>
    <row r="265" spans="1:2" x14ac:dyDescent="0.2">
      <c r="A265" s="18">
        <v>4.7830139353020072E-2</v>
      </c>
      <c r="B265" s="18">
        <v>1</v>
      </c>
    </row>
    <row r="266" spans="1:2" x14ac:dyDescent="0.2">
      <c r="A266" s="18">
        <v>4.8012003000750189E-2</v>
      </c>
      <c r="B266" s="18">
        <v>2</v>
      </c>
    </row>
    <row r="267" spans="1:2" x14ac:dyDescent="0.2">
      <c r="A267" s="18">
        <v>4.8193866648480306E-2</v>
      </c>
      <c r="B267" s="18">
        <v>1</v>
      </c>
    </row>
    <row r="268" spans="1:2" x14ac:dyDescent="0.2">
      <c r="A268" s="18">
        <v>4.8375730296210416E-2</v>
      </c>
      <c r="B268" s="18">
        <v>0</v>
      </c>
    </row>
    <row r="269" spans="1:2" x14ac:dyDescent="0.2">
      <c r="A269" s="18">
        <v>4.8557593943940533E-2</v>
      </c>
      <c r="B269" s="18">
        <v>1</v>
      </c>
    </row>
    <row r="270" spans="1:2" x14ac:dyDescent="0.2">
      <c r="A270" s="18">
        <v>4.873945759167065E-2</v>
      </c>
      <c r="B270" s="18">
        <v>1</v>
      </c>
    </row>
    <row r="271" spans="1:2" x14ac:dyDescent="0.2">
      <c r="A271" s="18">
        <v>4.892132123940076E-2</v>
      </c>
      <c r="B271" s="18">
        <v>0</v>
      </c>
    </row>
    <row r="272" spans="1:2" x14ac:dyDescent="0.2">
      <c r="A272" s="18">
        <v>4.9103184887130877E-2</v>
      </c>
      <c r="B272" s="18">
        <v>1</v>
      </c>
    </row>
    <row r="273" spans="1:2" x14ac:dyDescent="0.2">
      <c r="A273" s="18">
        <v>4.9285048534860987E-2</v>
      </c>
      <c r="B273" s="18">
        <v>0</v>
      </c>
    </row>
    <row r="274" spans="1:2" x14ac:dyDescent="0.2">
      <c r="A274" s="18">
        <v>4.9466912182591104E-2</v>
      </c>
      <c r="B274" s="18">
        <v>2</v>
      </c>
    </row>
    <row r="275" spans="1:2" x14ac:dyDescent="0.2">
      <c r="A275" s="18">
        <v>4.9648775830321221E-2</v>
      </c>
      <c r="B275" s="18">
        <v>0</v>
      </c>
    </row>
    <row r="276" spans="1:2" x14ac:dyDescent="0.2">
      <c r="A276" s="18">
        <v>4.9830639478051331E-2</v>
      </c>
      <c r="B276" s="18">
        <v>1</v>
      </c>
    </row>
    <row r="277" spans="1:2" x14ac:dyDescent="0.2">
      <c r="A277" s="18">
        <v>5.0012503125781448E-2</v>
      </c>
      <c r="B277" s="18">
        <v>2</v>
      </c>
    </row>
    <row r="278" spans="1:2" x14ac:dyDescent="0.2">
      <c r="A278" s="18">
        <v>5.0194366773511565E-2</v>
      </c>
      <c r="B278" s="18">
        <v>0</v>
      </c>
    </row>
    <row r="279" spans="1:2" x14ac:dyDescent="0.2">
      <c r="A279" s="18">
        <v>5.0376230421241674E-2</v>
      </c>
      <c r="B279" s="18">
        <v>1</v>
      </c>
    </row>
    <row r="280" spans="1:2" x14ac:dyDescent="0.2">
      <c r="A280" s="18">
        <v>5.0558094068971791E-2</v>
      </c>
      <c r="B280" s="18">
        <v>1</v>
      </c>
    </row>
    <row r="281" spans="1:2" x14ac:dyDescent="0.2">
      <c r="A281" s="18">
        <v>5.0739957716701901E-2</v>
      </c>
      <c r="B281" s="18">
        <v>0</v>
      </c>
    </row>
    <row r="282" spans="1:2" x14ac:dyDescent="0.2">
      <c r="A282" s="18">
        <v>5.0921821364432018E-2</v>
      </c>
      <c r="B282" s="18">
        <v>0</v>
      </c>
    </row>
    <row r="283" spans="1:2" x14ac:dyDescent="0.2">
      <c r="A283" s="18">
        <v>5.1103685012162135E-2</v>
      </c>
      <c r="B283" s="18">
        <v>0</v>
      </c>
    </row>
    <row r="284" spans="1:2" x14ac:dyDescent="0.2">
      <c r="A284" s="18">
        <v>5.1285548659892245E-2</v>
      </c>
      <c r="B284" s="18">
        <v>0</v>
      </c>
    </row>
    <row r="285" spans="1:2" x14ac:dyDescent="0.2">
      <c r="A285" s="18">
        <v>5.1467412307622362E-2</v>
      </c>
      <c r="B285" s="18">
        <v>1</v>
      </c>
    </row>
    <row r="286" spans="1:2" x14ac:dyDescent="0.2">
      <c r="A286" s="18">
        <v>5.1649275955352479E-2</v>
      </c>
      <c r="B286" s="18">
        <v>1</v>
      </c>
    </row>
    <row r="287" spans="1:2" x14ac:dyDescent="0.2">
      <c r="A287" s="18">
        <v>5.1831139603082589E-2</v>
      </c>
      <c r="B287" s="18">
        <v>1</v>
      </c>
    </row>
    <row r="288" spans="1:2" x14ac:dyDescent="0.2">
      <c r="A288" s="18">
        <v>5.2013003250812706E-2</v>
      </c>
      <c r="B288" s="18">
        <v>2</v>
      </c>
    </row>
    <row r="289" spans="1:2" x14ac:dyDescent="0.2">
      <c r="A289" s="18">
        <v>5.2194866898542816E-2</v>
      </c>
      <c r="B289" s="18">
        <v>0</v>
      </c>
    </row>
    <row r="290" spans="1:2" x14ac:dyDescent="0.2">
      <c r="A290" s="18">
        <v>5.2376730546272933E-2</v>
      </c>
      <c r="B290" s="18">
        <v>2</v>
      </c>
    </row>
    <row r="291" spans="1:2" x14ac:dyDescent="0.2">
      <c r="A291" s="18">
        <v>5.255859419400305E-2</v>
      </c>
      <c r="B291" s="18">
        <v>0</v>
      </c>
    </row>
    <row r="292" spans="1:2" x14ac:dyDescent="0.2">
      <c r="A292" s="18">
        <v>5.274045784173316E-2</v>
      </c>
      <c r="B292" s="18">
        <v>1</v>
      </c>
    </row>
    <row r="293" spans="1:2" x14ac:dyDescent="0.2">
      <c r="A293" s="18">
        <v>5.2922321489463277E-2</v>
      </c>
      <c r="B293" s="18">
        <v>0</v>
      </c>
    </row>
    <row r="294" spans="1:2" x14ac:dyDescent="0.2">
      <c r="A294" s="18">
        <v>5.3104185137193394E-2</v>
      </c>
      <c r="B294" s="18">
        <v>0</v>
      </c>
    </row>
    <row r="295" spans="1:2" x14ac:dyDescent="0.2">
      <c r="A295" s="18">
        <v>5.3286048784923504E-2</v>
      </c>
      <c r="B295" s="18">
        <v>0</v>
      </c>
    </row>
    <row r="296" spans="1:2" x14ac:dyDescent="0.2">
      <c r="A296" s="18">
        <v>5.3467912432653621E-2</v>
      </c>
      <c r="B296" s="18">
        <v>0</v>
      </c>
    </row>
    <row r="297" spans="1:2" x14ac:dyDescent="0.2">
      <c r="A297" s="18">
        <v>5.3649776080383738E-2</v>
      </c>
      <c r="B297" s="18">
        <v>0</v>
      </c>
    </row>
    <row r="298" spans="1:2" x14ac:dyDescent="0.2">
      <c r="A298" s="18">
        <v>5.3831639728113848E-2</v>
      </c>
      <c r="B298" s="18">
        <v>1</v>
      </c>
    </row>
    <row r="299" spans="1:2" x14ac:dyDescent="0.2">
      <c r="A299" s="18">
        <v>5.4013503375843964E-2</v>
      </c>
      <c r="B299" s="18">
        <v>0</v>
      </c>
    </row>
    <row r="300" spans="1:2" x14ac:dyDescent="0.2">
      <c r="A300" s="18">
        <v>5.4195367023574074E-2</v>
      </c>
      <c r="B300" s="18">
        <v>1</v>
      </c>
    </row>
    <row r="301" spans="1:2" x14ac:dyDescent="0.2">
      <c r="A301" s="18">
        <v>5.4377230671304191E-2</v>
      </c>
      <c r="B301" s="18">
        <v>0</v>
      </c>
    </row>
    <row r="302" spans="1:2" x14ac:dyDescent="0.2">
      <c r="A302" s="18">
        <v>5.4559094319034308E-2</v>
      </c>
      <c r="B302" s="18">
        <v>0</v>
      </c>
    </row>
    <row r="303" spans="1:2" x14ac:dyDescent="0.2">
      <c r="A303" s="18">
        <v>5.4740957966764418E-2</v>
      </c>
      <c r="B303" s="18">
        <v>1</v>
      </c>
    </row>
    <row r="304" spans="1:2" x14ac:dyDescent="0.2">
      <c r="A304" s="18">
        <v>5.4922821614494535E-2</v>
      </c>
      <c r="B304" s="18">
        <v>0</v>
      </c>
    </row>
    <row r="305" spans="1:2" x14ac:dyDescent="0.2">
      <c r="A305" s="18">
        <v>5.5104685262224652E-2</v>
      </c>
      <c r="B305" s="18">
        <v>0</v>
      </c>
    </row>
    <row r="306" spans="1:2" x14ac:dyDescent="0.2">
      <c r="A306" s="18">
        <v>5.5286548909954762E-2</v>
      </c>
      <c r="B306" s="18">
        <v>0</v>
      </c>
    </row>
    <row r="307" spans="1:2" x14ac:dyDescent="0.2">
      <c r="A307" s="18">
        <v>5.5468412557684879E-2</v>
      </c>
      <c r="B307" s="18">
        <v>1</v>
      </c>
    </row>
    <row r="308" spans="1:2" x14ac:dyDescent="0.2">
      <c r="A308" s="18">
        <v>5.5650276205414989E-2</v>
      </c>
      <c r="B308" s="18">
        <v>1</v>
      </c>
    </row>
    <row r="309" spans="1:2" x14ac:dyDescent="0.2">
      <c r="A309" s="18">
        <v>5.5832139853145106E-2</v>
      </c>
      <c r="B309" s="18">
        <v>0</v>
      </c>
    </row>
    <row r="310" spans="1:2" x14ac:dyDescent="0.2">
      <c r="A310" s="18">
        <v>5.6014003500875223E-2</v>
      </c>
      <c r="B310" s="18">
        <v>3</v>
      </c>
    </row>
    <row r="311" spans="1:2" x14ac:dyDescent="0.2">
      <c r="A311" s="18">
        <v>5.6195867148605333E-2</v>
      </c>
      <c r="B311" s="18">
        <v>0</v>
      </c>
    </row>
    <row r="312" spans="1:2" x14ac:dyDescent="0.2">
      <c r="A312" s="18">
        <v>5.637773079633545E-2</v>
      </c>
      <c r="B312" s="18">
        <v>0</v>
      </c>
    </row>
    <row r="313" spans="1:2" x14ac:dyDescent="0.2">
      <c r="A313" s="18">
        <v>5.6559594444065567E-2</v>
      </c>
      <c r="B313" s="18">
        <v>0</v>
      </c>
    </row>
    <row r="314" spans="1:2" x14ac:dyDescent="0.2">
      <c r="A314" s="18">
        <v>5.6741458091795677E-2</v>
      </c>
      <c r="B314" s="18">
        <v>0</v>
      </c>
    </row>
    <row r="315" spans="1:2" x14ac:dyDescent="0.2">
      <c r="A315" s="18">
        <v>5.6923321739525794E-2</v>
      </c>
      <c r="B315" s="18">
        <v>0</v>
      </c>
    </row>
    <row r="316" spans="1:2" x14ac:dyDescent="0.2">
      <c r="A316" s="18">
        <v>5.7105185387255904E-2</v>
      </c>
      <c r="B316" s="18">
        <v>0</v>
      </c>
    </row>
    <row r="317" spans="1:2" x14ac:dyDescent="0.2">
      <c r="A317" s="18">
        <v>5.7287049034986021E-2</v>
      </c>
      <c r="B317" s="18">
        <v>0</v>
      </c>
    </row>
    <row r="318" spans="1:2" x14ac:dyDescent="0.2">
      <c r="A318" s="18">
        <v>5.7468912682716138E-2</v>
      </c>
      <c r="B318" s="18">
        <v>0</v>
      </c>
    </row>
    <row r="319" spans="1:2" x14ac:dyDescent="0.2">
      <c r="A319" s="18">
        <v>5.7650776330446248E-2</v>
      </c>
      <c r="B319" s="18">
        <v>0</v>
      </c>
    </row>
    <row r="320" spans="1:2" x14ac:dyDescent="0.2">
      <c r="A320" s="18">
        <v>5.7832639978176364E-2</v>
      </c>
      <c r="B320" s="18">
        <v>0</v>
      </c>
    </row>
    <row r="321" spans="1:2" x14ac:dyDescent="0.2">
      <c r="A321" s="18">
        <v>5.8014503625906481E-2</v>
      </c>
      <c r="B321" s="18">
        <v>0</v>
      </c>
    </row>
    <row r="322" spans="1:2" x14ac:dyDescent="0.2">
      <c r="A322" s="18">
        <v>5.8196367273636591E-2</v>
      </c>
      <c r="B322" s="18">
        <v>0</v>
      </c>
    </row>
    <row r="323" spans="1:2" x14ac:dyDescent="0.2">
      <c r="A323" s="18">
        <v>5.8378230921366708E-2</v>
      </c>
      <c r="B323" s="18">
        <v>0</v>
      </c>
    </row>
    <row r="324" spans="1:2" x14ac:dyDescent="0.2">
      <c r="A324" s="18">
        <v>5.8560094569096825E-2</v>
      </c>
      <c r="B324" s="18">
        <v>0</v>
      </c>
    </row>
    <row r="325" spans="1:2" x14ac:dyDescent="0.2">
      <c r="A325" s="18">
        <v>5.8741958216826935E-2</v>
      </c>
      <c r="B325" s="18">
        <v>0</v>
      </c>
    </row>
    <row r="326" spans="1:2" x14ac:dyDescent="0.2">
      <c r="A326" s="18">
        <v>5.8923821864557052E-2</v>
      </c>
      <c r="B326" s="18">
        <v>1</v>
      </c>
    </row>
    <row r="327" spans="1:2" x14ac:dyDescent="0.2">
      <c r="A327" s="18">
        <v>5.9105685512287162E-2</v>
      </c>
      <c r="B327" s="18">
        <v>0</v>
      </c>
    </row>
    <row r="328" spans="1:2" x14ac:dyDescent="0.2">
      <c r="A328" s="18">
        <v>5.9287549160017279E-2</v>
      </c>
      <c r="B328" s="18">
        <v>0</v>
      </c>
    </row>
    <row r="329" spans="1:2" x14ac:dyDescent="0.2">
      <c r="A329" s="18">
        <v>5.9469412807747396E-2</v>
      </c>
      <c r="B329" s="18">
        <v>0</v>
      </c>
    </row>
    <row r="330" spans="1:2" x14ac:dyDescent="0.2">
      <c r="A330" s="18">
        <v>5.9651276455477506E-2</v>
      </c>
      <c r="B330" s="18">
        <v>0</v>
      </c>
    </row>
    <row r="331" spans="1:2" x14ac:dyDescent="0.2">
      <c r="A331" s="18">
        <v>5.9833140103207623E-2</v>
      </c>
      <c r="B331" s="18">
        <v>0</v>
      </c>
    </row>
    <row r="332" spans="1:2" x14ac:dyDescent="0.2">
      <c r="A332" s="18">
        <v>6.001500375093774E-2</v>
      </c>
      <c r="B332" s="18">
        <v>0</v>
      </c>
    </row>
    <row r="333" spans="1:2" x14ac:dyDescent="0.2">
      <c r="A333" s="18">
        <v>6.019686739866785E-2</v>
      </c>
      <c r="B333" s="18">
        <v>0</v>
      </c>
    </row>
    <row r="334" spans="1:2" x14ac:dyDescent="0.2">
      <c r="A334" s="18">
        <v>6.0378731046397967E-2</v>
      </c>
      <c r="B334" s="18">
        <v>0</v>
      </c>
    </row>
    <row r="335" spans="1:2" x14ac:dyDescent="0.2">
      <c r="A335" s="18">
        <v>6.0560594694128077E-2</v>
      </c>
      <c r="B335" s="18">
        <v>0</v>
      </c>
    </row>
    <row r="336" spans="1:2" x14ac:dyDescent="0.2">
      <c r="A336" s="18">
        <v>6.0742458341858194E-2</v>
      </c>
      <c r="B336" s="18">
        <v>0</v>
      </c>
    </row>
    <row r="337" spans="1:2" x14ac:dyDescent="0.2">
      <c r="A337" s="18">
        <v>6.0924321989588311E-2</v>
      </c>
      <c r="B337" s="18">
        <v>0</v>
      </c>
    </row>
    <row r="338" spans="1:2" x14ac:dyDescent="0.2">
      <c r="A338" s="18">
        <v>6.1106185637318421E-2</v>
      </c>
      <c r="B338" s="18">
        <v>1</v>
      </c>
    </row>
    <row r="339" spans="1:2" x14ac:dyDescent="0.2">
      <c r="A339" s="18">
        <v>6.1288049285048538E-2</v>
      </c>
      <c r="B339" s="18">
        <v>2</v>
      </c>
    </row>
    <row r="340" spans="1:2" x14ac:dyDescent="0.2">
      <c r="A340" s="18">
        <v>6.1469912932778654E-2</v>
      </c>
      <c r="B340" s="18">
        <v>1</v>
      </c>
    </row>
    <row r="341" spans="1:2" x14ac:dyDescent="0.2">
      <c r="A341" s="18">
        <v>6.1651776580508764E-2</v>
      </c>
      <c r="B341" s="18">
        <v>0</v>
      </c>
    </row>
    <row r="342" spans="1:2" x14ac:dyDescent="0.2">
      <c r="A342" s="18">
        <v>6.1833640228238881E-2</v>
      </c>
      <c r="B342" s="18">
        <v>0</v>
      </c>
    </row>
    <row r="343" spans="1:2" x14ac:dyDescent="0.2">
      <c r="A343" s="18">
        <v>6.2015503875968991E-2</v>
      </c>
      <c r="B343" s="18">
        <v>0</v>
      </c>
    </row>
    <row r="344" spans="1:2" x14ac:dyDescent="0.2">
      <c r="A344" s="18">
        <v>6.2197367523699108E-2</v>
      </c>
      <c r="B344" s="18">
        <v>0</v>
      </c>
    </row>
    <row r="345" spans="1:2" x14ac:dyDescent="0.2">
      <c r="A345" s="18">
        <v>6.2379231171429225E-2</v>
      </c>
      <c r="B345" s="18">
        <v>0</v>
      </c>
    </row>
    <row r="346" spans="1:2" x14ac:dyDescent="0.2">
      <c r="A346" s="18">
        <v>6.2561094819159335E-2</v>
      </c>
      <c r="B346" s="18">
        <v>0</v>
      </c>
    </row>
    <row r="347" spans="1:2" x14ac:dyDescent="0.2">
      <c r="A347" s="18">
        <v>6.2742958466889445E-2</v>
      </c>
      <c r="B347" s="18">
        <v>0</v>
      </c>
    </row>
    <row r="348" spans="1:2" x14ac:dyDescent="0.2">
      <c r="A348" s="18">
        <v>6.2924822114619569E-2</v>
      </c>
      <c r="B348" s="18">
        <v>0</v>
      </c>
    </row>
    <row r="349" spans="1:2" x14ac:dyDescent="0.2">
      <c r="A349" s="18">
        <v>6.3106685762349679E-2</v>
      </c>
      <c r="B349" s="18">
        <v>0</v>
      </c>
    </row>
    <row r="350" spans="1:2" x14ac:dyDescent="0.2">
      <c r="A350" s="18">
        <v>6.3288549410079789E-2</v>
      </c>
      <c r="B350" s="18">
        <v>0</v>
      </c>
    </row>
    <row r="351" spans="1:2" x14ac:dyDescent="0.2">
      <c r="A351" s="18">
        <v>6.3470413057809913E-2</v>
      </c>
      <c r="B351" s="18">
        <v>1</v>
      </c>
    </row>
    <row r="352" spans="1:2" x14ac:dyDescent="0.2">
      <c r="A352" s="18">
        <v>6.3652276705540023E-2</v>
      </c>
      <c r="B352" s="18">
        <v>0</v>
      </c>
    </row>
    <row r="353" spans="1:2" x14ac:dyDescent="0.2">
      <c r="A353" s="18">
        <v>6.3834140353270133E-2</v>
      </c>
      <c r="B353" s="18">
        <v>0</v>
      </c>
    </row>
    <row r="354" spans="1:2" x14ac:dyDescent="0.2">
      <c r="A354" s="18">
        <v>6.4016004001000257E-2</v>
      </c>
      <c r="B354" s="18">
        <v>0</v>
      </c>
    </row>
    <row r="355" spans="1:2" x14ac:dyDescent="0.2">
      <c r="A355" s="18">
        <v>6.4197867648730367E-2</v>
      </c>
      <c r="B355" s="18">
        <v>0</v>
      </c>
    </row>
    <row r="356" spans="1:2" x14ac:dyDescent="0.2">
      <c r="A356" s="18">
        <v>6.4379731296460477E-2</v>
      </c>
      <c r="B356" s="18">
        <v>1</v>
      </c>
    </row>
    <row r="357" spans="1:2" x14ac:dyDescent="0.2">
      <c r="A357" s="18">
        <v>6.4561594944190601E-2</v>
      </c>
      <c r="B357" s="18">
        <v>0</v>
      </c>
    </row>
    <row r="358" spans="1:2" x14ac:dyDescent="0.2">
      <c r="A358" s="18">
        <v>6.4743458591920711E-2</v>
      </c>
      <c r="B358" s="18">
        <v>0</v>
      </c>
    </row>
    <row r="359" spans="1:2" x14ac:dyDescent="0.2">
      <c r="A359" s="18">
        <v>6.4925322239650821E-2</v>
      </c>
      <c r="B359" s="18">
        <v>0</v>
      </c>
    </row>
    <row r="360" spans="1:2" x14ac:dyDescent="0.2">
      <c r="A360" s="18">
        <v>6.5107185887380944E-2</v>
      </c>
      <c r="B360" s="18">
        <v>0</v>
      </c>
    </row>
    <row r="361" spans="1:2" x14ac:dyDescent="0.2">
      <c r="A361" s="18">
        <v>6.5289049535111054E-2</v>
      </c>
      <c r="B361" s="18">
        <v>1</v>
      </c>
    </row>
    <row r="362" spans="1:2" x14ac:dyDescent="0.2">
      <c r="A362" s="18">
        <v>6.5470913182841164E-2</v>
      </c>
      <c r="B362" s="18">
        <v>1</v>
      </c>
    </row>
    <row r="363" spans="1:2" x14ac:dyDescent="0.2">
      <c r="A363" s="18">
        <v>6.5652776830571288E-2</v>
      </c>
      <c r="B363" s="18">
        <v>0</v>
      </c>
    </row>
    <row r="364" spans="1:2" x14ac:dyDescent="0.2">
      <c r="A364" s="18">
        <v>6.5834640478301398E-2</v>
      </c>
      <c r="B364" s="18">
        <v>1</v>
      </c>
    </row>
    <row r="365" spans="1:2" x14ac:dyDescent="0.2">
      <c r="A365" s="18">
        <v>6.6016504126031508E-2</v>
      </c>
      <c r="B365" s="18">
        <v>0</v>
      </c>
    </row>
    <row r="366" spans="1:2" x14ac:dyDescent="0.2">
      <c r="A366" s="18">
        <v>6.6198367773761618E-2</v>
      </c>
      <c r="B366" s="18">
        <v>0</v>
      </c>
    </row>
    <row r="367" spans="1:2" x14ac:dyDescent="0.2">
      <c r="A367" s="18">
        <v>6.6380231421491742E-2</v>
      </c>
      <c r="B367" s="18">
        <v>0</v>
      </c>
    </row>
    <row r="368" spans="1:2" x14ac:dyDescent="0.2">
      <c r="A368" s="18">
        <v>6.6562095069221852E-2</v>
      </c>
      <c r="B368" s="18">
        <v>1</v>
      </c>
    </row>
    <row r="369" spans="1:2" x14ac:dyDescent="0.2">
      <c r="A369" s="18">
        <v>6.6743958716951962E-2</v>
      </c>
      <c r="B369" s="18">
        <v>0</v>
      </c>
    </row>
    <row r="370" spans="1:2" x14ac:dyDescent="0.2">
      <c r="A370" s="18">
        <v>6.6925822364682086E-2</v>
      </c>
      <c r="B370" s="18">
        <v>0</v>
      </c>
    </row>
    <row r="371" spans="1:2" x14ac:dyDescent="0.2">
      <c r="A371" s="18">
        <v>6.7107686012412196E-2</v>
      </c>
      <c r="B371" s="18">
        <v>1</v>
      </c>
    </row>
    <row r="372" spans="1:2" x14ac:dyDescent="0.2">
      <c r="A372" s="18">
        <v>6.7289549660142306E-2</v>
      </c>
      <c r="B372" s="18">
        <v>1</v>
      </c>
    </row>
    <row r="373" spans="1:2" x14ac:dyDescent="0.2">
      <c r="A373" s="18">
        <v>6.747141330787243E-2</v>
      </c>
      <c r="B373" s="18">
        <v>0</v>
      </c>
    </row>
    <row r="374" spans="1:2" x14ac:dyDescent="0.2">
      <c r="A374" s="18">
        <v>6.765327695560254E-2</v>
      </c>
      <c r="B374" s="18">
        <v>0</v>
      </c>
    </row>
    <row r="375" spans="1:2" x14ac:dyDescent="0.2">
      <c r="A375" s="18">
        <v>6.783514060333265E-2</v>
      </c>
      <c r="B375" s="18">
        <v>0</v>
      </c>
    </row>
    <row r="376" spans="1:2" x14ac:dyDescent="0.2">
      <c r="A376" s="18">
        <v>6.8017004251062774E-2</v>
      </c>
      <c r="B376" s="18">
        <v>0</v>
      </c>
    </row>
    <row r="377" spans="1:2" x14ac:dyDescent="0.2">
      <c r="A377" s="18">
        <v>6.8198867898792884E-2</v>
      </c>
      <c r="B377" s="18">
        <v>0</v>
      </c>
    </row>
    <row r="378" spans="1:2" x14ac:dyDescent="0.2">
      <c r="A378" s="18">
        <v>6.8380731546522994E-2</v>
      </c>
      <c r="B378" s="18">
        <v>0</v>
      </c>
    </row>
    <row r="379" spans="1:2" x14ac:dyDescent="0.2">
      <c r="A379" s="18">
        <v>6.8562595194253118E-2</v>
      </c>
      <c r="B379" s="18">
        <v>0</v>
      </c>
    </row>
    <row r="380" spans="1:2" x14ac:dyDescent="0.2">
      <c r="A380" s="18">
        <v>6.8744458841983228E-2</v>
      </c>
      <c r="B380" s="18">
        <v>0</v>
      </c>
    </row>
    <row r="381" spans="1:2" x14ac:dyDescent="0.2">
      <c r="A381" s="18">
        <v>6.8926322489713338E-2</v>
      </c>
      <c r="B381" s="18">
        <v>1</v>
      </c>
    </row>
    <row r="382" spans="1:2" x14ac:dyDescent="0.2">
      <c r="A382" s="18">
        <v>6.9108186137443448E-2</v>
      </c>
      <c r="B382" s="18">
        <v>0</v>
      </c>
    </row>
    <row r="383" spans="1:2" x14ac:dyDescent="0.2">
      <c r="A383" s="18">
        <v>6.9290049785173571E-2</v>
      </c>
      <c r="B383" s="18">
        <v>0</v>
      </c>
    </row>
    <row r="384" spans="1:2" x14ac:dyDescent="0.2">
      <c r="A384" s="18">
        <v>6.9471913432903681E-2</v>
      </c>
      <c r="B384" s="18">
        <v>0</v>
      </c>
    </row>
    <row r="385" spans="1:2" x14ac:dyDescent="0.2">
      <c r="A385" s="18">
        <v>6.9653777080633791E-2</v>
      </c>
      <c r="B385" s="18">
        <v>0</v>
      </c>
    </row>
    <row r="386" spans="1:2" x14ac:dyDescent="0.2">
      <c r="A386" s="18">
        <v>6.9835640728363915E-2</v>
      </c>
      <c r="B386" s="18">
        <v>0</v>
      </c>
    </row>
    <row r="387" spans="1:2" x14ac:dyDescent="0.2">
      <c r="A387" s="18">
        <v>7.0017504376094025E-2</v>
      </c>
      <c r="B387" s="18">
        <v>0</v>
      </c>
    </row>
    <row r="388" spans="1:2" x14ac:dyDescent="0.2">
      <c r="A388" s="18">
        <v>7.0199368023824135E-2</v>
      </c>
      <c r="B388" s="18">
        <v>0</v>
      </c>
    </row>
    <row r="389" spans="1:2" x14ac:dyDescent="0.2">
      <c r="A389" s="18">
        <v>7.0381231671554259E-2</v>
      </c>
      <c r="B389" s="18">
        <v>0</v>
      </c>
    </row>
    <row r="390" spans="1:2" x14ac:dyDescent="0.2">
      <c r="A390" s="18">
        <v>7.0563095319284369E-2</v>
      </c>
      <c r="B390" s="18">
        <v>0</v>
      </c>
    </row>
    <row r="391" spans="1:2" x14ac:dyDescent="0.2">
      <c r="A391" s="18">
        <v>7.0744958967014479E-2</v>
      </c>
      <c r="B391" s="18">
        <v>0</v>
      </c>
    </row>
    <row r="392" spans="1:2" x14ac:dyDescent="0.2">
      <c r="A392" s="18">
        <v>7.0926822614744603E-2</v>
      </c>
      <c r="B392" s="18">
        <v>1</v>
      </c>
    </row>
    <row r="393" spans="1:2" x14ac:dyDescent="0.2">
      <c r="A393" s="18">
        <v>7.1108686262474713E-2</v>
      </c>
      <c r="B393" s="18">
        <v>0</v>
      </c>
    </row>
    <row r="394" spans="1:2" x14ac:dyDescent="0.2">
      <c r="A394" s="18">
        <v>7.1290549910204823E-2</v>
      </c>
      <c r="B394" s="18">
        <v>0</v>
      </c>
    </row>
    <row r="395" spans="1:2" x14ac:dyDescent="0.2">
      <c r="A395" s="18">
        <v>7.1472413557934947E-2</v>
      </c>
      <c r="B395" s="18">
        <v>0</v>
      </c>
    </row>
    <row r="396" spans="1:2" x14ac:dyDescent="0.2">
      <c r="A396" s="18">
        <v>7.1654277205665057E-2</v>
      </c>
      <c r="B396" s="18">
        <v>0</v>
      </c>
    </row>
    <row r="397" spans="1:2" x14ac:dyDescent="0.2">
      <c r="A397" s="18">
        <v>7.1836140853395167E-2</v>
      </c>
      <c r="B397" s="18">
        <v>0</v>
      </c>
    </row>
    <row r="398" spans="1:2" x14ac:dyDescent="0.2">
      <c r="A398" s="18">
        <v>7.2018004501125291E-2</v>
      </c>
      <c r="B398" s="18">
        <v>0</v>
      </c>
    </row>
    <row r="399" spans="1:2" x14ac:dyDescent="0.2">
      <c r="A399" s="18">
        <v>7.2199868148855401E-2</v>
      </c>
      <c r="B399" s="18">
        <v>0</v>
      </c>
    </row>
    <row r="400" spans="1:2" x14ac:dyDescent="0.2">
      <c r="A400" s="18">
        <v>7.2381731796585511E-2</v>
      </c>
      <c r="B400" s="18">
        <v>1</v>
      </c>
    </row>
    <row r="401" spans="1:2" x14ac:dyDescent="0.2">
      <c r="A401" s="18">
        <v>7.2563595444315621E-2</v>
      </c>
      <c r="B401" s="18">
        <v>0</v>
      </c>
    </row>
    <row r="402" spans="1:2" x14ac:dyDescent="0.2">
      <c r="A402" s="18">
        <v>7.2745459092045744E-2</v>
      </c>
      <c r="B402" s="18">
        <v>0</v>
      </c>
    </row>
    <row r="403" spans="1:2" x14ac:dyDescent="0.2">
      <c r="A403" s="18">
        <v>7.2927322739775854E-2</v>
      </c>
      <c r="B403" s="18">
        <v>0</v>
      </c>
    </row>
    <row r="404" spans="1:2" x14ac:dyDescent="0.2">
      <c r="A404" s="18">
        <v>7.3109186387505964E-2</v>
      </c>
      <c r="B404" s="18">
        <v>0</v>
      </c>
    </row>
    <row r="405" spans="1:2" x14ac:dyDescent="0.2">
      <c r="A405" s="18">
        <v>7.3291050035236088E-2</v>
      </c>
      <c r="B405" s="18">
        <v>0</v>
      </c>
    </row>
    <row r="406" spans="1:2" x14ac:dyDescent="0.2">
      <c r="A406" s="18">
        <v>7.3472913682966198E-2</v>
      </c>
      <c r="B406" s="18">
        <v>1</v>
      </c>
    </row>
    <row r="407" spans="1:2" x14ac:dyDescent="0.2">
      <c r="A407" s="18">
        <v>7.3654777330696308E-2</v>
      </c>
      <c r="B407" s="18">
        <v>0</v>
      </c>
    </row>
    <row r="408" spans="1:2" x14ac:dyDescent="0.2">
      <c r="A408" s="18">
        <v>7.3836640978426432E-2</v>
      </c>
      <c r="B408" s="18">
        <v>0</v>
      </c>
    </row>
    <row r="409" spans="1:2" x14ac:dyDescent="0.2">
      <c r="A409" s="18">
        <v>7.4018504626156542E-2</v>
      </c>
      <c r="B409" s="18">
        <v>0</v>
      </c>
    </row>
    <row r="410" spans="1:2" x14ac:dyDescent="0.2">
      <c r="A410" s="18">
        <v>7.4200368273886652E-2</v>
      </c>
      <c r="B410" s="18">
        <v>1</v>
      </c>
    </row>
    <row r="411" spans="1:2" x14ac:dyDescent="0.2">
      <c r="A411" s="18">
        <v>7.4382231921616776E-2</v>
      </c>
      <c r="B411" s="18">
        <v>0</v>
      </c>
    </row>
    <row r="412" spans="1:2" x14ac:dyDescent="0.2">
      <c r="A412" s="18">
        <v>7.4564095569346886E-2</v>
      </c>
      <c r="B412" s="18">
        <v>0</v>
      </c>
    </row>
    <row r="413" spans="1:2" x14ac:dyDescent="0.2">
      <c r="A413" s="18">
        <v>7.4745959217076996E-2</v>
      </c>
      <c r="B413" s="18">
        <v>0</v>
      </c>
    </row>
    <row r="414" spans="1:2" x14ac:dyDescent="0.2">
      <c r="A414" s="18">
        <v>7.492782286480712E-2</v>
      </c>
      <c r="B414" s="18">
        <v>0</v>
      </c>
    </row>
    <row r="415" spans="1:2" x14ac:dyDescent="0.2">
      <c r="A415" s="18">
        <v>7.510968651253723E-2</v>
      </c>
      <c r="B415" s="18">
        <v>0</v>
      </c>
    </row>
    <row r="416" spans="1:2" x14ac:dyDescent="0.2">
      <c r="A416" s="18">
        <v>7.529155016026734E-2</v>
      </c>
      <c r="B416" s="18">
        <v>0</v>
      </c>
    </row>
    <row r="417" spans="1:2" x14ac:dyDescent="0.2">
      <c r="A417" s="18">
        <v>7.547341380799745E-2</v>
      </c>
      <c r="B417" s="18">
        <v>0</v>
      </c>
    </row>
    <row r="418" spans="1:2" x14ac:dyDescent="0.2">
      <c r="A418" s="18">
        <v>7.5655277455727574E-2</v>
      </c>
      <c r="B418" s="18">
        <v>1</v>
      </c>
    </row>
    <row r="419" spans="1:2" x14ac:dyDescent="0.2">
      <c r="A419" s="18">
        <v>7.5837141103457684E-2</v>
      </c>
      <c r="B419" s="18">
        <v>0</v>
      </c>
    </row>
    <row r="420" spans="1:2" x14ac:dyDescent="0.2">
      <c r="A420" s="18">
        <v>7.6019004751187794E-2</v>
      </c>
      <c r="B420" s="18">
        <v>0</v>
      </c>
    </row>
    <row r="421" spans="1:2" x14ac:dyDescent="0.2">
      <c r="A421" s="18">
        <v>7.6200868398917918E-2</v>
      </c>
      <c r="B421" s="18">
        <v>0</v>
      </c>
    </row>
    <row r="422" spans="1:2" x14ac:dyDescent="0.2">
      <c r="A422" s="18">
        <v>7.6382732046648028E-2</v>
      </c>
      <c r="B422" s="18">
        <v>0</v>
      </c>
    </row>
    <row r="423" spans="1:2" x14ac:dyDescent="0.2">
      <c r="A423" s="18">
        <v>7.6564595694378138E-2</v>
      </c>
      <c r="B423" s="18">
        <v>1</v>
      </c>
    </row>
    <row r="424" spans="1:2" x14ac:dyDescent="0.2">
      <c r="A424" s="18">
        <v>7.6746459342108261E-2</v>
      </c>
      <c r="B424" s="18">
        <v>0</v>
      </c>
    </row>
    <row r="425" spans="1:2" x14ac:dyDescent="0.2">
      <c r="A425" s="18">
        <v>7.6928322989838371E-2</v>
      </c>
      <c r="B425" s="18">
        <v>0</v>
      </c>
    </row>
    <row r="426" spans="1:2" x14ac:dyDescent="0.2">
      <c r="A426" s="18">
        <v>7.7110186637568481E-2</v>
      </c>
      <c r="B426" s="18">
        <v>0</v>
      </c>
    </row>
    <row r="427" spans="1:2" x14ac:dyDescent="0.2">
      <c r="A427" s="18">
        <v>7.7292050285298605E-2</v>
      </c>
      <c r="B427" s="18">
        <v>0</v>
      </c>
    </row>
    <row r="428" spans="1:2" x14ac:dyDescent="0.2">
      <c r="A428" s="18">
        <v>7.7473913933028715E-2</v>
      </c>
      <c r="B428" s="18">
        <v>0</v>
      </c>
    </row>
    <row r="429" spans="1:2" x14ac:dyDescent="0.2">
      <c r="A429" s="18">
        <v>7.7655777580758825E-2</v>
      </c>
      <c r="B429" s="18">
        <v>0</v>
      </c>
    </row>
    <row r="430" spans="1:2" x14ac:dyDescent="0.2">
      <c r="A430" s="18">
        <v>7.7837641228488949E-2</v>
      </c>
      <c r="B430" s="18">
        <v>0</v>
      </c>
    </row>
    <row r="431" spans="1:2" x14ac:dyDescent="0.2">
      <c r="A431" s="18">
        <v>7.8019504876219059E-2</v>
      </c>
      <c r="B431" s="18">
        <v>0</v>
      </c>
    </row>
    <row r="432" spans="1:2" x14ac:dyDescent="0.2">
      <c r="A432" s="18">
        <v>7.8201368523949169E-2</v>
      </c>
      <c r="B432" s="18">
        <v>0</v>
      </c>
    </row>
    <row r="433" spans="1:2" x14ac:dyDescent="0.2">
      <c r="A433" s="18">
        <v>7.8383232171679293E-2</v>
      </c>
      <c r="B433" s="18">
        <v>0</v>
      </c>
    </row>
    <row r="434" spans="1:2" x14ac:dyDescent="0.2">
      <c r="A434" s="18">
        <v>7.8565095819409403E-2</v>
      </c>
      <c r="B434" s="18">
        <v>0</v>
      </c>
    </row>
    <row r="435" spans="1:2" x14ac:dyDescent="0.2">
      <c r="A435" s="18">
        <v>7.8746959467139513E-2</v>
      </c>
      <c r="B435" s="18">
        <v>0</v>
      </c>
    </row>
    <row r="436" spans="1:2" x14ac:dyDescent="0.2">
      <c r="A436" s="18">
        <v>7.8928823114869623E-2</v>
      </c>
      <c r="B436" s="18">
        <v>0</v>
      </c>
    </row>
    <row r="437" spans="1:2" x14ac:dyDescent="0.2">
      <c r="A437" s="18">
        <v>7.9110686762599747E-2</v>
      </c>
      <c r="B437" s="18">
        <v>1</v>
      </c>
    </row>
    <row r="438" spans="1:2" x14ac:dyDescent="0.2">
      <c r="A438" s="18">
        <v>7.9292550410329857E-2</v>
      </c>
      <c r="B438" s="18">
        <v>0</v>
      </c>
    </row>
    <row r="439" spans="1:2" x14ac:dyDescent="0.2">
      <c r="A439" s="18">
        <v>7.9474414058059967E-2</v>
      </c>
      <c r="B439" s="18">
        <v>0</v>
      </c>
    </row>
    <row r="440" spans="1:2" x14ac:dyDescent="0.2">
      <c r="A440" s="18">
        <v>7.9656277705790091E-2</v>
      </c>
      <c r="B440" s="18">
        <v>0</v>
      </c>
    </row>
    <row r="441" spans="1:2" x14ac:dyDescent="0.2">
      <c r="A441" s="18">
        <v>7.9838141353520201E-2</v>
      </c>
      <c r="B441" s="18">
        <v>0</v>
      </c>
    </row>
    <row r="442" spans="1:2" x14ac:dyDescent="0.2">
      <c r="A442" s="18">
        <v>8.0020005001250311E-2</v>
      </c>
      <c r="B442" s="18">
        <v>0</v>
      </c>
    </row>
    <row r="443" spans="1:2" x14ac:dyDescent="0.2">
      <c r="A443" s="18">
        <v>8.0201868648980434E-2</v>
      </c>
      <c r="B443" s="18">
        <v>0</v>
      </c>
    </row>
    <row r="444" spans="1:2" x14ac:dyDescent="0.2">
      <c r="A444" s="18">
        <v>8.0383732296710544E-2</v>
      </c>
      <c r="B444" s="18">
        <v>0</v>
      </c>
    </row>
    <row r="445" spans="1:2" x14ac:dyDescent="0.2">
      <c r="A445" s="18">
        <v>8.0565595944440654E-2</v>
      </c>
      <c r="B445" s="18">
        <v>0</v>
      </c>
    </row>
    <row r="446" spans="1:2" x14ac:dyDescent="0.2">
      <c r="A446" s="18">
        <v>8.0747459592170778E-2</v>
      </c>
      <c r="B446" s="18">
        <v>0</v>
      </c>
    </row>
    <row r="447" spans="1:2" x14ac:dyDescent="0.2">
      <c r="A447" s="18">
        <v>8.0929323239900888E-2</v>
      </c>
      <c r="B447" s="18">
        <v>0</v>
      </c>
    </row>
    <row r="448" spans="1:2" x14ac:dyDescent="0.2">
      <c r="A448" s="18">
        <v>8.1111186887630998E-2</v>
      </c>
      <c r="B448" s="18">
        <v>0</v>
      </c>
    </row>
    <row r="449" spans="1:2" x14ac:dyDescent="0.2">
      <c r="A449" s="18">
        <v>8.1293050535361122E-2</v>
      </c>
      <c r="B449" s="18">
        <v>0</v>
      </c>
    </row>
    <row r="450" spans="1:2" x14ac:dyDescent="0.2">
      <c r="A450" s="18">
        <v>8.1474914183091232E-2</v>
      </c>
      <c r="B450" s="18">
        <v>0</v>
      </c>
    </row>
    <row r="451" spans="1:2" x14ac:dyDescent="0.2">
      <c r="A451" s="18">
        <v>8.1656777830821342E-2</v>
      </c>
      <c r="B451" s="18">
        <v>0</v>
      </c>
    </row>
    <row r="452" spans="1:2" x14ac:dyDescent="0.2">
      <c r="A452" s="18">
        <v>8.1838641478551466E-2</v>
      </c>
      <c r="B452" s="18">
        <v>0</v>
      </c>
    </row>
    <row r="453" spans="1:2" x14ac:dyDescent="0.2">
      <c r="A453" s="18">
        <v>8.2020505126281576E-2</v>
      </c>
      <c r="B453" s="18">
        <v>0</v>
      </c>
    </row>
    <row r="454" spans="1:2" x14ac:dyDescent="0.2">
      <c r="A454" s="18">
        <v>8.2202368774011686E-2</v>
      </c>
      <c r="B454" s="18">
        <v>1</v>
      </c>
    </row>
    <row r="455" spans="1:2" x14ac:dyDescent="0.2">
      <c r="A455" s="18">
        <v>8.2384232421741796E-2</v>
      </c>
      <c r="B455" s="18">
        <v>1</v>
      </c>
    </row>
    <row r="456" spans="1:2" x14ac:dyDescent="0.2">
      <c r="A456" s="18">
        <v>8.256609606947192E-2</v>
      </c>
      <c r="B456" s="18">
        <v>0</v>
      </c>
    </row>
    <row r="457" spans="1:2" x14ac:dyDescent="0.2">
      <c r="A457" s="18">
        <v>8.274795971720203E-2</v>
      </c>
      <c r="B457" s="18">
        <v>0</v>
      </c>
    </row>
    <row r="458" spans="1:2" x14ac:dyDescent="0.2">
      <c r="A458" s="18">
        <v>8.292982336493214E-2</v>
      </c>
      <c r="B458" s="18">
        <v>1</v>
      </c>
    </row>
    <row r="459" spans="1:2" x14ac:dyDescent="0.2">
      <c r="A459" s="18">
        <v>8.3111687012662264E-2</v>
      </c>
      <c r="B459" s="18">
        <v>0</v>
      </c>
    </row>
    <row r="460" spans="1:2" x14ac:dyDescent="0.2">
      <c r="A460" s="18">
        <v>8.3293550660392374E-2</v>
      </c>
      <c r="B460" s="18">
        <v>0</v>
      </c>
    </row>
    <row r="461" spans="1:2" x14ac:dyDescent="0.2">
      <c r="A461" s="18">
        <v>8.3475414308122484E-2</v>
      </c>
      <c r="B461" s="18">
        <v>0</v>
      </c>
    </row>
    <row r="462" spans="1:2" x14ac:dyDescent="0.2">
      <c r="A462" s="18">
        <v>8.3657277955852608E-2</v>
      </c>
      <c r="B462" s="18">
        <v>0</v>
      </c>
    </row>
    <row r="463" spans="1:2" x14ac:dyDescent="0.2">
      <c r="A463" s="18">
        <v>8.3839141603582717E-2</v>
      </c>
      <c r="B463" s="18">
        <v>0</v>
      </c>
    </row>
    <row r="464" spans="1:2" x14ac:dyDescent="0.2">
      <c r="A464" s="18">
        <v>8.4021005251312827E-2</v>
      </c>
      <c r="B464" s="18">
        <v>1</v>
      </c>
    </row>
    <row r="465" spans="1:2" x14ac:dyDescent="0.2">
      <c r="A465" s="18">
        <v>8.4202868899042951E-2</v>
      </c>
      <c r="B465" s="18">
        <v>0</v>
      </c>
    </row>
    <row r="466" spans="1:2" x14ac:dyDescent="0.2">
      <c r="A466" s="18">
        <v>8.4384732546773061E-2</v>
      </c>
      <c r="B466" s="18">
        <v>0</v>
      </c>
    </row>
    <row r="467" spans="1:2" x14ac:dyDescent="0.2">
      <c r="A467" s="18">
        <v>8.4566596194503171E-2</v>
      </c>
      <c r="B467" s="18">
        <v>0</v>
      </c>
    </row>
    <row r="468" spans="1:2" x14ac:dyDescent="0.2">
      <c r="A468" s="18">
        <v>8.4748459842233295E-2</v>
      </c>
      <c r="B468" s="18">
        <v>0</v>
      </c>
    </row>
    <row r="469" spans="1:2" x14ac:dyDescent="0.2">
      <c r="A469" s="18">
        <v>8.4930323489963405E-2</v>
      </c>
      <c r="B469" s="18">
        <v>0</v>
      </c>
    </row>
    <row r="470" spans="1:2" x14ac:dyDescent="0.2">
      <c r="A470" s="18">
        <v>8.5112187137693515E-2</v>
      </c>
      <c r="B470" s="18">
        <v>0</v>
      </c>
    </row>
    <row r="471" spans="1:2" x14ac:dyDescent="0.2">
      <c r="A471" s="18">
        <v>8.5294050785423625E-2</v>
      </c>
      <c r="B471" s="18">
        <v>0</v>
      </c>
    </row>
    <row r="472" spans="1:2" x14ac:dyDescent="0.2">
      <c r="A472" s="18">
        <v>8.5475914433153749E-2</v>
      </c>
      <c r="B472" s="18">
        <v>0</v>
      </c>
    </row>
    <row r="473" spans="1:2" x14ac:dyDescent="0.2">
      <c r="A473" s="18">
        <v>8.5657778080883859E-2</v>
      </c>
      <c r="B473" s="18">
        <v>0</v>
      </c>
    </row>
    <row r="474" spans="1:2" x14ac:dyDescent="0.2">
      <c r="A474" s="18">
        <v>8.5839641728613969E-2</v>
      </c>
      <c r="B474" s="18">
        <v>1</v>
      </c>
    </row>
    <row r="475" spans="1:2" x14ac:dyDescent="0.2">
      <c r="A475" s="18">
        <v>8.6021505376344093E-2</v>
      </c>
      <c r="B475" s="18">
        <v>0</v>
      </c>
    </row>
    <row r="476" spans="1:2" x14ac:dyDescent="0.2">
      <c r="A476" s="18">
        <v>8.6203369024074203E-2</v>
      </c>
      <c r="B476" s="18">
        <v>0</v>
      </c>
    </row>
    <row r="477" spans="1:2" x14ac:dyDescent="0.2">
      <c r="A477" s="18">
        <v>8.6385232671804313E-2</v>
      </c>
      <c r="B477" s="18">
        <v>0</v>
      </c>
    </row>
    <row r="478" spans="1:2" x14ac:dyDescent="0.2">
      <c r="A478" s="18">
        <v>8.6567096319534437E-2</v>
      </c>
      <c r="B478" s="18">
        <v>0</v>
      </c>
    </row>
    <row r="479" spans="1:2" x14ac:dyDescent="0.2">
      <c r="A479" s="18">
        <v>8.6748959967264547E-2</v>
      </c>
      <c r="B479" s="18">
        <v>0</v>
      </c>
    </row>
    <row r="480" spans="1:2" x14ac:dyDescent="0.2">
      <c r="A480" s="18">
        <v>8.6930823614994657E-2</v>
      </c>
      <c r="B480" s="18">
        <v>0</v>
      </c>
    </row>
    <row r="481" spans="1:2" x14ac:dyDescent="0.2">
      <c r="A481" s="18">
        <v>8.7112687262724781E-2</v>
      </c>
      <c r="B481" s="18">
        <v>0</v>
      </c>
    </row>
    <row r="482" spans="1:2" x14ac:dyDescent="0.2">
      <c r="A482" s="18">
        <v>8.7294550910454891E-2</v>
      </c>
      <c r="B482" s="18">
        <v>0</v>
      </c>
    </row>
    <row r="483" spans="1:2" x14ac:dyDescent="0.2">
      <c r="A483" s="18">
        <v>8.7476414558185001E-2</v>
      </c>
      <c r="B483" s="18">
        <v>0</v>
      </c>
    </row>
    <row r="484" spans="1:2" x14ac:dyDescent="0.2">
      <c r="A484" s="18">
        <v>8.7658278205915124E-2</v>
      </c>
      <c r="B484" s="18">
        <v>0</v>
      </c>
    </row>
    <row r="485" spans="1:2" x14ac:dyDescent="0.2">
      <c r="A485" s="18">
        <v>8.7840141853645234E-2</v>
      </c>
      <c r="B485" s="18">
        <v>0</v>
      </c>
    </row>
    <row r="486" spans="1:2" x14ac:dyDescent="0.2">
      <c r="A486" s="18">
        <v>8.8022005501375344E-2</v>
      </c>
      <c r="B486" s="18">
        <v>0</v>
      </c>
    </row>
    <row r="487" spans="1:2" x14ac:dyDescent="0.2">
      <c r="A487" s="18">
        <v>8.8203869149105468E-2</v>
      </c>
      <c r="B487" s="18">
        <v>0</v>
      </c>
    </row>
    <row r="488" spans="1:2" x14ac:dyDescent="0.2">
      <c r="A488" s="18">
        <v>8.8385732796835578E-2</v>
      </c>
      <c r="B488" s="18">
        <v>1</v>
      </c>
    </row>
    <row r="489" spans="1:2" x14ac:dyDescent="0.2">
      <c r="A489" s="18">
        <v>8.8567596444565688E-2</v>
      </c>
      <c r="B489" s="18">
        <v>0</v>
      </c>
    </row>
    <row r="490" spans="1:2" x14ac:dyDescent="0.2">
      <c r="A490" s="18">
        <v>8.8749460092295798E-2</v>
      </c>
      <c r="B490" s="18">
        <v>0</v>
      </c>
    </row>
    <row r="491" spans="1:2" x14ac:dyDescent="0.2">
      <c r="A491" s="18">
        <v>8.8931323740025922E-2</v>
      </c>
      <c r="B491" s="18">
        <v>0</v>
      </c>
    </row>
    <row r="492" spans="1:2" x14ac:dyDescent="0.2">
      <c r="A492" s="18">
        <v>8.9113187387756032E-2</v>
      </c>
      <c r="B492" s="18">
        <v>0</v>
      </c>
    </row>
    <row r="493" spans="1:2" x14ac:dyDescent="0.2">
      <c r="A493" s="18">
        <v>8.9295051035486142E-2</v>
      </c>
      <c r="B493" s="18">
        <v>0</v>
      </c>
    </row>
    <row r="494" spans="1:2" x14ac:dyDescent="0.2">
      <c r="A494" s="18">
        <v>8.9476914683216266E-2</v>
      </c>
      <c r="B494" s="18">
        <v>0</v>
      </c>
    </row>
    <row r="495" spans="1:2" x14ac:dyDescent="0.2">
      <c r="A495" s="18">
        <v>8.9658778330946376E-2</v>
      </c>
      <c r="B495" s="18">
        <v>0</v>
      </c>
    </row>
    <row r="496" spans="1:2" x14ac:dyDescent="0.2">
      <c r="A496" s="18">
        <v>8.9840641978676486E-2</v>
      </c>
      <c r="B496" s="18">
        <v>0</v>
      </c>
    </row>
    <row r="497" spans="1:2" x14ac:dyDescent="0.2">
      <c r="A497" s="18">
        <v>9.002250562640661E-2</v>
      </c>
      <c r="B497" s="18">
        <v>0</v>
      </c>
    </row>
    <row r="498" spans="1:2" x14ac:dyDescent="0.2">
      <c r="A498" s="18">
        <v>9.020436927413672E-2</v>
      </c>
      <c r="B498" s="18">
        <v>0</v>
      </c>
    </row>
    <row r="499" spans="1:2" x14ac:dyDescent="0.2">
      <c r="A499" s="18">
        <v>9.038623292186683E-2</v>
      </c>
      <c r="B499" s="18">
        <v>0</v>
      </c>
    </row>
    <row r="500" spans="1:2" x14ac:dyDescent="0.2">
      <c r="A500" s="18">
        <v>9.0568096569596954E-2</v>
      </c>
      <c r="B500" s="18">
        <v>0</v>
      </c>
    </row>
    <row r="501" spans="1:2" x14ac:dyDescent="0.2">
      <c r="A501" s="18">
        <v>9.0749960217327064E-2</v>
      </c>
      <c r="B501" s="18">
        <v>0</v>
      </c>
    </row>
    <row r="502" spans="1:2" x14ac:dyDescent="0.2">
      <c r="A502" s="18">
        <v>9.0931823865057174E-2</v>
      </c>
      <c r="B502" s="18">
        <v>1</v>
      </c>
    </row>
    <row r="503" spans="1:2" x14ac:dyDescent="0.2">
      <c r="A503" s="18">
        <v>9.1113687512787297E-2</v>
      </c>
      <c r="B503" s="18">
        <v>0</v>
      </c>
    </row>
    <row r="504" spans="1:2" x14ac:dyDescent="0.2">
      <c r="A504" s="18">
        <v>9.1295551160517407E-2</v>
      </c>
      <c r="B504" s="18">
        <v>0</v>
      </c>
    </row>
    <row r="505" spans="1:2" x14ac:dyDescent="0.2">
      <c r="A505" s="18">
        <v>9.1477414808247517E-2</v>
      </c>
      <c r="B505" s="18">
        <v>0</v>
      </c>
    </row>
    <row r="506" spans="1:2" x14ac:dyDescent="0.2">
      <c r="A506" s="18">
        <v>9.1659278455977627E-2</v>
      </c>
      <c r="B506" s="18">
        <v>0</v>
      </c>
    </row>
    <row r="507" spans="1:2" x14ac:dyDescent="0.2">
      <c r="A507" s="18">
        <v>9.1841142103707751E-2</v>
      </c>
      <c r="B507" s="18">
        <v>0</v>
      </c>
    </row>
    <row r="508" spans="1:2" x14ac:dyDescent="0.2">
      <c r="A508" s="18">
        <v>9.2023005751437861E-2</v>
      </c>
      <c r="B508" s="18">
        <v>0</v>
      </c>
    </row>
    <row r="509" spans="1:2" x14ac:dyDescent="0.2">
      <c r="A509" s="18">
        <v>9.2204869399167971E-2</v>
      </c>
      <c r="B509" s="18">
        <v>0</v>
      </c>
    </row>
    <row r="510" spans="1:2" x14ac:dyDescent="0.2">
      <c r="A510" s="18">
        <v>9.2386733046898095E-2</v>
      </c>
      <c r="B510" s="18">
        <v>0</v>
      </c>
    </row>
    <row r="511" spans="1:2" x14ac:dyDescent="0.2">
      <c r="A511" s="18">
        <v>9.2568596694628205E-2</v>
      </c>
      <c r="B511" s="18">
        <v>0</v>
      </c>
    </row>
    <row r="512" spans="1:2" x14ac:dyDescent="0.2">
      <c r="A512" s="18">
        <v>9.2750460342358315E-2</v>
      </c>
      <c r="B512" s="18">
        <v>1</v>
      </c>
    </row>
    <row r="513" spans="1:2" x14ac:dyDescent="0.2">
      <c r="A513" s="18">
        <v>9.2932323990088439E-2</v>
      </c>
      <c r="B513" s="18">
        <v>1</v>
      </c>
    </row>
    <row r="514" spans="1:2" x14ac:dyDescent="0.2">
      <c r="A514" s="18">
        <v>9.3114187637818549E-2</v>
      </c>
      <c r="B514" s="18">
        <v>0</v>
      </c>
    </row>
    <row r="515" spans="1:2" x14ac:dyDescent="0.2">
      <c r="A515" s="18">
        <v>9.3296051285548659E-2</v>
      </c>
      <c r="B515" s="18">
        <v>0</v>
      </c>
    </row>
    <row r="516" spans="1:2" x14ac:dyDescent="0.2">
      <c r="A516" s="18">
        <v>9.3477914933278783E-2</v>
      </c>
      <c r="B516" s="18">
        <v>0</v>
      </c>
    </row>
    <row r="517" spans="1:2" x14ac:dyDescent="0.2">
      <c r="A517" s="18">
        <v>9.3659778581008893E-2</v>
      </c>
      <c r="B517" s="18">
        <v>0</v>
      </c>
    </row>
    <row r="518" spans="1:2" x14ac:dyDescent="0.2">
      <c r="A518" s="18">
        <v>9.3841642228739003E-2</v>
      </c>
      <c r="B518" s="18">
        <v>0</v>
      </c>
    </row>
    <row r="519" spans="1:2" x14ac:dyDescent="0.2">
      <c r="A519" s="18">
        <v>9.4023505876469127E-2</v>
      </c>
      <c r="B519" s="18">
        <v>0</v>
      </c>
    </row>
    <row r="520" spans="1:2" x14ac:dyDescent="0.2">
      <c r="A520" s="18">
        <v>9.4205369524199237E-2</v>
      </c>
      <c r="B520" s="18">
        <v>0</v>
      </c>
    </row>
    <row r="521" spans="1:2" x14ac:dyDescent="0.2">
      <c r="A521" s="18">
        <v>9.4387233171929347E-2</v>
      </c>
      <c r="B521" s="18">
        <v>0</v>
      </c>
    </row>
    <row r="522" spans="1:2" x14ac:dyDescent="0.2">
      <c r="A522" s="18">
        <v>9.4569096819659471E-2</v>
      </c>
      <c r="B522" s="18">
        <v>0</v>
      </c>
    </row>
    <row r="523" spans="1:2" x14ac:dyDescent="0.2">
      <c r="A523" s="18">
        <v>9.4750960467389581E-2</v>
      </c>
      <c r="B523" s="18">
        <v>0</v>
      </c>
    </row>
    <row r="524" spans="1:2" x14ac:dyDescent="0.2">
      <c r="A524" s="18">
        <v>9.4932824115119691E-2</v>
      </c>
      <c r="B524" s="18">
        <v>0</v>
      </c>
    </row>
    <row r="525" spans="1:2" x14ac:dyDescent="0.2">
      <c r="A525" s="18">
        <v>9.5114687762849801E-2</v>
      </c>
      <c r="B525" s="18">
        <v>0</v>
      </c>
    </row>
    <row r="526" spans="1:2" x14ac:dyDescent="0.2">
      <c r="A526" s="18">
        <v>9.5296551410579924E-2</v>
      </c>
      <c r="B526" s="18">
        <v>0</v>
      </c>
    </row>
    <row r="527" spans="1:2" x14ac:dyDescent="0.2">
      <c r="A527" s="18">
        <v>9.5478415058310034E-2</v>
      </c>
      <c r="B527" s="18">
        <v>0</v>
      </c>
    </row>
    <row r="528" spans="1:2" x14ac:dyDescent="0.2">
      <c r="A528" s="18">
        <v>9.5660278706040144E-2</v>
      </c>
      <c r="B528" s="18">
        <v>0</v>
      </c>
    </row>
    <row r="529" spans="1:2" x14ac:dyDescent="0.2">
      <c r="A529" s="18">
        <v>9.5842142353770268E-2</v>
      </c>
      <c r="B529" s="18">
        <v>0</v>
      </c>
    </row>
    <row r="530" spans="1:2" x14ac:dyDescent="0.2">
      <c r="A530" s="18">
        <v>9.6024006001500378E-2</v>
      </c>
      <c r="B530" s="18">
        <v>0</v>
      </c>
    </row>
    <row r="531" spans="1:2" x14ac:dyDescent="0.2">
      <c r="A531" s="18">
        <v>9.6205869649230488E-2</v>
      </c>
      <c r="B531" s="18">
        <v>0</v>
      </c>
    </row>
    <row r="532" spans="1:2" x14ac:dyDescent="0.2">
      <c r="A532" s="18">
        <v>9.6387733296960612E-2</v>
      </c>
      <c r="B532" s="18">
        <v>0</v>
      </c>
    </row>
    <row r="533" spans="1:2" x14ac:dyDescent="0.2">
      <c r="A533" s="18">
        <v>9.6569596944690722E-2</v>
      </c>
      <c r="B533" s="18">
        <v>0</v>
      </c>
    </row>
    <row r="534" spans="1:2" x14ac:dyDescent="0.2">
      <c r="A534" s="18">
        <v>9.6751460592420832E-2</v>
      </c>
      <c r="B534" s="18">
        <v>0</v>
      </c>
    </row>
    <row r="535" spans="1:2" x14ac:dyDescent="0.2">
      <c r="A535" s="18">
        <v>9.6933324240150956E-2</v>
      </c>
      <c r="B535" s="18">
        <v>0</v>
      </c>
    </row>
    <row r="536" spans="1:2" x14ac:dyDescent="0.2">
      <c r="A536" s="18">
        <v>9.7115187887881066E-2</v>
      </c>
      <c r="B536" s="18">
        <v>1</v>
      </c>
    </row>
    <row r="537" spans="1:2" x14ac:dyDescent="0.2">
      <c r="A537" s="18">
        <v>9.7297051535611176E-2</v>
      </c>
      <c r="B537" s="18">
        <v>0</v>
      </c>
    </row>
    <row r="538" spans="1:2" x14ac:dyDescent="0.2">
      <c r="A538" s="18">
        <v>9.74789151833413E-2</v>
      </c>
      <c r="B538" s="18">
        <v>0</v>
      </c>
    </row>
    <row r="539" spans="1:2" x14ac:dyDescent="0.2">
      <c r="A539" s="18">
        <v>9.766077883107141E-2</v>
      </c>
      <c r="B539" s="18">
        <v>0</v>
      </c>
    </row>
    <row r="540" spans="1:2" x14ac:dyDescent="0.2">
      <c r="A540" s="18">
        <v>9.784264247880152E-2</v>
      </c>
      <c r="B540" s="18">
        <v>0</v>
      </c>
    </row>
    <row r="541" spans="1:2" x14ac:dyDescent="0.2">
      <c r="A541" s="18">
        <v>9.802450612653163E-2</v>
      </c>
      <c r="B541" s="18">
        <v>0</v>
      </c>
    </row>
    <row r="542" spans="1:2" x14ac:dyDescent="0.2">
      <c r="A542" s="18">
        <v>9.8206369774261754E-2</v>
      </c>
      <c r="B542" s="18">
        <v>0</v>
      </c>
    </row>
    <row r="543" spans="1:2" x14ac:dyDescent="0.2">
      <c r="A543" s="18">
        <v>9.8388233421991864E-2</v>
      </c>
      <c r="B543" s="18">
        <v>0</v>
      </c>
    </row>
    <row r="544" spans="1:2" x14ac:dyDescent="0.2">
      <c r="A544" s="18">
        <v>9.8570097069721974E-2</v>
      </c>
      <c r="B544" s="18">
        <v>0</v>
      </c>
    </row>
    <row r="545" spans="1:2" x14ac:dyDescent="0.2">
      <c r="A545" s="18">
        <v>9.8751960717452097E-2</v>
      </c>
      <c r="B545" s="18">
        <v>0</v>
      </c>
    </row>
    <row r="546" spans="1:2" x14ac:dyDescent="0.2">
      <c r="A546" s="18">
        <v>9.8933824365182207E-2</v>
      </c>
      <c r="B546" s="18">
        <v>0</v>
      </c>
    </row>
    <row r="547" spans="1:2" x14ac:dyDescent="0.2">
      <c r="A547" s="18">
        <v>9.9115688012912317E-2</v>
      </c>
      <c r="B547" s="18">
        <v>0</v>
      </c>
    </row>
    <row r="548" spans="1:2" x14ac:dyDescent="0.2">
      <c r="A548" s="18">
        <v>9.9297551660642441E-2</v>
      </c>
      <c r="B548" s="18">
        <v>0</v>
      </c>
    </row>
    <row r="549" spans="1:2" x14ac:dyDescent="0.2">
      <c r="A549" s="18">
        <v>9.9479415308372551E-2</v>
      </c>
      <c r="B549" s="18">
        <v>0</v>
      </c>
    </row>
    <row r="550" spans="1:2" x14ac:dyDescent="0.2">
      <c r="A550" s="18">
        <v>9.9661278956102661E-2</v>
      </c>
      <c r="B550" s="18">
        <v>0</v>
      </c>
    </row>
    <row r="551" spans="1:2" x14ac:dyDescent="0.2">
      <c r="A551" s="18">
        <v>9.9843142603832785E-2</v>
      </c>
      <c r="B551" s="18">
        <v>0</v>
      </c>
    </row>
    <row r="552" spans="1:2" x14ac:dyDescent="0.2">
      <c r="A552" s="18">
        <v>0.1000250062515629</v>
      </c>
      <c r="B552" s="18">
        <v>0</v>
      </c>
    </row>
    <row r="553" spans="1:2" x14ac:dyDescent="0.2">
      <c r="A553" s="18">
        <v>0.10020686989929301</v>
      </c>
      <c r="B553" s="18">
        <v>0</v>
      </c>
    </row>
    <row r="554" spans="1:2" x14ac:dyDescent="0.2">
      <c r="A554" s="18">
        <v>0.10038873354702313</v>
      </c>
      <c r="B554" s="18">
        <v>0</v>
      </c>
    </row>
    <row r="555" spans="1:2" x14ac:dyDescent="0.2">
      <c r="A555" s="18">
        <v>0.10057059719475324</v>
      </c>
      <c r="B555" s="18">
        <v>0</v>
      </c>
    </row>
    <row r="556" spans="1:2" x14ac:dyDescent="0.2">
      <c r="A556" s="18">
        <v>0.10075246084248335</v>
      </c>
      <c r="B556" s="18">
        <v>0</v>
      </c>
    </row>
    <row r="557" spans="1:2" x14ac:dyDescent="0.2">
      <c r="A557" s="18">
        <v>0.10093432449021347</v>
      </c>
      <c r="B557" s="18">
        <v>0</v>
      </c>
    </row>
    <row r="558" spans="1:2" x14ac:dyDescent="0.2">
      <c r="A558" s="18">
        <v>0.10111618813794358</v>
      </c>
      <c r="B558" s="18">
        <v>0</v>
      </c>
    </row>
    <row r="559" spans="1:2" x14ac:dyDescent="0.2">
      <c r="A559" s="18">
        <v>0.10129805178567369</v>
      </c>
      <c r="B559" s="18">
        <v>0</v>
      </c>
    </row>
    <row r="560" spans="1:2" x14ac:dyDescent="0.2">
      <c r="A560" s="18">
        <v>0.1014799154334038</v>
      </c>
      <c r="B560" s="18">
        <v>0</v>
      </c>
    </row>
    <row r="561" spans="1:2" x14ac:dyDescent="0.2">
      <c r="A561" s="18">
        <v>0.10166177908113393</v>
      </c>
      <c r="B561" s="18">
        <v>0</v>
      </c>
    </row>
    <row r="562" spans="1:2" x14ac:dyDescent="0.2">
      <c r="A562" s="18">
        <v>0.10184364272886404</v>
      </c>
      <c r="B562" s="18">
        <v>0</v>
      </c>
    </row>
    <row r="563" spans="1:2" x14ac:dyDescent="0.2">
      <c r="A563" s="18">
        <v>0.10202550637659415</v>
      </c>
      <c r="B563" s="18">
        <v>1</v>
      </c>
    </row>
    <row r="564" spans="1:2" x14ac:dyDescent="0.2">
      <c r="A564" s="18">
        <v>0.10220737002432427</v>
      </c>
      <c r="B564" s="18">
        <v>0</v>
      </c>
    </row>
    <row r="565" spans="1:2" x14ac:dyDescent="0.2">
      <c r="A565" s="18">
        <v>0.10238923367205438</v>
      </c>
      <c r="B565" s="18">
        <v>0</v>
      </c>
    </row>
    <row r="566" spans="1:2" x14ac:dyDescent="0.2">
      <c r="A566" s="18">
        <v>0.10257109731978449</v>
      </c>
      <c r="B566" s="18">
        <v>0</v>
      </c>
    </row>
    <row r="567" spans="1:2" x14ac:dyDescent="0.2">
      <c r="A567" s="18">
        <v>0.10275296096751461</v>
      </c>
      <c r="B567" s="18">
        <v>0</v>
      </c>
    </row>
    <row r="568" spans="1:2" x14ac:dyDescent="0.2">
      <c r="A568" s="18">
        <v>0.10293482461524472</v>
      </c>
      <c r="B568" s="18">
        <v>0</v>
      </c>
    </row>
    <row r="569" spans="1:2" x14ac:dyDescent="0.2">
      <c r="A569" s="18">
        <v>0.10311668826297483</v>
      </c>
      <c r="B569" s="18">
        <v>0</v>
      </c>
    </row>
    <row r="570" spans="1:2" x14ac:dyDescent="0.2">
      <c r="A570" s="18">
        <v>0.10329855191070496</v>
      </c>
      <c r="B570" s="18">
        <v>0</v>
      </c>
    </row>
    <row r="571" spans="1:2" x14ac:dyDescent="0.2">
      <c r="A571" s="18">
        <v>0.10348041555843507</v>
      </c>
      <c r="B571" s="18">
        <v>0</v>
      </c>
    </row>
    <row r="572" spans="1:2" x14ac:dyDescent="0.2">
      <c r="A572" s="18">
        <v>0.10366227920616518</v>
      </c>
      <c r="B572" s="18">
        <v>0</v>
      </c>
    </row>
    <row r="573" spans="1:2" x14ac:dyDescent="0.2">
      <c r="A573" s="18">
        <v>0.1038441428538953</v>
      </c>
      <c r="B573" s="18">
        <v>0</v>
      </c>
    </row>
    <row r="574" spans="1:2" x14ac:dyDescent="0.2">
      <c r="A574" s="18">
        <v>0.10402600650162541</v>
      </c>
      <c r="B574" s="18">
        <v>0</v>
      </c>
    </row>
    <row r="575" spans="1:2" x14ac:dyDescent="0.2">
      <c r="A575" s="18">
        <v>0.10420787014935552</v>
      </c>
      <c r="B575" s="18">
        <v>0</v>
      </c>
    </row>
    <row r="576" spans="1:2" x14ac:dyDescent="0.2">
      <c r="A576" s="18">
        <v>0.10438973379708563</v>
      </c>
      <c r="B576" s="18">
        <v>0</v>
      </c>
    </row>
    <row r="577" spans="1:2" x14ac:dyDescent="0.2">
      <c r="A577" s="18">
        <v>0.10457159744481576</v>
      </c>
      <c r="B577" s="18">
        <v>0</v>
      </c>
    </row>
    <row r="578" spans="1:2" x14ac:dyDescent="0.2">
      <c r="A578" s="18">
        <v>0.10475346109254587</v>
      </c>
      <c r="B578" s="18">
        <v>0</v>
      </c>
    </row>
    <row r="579" spans="1:2" x14ac:dyDescent="0.2">
      <c r="A579" s="18">
        <v>0.10493532474027598</v>
      </c>
      <c r="B579" s="18">
        <v>0</v>
      </c>
    </row>
    <row r="580" spans="1:2" x14ac:dyDescent="0.2">
      <c r="A580" s="18">
        <v>0.1051171883880061</v>
      </c>
      <c r="B580" s="18">
        <v>0</v>
      </c>
    </row>
    <row r="581" spans="1:2" x14ac:dyDescent="0.2">
      <c r="A581" s="18">
        <v>0.10529905203573621</v>
      </c>
      <c r="B581" s="18">
        <v>0</v>
      </c>
    </row>
    <row r="582" spans="1:2" x14ac:dyDescent="0.2">
      <c r="A582" s="18">
        <v>0.10548091568346632</v>
      </c>
      <c r="B582" s="18">
        <v>0</v>
      </c>
    </row>
    <row r="583" spans="1:2" x14ac:dyDescent="0.2">
      <c r="A583" s="18">
        <v>0.10566277933119644</v>
      </c>
      <c r="B583" s="18">
        <v>0</v>
      </c>
    </row>
    <row r="584" spans="1:2" x14ac:dyDescent="0.2">
      <c r="A584" s="18">
        <v>0.10584464297892655</v>
      </c>
      <c r="B584" s="18">
        <v>0</v>
      </c>
    </row>
    <row r="585" spans="1:2" x14ac:dyDescent="0.2">
      <c r="A585" s="18">
        <v>0.10602650662665666</v>
      </c>
      <c r="B585" s="18">
        <v>0</v>
      </c>
    </row>
    <row r="586" spans="1:2" x14ac:dyDescent="0.2">
      <c r="A586" s="18">
        <v>0.10620837027438679</v>
      </c>
      <c r="B586" s="18">
        <v>0</v>
      </c>
    </row>
    <row r="587" spans="1:2" x14ac:dyDescent="0.2">
      <c r="A587" s="18">
        <v>0.1063902339221169</v>
      </c>
      <c r="B587" s="18">
        <v>0</v>
      </c>
    </row>
    <row r="588" spans="1:2" x14ac:dyDescent="0.2">
      <c r="A588" s="18">
        <v>0.10657209756984701</v>
      </c>
      <c r="B588" s="18">
        <v>0</v>
      </c>
    </row>
    <row r="589" spans="1:2" x14ac:dyDescent="0.2">
      <c r="A589" s="18">
        <v>0.10675396121757713</v>
      </c>
      <c r="B589" s="18">
        <v>0</v>
      </c>
    </row>
    <row r="590" spans="1:2" x14ac:dyDescent="0.2">
      <c r="A590" s="18">
        <v>0.10693582486530724</v>
      </c>
      <c r="B590" s="18">
        <v>0</v>
      </c>
    </row>
    <row r="591" spans="1:2" x14ac:dyDescent="0.2">
      <c r="A591" s="18">
        <v>0.10711768851303735</v>
      </c>
      <c r="B591" s="18">
        <v>0</v>
      </c>
    </row>
    <row r="592" spans="1:2" x14ac:dyDescent="0.2">
      <c r="A592" s="18">
        <v>0.10729955216076748</v>
      </c>
      <c r="B592" s="18">
        <v>0</v>
      </c>
    </row>
    <row r="593" spans="1:2" x14ac:dyDescent="0.2">
      <c r="A593" s="18">
        <v>0.10748141580849759</v>
      </c>
      <c r="B593" s="18">
        <v>0</v>
      </c>
    </row>
    <row r="594" spans="1:2" x14ac:dyDescent="0.2">
      <c r="A594" s="18">
        <v>0.1076632794562277</v>
      </c>
      <c r="B594" s="18">
        <v>0</v>
      </c>
    </row>
    <row r="595" spans="1:2" x14ac:dyDescent="0.2">
      <c r="A595" s="18">
        <v>0.10784514310395781</v>
      </c>
      <c r="B595" s="18">
        <v>0</v>
      </c>
    </row>
    <row r="596" spans="1:2" x14ac:dyDescent="0.2">
      <c r="A596" s="18">
        <v>0.10802700675168793</v>
      </c>
      <c r="B596" s="18">
        <v>0</v>
      </c>
    </row>
    <row r="597" spans="1:2" x14ac:dyDescent="0.2">
      <c r="A597" s="18">
        <v>0.10820887039941804</v>
      </c>
      <c r="B597" s="18">
        <v>0</v>
      </c>
    </row>
    <row r="598" spans="1:2" x14ac:dyDescent="0.2">
      <c r="A598" s="18">
        <v>0.10839073404714815</v>
      </c>
      <c r="B598" s="18">
        <v>0</v>
      </c>
    </row>
    <row r="599" spans="1:2" x14ac:dyDescent="0.2">
      <c r="A599" s="18">
        <v>0.10857259769487827</v>
      </c>
      <c r="B599" s="18">
        <v>0</v>
      </c>
    </row>
    <row r="600" spans="1:2" x14ac:dyDescent="0.2">
      <c r="A600" s="18">
        <v>0.10875446134260838</v>
      </c>
      <c r="B600" s="18">
        <v>0</v>
      </c>
    </row>
    <row r="601" spans="1:2" x14ac:dyDescent="0.2">
      <c r="A601" s="18">
        <v>0.10893632499033849</v>
      </c>
      <c r="B601" s="18">
        <v>0</v>
      </c>
    </row>
    <row r="602" spans="1:2" x14ac:dyDescent="0.2">
      <c r="A602" s="18">
        <v>0.10911818863806862</v>
      </c>
      <c r="B602" s="18">
        <v>0</v>
      </c>
    </row>
    <row r="603" spans="1:2" x14ac:dyDescent="0.2">
      <c r="A603" s="18">
        <v>0.10930005228579873</v>
      </c>
      <c r="B603" s="18">
        <v>0</v>
      </c>
    </row>
    <row r="604" spans="1:2" x14ac:dyDescent="0.2">
      <c r="A604" s="18">
        <v>0.10948191593352884</v>
      </c>
      <c r="B604" s="18">
        <v>0</v>
      </c>
    </row>
    <row r="605" spans="1:2" x14ac:dyDescent="0.2">
      <c r="A605" s="18">
        <v>0.10966377958125896</v>
      </c>
      <c r="B605" s="18">
        <v>0</v>
      </c>
    </row>
    <row r="606" spans="1:2" x14ac:dyDescent="0.2">
      <c r="A606" s="18">
        <v>0.10984564322898907</v>
      </c>
      <c r="B606" s="18">
        <v>1</v>
      </c>
    </row>
    <row r="607" spans="1:2" x14ac:dyDescent="0.2">
      <c r="A607" s="18">
        <v>0.11002750687671918</v>
      </c>
      <c r="B607" s="18">
        <v>0</v>
      </c>
    </row>
    <row r="608" spans="1:2" x14ac:dyDescent="0.2">
      <c r="A608" s="18">
        <v>0.1102093705244493</v>
      </c>
      <c r="B608" s="18">
        <v>0</v>
      </c>
    </row>
    <row r="609" spans="1:2" x14ac:dyDescent="0.2">
      <c r="A609" s="18">
        <v>0.11039123417217941</v>
      </c>
      <c r="B609" s="18">
        <v>0</v>
      </c>
    </row>
    <row r="610" spans="1:2" x14ac:dyDescent="0.2">
      <c r="A610" s="18">
        <v>0.11057309781990952</v>
      </c>
      <c r="B610" s="18">
        <v>0</v>
      </c>
    </row>
    <row r="611" spans="1:2" x14ac:dyDescent="0.2">
      <c r="A611" s="18">
        <v>0.11075496146763965</v>
      </c>
      <c r="B611" s="18">
        <v>0</v>
      </c>
    </row>
    <row r="612" spans="1:2" x14ac:dyDescent="0.2">
      <c r="A612" s="18">
        <v>0.11093682511536976</v>
      </c>
      <c r="B612" s="18">
        <v>0</v>
      </c>
    </row>
    <row r="613" spans="1:2" x14ac:dyDescent="0.2">
      <c r="A613" s="18">
        <v>0.11111868876309987</v>
      </c>
      <c r="B613" s="18">
        <v>0</v>
      </c>
    </row>
    <row r="614" spans="1:2" x14ac:dyDescent="0.2">
      <c r="A614" s="18">
        <v>0.11130055241082998</v>
      </c>
      <c r="B614" s="18">
        <v>0</v>
      </c>
    </row>
    <row r="615" spans="1:2" x14ac:dyDescent="0.2">
      <c r="A615" s="18">
        <v>0.1114824160585601</v>
      </c>
      <c r="B615" s="18">
        <v>0</v>
      </c>
    </row>
    <row r="616" spans="1:2" x14ac:dyDescent="0.2">
      <c r="A616" s="18">
        <v>0.11166427970629021</v>
      </c>
      <c r="B616" s="18">
        <v>0</v>
      </c>
    </row>
    <row r="617" spans="1:2" x14ac:dyDescent="0.2">
      <c r="A617" s="18">
        <v>0.11184614335402032</v>
      </c>
      <c r="B617" s="18">
        <v>0</v>
      </c>
    </row>
    <row r="618" spans="1:2" x14ac:dyDescent="0.2">
      <c r="A618" s="18">
        <v>0.11202800700175045</v>
      </c>
      <c r="B618" s="18">
        <v>0</v>
      </c>
    </row>
    <row r="619" spans="1:2" x14ac:dyDescent="0.2">
      <c r="A619" s="18">
        <v>0.11220987064948056</v>
      </c>
      <c r="B619" s="18">
        <v>0</v>
      </c>
    </row>
    <row r="620" spans="1:2" x14ac:dyDescent="0.2">
      <c r="A620" s="18">
        <v>0.11239173429721067</v>
      </c>
      <c r="B620" s="18">
        <v>0</v>
      </c>
    </row>
    <row r="621" spans="1:2" x14ac:dyDescent="0.2">
      <c r="A621" s="18">
        <v>0.11257359794494079</v>
      </c>
      <c r="B621" s="18">
        <v>0</v>
      </c>
    </row>
    <row r="622" spans="1:2" x14ac:dyDescent="0.2">
      <c r="A622" s="18">
        <v>0.1127554615926709</v>
      </c>
      <c r="B622" s="18">
        <v>0</v>
      </c>
    </row>
    <row r="623" spans="1:2" x14ac:dyDescent="0.2">
      <c r="A623" s="18">
        <v>0.11293732524040101</v>
      </c>
      <c r="B623" s="18">
        <v>0</v>
      </c>
    </row>
    <row r="624" spans="1:2" x14ac:dyDescent="0.2">
      <c r="A624" s="18">
        <v>0.11311918888813113</v>
      </c>
      <c r="B624" s="18">
        <v>0</v>
      </c>
    </row>
    <row r="625" spans="1:2" x14ac:dyDescent="0.2">
      <c r="A625" s="18">
        <v>0.11330105253586124</v>
      </c>
      <c r="B625" s="18">
        <v>0</v>
      </c>
    </row>
    <row r="626" spans="1:2" x14ac:dyDescent="0.2">
      <c r="A626" s="18">
        <v>0.11348291618359135</v>
      </c>
      <c r="B626" s="18">
        <v>0</v>
      </c>
    </row>
    <row r="627" spans="1:2" x14ac:dyDescent="0.2">
      <c r="A627" s="18">
        <v>0.11366477983132148</v>
      </c>
      <c r="B627" s="18">
        <v>0</v>
      </c>
    </row>
    <row r="628" spans="1:2" x14ac:dyDescent="0.2">
      <c r="A628" s="18">
        <v>0.11384664347905159</v>
      </c>
      <c r="B628" s="18">
        <v>0</v>
      </c>
    </row>
    <row r="629" spans="1:2" x14ac:dyDescent="0.2">
      <c r="A629" s="18">
        <v>0.1140285071267817</v>
      </c>
      <c r="B629" s="18">
        <v>0</v>
      </c>
    </row>
    <row r="630" spans="1:2" x14ac:dyDescent="0.2">
      <c r="A630" s="18">
        <v>0.11421037077451181</v>
      </c>
      <c r="B630" s="18">
        <v>0</v>
      </c>
    </row>
    <row r="631" spans="1:2" x14ac:dyDescent="0.2">
      <c r="A631" s="18">
        <v>0.11439223442224193</v>
      </c>
      <c r="B631" s="18">
        <v>0</v>
      </c>
    </row>
    <row r="632" spans="1:2" x14ac:dyDescent="0.2">
      <c r="A632" s="18">
        <v>0.11457409806997204</v>
      </c>
      <c r="B632" s="18">
        <v>0</v>
      </c>
    </row>
    <row r="633" spans="1:2" x14ac:dyDescent="0.2">
      <c r="A633" s="18">
        <v>0.11475596171770215</v>
      </c>
      <c r="B633" s="18">
        <v>0</v>
      </c>
    </row>
    <row r="634" spans="1:2" x14ac:dyDescent="0.2">
      <c r="A634" s="18">
        <v>0.11493782536543228</v>
      </c>
      <c r="B634" s="18">
        <v>0</v>
      </c>
    </row>
    <row r="635" spans="1:2" x14ac:dyDescent="0.2">
      <c r="A635" s="18">
        <v>0.11511968901316239</v>
      </c>
      <c r="B635" s="18">
        <v>0</v>
      </c>
    </row>
    <row r="636" spans="1:2" x14ac:dyDescent="0.2">
      <c r="A636" s="18">
        <v>0.1153015526608925</v>
      </c>
      <c r="B636" s="18">
        <v>0</v>
      </c>
    </row>
    <row r="637" spans="1:2" x14ac:dyDescent="0.2">
      <c r="A637" s="18">
        <v>0.11548341630862262</v>
      </c>
      <c r="B637" s="18">
        <v>0</v>
      </c>
    </row>
    <row r="638" spans="1:2" x14ac:dyDescent="0.2">
      <c r="A638" s="18">
        <v>0.11566527995635273</v>
      </c>
      <c r="B638" s="18">
        <v>0</v>
      </c>
    </row>
    <row r="639" spans="1:2" x14ac:dyDescent="0.2">
      <c r="A639" s="18">
        <v>0.11584714360408284</v>
      </c>
      <c r="B639" s="18">
        <v>0</v>
      </c>
    </row>
    <row r="640" spans="1:2" x14ac:dyDescent="0.2">
      <c r="A640" s="18">
        <v>0.11602900725181296</v>
      </c>
      <c r="B640" s="18">
        <v>0</v>
      </c>
    </row>
    <row r="641" spans="1:2" x14ac:dyDescent="0.2">
      <c r="A641" s="18">
        <v>0.11621087089954307</v>
      </c>
      <c r="B641" s="18">
        <v>0</v>
      </c>
    </row>
    <row r="642" spans="1:2" x14ac:dyDescent="0.2">
      <c r="A642" s="18">
        <v>0.11639273454727318</v>
      </c>
      <c r="B642" s="18">
        <v>0</v>
      </c>
    </row>
    <row r="643" spans="1:2" x14ac:dyDescent="0.2">
      <c r="A643" s="18">
        <v>0.11657459819500331</v>
      </c>
      <c r="B643" s="18">
        <v>0</v>
      </c>
    </row>
    <row r="644" spans="1:2" x14ac:dyDescent="0.2">
      <c r="A644" s="18">
        <v>0.11675646184273342</v>
      </c>
      <c r="B644" s="18">
        <v>0</v>
      </c>
    </row>
    <row r="645" spans="1:2" x14ac:dyDescent="0.2">
      <c r="A645" s="18">
        <v>0.11693832549046353</v>
      </c>
      <c r="B645" s="18">
        <v>0</v>
      </c>
    </row>
    <row r="646" spans="1:2" x14ac:dyDescent="0.2">
      <c r="A646" s="18">
        <v>0.11712018913819365</v>
      </c>
      <c r="B646" s="18">
        <v>1</v>
      </c>
    </row>
    <row r="647" spans="1:2" x14ac:dyDescent="0.2">
      <c r="A647" s="18">
        <v>0.11730205278592376</v>
      </c>
      <c r="B647" s="18">
        <v>0</v>
      </c>
    </row>
    <row r="648" spans="1:2" x14ac:dyDescent="0.2">
      <c r="A648" s="18">
        <v>0.11748391643365387</v>
      </c>
      <c r="B648" s="18">
        <v>0</v>
      </c>
    </row>
    <row r="649" spans="1:2" x14ac:dyDescent="0.2">
      <c r="A649" s="18">
        <v>0.11766578008138398</v>
      </c>
      <c r="B649" s="18">
        <v>0</v>
      </c>
    </row>
    <row r="650" spans="1:2" x14ac:dyDescent="0.2">
      <c r="A650" s="18">
        <v>0.1178476437291141</v>
      </c>
      <c r="B650" s="18">
        <v>0</v>
      </c>
    </row>
    <row r="651" spans="1:2" x14ac:dyDescent="0.2">
      <c r="A651" s="18">
        <v>0.11802950737684421</v>
      </c>
      <c r="B651" s="18">
        <v>0</v>
      </c>
    </row>
    <row r="652" spans="1:2" x14ac:dyDescent="0.2">
      <c r="A652" s="18">
        <v>0.11821137102457432</v>
      </c>
      <c r="B652" s="18">
        <v>0</v>
      </c>
    </row>
    <row r="653" spans="1:2" x14ac:dyDescent="0.2">
      <c r="A653" s="18">
        <v>0.11839323467230445</v>
      </c>
      <c r="B653" s="18">
        <v>0</v>
      </c>
    </row>
    <row r="654" spans="1:2" x14ac:dyDescent="0.2">
      <c r="A654" s="18">
        <v>0.11857509832003456</v>
      </c>
      <c r="B654" s="18">
        <v>0</v>
      </c>
    </row>
    <row r="655" spans="1:2" x14ac:dyDescent="0.2">
      <c r="A655" s="18">
        <v>0.11875696196776467</v>
      </c>
      <c r="B655" s="18">
        <v>0</v>
      </c>
    </row>
    <row r="656" spans="1:2" x14ac:dyDescent="0.2">
      <c r="A656" s="18">
        <v>0.11893882561549479</v>
      </c>
      <c r="B656" s="18">
        <v>0</v>
      </c>
    </row>
    <row r="657" spans="1:2" x14ac:dyDescent="0.2">
      <c r="A657" s="18">
        <v>0.1191206892632249</v>
      </c>
      <c r="B657" s="18">
        <v>0</v>
      </c>
    </row>
    <row r="658" spans="1:2" x14ac:dyDescent="0.2">
      <c r="A658" s="18">
        <v>0.11930255291095501</v>
      </c>
      <c r="B658" s="18">
        <v>0</v>
      </c>
    </row>
    <row r="659" spans="1:2" x14ac:dyDescent="0.2">
      <c r="A659" s="18">
        <v>0.11948441655868514</v>
      </c>
      <c r="B659" s="18">
        <v>0</v>
      </c>
    </row>
    <row r="660" spans="1:2" x14ac:dyDescent="0.2">
      <c r="A660" s="18">
        <v>0.11966628020641525</v>
      </c>
      <c r="B660" s="18">
        <v>0</v>
      </c>
    </row>
    <row r="661" spans="1:2" x14ac:dyDescent="0.2">
      <c r="A661" s="18">
        <v>0.11984814385414536</v>
      </c>
      <c r="B661" s="18">
        <v>0</v>
      </c>
    </row>
    <row r="662" spans="1:2" x14ac:dyDescent="0.2">
      <c r="A662" s="18">
        <v>0.12003000750187548</v>
      </c>
      <c r="B662" s="18">
        <v>0</v>
      </c>
    </row>
    <row r="663" spans="1:2" x14ac:dyDescent="0.2">
      <c r="A663" s="18">
        <v>0.12021187114960559</v>
      </c>
      <c r="B663" s="18">
        <v>0</v>
      </c>
    </row>
    <row r="664" spans="1:2" x14ac:dyDescent="0.2">
      <c r="A664" s="18">
        <v>0.1203937347973357</v>
      </c>
      <c r="B664" s="18">
        <v>0</v>
      </c>
    </row>
    <row r="665" spans="1:2" x14ac:dyDescent="0.2">
      <c r="A665" s="18">
        <v>0.12057559844506581</v>
      </c>
      <c r="B665" s="18">
        <v>0</v>
      </c>
    </row>
    <row r="666" spans="1:2" x14ac:dyDescent="0.2">
      <c r="A666" s="18">
        <v>0.12075746209279593</v>
      </c>
      <c r="B666" s="18">
        <v>0</v>
      </c>
    </row>
    <row r="667" spans="1:2" x14ac:dyDescent="0.2">
      <c r="A667" s="18">
        <v>0.12093932574052604</v>
      </c>
      <c r="B667" s="18">
        <v>0</v>
      </c>
    </row>
    <row r="668" spans="1:2" x14ac:dyDescent="0.2">
      <c r="A668" s="18">
        <v>0.12112118938825615</v>
      </c>
      <c r="B668" s="18">
        <v>0</v>
      </c>
    </row>
    <row r="669" spans="1:2" x14ac:dyDescent="0.2">
      <c r="A669" s="18">
        <v>0.12130305303598628</v>
      </c>
      <c r="B669" s="18">
        <v>0</v>
      </c>
    </row>
    <row r="670" spans="1:2" x14ac:dyDescent="0.2">
      <c r="A670" s="18">
        <v>0.12148491668371639</v>
      </c>
      <c r="B670" s="18">
        <v>0</v>
      </c>
    </row>
    <row r="671" spans="1:2" x14ac:dyDescent="0.2">
      <c r="A671" s="18">
        <v>0.1216667803314465</v>
      </c>
      <c r="B671" s="18">
        <v>0</v>
      </c>
    </row>
    <row r="672" spans="1:2" x14ac:dyDescent="0.2">
      <c r="A672" s="18">
        <v>0.12184864397917662</v>
      </c>
      <c r="B672" s="18">
        <v>0</v>
      </c>
    </row>
    <row r="673" spans="1:2" x14ac:dyDescent="0.2">
      <c r="A673" s="18">
        <v>0.12203050762690673</v>
      </c>
      <c r="B673" s="18">
        <v>0</v>
      </c>
    </row>
    <row r="674" spans="1:2" x14ac:dyDescent="0.2">
      <c r="A674" s="18">
        <v>0.12221237127463684</v>
      </c>
      <c r="B674" s="18">
        <v>0</v>
      </c>
    </row>
    <row r="675" spans="1:2" x14ac:dyDescent="0.2">
      <c r="A675" s="18">
        <v>0.12239423492236697</v>
      </c>
      <c r="B675" s="18">
        <v>0</v>
      </c>
    </row>
    <row r="676" spans="1:2" x14ac:dyDescent="0.2">
      <c r="A676" s="18">
        <v>0.12257609857009708</v>
      </c>
      <c r="B676" s="18">
        <v>0</v>
      </c>
    </row>
    <row r="677" spans="1:2" x14ac:dyDescent="0.2">
      <c r="A677" s="18">
        <v>0.12275796221782719</v>
      </c>
      <c r="B677" s="18">
        <v>0</v>
      </c>
    </row>
    <row r="678" spans="1:2" x14ac:dyDescent="0.2">
      <c r="A678" s="18">
        <v>0.12293982586555731</v>
      </c>
      <c r="B678" s="18">
        <v>0</v>
      </c>
    </row>
    <row r="679" spans="1:2" x14ac:dyDescent="0.2">
      <c r="A679" s="18">
        <v>0.12312168951328742</v>
      </c>
      <c r="B679" s="18">
        <v>0</v>
      </c>
    </row>
    <row r="680" spans="1:2" x14ac:dyDescent="0.2">
      <c r="A680" s="18">
        <v>0.12330355316101753</v>
      </c>
      <c r="B680" s="18">
        <v>0</v>
      </c>
    </row>
    <row r="681" spans="1:2" x14ac:dyDescent="0.2">
      <c r="A681" s="18">
        <v>0.12348541680874765</v>
      </c>
      <c r="B681" s="18">
        <v>0</v>
      </c>
    </row>
    <row r="682" spans="1:2" x14ac:dyDescent="0.2">
      <c r="A682" s="18">
        <v>0.12366728045647776</v>
      </c>
      <c r="B682" s="18">
        <v>0</v>
      </c>
    </row>
    <row r="683" spans="1:2" x14ac:dyDescent="0.2">
      <c r="A683" s="18">
        <v>0.12384914410420787</v>
      </c>
      <c r="B683" s="18">
        <v>0</v>
      </c>
    </row>
    <row r="684" spans="1:2" x14ac:dyDescent="0.2">
      <c r="A684" s="18">
        <v>0.12403100775193798</v>
      </c>
      <c r="B684" s="18">
        <v>0</v>
      </c>
    </row>
    <row r="685" spans="1:2" x14ac:dyDescent="0.2">
      <c r="A685" s="18">
        <v>0.12421287139966811</v>
      </c>
      <c r="B685" s="18">
        <v>0</v>
      </c>
    </row>
    <row r="686" spans="1:2" x14ac:dyDescent="0.2">
      <c r="A686" s="18">
        <v>0.12439473504739822</v>
      </c>
      <c r="B686" s="18">
        <v>0</v>
      </c>
    </row>
    <row r="687" spans="1:2" x14ac:dyDescent="0.2">
      <c r="A687" s="18">
        <v>0.12457659869512833</v>
      </c>
      <c r="B687" s="18">
        <v>0</v>
      </c>
    </row>
    <row r="688" spans="1:2" x14ac:dyDescent="0.2">
      <c r="A688" s="18">
        <v>0.12475846234285845</v>
      </c>
      <c r="B688" s="18">
        <v>0</v>
      </c>
    </row>
    <row r="689" spans="1:2" x14ac:dyDescent="0.2">
      <c r="A689" s="18">
        <v>0.12494032599058856</v>
      </c>
      <c r="B689" s="18">
        <v>0</v>
      </c>
    </row>
    <row r="690" spans="1:2" x14ac:dyDescent="0.2">
      <c r="A690" s="18">
        <v>0.12512218963831867</v>
      </c>
      <c r="B690" s="18">
        <v>0</v>
      </c>
    </row>
    <row r="691" spans="1:2" x14ac:dyDescent="0.2">
      <c r="A691" s="18">
        <v>0.12530405328604879</v>
      </c>
      <c r="B691" s="18">
        <v>0</v>
      </c>
    </row>
    <row r="692" spans="1:2" x14ac:dyDescent="0.2">
      <c r="A692" s="18">
        <v>0.12548591693377889</v>
      </c>
      <c r="B692" s="18">
        <v>0</v>
      </c>
    </row>
    <row r="693" spans="1:2" x14ac:dyDescent="0.2">
      <c r="A693" s="18">
        <v>0.12566778058150901</v>
      </c>
      <c r="B693" s="18">
        <v>0</v>
      </c>
    </row>
    <row r="694" spans="1:2" x14ac:dyDescent="0.2">
      <c r="A694" s="18">
        <v>0.12584964422923914</v>
      </c>
      <c r="B694" s="18">
        <v>0</v>
      </c>
    </row>
    <row r="695" spans="1:2" x14ac:dyDescent="0.2">
      <c r="A695" s="18">
        <v>0.12603150787696923</v>
      </c>
      <c r="B695" s="18">
        <v>0</v>
      </c>
    </row>
    <row r="696" spans="1:2" x14ac:dyDescent="0.2">
      <c r="A696" s="18">
        <v>0.12621337152469936</v>
      </c>
      <c r="B696" s="18">
        <v>0</v>
      </c>
    </row>
    <row r="697" spans="1:2" x14ac:dyDescent="0.2">
      <c r="A697" s="18">
        <v>0.12639523517242948</v>
      </c>
      <c r="B697" s="18">
        <v>0</v>
      </c>
    </row>
    <row r="698" spans="1:2" x14ac:dyDescent="0.2">
      <c r="A698" s="18">
        <v>0.12657709882015958</v>
      </c>
      <c r="B698" s="18">
        <v>0</v>
      </c>
    </row>
    <row r="699" spans="1:2" x14ac:dyDescent="0.2">
      <c r="A699" s="18">
        <v>0.1267589624678897</v>
      </c>
      <c r="B699" s="18">
        <v>0</v>
      </c>
    </row>
    <row r="700" spans="1:2" x14ac:dyDescent="0.2">
      <c r="A700" s="18">
        <v>0.12694082611561983</v>
      </c>
      <c r="B700" s="18">
        <v>0</v>
      </c>
    </row>
    <row r="701" spans="1:2" x14ac:dyDescent="0.2">
      <c r="A701" s="18">
        <v>0.12712268976334992</v>
      </c>
      <c r="B701" s="18">
        <v>0</v>
      </c>
    </row>
    <row r="702" spans="1:2" x14ac:dyDescent="0.2">
      <c r="A702" s="18">
        <v>0.12730455341108005</v>
      </c>
      <c r="B702" s="18">
        <v>0</v>
      </c>
    </row>
    <row r="703" spans="1:2" x14ac:dyDescent="0.2">
      <c r="A703" s="18">
        <v>0.12748641705881017</v>
      </c>
      <c r="B703" s="18">
        <v>0</v>
      </c>
    </row>
    <row r="704" spans="1:2" x14ac:dyDescent="0.2">
      <c r="A704" s="18">
        <v>0.12766828070654027</v>
      </c>
      <c r="B704" s="18">
        <v>0</v>
      </c>
    </row>
    <row r="705" spans="1:2" x14ac:dyDescent="0.2">
      <c r="A705" s="18">
        <v>0.12785014435427039</v>
      </c>
      <c r="B705" s="18">
        <v>0</v>
      </c>
    </row>
    <row r="706" spans="1:2" x14ac:dyDescent="0.2">
      <c r="A706" s="18">
        <v>0.12803200800200051</v>
      </c>
      <c r="B706" s="18">
        <v>0</v>
      </c>
    </row>
    <row r="707" spans="1:2" x14ac:dyDescent="0.2">
      <c r="A707" s="18">
        <v>0.12821387164973061</v>
      </c>
      <c r="B707" s="18">
        <v>0</v>
      </c>
    </row>
    <row r="708" spans="1:2" x14ac:dyDescent="0.2">
      <c r="A708" s="18">
        <v>0.12839573529746073</v>
      </c>
      <c r="B708" s="18">
        <v>0</v>
      </c>
    </row>
    <row r="709" spans="1:2" x14ac:dyDescent="0.2">
      <c r="A709" s="18">
        <v>0.12857759894519086</v>
      </c>
      <c r="B709" s="18">
        <v>0</v>
      </c>
    </row>
    <row r="710" spans="1:2" x14ac:dyDescent="0.2">
      <c r="A710" s="18">
        <v>0.12875946259292095</v>
      </c>
      <c r="B710" s="18">
        <v>0</v>
      </c>
    </row>
    <row r="711" spans="1:2" x14ac:dyDescent="0.2">
      <c r="A711" s="18">
        <v>0.12894132624065108</v>
      </c>
      <c r="B711" s="18">
        <v>0</v>
      </c>
    </row>
    <row r="712" spans="1:2" x14ac:dyDescent="0.2">
      <c r="A712" s="18">
        <v>0.1291231898883812</v>
      </c>
      <c r="B712" s="18">
        <v>0</v>
      </c>
    </row>
    <row r="713" spans="1:2" x14ac:dyDescent="0.2">
      <c r="A713" s="18">
        <v>0.1293050535361113</v>
      </c>
      <c r="B713" s="18">
        <v>0</v>
      </c>
    </row>
    <row r="714" spans="1:2" x14ac:dyDescent="0.2">
      <c r="A714" s="18">
        <v>0.12948691718384142</v>
      </c>
      <c r="B714" s="18">
        <v>0</v>
      </c>
    </row>
    <row r="715" spans="1:2" x14ac:dyDescent="0.2">
      <c r="A715" s="18">
        <v>0.12966878083157155</v>
      </c>
      <c r="B715" s="18">
        <v>0</v>
      </c>
    </row>
    <row r="716" spans="1:2" x14ac:dyDescent="0.2">
      <c r="A716" s="18">
        <v>0.12985064447930164</v>
      </c>
      <c r="B716" s="18">
        <v>0</v>
      </c>
    </row>
    <row r="717" spans="1:2" x14ac:dyDescent="0.2">
      <c r="A717" s="18">
        <v>0.13003250812703177</v>
      </c>
      <c r="B717" s="18">
        <v>0</v>
      </c>
    </row>
    <row r="718" spans="1:2" x14ac:dyDescent="0.2">
      <c r="A718" s="18">
        <v>0.13021437177476189</v>
      </c>
      <c r="B718" s="18">
        <v>0</v>
      </c>
    </row>
    <row r="719" spans="1:2" x14ac:dyDescent="0.2">
      <c r="A719" s="18">
        <v>0.13039623542249199</v>
      </c>
      <c r="B719" s="18">
        <v>0</v>
      </c>
    </row>
    <row r="720" spans="1:2" x14ac:dyDescent="0.2">
      <c r="A720" s="18">
        <v>0.13057809907022211</v>
      </c>
      <c r="B720" s="18">
        <v>0</v>
      </c>
    </row>
    <row r="721" spans="1:2" x14ac:dyDescent="0.2">
      <c r="A721" s="18">
        <v>0.13075996271795223</v>
      </c>
      <c r="B721" s="18">
        <v>0</v>
      </c>
    </row>
    <row r="722" spans="1:2" x14ac:dyDescent="0.2">
      <c r="A722" s="18">
        <v>0.13094182636568233</v>
      </c>
      <c r="B722" s="18">
        <v>0</v>
      </c>
    </row>
    <row r="723" spans="1:2" x14ac:dyDescent="0.2">
      <c r="A723" s="18">
        <v>0.13112369001341245</v>
      </c>
      <c r="B723" s="18">
        <v>0</v>
      </c>
    </row>
    <row r="724" spans="1:2" x14ac:dyDescent="0.2">
      <c r="A724" s="18">
        <v>0.13130555366114258</v>
      </c>
      <c r="B724" s="18">
        <v>0</v>
      </c>
    </row>
    <row r="725" spans="1:2" x14ac:dyDescent="0.2">
      <c r="A725" s="18">
        <v>0.13148741730887267</v>
      </c>
      <c r="B725" s="18">
        <v>0</v>
      </c>
    </row>
    <row r="726" spans="1:2" x14ac:dyDescent="0.2">
      <c r="A726" s="18">
        <v>0.1316692809566028</v>
      </c>
      <c r="B726" s="18">
        <v>0</v>
      </c>
    </row>
    <row r="727" spans="1:2" x14ac:dyDescent="0.2">
      <c r="A727" s="18">
        <v>0.13185114460433289</v>
      </c>
      <c r="B727" s="18">
        <v>0</v>
      </c>
    </row>
    <row r="728" spans="1:2" x14ac:dyDescent="0.2">
      <c r="A728" s="18">
        <v>0.13203300825206302</v>
      </c>
      <c r="B728" s="18">
        <v>0</v>
      </c>
    </row>
    <row r="729" spans="1:2" x14ac:dyDescent="0.2">
      <c r="A729" s="18">
        <v>0.13221487189979314</v>
      </c>
      <c r="B729" s="18">
        <v>0</v>
      </c>
    </row>
    <row r="730" spans="1:2" x14ac:dyDescent="0.2">
      <c r="A730" s="18">
        <v>0.13239673554752324</v>
      </c>
      <c r="B730" s="18">
        <v>0</v>
      </c>
    </row>
    <row r="731" spans="1:2" x14ac:dyDescent="0.2">
      <c r="A731" s="18">
        <v>0.13257859919525336</v>
      </c>
      <c r="B731" s="18">
        <v>0</v>
      </c>
    </row>
    <row r="732" spans="1:2" x14ac:dyDescent="0.2">
      <c r="A732" s="18">
        <v>0.13276046284298348</v>
      </c>
      <c r="B732" s="18">
        <v>0</v>
      </c>
    </row>
    <row r="733" spans="1:2" x14ac:dyDescent="0.2">
      <c r="A733" s="18">
        <v>0.13294232649071358</v>
      </c>
      <c r="B733" s="18">
        <v>0</v>
      </c>
    </row>
    <row r="734" spans="1:2" x14ac:dyDescent="0.2">
      <c r="A734" s="18">
        <v>0.1331241901384437</v>
      </c>
      <c r="B734" s="18">
        <v>0</v>
      </c>
    </row>
    <row r="735" spans="1:2" x14ac:dyDescent="0.2">
      <c r="A735" s="18">
        <v>0.13330605378617383</v>
      </c>
      <c r="B735" s="18">
        <v>0</v>
      </c>
    </row>
    <row r="736" spans="1:2" x14ac:dyDescent="0.2">
      <c r="A736" s="18">
        <v>0.13348791743390392</v>
      </c>
      <c r="B736" s="18">
        <v>0</v>
      </c>
    </row>
    <row r="737" spans="1:2" x14ac:dyDescent="0.2">
      <c r="A737" s="18">
        <v>0.13366978108163405</v>
      </c>
      <c r="B737" s="18">
        <v>0</v>
      </c>
    </row>
    <row r="738" spans="1:2" x14ac:dyDescent="0.2">
      <c r="A738" s="18">
        <v>0.13385164472936417</v>
      </c>
      <c r="B738" s="18">
        <v>0</v>
      </c>
    </row>
    <row r="739" spans="1:2" x14ac:dyDescent="0.2">
      <c r="A739" s="18">
        <v>0.13403350837709427</v>
      </c>
      <c r="B739" s="18">
        <v>0</v>
      </c>
    </row>
    <row r="740" spans="1:2" x14ac:dyDescent="0.2">
      <c r="A740" s="18">
        <v>0.13421537202482439</v>
      </c>
      <c r="B740" s="18">
        <v>0</v>
      </c>
    </row>
    <row r="741" spans="1:2" x14ac:dyDescent="0.2">
      <c r="A741" s="18">
        <v>0.13439723567255452</v>
      </c>
      <c r="B741" s="18">
        <v>0</v>
      </c>
    </row>
    <row r="742" spans="1:2" x14ac:dyDescent="0.2">
      <c r="A742" s="18">
        <v>0.13457909932028461</v>
      </c>
      <c r="B742" s="18">
        <v>0</v>
      </c>
    </row>
    <row r="743" spans="1:2" x14ac:dyDescent="0.2">
      <c r="A743" s="18">
        <v>0.13476096296801474</v>
      </c>
      <c r="B743" s="18">
        <v>0</v>
      </c>
    </row>
    <row r="744" spans="1:2" x14ac:dyDescent="0.2">
      <c r="A744" s="18">
        <v>0.13494282661574486</v>
      </c>
      <c r="B744" s="18">
        <v>0</v>
      </c>
    </row>
    <row r="745" spans="1:2" x14ac:dyDescent="0.2">
      <c r="A745" s="18">
        <v>0.13512469026347496</v>
      </c>
      <c r="B745" s="18">
        <v>0</v>
      </c>
    </row>
    <row r="746" spans="1:2" x14ac:dyDescent="0.2">
      <c r="A746" s="18">
        <v>0.13530655391120508</v>
      </c>
      <c r="B746" s="18">
        <v>0</v>
      </c>
    </row>
    <row r="747" spans="1:2" x14ac:dyDescent="0.2">
      <c r="A747" s="18">
        <v>0.1354884175589352</v>
      </c>
      <c r="B747" s="18">
        <v>0</v>
      </c>
    </row>
    <row r="748" spans="1:2" x14ac:dyDescent="0.2">
      <c r="A748" s="18">
        <v>0.1356702812066653</v>
      </c>
      <c r="B748" s="18">
        <v>0</v>
      </c>
    </row>
    <row r="749" spans="1:2" x14ac:dyDescent="0.2">
      <c r="A749" s="18">
        <v>0.13585214485439542</v>
      </c>
      <c r="B749" s="18">
        <v>0</v>
      </c>
    </row>
    <row r="750" spans="1:2" x14ac:dyDescent="0.2">
      <c r="A750" s="18">
        <v>0.13603400850212555</v>
      </c>
      <c r="B750" s="18">
        <v>0</v>
      </c>
    </row>
    <row r="751" spans="1:2" x14ac:dyDescent="0.2">
      <c r="A751" s="18">
        <v>0.13621587214985564</v>
      </c>
      <c r="B751" s="18">
        <v>0</v>
      </c>
    </row>
    <row r="752" spans="1:2" x14ac:dyDescent="0.2">
      <c r="A752" s="18">
        <v>0.13639773579758577</v>
      </c>
      <c r="B752" s="18">
        <v>0</v>
      </c>
    </row>
    <row r="753" spans="1:2" x14ac:dyDescent="0.2">
      <c r="A753" s="18">
        <v>0.13657959944531589</v>
      </c>
      <c r="B753" s="18">
        <v>0</v>
      </c>
    </row>
    <row r="754" spans="1:2" x14ac:dyDescent="0.2">
      <c r="A754" s="18">
        <v>0.13676146309304599</v>
      </c>
      <c r="B754" s="18">
        <v>0</v>
      </c>
    </row>
    <row r="755" spans="1:2" x14ac:dyDescent="0.2">
      <c r="A755" s="18">
        <v>0.13694332674077611</v>
      </c>
      <c r="B755" s="18">
        <v>0</v>
      </c>
    </row>
    <row r="756" spans="1:2" x14ac:dyDescent="0.2">
      <c r="A756" s="18">
        <v>0.13712519038850624</v>
      </c>
      <c r="B756" s="18">
        <v>0</v>
      </c>
    </row>
    <row r="757" spans="1:2" x14ac:dyDescent="0.2">
      <c r="A757" s="18">
        <v>0.13730705403623633</v>
      </c>
      <c r="B757" s="18">
        <v>0</v>
      </c>
    </row>
    <row r="758" spans="1:2" x14ac:dyDescent="0.2">
      <c r="A758" s="18">
        <v>0.13748891768396646</v>
      </c>
      <c r="B758" s="18">
        <v>0</v>
      </c>
    </row>
    <row r="759" spans="1:2" x14ac:dyDescent="0.2">
      <c r="A759" s="18">
        <v>0.13767078133169658</v>
      </c>
      <c r="B759" s="18">
        <v>0</v>
      </c>
    </row>
    <row r="760" spans="1:2" x14ac:dyDescent="0.2">
      <c r="A760" s="18">
        <v>0.13785264497942668</v>
      </c>
      <c r="B760" s="18">
        <v>0</v>
      </c>
    </row>
    <row r="761" spans="1:2" x14ac:dyDescent="0.2">
      <c r="A761" s="18">
        <v>0.1380345086271568</v>
      </c>
      <c r="B761" s="18">
        <v>0</v>
      </c>
    </row>
    <row r="762" spans="1:2" x14ac:dyDescent="0.2">
      <c r="A762" s="18">
        <v>0.1382163722748869</v>
      </c>
      <c r="B762" s="18">
        <v>0</v>
      </c>
    </row>
    <row r="763" spans="1:2" x14ac:dyDescent="0.2">
      <c r="A763" s="18">
        <v>0.13839823592261702</v>
      </c>
      <c r="B763" s="18">
        <v>0</v>
      </c>
    </row>
    <row r="764" spans="1:2" x14ac:dyDescent="0.2">
      <c r="A764" s="18">
        <v>0.13858009957034714</v>
      </c>
      <c r="B764" s="18">
        <v>0</v>
      </c>
    </row>
    <row r="765" spans="1:2" x14ac:dyDescent="0.2">
      <c r="A765" s="18">
        <v>0.13876196321807724</v>
      </c>
      <c r="B765" s="18">
        <v>0</v>
      </c>
    </row>
    <row r="766" spans="1:2" x14ac:dyDescent="0.2">
      <c r="A766" s="18">
        <v>0.13894382686580736</v>
      </c>
      <c r="B766" s="18">
        <v>0</v>
      </c>
    </row>
    <row r="767" spans="1:2" x14ac:dyDescent="0.2">
      <c r="A767" s="18">
        <v>0.13912569051353749</v>
      </c>
      <c r="B767" s="18">
        <v>0</v>
      </c>
    </row>
    <row r="768" spans="1:2" x14ac:dyDescent="0.2">
      <c r="A768" s="18">
        <v>0.13930755416126758</v>
      </c>
      <c r="B768" s="18">
        <v>0</v>
      </c>
    </row>
    <row r="769" spans="1:2" x14ac:dyDescent="0.2">
      <c r="A769" s="18">
        <v>0.13948941780899771</v>
      </c>
      <c r="B769" s="18">
        <v>0</v>
      </c>
    </row>
    <row r="770" spans="1:2" x14ac:dyDescent="0.2">
      <c r="A770" s="18">
        <v>0.13967128145672783</v>
      </c>
      <c r="B770" s="18">
        <v>0</v>
      </c>
    </row>
    <row r="771" spans="1:2" x14ac:dyDescent="0.2">
      <c r="A771" s="18">
        <v>0.13985314510445793</v>
      </c>
      <c r="B771" s="18">
        <v>0</v>
      </c>
    </row>
    <row r="772" spans="1:2" x14ac:dyDescent="0.2">
      <c r="A772" s="18">
        <v>0.14003500875218805</v>
      </c>
      <c r="B772" s="18">
        <v>0</v>
      </c>
    </row>
    <row r="773" spans="1:2" x14ac:dyDescent="0.2">
      <c r="A773" s="18">
        <v>0.14021687239991817</v>
      </c>
      <c r="B773" s="18">
        <v>0</v>
      </c>
    </row>
    <row r="774" spans="1:2" x14ac:dyDescent="0.2">
      <c r="A774" s="18">
        <v>0.14039873604764827</v>
      </c>
      <c r="B774" s="18">
        <v>0</v>
      </c>
    </row>
    <row r="775" spans="1:2" x14ac:dyDescent="0.2">
      <c r="A775" s="18">
        <v>0.14058059969537839</v>
      </c>
      <c r="B775" s="18">
        <v>0</v>
      </c>
    </row>
    <row r="776" spans="1:2" x14ac:dyDescent="0.2">
      <c r="A776" s="18">
        <v>0.14076246334310852</v>
      </c>
      <c r="B776" s="18">
        <v>0</v>
      </c>
    </row>
    <row r="777" spans="1:2" x14ac:dyDescent="0.2">
      <c r="A777" s="18">
        <v>0.14094432699083861</v>
      </c>
      <c r="B777" s="18">
        <v>0</v>
      </c>
    </row>
    <row r="778" spans="1:2" x14ac:dyDescent="0.2">
      <c r="A778" s="18">
        <v>0.14112619063856874</v>
      </c>
      <c r="B778" s="18">
        <v>0</v>
      </c>
    </row>
    <row r="779" spans="1:2" x14ac:dyDescent="0.2">
      <c r="A779" s="18">
        <v>0.14130805428629886</v>
      </c>
      <c r="B779" s="18">
        <v>0</v>
      </c>
    </row>
    <row r="780" spans="1:2" x14ac:dyDescent="0.2">
      <c r="A780" s="18">
        <v>0.14148991793402896</v>
      </c>
      <c r="B780" s="18">
        <v>0</v>
      </c>
    </row>
    <row r="781" spans="1:2" x14ac:dyDescent="0.2">
      <c r="A781" s="18">
        <v>0.14167178158175908</v>
      </c>
      <c r="B781" s="18">
        <v>0</v>
      </c>
    </row>
    <row r="782" spans="1:2" x14ac:dyDescent="0.2">
      <c r="A782" s="18">
        <v>0.14185364522948921</v>
      </c>
      <c r="B782" s="18">
        <v>1</v>
      </c>
    </row>
    <row r="783" spans="1:2" x14ac:dyDescent="0.2">
      <c r="A783" s="18">
        <v>0.1420355088772193</v>
      </c>
      <c r="B783" s="18">
        <v>0</v>
      </c>
    </row>
    <row r="784" spans="1:2" x14ac:dyDescent="0.2">
      <c r="A784" s="18">
        <v>0.14221737252494943</v>
      </c>
      <c r="B784" s="18">
        <v>0</v>
      </c>
    </row>
    <row r="785" spans="1:2" x14ac:dyDescent="0.2">
      <c r="A785" s="18">
        <v>0.14239923617267955</v>
      </c>
      <c r="B785" s="18">
        <v>0</v>
      </c>
    </row>
    <row r="786" spans="1:2" x14ac:dyDescent="0.2">
      <c r="A786" s="18">
        <v>0.14258109982040965</v>
      </c>
      <c r="B786" s="18">
        <v>0</v>
      </c>
    </row>
    <row r="787" spans="1:2" x14ac:dyDescent="0.2">
      <c r="A787" s="18">
        <v>0.14276296346813977</v>
      </c>
      <c r="B787" s="18">
        <v>0</v>
      </c>
    </row>
    <row r="788" spans="1:2" x14ac:dyDescent="0.2">
      <c r="A788" s="18">
        <v>0.14294482711586989</v>
      </c>
      <c r="B788" s="18">
        <v>0</v>
      </c>
    </row>
    <row r="789" spans="1:2" x14ac:dyDescent="0.2">
      <c r="A789" s="18">
        <v>0.14312669076359999</v>
      </c>
      <c r="B789" s="18">
        <v>0</v>
      </c>
    </row>
    <row r="790" spans="1:2" x14ac:dyDescent="0.2">
      <c r="A790" s="18">
        <v>0.14330855441133011</v>
      </c>
      <c r="B790" s="18">
        <v>0</v>
      </c>
    </row>
    <row r="791" spans="1:2" x14ac:dyDescent="0.2">
      <c r="A791" s="18">
        <v>0.14349041805906024</v>
      </c>
      <c r="B791" s="18">
        <v>0</v>
      </c>
    </row>
    <row r="792" spans="1:2" x14ac:dyDescent="0.2">
      <c r="A792" s="18">
        <v>0.14367228170679033</v>
      </c>
      <c r="B792" s="18">
        <v>0</v>
      </c>
    </row>
    <row r="793" spans="1:2" x14ac:dyDescent="0.2">
      <c r="A793" s="18">
        <v>0.14385414535452046</v>
      </c>
      <c r="B793" s="18">
        <v>0</v>
      </c>
    </row>
    <row r="794" spans="1:2" x14ac:dyDescent="0.2">
      <c r="A794" s="18">
        <v>0.14403600900225058</v>
      </c>
      <c r="B794" s="18">
        <v>0</v>
      </c>
    </row>
    <row r="795" spans="1:2" x14ac:dyDescent="0.2">
      <c r="A795" s="18">
        <v>0.14421787264998068</v>
      </c>
      <c r="B795" s="18">
        <v>0</v>
      </c>
    </row>
    <row r="796" spans="1:2" x14ac:dyDescent="0.2">
      <c r="A796" s="18">
        <v>0.1443997362977108</v>
      </c>
      <c r="B796" s="18">
        <v>0</v>
      </c>
    </row>
    <row r="797" spans="1:2" x14ac:dyDescent="0.2">
      <c r="A797" s="18">
        <v>0.1445815999454409</v>
      </c>
      <c r="B797" s="18">
        <v>0</v>
      </c>
    </row>
    <row r="798" spans="1:2" x14ac:dyDescent="0.2">
      <c r="A798" s="18">
        <v>0.14476346359317102</v>
      </c>
      <c r="B798" s="18">
        <v>0</v>
      </c>
    </row>
    <row r="799" spans="1:2" x14ac:dyDescent="0.2">
      <c r="A799" s="18">
        <v>0.14494532724090115</v>
      </c>
      <c r="B799" s="18">
        <v>0</v>
      </c>
    </row>
    <row r="800" spans="1:2" x14ac:dyDescent="0.2">
      <c r="A800" s="18">
        <v>0.14512719088863124</v>
      </c>
      <c r="B800" s="18">
        <v>0</v>
      </c>
    </row>
    <row r="801" spans="1:2" x14ac:dyDescent="0.2">
      <c r="A801" s="18">
        <v>0.14530905453636137</v>
      </c>
      <c r="B801" s="18">
        <v>0</v>
      </c>
    </row>
    <row r="802" spans="1:2" x14ac:dyDescent="0.2">
      <c r="A802" s="18">
        <v>0.14549091818409149</v>
      </c>
      <c r="B802" s="18">
        <v>0</v>
      </c>
    </row>
    <row r="803" spans="1:2" x14ac:dyDescent="0.2">
      <c r="A803" s="18">
        <v>0.14567278183182159</v>
      </c>
      <c r="B803" s="18">
        <v>0</v>
      </c>
    </row>
    <row r="804" spans="1:2" x14ac:dyDescent="0.2">
      <c r="A804" s="18">
        <v>0.14585464547955171</v>
      </c>
      <c r="B804" s="18">
        <v>0</v>
      </c>
    </row>
    <row r="805" spans="1:2" x14ac:dyDescent="0.2">
      <c r="A805" s="18">
        <v>0.14603650912728183</v>
      </c>
      <c r="B805" s="18">
        <v>0</v>
      </c>
    </row>
    <row r="806" spans="1:2" x14ac:dyDescent="0.2">
      <c r="A806" s="18">
        <v>0.14621837277501193</v>
      </c>
      <c r="B806" s="18">
        <v>0</v>
      </c>
    </row>
    <row r="807" spans="1:2" x14ac:dyDescent="0.2">
      <c r="A807" s="18">
        <v>0.14640023642274205</v>
      </c>
      <c r="B807" s="18">
        <v>0</v>
      </c>
    </row>
    <row r="808" spans="1:2" x14ac:dyDescent="0.2">
      <c r="A808" s="18">
        <v>0.14658210007047218</v>
      </c>
      <c r="B808" s="18">
        <v>0</v>
      </c>
    </row>
    <row r="809" spans="1:2" x14ac:dyDescent="0.2">
      <c r="A809" s="18">
        <v>0.14676396371820227</v>
      </c>
      <c r="B809" s="18">
        <v>0</v>
      </c>
    </row>
    <row r="810" spans="1:2" x14ac:dyDescent="0.2">
      <c r="A810" s="18">
        <v>0.1469458273659324</v>
      </c>
      <c r="B810" s="18">
        <v>0</v>
      </c>
    </row>
    <row r="811" spans="1:2" x14ac:dyDescent="0.2">
      <c r="A811" s="18">
        <v>0.14712769101366252</v>
      </c>
      <c r="B811" s="18">
        <v>0</v>
      </c>
    </row>
    <row r="812" spans="1:2" x14ac:dyDescent="0.2">
      <c r="A812" s="18">
        <v>0.14730955466139262</v>
      </c>
      <c r="B812" s="18">
        <v>0</v>
      </c>
    </row>
    <row r="813" spans="1:2" x14ac:dyDescent="0.2">
      <c r="A813" s="18">
        <v>0.14749141830912274</v>
      </c>
      <c r="B813" s="18">
        <v>0</v>
      </c>
    </row>
    <row r="814" spans="1:2" x14ac:dyDescent="0.2">
      <c r="A814" s="18">
        <v>0.14767328195685286</v>
      </c>
      <c r="B814" s="18">
        <v>0</v>
      </c>
    </row>
    <row r="815" spans="1:2" x14ac:dyDescent="0.2">
      <c r="A815" s="18">
        <v>0.14785514560458296</v>
      </c>
      <c r="B815" s="18">
        <v>0</v>
      </c>
    </row>
    <row r="816" spans="1:2" x14ac:dyDescent="0.2">
      <c r="A816" s="18">
        <v>0.14803700925231308</v>
      </c>
      <c r="B816" s="18">
        <v>0</v>
      </c>
    </row>
    <row r="817" spans="1:2" x14ac:dyDescent="0.2">
      <c r="A817" s="18">
        <v>0.14821887290004321</v>
      </c>
      <c r="B817" s="18">
        <v>0</v>
      </c>
    </row>
    <row r="818" spans="1:2" x14ac:dyDescent="0.2">
      <c r="A818" s="18">
        <v>0.1484007365477733</v>
      </c>
      <c r="B818" s="18">
        <v>0</v>
      </c>
    </row>
    <row r="819" spans="1:2" x14ac:dyDescent="0.2">
      <c r="A819" s="18">
        <v>0.14858260019550343</v>
      </c>
      <c r="B819" s="18">
        <v>0</v>
      </c>
    </row>
    <row r="820" spans="1:2" x14ac:dyDescent="0.2">
      <c r="A820" s="18">
        <v>0.14876446384323355</v>
      </c>
      <c r="B820" s="18">
        <v>0</v>
      </c>
    </row>
    <row r="821" spans="1:2" x14ac:dyDescent="0.2">
      <c r="A821" s="18">
        <v>0.14894632749096365</v>
      </c>
      <c r="B821" s="18">
        <v>0</v>
      </c>
    </row>
    <row r="822" spans="1:2" x14ac:dyDescent="0.2">
      <c r="A822" s="18">
        <v>0.14912819113869377</v>
      </c>
      <c r="B822" s="18">
        <v>0</v>
      </c>
    </row>
    <row r="823" spans="1:2" x14ac:dyDescent="0.2">
      <c r="A823" s="18">
        <v>0.1493100547864239</v>
      </c>
      <c r="B823" s="18">
        <v>0</v>
      </c>
    </row>
    <row r="824" spans="1:2" x14ac:dyDescent="0.2">
      <c r="A824" s="18">
        <v>0.14949191843415399</v>
      </c>
      <c r="B824" s="18">
        <v>0</v>
      </c>
    </row>
    <row r="825" spans="1:2" x14ac:dyDescent="0.2">
      <c r="A825" s="18">
        <v>0.14967378208188412</v>
      </c>
      <c r="B825" s="18">
        <v>0</v>
      </c>
    </row>
    <row r="826" spans="1:2" x14ac:dyDescent="0.2">
      <c r="A826" s="18">
        <v>0.14985564572961424</v>
      </c>
      <c r="B826" s="18">
        <v>0</v>
      </c>
    </row>
    <row r="827" spans="1:2" x14ac:dyDescent="0.2">
      <c r="A827" s="18">
        <v>0.15003750937734434</v>
      </c>
      <c r="B827" s="18">
        <v>0</v>
      </c>
    </row>
    <row r="828" spans="1:2" x14ac:dyDescent="0.2">
      <c r="A828" s="18">
        <v>0.15021937302507446</v>
      </c>
      <c r="B828" s="18">
        <v>0</v>
      </c>
    </row>
    <row r="829" spans="1:2" x14ac:dyDescent="0.2">
      <c r="A829" s="18">
        <v>0.15040123667280458</v>
      </c>
      <c r="B829" s="18">
        <v>0</v>
      </c>
    </row>
    <row r="830" spans="1:2" x14ac:dyDescent="0.2">
      <c r="A830" s="18">
        <v>0.15058310032053468</v>
      </c>
      <c r="B830" s="18">
        <v>0</v>
      </c>
    </row>
    <row r="831" spans="1:2" x14ac:dyDescent="0.2">
      <c r="A831" s="18">
        <v>0.1507649639682648</v>
      </c>
      <c r="B831" s="18">
        <v>0</v>
      </c>
    </row>
    <row r="832" spans="1:2" x14ac:dyDescent="0.2">
      <c r="A832" s="18">
        <v>0.1509468276159949</v>
      </c>
      <c r="B832" s="18">
        <v>0</v>
      </c>
    </row>
    <row r="833" spans="1:2" x14ac:dyDescent="0.2">
      <c r="A833" s="18">
        <v>0.15112869126372502</v>
      </c>
      <c r="B833" s="18">
        <v>0</v>
      </c>
    </row>
    <row r="834" spans="1:2" x14ac:dyDescent="0.2">
      <c r="A834" s="18">
        <v>0.15131055491145515</v>
      </c>
      <c r="B834" s="18">
        <v>0</v>
      </c>
    </row>
    <row r="835" spans="1:2" x14ac:dyDescent="0.2">
      <c r="A835" s="18">
        <v>0.15149241855918524</v>
      </c>
      <c r="B835" s="18">
        <v>0</v>
      </c>
    </row>
    <row r="836" spans="1:2" x14ac:dyDescent="0.2">
      <c r="A836" s="18">
        <v>0.15167428220691537</v>
      </c>
      <c r="B836" s="18">
        <v>0</v>
      </c>
    </row>
    <row r="837" spans="1:2" x14ac:dyDescent="0.2">
      <c r="A837" s="18">
        <v>0.15185614585464549</v>
      </c>
      <c r="B837" s="18">
        <v>0</v>
      </c>
    </row>
    <row r="838" spans="1:2" x14ac:dyDescent="0.2">
      <c r="A838" s="18">
        <v>0.15203800950237559</v>
      </c>
      <c r="B838" s="18">
        <v>0</v>
      </c>
    </row>
    <row r="839" spans="1:2" x14ac:dyDescent="0.2">
      <c r="A839" s="18">
        <v>0.15221987315010571</v>
      </c>
      <c r="B839" s="18">
        <v>0</v>
      </c>
    </row>
    <row r="840" spans="1:2" x14ac:dyDescent="0.2">
      <c r="A840" s="18">
        <v>0.15240173679783584</v>
      </c>
      <c r="B840" s="18">
        <v>0</v>
      </c>
    </row>
    <row r="841" spans="1:2" x14ac:dyDescent="0.2">
      <c r="A841" s="18">
        <v>0.15258360044556593</v>
      </c>
      <c r="B841" s="18">
        <v>0</v>
      </c>
    </row>
    <row r="842" spans="1:2" x14ac:dyDescent="0.2">
      <c r="A842" s="18">
        <v>0.15276546409329606</v>
      </c>
      <c r="B842" s="18">
        <v>0</v>
      </c>
    </row>
    <row r="843" spans="1:2" x14ac:dyDescent="0.2">
      <c r="A843" s="18">
        <v>0.15294732774102618</v>
      </c>
      <c r="B843" s="18">
        <v>0</v>
      </c>
    </row>
    <row r="844" spans="1:2" x14ac:dyDescent="0.2">
      <c r="A844" s="18">
        <v>0.15312919138875628</v>
      </c>
      <c r="B844" s="18">
        <v>0</v>
      </c>
    </row>
    <row r="845" spans="1:2" x14ac:dyDescent="0.2">
      <c r="A845" s="18">
        <v>0.1533110550364864</v>
      </c>
      <c r="B845" s="18">
        <v>0</v>
      </c>
    </row>
    <row r="846" spans="1:2" x14ac:dyDescent="0.2">
      <c r="A846" s="18">
        <v>0.15349291868421652</v>
      </c>
      <c r="B846" s="18">
        <v>0</v>
      </c>
    </row>
    <row r="847" spans="1:2" x14ac:dyDescent="0.2">
      <c r="A847" s="18">
        <v>0.15367478233194662</v>
      </c>
      <c r="B847" s="18">
        <v>0</v>
      </c>
    </row>
    <row r="848" spans="1:2" x14ac:dyDescent="0.2">
      <c r="A848" s="18">
        <v>0.15385664597967674</v>
      </c>
      <c r="B848" s="18">
        <v>0</v>
      </c>
    </row>
    <row r="849" spans="1:2" x14ac:dyDescent="0.2">
      <c r="A849" s="18">
        <v>0.15403850962740687</v>
      </c>
      <c r="B849" s="18">
        <v>0</v>
      </c>
    </row>
    <row r="850" spans="1:2" x14ac:dyDescent="0.2">
      <c r="A850" s="18">
        <v>0.15422037327513696</v>
      </c>
      <c r="B850" s="18">
        <v>0</v>
      </c>
    </row>
    <row r="851" spans="1:2" x14ac:dyDescent="0.2">
      <c r="A851" s="18">
        <v>0.15440223692286709</v>
      </c>
      <c r="B851" s="18">
        <v>0</v>
      </c>
    </row>
    <row r="852" spans="1:2" x14ac:dyDescent="0.2">
      <c r="A852" s="18">
        <v>0.15458410057059721</v>
      </c>
      <c r="B852" s="18">
        <v>0</v>
      </c>
    </row>
    <row r="853" spans="1:2" x14ac:dyDescent="0.2">
      <c r="A853" s="18">
        <v>0.15476596421832731</v>
      </c>
      <c r="B853" s="18">
        <v>0</v>
      </c>
    </row>
    <row r="854" spans="1:2" x14ac:dyDescent="0.2">
      <c r="A854" s="18">
        <v>0.15494782786605743</v>
      </c>
      <c r="B854" s="18">
        <v>0</v>
      </c>
    </row>
    <row r="855" spans="1:2" x14ac:dyDescent="0.2">
      <c r="A855" s="18">
        <v>0.15512969151378755</v>
      </c>
      <c r="B855" s="18">
        <v>0</v>
      </c>
    </row>
    <row r="856" spans="1:2" x14ac:dyDescent="0.2">
      <c r="A856" s="18">
        <v>0.15531155516151765</v>
      </c>
      <c r="B856" s="18">
        <v>0</v>
      </c>
    </row>
    <row r="857" spans="1:2" x14ac:dyDescent="0.2">
      <c r="A857" s="18">
        <v>0.15549341880924777</v>
      </c>
      <c r="B857" s="18">
        <v>0</v>
      </c>
    </row>
    <row r="858" spans="1:2" x14ac:dyDescent="0.2">
      <c r="A858" s="18">
        <v>0.1556752824569779</v>
      </c>
      <c r="B858" s="18">
        <v>0</v>
      </c>
    </row>
    <row r="859" spans="1:2" x14ac:dyDescent="0.2">
      <c r="A859" s="18">
        <v>0.15585714610470799</v>
      </c>
      <c r="B859" s="18">
        <v>0</v>
      </c>
    </row>
    <row r="860" spans="1:2" x14ac:dyDescent="0.2">
      <c r="A860" s="18">
        <v>0.15603900975243812</v>
      </c>
      <c r="B860" s="18">
        <v>0</v>
      </c>
    </row>
    <row r="861" spans="1:2" x14ac:dyDescent="0.2">
      <c r="A861" s="18">
        <v>0.15622087340016824</v>
      </c>
      <c r="B861" s="18">
        <v>0</v>
      </c>
    </row>
    <row r="862" spans="1:2" x14ac:dyDescent="0.2">
      <c r="A862" s="18">
        <v>0.15640273704789834</v>
      </c>
      <c r="B862" s="18">
        <v>0</v>
      </c>
    </row>
    <row r="863" spans="1:2" x14ac:dyDescent="0.2">
      <c r="A863" s="18">
        <v>0.15658460069562846</v>
      </c>
      <c r="B863" s="18">
        <v>0</v>
      </c>
    </row>
    <row r="864" spans="1:2" x14ac:dyDescent="0.2">
      <c r="A864" s="18">
        <v>0.15676646434335859</v>
      </c>
      <c r="B864" s="18">
        <v>0</v>
      </c>
    </row>
    <row r="865" spans="1:2" x14ac:dyDescent="0.2">
      <c r="A865" s="18">
        <v>0.15694832799108868</v>
      </c>
      <c r="B865" s="18">
        <v>0</v>
      </c>
    </row>
    <row r="866" spans="1:2" x14ac:dyDescent="0.2">
      <c r="A866" s="18">
        <v>0.15713019163881881</v>
      </c>
      <c r="B866" s="18">
        <v>0</v>
      </c>
    </row>
    <row r="867" spans="1:2" x14ac:dyDescent="0.2">
      <c r="A867" s="18">
        <v>0.15731205528654893</v>
      </c>
      <c r="B867" s="18">
        <v>0</v>
      </c>
    </row>
    <row r="868" spans="1:2" x14ac:dyDescent="0.2">
      <c r="A868" s="18">
        <v>0.15749391893427903</v>
      </c>
      <c r="B868" s="18">
        <v>0</v>
      </c>
    </row>
    <row r="869" spans="1:2" x14ac:dyDescent="0.2">
      <c r="A869" s="18">
        <v>0.15767578258200915</v>
      </c>
      <c r="B869" s="18">
        <v>0</v>
      </c>
    </row>
    <row r="870" spans="1:2" x14ac:dyDescent="0.2">
      <c r="A870" s="18">
        <v>0.15785764622973925</v>
      </c>
      <c r="B870" s="18">
        <v>0</v>
      </c>
    </row>
    <row r="871" spans="1:2" x14ac:dyDescent="0.2">
      <c r="A871" s="18">
        <v>0.15803950987746937</v>
      </c>
      <c r="B871" s="18">
        <v>0</v>
      </c>
    </row>
    <row r="872" spans="1:2" x14ac:dyDescent="0.2">
      <c r="A872" s="18">
        <v>0.15822137352519949</v>
      </c>
      <c r="B872" s="18">
        <v>0</v>
      </c>
    </row>
    <row r="873" spans="1:2" x14ac:dyDescent="0.2">
      <c r="A873" s="18">
        <v>0.15840323717292959</v>
      </c>
      <c r="B873" s="18">
        <v>0</v>
      </c>
    </row>
    <row r="874" spans="1:2" x14ac:dyDescent="0.2">
      <c r="A874" s="18">
        <v>0.15858510082065971</v>
      </c>
      <c r="B874" s="18">
        <v>0</v>
      </c>
    </row>
    <row r="875" spans="1:2" x14ac:dyDescent="0.2">
      <c r="A875" s="18">
        <v>0.15876696446838984</v>
      </c>
      <c r="B875" s="18">
        <v>0</v>
      </c>
    </row>
    <row r="876" spans="1:2" x14ac:dyDescent="0.2">
      <c r="A876" s="18">
        <v>0.15894882811611993</v>
      </c>
      <c r="B876" s="18">
        <v>0</v>
      </c>
    </row>
    <row r="877" spans="1:2" x14ac:dyDescent="0.2">
      <c r="A877" s="18">
        <v>0.15913069176385006</v>
      </c>
      <c r="B877" s="18">
        <v>0</v>
      </c>
    </row>
    <row r="878" spans="1:2" x14ac:dyDescent="0.2">
      <c r="A878" s="18">
        <v>0.15931255541158018</v>
      </c>
      <c r="B878" s="18">
        <v>0</v>
      </c>
    </row>
    <row r="879" spans="1:2" x14ac:dyDescent="0.2">
      <c r="A879" s="18">
        <v>0.15949441905931028</v>
      </c>
      <c r="B879" s="18">
        <v>0</v>
      </c>
    </row>
    <row r="880" spans="1:2" x14ac:dyDescent="0.2">
      <c r="A880" s="18">
        <v>0.1596762827070404</v>
      </c>
      <c r="B880" s="18">
        <v>0</v>
      </c>
    </row>
    <row r="881" spans="1:2" x14ac:dyDescent="0.2">
      <c r="A881" s="18">
        <v>0.15985814635477053</v>
      </c>
      <c r="B881" s="18">
        <v>0</v>
      </c>
    </row>
    <row r="882" spans="1:2" x14ac:dyDescent="0.2">
      <c r="A882" s="18">
        <v>0.16004001000250062</v>
      </c>
      <c r="B882" s="18">
        <v>0</v>
      </c>
    </row>
    <row r="883" spans="1:2" x14ac:dyDescent="0.2">
      <c r="A883" s="18">
        <v>0.16022187365023075</v>
      </c>
      <c r="B883" s="18">
        <v>0</v>
      </c>
    </row>
    <row r="884" spans="1:2" x14ac:dyDescent="0.2">
      <c r="A884" s="18">
        <v>0.16040373729796087</v>
      </c>
      <c r="B884" s="18">
        <v>0</v>
      </c>
    </row>
    <row r="885" spans="1:2" x14ac:dyDescent="0.2">
      <c r="A885" s="18">
        <v>0.16058560094569096</v>
      </c>
      <c r="B885" s="18">
        <v>0</v>
      </c>
    </row>
    <row r="886" spans="1:2" x14ac:dyDescent="0.2">
      <c r="A886" s="18">
        <v>0.16076746459342109</v>
      </c>
      <c r="B886" s="18">
        <v>0</v>
      </c>
    </row>
    <row r="887" spans="1:2" x14ac:dyDescent="0.2">
      <c r="A887" s="18">
        <v>0.16094932824115121</v>
      </c>
      <c r="B887" s="18">
        <v>0</v>
      </c>
    </row>
    <row r="888" spans="1:2" x14ac:dyDescent="0.2">
      <c r="A888" s="18">
        <v>0.16113119188888131</v>
      </c>
      <c r="B888" s="18">
        <v>0</v>
      </c>
    </row>
    <row r="889" spans="1:2" x14ac:dyDescent="0.2">
      <c r="A889" s="18">
        <v>0.16131305553661143</v>
      </c>
      <c r="B889" s="18">
        <v>0</v>
      </c>
    </row>
    <row r="890" spans="1:2" x14ac:dyDescent="0.2">
      <c r="A890" s="18">
        <v>0.16149491918434156</v>
      </c>
      <c r="B890" s="18">
        <v>0</v>
      </c>
    </row>
    <row r="891" spans="1:2" x14ac:dyDescent="0.2">
      <c r="A891" s="18">
        <v>0.16167678283207165</v>
      </c>
      <c r="B891" s="18">
        <v>0</v>
      </c>
    </row>
    <row r="892" spans="1:2" x14ac:dyDescent="0.2">
      <c r="A892" s="18">
        <v>0.16185864647980178</v>
      </c>
      <c r="B892" s="18">
        <v>0</v>
      </c>
    </row>
    <row r="893" spans="1:2" x14ac:dyDescent="0.2">
      <c r="A893" s="18">
        <v>0.1620405101275319</v>
      </c>
      <c r="B893" s="18">
        <v>0</v>
      </c>
    </row>
    <row r="894" spans="1:2" x14ac:dyDescent="0.2">
      <c r="A894" s="18">
        <v>0.162222373775262</v>
      </c>
      <c r="B894" s="18">
        <v>0</v>
      </c>
    </row>
    <row r="895" spans="1:2" x14ac:dyDescent="0.2">
      <c r="A895" s="18">
        <v>0.16240423742299212</v>
      </c>
      <c r="B895" s="18">
        <v>0</v>
      </c>
    </row>
    <row r="896" spans="1:2" x14ac:dyDescent="0.2">
      <c r="A896" s="18">
        <v>0.16258610107072224</v>
      </c>
      <c r="B896" s="18">
        <v>0</v>
      </c>
    </row>
    <row r="897" spans="1:2" x14ac:dyDescent="0.2">
      <c r="A897" s="18">
        <v>0.16276796471845234</v>
      </c>
      <c r="B897" s="18">
        <v>0</v>
      </c>
    </row>
    <row r="898" spans="1:2" x14ac:dyDescent="0.2">
      <c r="A898" s="18">
        <v>0.16294982836618246</v>
      </c>
      <c r="B898" s="18">
        <v>0</v>
      </c>
    </row>
    <row r="899" spans="1:2" x14ac:dyDescent="0.2">
      <c r="A899" s="18">
        <v>0.16313169201391259</v>
      </c>
      <c r="B899" s="18">
        <v>0</v>
      </c>
    </row>
    <row r="900" spans="1:2" x14ac:dyDescent="0.2">
      <c r="A900" s="18">
        <v>0.16331355566164268</v>
      </c>
      <c r="B900" s="18">
        <v>0</v>
      </c>
    </row>
    <row r="901" spans="1:2" x14ac:dyDescent="0.2">
      <c r="A901" s="18">
        <v>0.16349541930937281</v>
      </c>
      <c r="B901" s="18">
        <v>0</v>
      </c>
    </row>
    <row r="902" spans="1:2" x14ac:dyDescent="0.2">
      <c r="A902" s="18">
        <v>0.16367728295710293</v>
      </c>
      <c r="B902" s="18">
        <v>0</v>
      </c>
    </row>
    <row r="903" spans="1:2" x14ac:dyDescent="0.2">
      <c r="A903" s="18">
        <v>0.16385914660483303</v>
      </c>
      <c r="B903" s="18">
        <v>0</v>
      </c>
    </row>
    <row r="904" spans="1:2" x14ac:dyDescent="0.2">
      <c r="A904" s="18">
        <v>0.16404101025256315</v>
      </c>
      <c r="B904" s="18">
        <v>0</v>
      </c>
    </row>
    <row r="905" spans="1:2" x14ac:dyDescent="0.2">
      <c r="A905" s="18">
        <v>0.16422287390029325</v>
      </c>
      <c r="B905" s="18">
        <v>0</v>
      </c>
    </row>
    <row r="906" spans="1:2" x14ac:dyDescent="0.2">
      <c r="A906" s="18">
        <v>0.16440473754802337</v>
      </c>
      <c r="B906" s="18">
        <v>0</v>
      </c>
    </row>
    <row r="907" spans="1:2" x14ac:dyDescent="0.2">
      <c r="A907" s="18">
        <v>0.1645866011957535</v>
      </c>
      <c r="B907" s="18">
        <v>0</v>
      </c>
    </row>
    <row r="908" spans="1:2" x14ac:dyDescent="0.2">
      <c r="A908" s="18">
        <v>0.16476846484348359</v>
      </c>
      <c r="B908" s="18">
        <v>0</v>
      </c>
    </row>
    <row r="909" spans="1:2" x14ac:dyDescent="0.2">
      <c r="A909" s="18">
        <v>0.16495032849121372</v>
      </c>
      <c r="B909" s="18">
        <v>0</v>
      </c>
    </row>
    <row r="910" spans="1:2" x14ac:dyDescent="0.2">
      <c r="A910" s="18">
        <v>0.16513219213894384</v>
      </c>
      <c r="B910" s="18">
        <v>0</v>
      </c>
    </row>
    <row r="911" spans="1:2" x14ac:dyDescent="0.2">
      <c r="A911" s="18">
        <v>0.16531405578667394</v>
      </c>
      <c r="B911" s="18">
        <v>0</v>
      </c>
    </row>
    <row r="912" spans="1:2" x14ac:dyDescent="0.2">
      <c r="A912" s="18">
        <v>0.16549591943440406</v>
      </c>
      <c r="B912" s="18">
        <v>0</v>
      </c>
    </row>
    <row r="913" spans="1:2" x14ac:dyDescent="0.2">
      <c r="A913" s="18">
        <v>0.16567778308213418</v>
      </c>
      <c r="B913" s="18">
        <v>0</v>
      </c>
    </row>
    <row r="914" spans="1:2" x14ac:dyDescent="0.2">
      <c r="A914" s="18">
        <v>0.16585964672986428</v>
      </c>
      <c r="B914" s="18">
        <v>0</v>
      </c>
    </row>
    <row r="915" spans="1:2" x14ac:dyDescent="0.2">
      <c r="A915" s="18">
        <v>0.1660415103775944</v>
      </c>
      <c r="B915" s="18">
        <v>0</v>
      </c>
    </row>
    <row r="916" spans="1:2" x14ac:dyDescent="0.2">
      <c r="A916" s="18">
        <v>0.16622337402532453</v>
      </c>
      <c r="B916" s="18">
        <v>0</v>
      </c>
    </row>
    <row r="917" spans="1:2" x14ac:dyDescent="0.2">
      <c r="A917" s="18">
        <v>0.16640523767305462</v>
      </c>
      <c r="B917" s="18">
        <v>0</v>
      </c>
    </row>
    <row r="918" spans="1:2" x14ac:dyDescent="0.2">
      <c r="A918" s="18">
        <v>0.16658710132078475</v>
      </c>
      <c r="B918" s="18">
        <v>0</v>
      </c>
    </row>
    <row r="919" spans="1:2" x14ac:dyDescent="0.2">
      <c r="A919" s="18">
        <v>0.16676896496851487</v>
      </c>
      <c r="B919" s="18">
        <v>0</v>
      </c>
    </row>
    <row r="920" spans="1:2" x14ac:dyDescent="0.2">
      <c r="A920" s="18">
        <v>0.16695082861624497</v>
      </c>
      <c r="B920" s="18">
        <v>0</v>
      </c>
    </row>
    <row r="921" spans="1:2" x14ac:dyDescent="0.2">
      <c r="A921" s="18">
        <v>0.16713269226397509</v>
      </c>
      <c r="B921" s="18">
        <v>0</v>
      </c>
    </row>
    <row r="922" spans="1:2" x14ac:dyDescent="0.2">
      <c r="A922" s="18">
        <v>0.16731455591170522</v>
      </c>
      <c r="B922" s="18">
        <v>0</v>
      </c>
    </row>
    <row r="923" spans="1:2" x14ac:dyDescent="0.2">
      <c r="A923" s="18">
        <v>0.16749641955943531</v>
      </c>
      <c r="B923" s="18">
        <v>0</v>
      </c>
    </row>
    <row r="924" spans="1:2" x14ac:dyDescent="0.2">
      <c r="A924" s="18">
        <v>0.16767828320716543</v>
      </c>
      <c r="B924" s="18">
        <v>0</v>
      </c>
    </row>
    <row r="925" spans="1:2" x14ac:dyDescent="0.2">
      <c r="A925" s="18">
        <v>0.16786014685489556</v>
      </c>
      <c r="B925" s="18">
        <v>0</v>
      </c>
    </row>
    <row r="926" spans="1:2" x14ac:dyDescent="0.2">
      <c r="A926" s="18">
        <v>0.16804201050262565</v>
      </c>
      <c r="B926" s="18">
        <v>0</v>
      </c>
    </row>
    <row r="927" spans="1:2" x14ac:dyDescent="0.2">
      <c r="A927" s="18">
        <v>0.16822387415035578</v>
      </c>
      <c r="B927" s="18">
        <v>0</v>
      </c>
    </row>
    <row r="928" spans="1:2" x14ac:dyDescent="0.2">
      <c r="A928" s="18">
        <v>0.1684057377980859</v>
      </c>
      <c r="B928" s="18">
        <v>0</v>
      </c>
    </row>
    <row r="929" spans="1:2" x14ac:dyDescent="0.2">
      <c r="A929" s="18">
        <v>0.168587601445816</v>
      </c>
      <c r="B929" s="18">
        <v>0</v>
      </c>
    </row>
    <row r="930" spans="1:2" x14ac:dyDescent="0.2">
      <c r="A930" s="18">
        <v>0.16876946509354612</v>
      </c>
      <c r="B930" s="18">
        <v>0</v>
      </c>
    </row>
    <row r="931" spans="1:2" x14ac:dyDescent="0.2">
      <c r="A931" s="18">
        <v>0.16895132874127625</v>
      </c>
      <c r="B931" s="18">
        <v>0</v>
      </c>
    </row>
    <row r="932" spans="1:2" x14ac:dyDescent="0.2">
      <c r="A932" s="18">
        <v>0.16913319238900634</v>
      </c>
      <c r="B932" s="18">
        <v>0</v>
      </c>
    </row>
    <row r="933" spans="1:2" x14ac:dyDescent="0.2">
      <c r="A933" s="18">
        <v>0.16931505603673647</v>
      </c>
      <c r="B933" s="18">
        <v>0</v>
      </c>
    </row>
    <row r="934" spans="1:2" x14ac:dyDescent="0.2">
      <c r="A934" s="18">
        <v>0.16949691968446659</v>
      </c>
      <c r="B934" s="18">
        <v>0</v>
      </c>
    </row>
    <row r="935" spans="1:2" x14ac:dyDescent="0.2">
      <c r="A935" s="18">
        <v>0.16967878333219669</v>
      </c>
      <c r="B935" s="18">
        <v>0</v>
      </c>
    </row>
    <row r="936" spans="1:2" x14ac:dyDescent="0.2">
      <c r="A936" s="18">
        <v>0.16986064697992681</v>
      </c>
      <c r="B936" s="18">
        <v>0</v>
      </c>
    </row>
    <row r="937" spans="1:2" x14ac:dyDescent="0.2">
      <c r="A937" s="18">
        <v>0.17004251062765693</v>
      </c>
      <c r="B937" s="18">
        <v>0</v>
      </c>
    </row>
    <row r="938" spans="1:2" x14ac:dyDescent="0.2">
      <c r="A938" s="18">
        <v>0.17022437427538703</v>
      </c>
      <c r="B938" s="18">
        <v>0</v>
      </c>
    </row>
    <row r="939" spans="1:2" x14ac:dyDescent="0.2">
      <c r="A939" s="18">
        <v>0.17040623792311715</v>
      </c>
      <c r="B939" s="18">
        <v>0</v>
      </c>
    </row>
    <row r="940" spans="1:2" x14ac:dyDescent="0.2">
      <c r="A940" s="18">
        <v>0.17058810157084725</v>
      </c>
      <c r="B940" s="18">
        <v>0</v>
      </c>
    </row>
    <row r="941" spans="1:2" x14ac:dyDescent="0.2">
      <c r="A941" s="18">
        <v>0.17076996521857737</v>
      </c>
      <c r="B941" s="18">
        <v>0</v>
      </c>
    </row>
    <row r="942" spans="1:2" x14ac:dyDescent="0.2">
      <c r="A942" s="18">
        <v>0.1709518288663075</v>
      </c>
      <c r="B942" s="18">
        <v>0</v>
      </c>
    </row>
    <row r="943" spans="1:2" x14ac:dyDescent="0.2">
      <c r="A943" s="18">
        <v>0.17113369251403759</v>
      </c>
      <c r="B943" s="18">
        <v>0</v>
      </c>
    </row>
    <row r="944" spans="1:2" x14ac:dyDescent="0.2">
      <c r="A944" s="18">
        <v>0.17131555616176772</v>
      </c>
      <c r="B944" s="18">
        <v>0</v>
      </c>
    </row>
    <row r="945" spans="1:2" x14ac:dyDescent="0.2">
      <c r="A945" s="18">
        <v>0.17149741980949784</v>
      </c>
      <c r="B945" s="18">
        <v>0</v>
      </c>
    </row>
    <row r="946" spans="1:2" x14ac:dyDescent="0.2">
      <c r="A946" s="18">
        <v>0.17167928345722794</v>
      </c>
      <c r="B946" s="18">
        <v>0</v>
      </c>
    </row>
    <row r="947" spans="1:2" x14ac:dyDescent="0.2">
      <c r="A947" s="18">
        <v>0.17186114710495806</v>
      </c>
      <c r="B947" s="18">
        <v>0</v>
      </c>
    </row>
    <row r="948" spans="1:2" x14ac:dyDescent="0.2">
      <c r="A948" s="18">
        <v>0.17204301075268819</v>
      </c>
      <c r="B948" s="18">
        <v>0</v>
      </c>
    </row>
    <row r="949" spans="1:2" x14ac:dyDescent="0.2">
      <c r="A949" s="18">
        <v>0.17222487440041828</v>
      </c>
      <c r="B949" s="18">
        <v>0</v>
      </c>
    </row>
    <row r="950" spans="1:2" x14ac:dyDescent="0.2">
      <c r="A950" s="18">
        <v>0.17240673804814841</v>
      </c>
      <c r="B950" s="18">
        <v>0</v>
      </c>
    </row>
    <row r="951" spans="1:2" x14ac:dyDescent="0.2">
      <c r="A951" s="18">
        <v>0.17258860169587853</v>
      </c>
      <c r="B951" s="18">
        <v>0</v>
      </c>
    </row>
    <row r="952" spans="1:2" x14ac:dyDescent="0.2">
      <c r="A952" s="18">
        <v>0.17277046534360863</v>
      </c>
      <c r="B952" s="18">
        <v>0</v>
      </c>
    </row>
    <row r="953" spans="1:2" x14ac:dyDescent="0.2">
      <c r="A953" s="18">
        <v>0.17295232899133875</v>
      </c>
      <c r="B953" s="18">
        <v>0</v>
      </c>
    </row>
    <row r="954" spans="1:2" x14ac:dyDescent="0.2">
      <c r="A954" s="18">
        <v>0.17313419263906887</v>
      </c>
      <c r="B954" s="18">
        <v>0</v>
      </c>
    </row>
    <row r="955" spans="1:2" x14ac:dyDescent="0.2">
      <c r="A955" s="18">
        <v>0.17331605628679897</v>
      </c>
      <c r="B955" s="18">
        <v>0</v>
      </c>
    </row>
    <row r="956" spans="1:2" x14ac:dyDescent="0.2">
      <c r="A956" s="18">
        <v>0.17349791993452909</v>
      </c>
      <c r="B956" s="18">
        <v>0</v>
      </c>
    </row>
    <row r="957" spans="1:2" x14ac:dyDescent="0.2">
      <c r="A957" s="18">
        <v>0.17367978358225922</v>
      </c>
      <c r="B957" s="18">
        <v>0</v>
      </c>
    </row>
    <row r="958" spans="1:2" x14ac:dyDescent="0.2">
      <c r="A958" s="18">
        <v>0.17386164722998931</v>
      </c>
      <c r="B958" s="18">
        <v>0</v>
      </c>
    </row>
    <row r="959" spans="1:2" x14ac:dyDescent="0.2">
      <c r="A959" s="18">
        <v>0.17404351087771944</v>
      </c>
      <c r="B959" s="18">
        <v>0</v>
      </c>
    </row>
    <row r="960" spans="1:2" x14ac:dyDescent="0.2">
      <c r="A960" s="18">
        <v>0.17422537452544956</v>
      </c>
      <c r="B960" s="18">
        <v>0</v>
      </c>
    </row>
    <row r="961" spans="1:2" x14ac:dyDescent="0.2">
      <c r="A961" s="18">
        <v>0.17440723817317966</v>
      </c>
      <c r="B961" s="18">
        <v>0</v>
      </c>
    </row>
    <row r="962" spans="1:2" x14ac:dyDescent="0.2">
      <c r="A962" s="18">
        <v>0.17458910182090978</v>
      </c>
      <c r="B962" s="18">
        <v>0</v>
      </c>
    </row>
    <row r="963" spans="1:2" x14ac:dyDescent="0.2">
      <c r="A963" s="18">
        <v>0.17477096546863991</v>
      </c>
      <c r="B963" s="18">
        <v>0</v>
      </c>
    </row>
    <row r="964" spans="1:2" x14ac:dyDescent="0.2">
      <c r="A964" s="18">
        <v>0.17495282911637</v>
      </c>
      <c r="B964" s="18">
        <v>0</v>
      </c>
    </row>
    <row r="965" spans="1:2" x14ac:dyDescent="0.2">
      <c r="A965" s="18">
        <v>0.17513469276410012</v>
      </c>
      <c r="B965" s="18">
        <v>0</v>
      </c>
    </row>
    <row r="966" spans="1:2" x14ac:dyDescent="0.2">
      <c r="A966" s="18">
        <v>0.17531655641183025</v>
      </c>
      <c r="B966" s="18">
        <v>0</v>
      </c>
    </row>
    <row r="967" spans="1:2" x14ac:dyDescent="0.2">
      <c r="A967" s="18">
        <v>0.17549842005956034</v>
      </c>
      <c r="B967" s="18">
        <v>0</v>
      </c>
    </row>
    <row r="968" spans="1:2" x14ac:dyDescent="0.2">
      <c r="A968" s="18">
        <v>0.17568028370729047</v>
      </c>
      <c r="B968" s="18">
        <v>0</v>
      </c>
    </row>
    <row r="969" spans="1:2" x14ac:dyDescent="0.2">
      <c r="A969" s="18">
        <v>0.17586214735502059</v>
      </c>
      <c r="B969" s="18">
        <v>0</v>
      </c>
    </row>
    <row r="970" spans="1:2" x14ac:dyDescent="0.2">
      <c r="A970" s="18">
        <v>0.17604401100275069</v>
      </c>
      <c r="B970" s="18">
        <v>0</v>
      </c>
    </row>
    <row r="971" spans="1:2" x14ac:dyDescent="0.2">
      <c r="A971" s="18">
        <v>0.17622587465048081</v>
      </c>
      <c r="B971" s="18">
        <v>0</v>
      </c>
    </row>
    <row r="972" spans="1:2" x14ac:dyDescent="0.2">
      <c r="A972" s="18">
        <v>0.17640773829821094</v>
      </c>
      <c r="B972" s="18">
        <v>0</v>
      </c>
    </row>
    <row r="973" spans="1:2" x14ac:dyDescent="0.2">
      <c r="A973" s="18">
        <v>0.17658960194594103</v>
      </c>
      <c r="B973" s="18">
        <v>0</v>
      </c>
    </row>
    <row r="974" spans="1:2" x14ac:dyDescent="0.2">
      <c r="A974" s="18">
        <v>0.17677146559367116</v>
      </c>
      <c r="B974" s="18">
        <v>0</v>
      </c>
    </row>
    <row r="975" spans="1:2" x14ac:dyDescent="0.2">
      <c r="A975" s="18">
        <v>0.17695332924140125</v>
      </c>
      <c r="B975" s="18">
        <v>0</v>
      </c>
    </row>
    <row r="976" spans="1:2" x14ac:dyDescent="0.2">
      <c r="A976" s="18">
        <v>0.17713519288913138</v>
      </c>
      <c r="B976" s="18">
        <v>0</v>
      </c>
    </row>
    <row r="977" spans="1:2" x14ac:dyDescent="0.2">
      <c r="A977" s="18">
        <v>0.1773170565368615</v>
      </c>
      <c r="B977" s="18">
        <v>0</v>
      </c>
    </row>
    <row r="978" spans="1:2" x14ac:dyDescent="0.2">
      <c r="A978" s="18">
        <v>0.1774989201845916</v>
      </c>
      <c r="B978" s="18">
        <v>0</v>
      </c>
    </row>
    <row r="979" spans="1:2" x14ac:dyDescent="0.2">
      <c r="A979" s="18">
        <v>0.17768078383232172</v>
      </c>
      <c r="B979" s="18">
        <v>0</v>
      </c>
    </row>
    <row r="980" spans="1:2" x14ac:dyDescent="0.2">
      <c r="A980" s="18">
        <v>0.17786264748005184</v>
      </c>
      <c r="B980" s="18">
        <v>0</v>
      </c>
    </row>
    <row r="981" spans="1:2" x14ac:dyDescent="0.2">
      <c r="A981" s="18">
        <v>0.17804451112778194</v>
      </c>
      <c r="B981" s="18">
        <v>0</v>
      </c>
    </row>
    <row r="982" spans="1:2" x14ac:dyDescent="0.2">
      <c r="A982" s="18">
        <v>0.17822637477551206</v>
      </c>
      <c r="B982" s="18">
        <v>0</v>
      </c>
    </row>
    <row r="983" spans="1:2" x14ac:dyDescent="0.2">
      <c r="A983" s="18">
        <v>0.17840823842324219</v>
      </c>
      <c r="B983" s="18">
        <v>0</v>
      </c>
    </row>
    <row r="984" spans="1:2" x14ac:dyDescent="0.2">
      <c r="A984" s="18">
        <v>0.17859010207097228</v>
      </c>
      <c r="B984" s="18">
        <v>0</v>
      </c>
    </row>
    <row r="985" spans="1:2" x14ac:dyDescent="0.2">
      <c r="A985" s="18">
        <v>0.17877196571870241</v>
      </c>
      <c r="B985" s="18">
        <v>0</v>
      </c>
    </row>
    <row r="986" spans="1:2" x14ac:dyDescent="0.2">
      <c r="A986" s="18">
        <v>0.17895382936643253</v>
      </c>
      <c r="B986" s="18">
        <v>0</v>
      </c>
    </row>
    <row r="987" spans="1:2" x14ac:dyDescent="0.2">
      <c r="A987" s="18">
        <v>0.17913569301416263</v>
      </c>
      <c r="B987" s="18">
        <v>0</v>
      </c>
    </row>
    <row r="988" spans="1:2" x14ac:dyDescent="0.2">
      <c r="A988" s="18">
        <v>0.17931755666189275</v>
      </c>
      <c r="B988" s="18">
        <v>0</v>
      </c>
    </row>
    <row r="989" spans="1:2" x14ac:dyDescent="0.2">
      <c r="A989" s="18">
        <v>0.17949942030962288</v>
      </c>
      <c r="B989" s="18">
        <v>0</v>
      </c>
    </row>
    <row r="990" spans="1:2" x14ac:dyDescent="0.2">
      <c r="A990" s="18">
        <v>0.17968128395735297</v>
      </c>
      <c r="B990" s="18">
        <v>0</v>
      </c>
    </row>
    <row r="991" spans="1:2" x14ac:dyDescent="0.2">
      <c r="A991" s="18">
        <v>0.1798631476050831</v>
      </c>
      <c r="B991" s="18">
        <v>0</v>
      </c>
    </row>
    <row r="992" spans="1:2" x14ac:dyDescent="0.2">
      <c r="A992" s="18">
        <v>0.18004501125281322</v>
      </c>
      <c r="B992" s="18">
        <v>0</v>
      </c>
    </row>
    <row r="993" spans="1:2" x14ac:dyDescent="0.2">
      <c r="A993" s="18">
        <v>0.18022687490054332</v>
      </c>
      <c r="B993" s="18">
        <v>0</v>
      </c>
    </row>
    <row r="994" spans="1:2" x14ac:dyDescent="0.2">
      <c r="A994" s="18">
        <v>0.18040873854827344</v>
      </c>
      <c r="B994" s="18">
        <v>0</v>
      </c>
    </row>
    <row r="995" spans="1:2" x14ac:dyDescent="0.2">
      <c r="A995" s="18">
        <v>0.18059060219600356</v>
      </c>
      <c r="B995" s="18">
        <v>0</v>
      </c>
    </row>
    <row r="996" spans="1:2" x14ac:dyDescent="0.2">
      <c r="A996" s="18">
        <v>0.18077246584373366</v>
      </c>
      <c r="B996" s="18">
        <v>0</v>
      </c>
    </row>
    <row r="997" spans="1:2" x14ac:dyDescent="0.2">
      <c r="A997" s="18">
        <v>0.18095432949146378</v>
      </c>
      <c r="B997" s="18">
        <v>0</v>
      </c>
    </row>
    <row r="998" spans="1:2" x14ac:dyDescent="0.2">
      <c r="A998" s="18">
        <v>0.18113619313919391</v>
      </c>
      <c r="B998" s="18">
        <v>0</v>
      </c>
    </row>
    <row r="999" spans="1:2" x14ac:dyDescent="0.2">
      <c r="A999" s="18">
        <v>0.181318056786924</v>
      </c>
      <c r="B999" s="18">
        <v>0</v>
      </c>
    </row>
    <row r="1000" spans="1:2" x14ac:dyDescent="0.2">
      <c r="A1000" s="18">
        <v>0.18149992043465413</v>
      </c>
      <c r="B1000" s="18">
        <v>0</v>
      </c>
    </row>
    <row r="1001" spans="1:2" x14ac:dyDescent="0.2">
      <c r="A1001" s="18">
        <v>0.18168178408238425</v>
      </c>
      <c r="B1001" s="18">
        <v>0</v>
      </c>
    </row>
    <row r="1002" spans="1:2" x14ac:dyDescent="0.2">
      <c r="A1002" s="18">
        <v>0.18186364773011435</v>
      </c>
      <c r="B1002" s="18">
        <v>0</v>
      </c>
    </row>
    <row r="1003" spans="1:2" x14ac:dyDescent="0.2">
      <c r="A1003" s="18">
        <v>0.18204551137784447</v>
      </c>
      <c r="B1003" s="18">
        <v>0</v>
      </c>
    </row>
    <row r="1004" spans="1:2" x14ac:dyDescent="0.2">
      <c r="A1004" s="18">
        <v>0.18222737502557459</v>
      </c>
      <c r="B1004" s="18">
        <v>0</v>
      </c>
    </row>
    <row r="1005" spans="1:2" x14ac:dyDescent="0.2">
      <c r="A1005" s="18">
        <v>0.18240923867330469</v>
      </c>
      <c r="B1005" s="18">
        <v>0</v>
      </c>
    </row>
    <row r="1006" spans="1:2" x14ac:dyDescent="0.2">
      <c r="A1006" s="18">
        <v>0.18259110232103481</v>
      </c>
      <c r="B1006" s="18">
        <v>0</v>
      </c>
    </row>
    <row r="1007" spans="1:2" x14ac:dyDescent="0.2">
      <c r="A1007" s="18">
        <v>0.18277296596876494</v>
      </c>
      <c r="B1007" s="18">
        <v>0</v>
      </c>
    </row>
    <row r="1008" spans="1:2" x14ac:dyDescent="0.2">
      <c r="A1008" s="18">
        <v>0.18295482961649503</v>
      </c>
      <c r="B1008" s="18">
        <v>0</v>
      </c>
    </row>
    <row r="1009" spans="1:2" x14ac:dyDescent="0.2">
      <c r="A1009" s="18">
        <v>0.18313669326422516</v>
      </c>
      <c r="B1009" s="18">
        <v>0</v>
      </c>
    </row>
    <row r="1010" spans="1:2" x14ac:dyDescent="0.2">
      <c r="A1010" s="18">
        <v>0.18331855691195525</v>
      </c>
      <c r="B1010" s="18">
        <v>0</v>
      </c>
    </row>
    <row r="1011" spans="1:2" x14ac:dyDescent="0.2">
      <c r="A1011" s="18">
        <v>0.18350042055968538</v>
      </c>
      <c r="B1011" s="18">
        <v>0</v>
      </c>
    </row>
    <row r="1012" spans="1:2" x14ac:dyDescent="0.2">
      <c r="A1012" s="18">
        <v>0.1836822842074155</v>
      </c>
      <c r="B1012" s="18">
        <v>0</v>
      </c>
    </row>
    <row r="1013" spans="1:2" x14ac:dyDescent="0.2">
      <c r="A1013" s="18">
        <v>0.1838641478551456</v>
      </c>
      <c r="B1013" s="18">
        <v>0</v>
      </c>
    </row>
    <row r="1014" spans="1:2" x14ac:dyDescent="0.2">
      <c r="A1014" s="18">
        <v>0.18404601150287572</v>
      </c>
      <c r="B1014" s="18">
        <v>0</v>
      </c>
    </row>
    <row r="1015" spans="1:2" x14ac:dyDescent="0.2">
      <c r="A1015" s="18">
        <v>0.18422787515060585</v>
      </c>
      <c r="B1015" s="18">
        <v>0</v>
      </c>
    </row>
    <row r="1016" spans="1:2" x14ac:dyDescent="0.2">
      <c r="A1016" s="18">
        <v>0.18440973879833594</v>
      </c>
      <c r="B1016" s="18">
        <v>0</v>
      </c>
    </row>
    <row r="1017" spans="1:2" x14ac:dyDescent="0.2">
      <c r="A1017" s="18">
        <v>0.18459160244606607</v>
      </c>
      <c r="B1017" s="18">
        <v>0</v>
      </c>
    </row>
    <row r="1018" spans="1:2" x14ac:dyDescent="0.2">
      <c r="A1018" s="18">
        <v>0.18477346609379619</v>
      </c>
      <c r="B1018" s="18">
        <v>0</v>
      </c>
    </row>
    <row r="1019" spans="1:2" x14ac:dyDescent="0.2">
      <c r="A1019" s="18">
        <v>0.18495532974152629</v>
      </c>
      <c r="B1019" s="18">
        <v>0</v>
      </c>
    </row>
    <row r="1020" spans="1:2" x14ac:dyDescent="0.2">
      <c r="A1020" s="18">
        <v>0.18513719338925641</v>
      </c>
      <c r="B1020" s="18">
        <v>0</v>
      </c>
    </row>
    <row r="1021" spans="1:2" x14ac:dyDescent="0.2">
      <c r="A1021" s="18">
        <v>0.18531905703698653</v>
      </c>
      <c r="B1021" s="18">
        <v>0</v>
      </c>
    </row>
    <row r="1022" spans="1:2" x14ac:dyDescent="0.2">
      <c r="A1022" s="18">
        <v>0.18550092068471663</v>
      </c>
      <c r="B1022" s="18">
        <v>0</v>
      </c>
    </row>
    <row r="1023" spans="1:2" x14ac:dyDescent="0.2">
      <c r="A1023" s="18">
        <v>0.18568278433244675</v>
      </c>
      <c r="B1023" s="18">
        <v>0</v>
      </c>
    </row>
    <row r="1024" spans="1:2" x14ac:dyDescent="0.2">
      <c r="A1024" s="18">
        <v>0.18586464798017688</v>
      </c>
      <c r="B1024" s="18">
        <v>0</v>
      </c>
    </row>
    <row r="1025" spans="1:2" ht="13.5" thickBot="1" x14ac:dyDescent="0.25">
      <c r="A1025" s="19" t="s">
        <v>2401</v>
      </c>
      <c r="B1025" s="19">
        <v>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B9533-1547-45D6-A523-3FA06F2DBEB8}">
  <dimension ref="A1:AF1167"/>
  <sheetViews>
    <sheetView topLeftCell="V1" workbookViewId="0">
      <selection activeCell="AF1" sqref="AD1:AF1048576"/>
    </sheetView>
  </sheetViews>
  <sheetFormatPr defaultRowHeight="12.75" x14ac:dyDescent="0.2"/>
  <cols>
    <col min="1" max="1" width="12" bestFit="1" customWidth="1"/>
    <col min="2" max="2" width="7.28515625" customWidth="1"/>
    <col min="3" max="3" width="10.5703125" customWidth="1"/>
    <col min="4" max="4" width="7.140625" customWidth="1"/>
    <col min="5" max="5" width="10.140625" customWidth="1"/>
    <col min="6" max="6" width="19" customWidth="1"/>
    <col min="7" max="7" width="12.85546875" customWidth="1"/>
    <col min="8" max="8" width="6" bestFit="1" customWidth="1"/>
    <col min="9" max="9" width="10.7109375" customWidth="1"/>
    <col min="10" max="10" width="8.5703125" customWidth="1"/>
    <col min="11" max="11" width="13.5703125" customWidth="1"/>
    <col min="12" max="12" width="8" bestFit="1" customWidth="1"/>
    <col min="13" max="13" width="13" customWidth="1"/>
    <col min="14" max="14" width="12.42578125" bestFit="1" customWidth="1"/>
    <col min="15" max="15" width="16.42578125" customWidth="1"/>
    <col min="16" max="16" width="14.7109375" customWidth="1"/>
    <col min="17" max="17" width="12.42578125" bestFit="1" customWidth="1"/>
    <col min="18" max="18" width="14.28515625" customWidth="1"/>
    <col min="19" max="19" width="12.5703125" customWidth="1"/>
    <col min="20" max="20" width="12.42578125" bestFit="1" customWidth="1"/>
    <col min="21" max="21" width="17.7109375" customWidth="1"/>
    <col min="22" max="22" width="16" customWidth="1"/>
    <col min="23" max="23" width="12.85546875" customWidth="1"/>
    <col min="24" max="24" width="15.140625" customWidth="1"/>
    <col min="25" max="25" width="13.42578125" customWidth="1"/>
    <col min="26" max="26" width="12.42578125" bestFit="1" customWidth="1"/>
    <col min="27" max="27" width="16.85546875" customWidth="1"/>
    <col min="28" max="28" width="15.140625" customWidth="1"/>
    <col min="29" max="29" width="12.42578125" bestFit="1" customWidth="1"/>
    <col min="30" max="30" width="19.42578125" customWidth="1"/>
    <col min="31" max="31" width="17.7109375" customWidth="1"/>
    <col min="32" max="32" width="14.5703125" customWidth="1"/>
  </cols>
  <sheetData>
    <row r="1" spans="1:32" x14ac:dyDescent="0.2">
      <c r="A1" t="s">
        <v>2396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2403</v>
      </c>
      <c r="R1" t="s">
        <v>24</v>
      </c>
      <c r="S1" t="s">
        <v>25</v>
      </c>
      <c r="T1" t="s">
        <v>2404</v>
      </c>
      <c r="U1" t="s">
        <v>26</v>
      </c>
      <c r="V1" t="s">
        <v>27</v>
      </c>
      <c r="W1" t="s">
        <v>2405</v>
      </c>
      <c r="X1" t="s">
        <v>28</v>
      </c>
      <c r="Y1" t="s">
        <v>29</v>
      </c>
      <c r="Z1" t="s">
        <v>2406</v>
      </c>
      <c r="AA1" t="s">
        <v>30</v>
      </c>
      <c r="AB1" t="s">
        <v>31</v>
      </c>
      <c r="AC1" t="s">
        <v>2407</v>
      </c>
      <c r="AD1" t="s">
        <v>32</v>
      </c>
      <c r="AE1" t="s">
        <v>33</v>
      </c>
      <c r="AF1" t="s">
        <v>2408</v>
      </c>
    </row>
    <row r="2" spans="1:32" x14ac:dyDescent="0.2">
      <c r="A2">
        <v>529.98062500000378</v>
      </c>
      <c r="B2">
        <v>810</v>
      </c>
      <c r="C2">
        <v>37</v>
      </c>
      <c r="D2">
        <v>205</v>
      </c>
      <c r="E2">
        <v>0</v>
      </c>
      <c r="F2">
        <v>1</v>
      </c>
      <c r="G2">
        <v>0</v>
      </c>
      <c r="H2">
        <v>3</v>
      </c>
      <c r="I2">
        <v>0</v>
      </c>
      <c r="J2">
        <v>35</v>
      </c>
      <c r="K2">
        <v>17</v>
      </c>
      <c r="L2">
        <v>7517</v>
      </c>
      <c r="M2">
        <v>57</v>
      </c>
      <c r="N2">
        <v>7.5828122921378213E-3</v>
      </c>
      <c r="O2">
        <v>1</v>
      </c>
      <c r="P2">
        <v>1.7543859649122806E-2</v>
      </c>
      <c r="Q2">
        <v>1.3303179459890914E-4</v>
      </c>
      <c r="R2">
        <v>37</v>
      </c>
      <c r="S2">
        <v>0.64912280701754388</v>
      </c>
      <c r="T2">
        <v>4.9221764001596384E-3</v>
      </c>
      <c r="U2">
        <v>1</v>
      </c>
      <c r="V2">
        <v>1.7543859649122806E-2</v>
      </c>
      <c r="W2">
        <v>1.3303179459890914E-4</v>
      </c>
      <c r="X2">
        <v>18</v>
      </c>
      <c r="Y2">
        <v>0.31578947368421051</v>
      </c>
      <c r="Z2">
        <v>2.3945723027803643E-3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>
        <v>3275.1300231481509</v>
      </c>
      <c r="B3">
        <v>538</v>
      </c>
      <c r="C3">
        <v>60</v>
      </c>
      <c r="D3">
        <v>114</v>
      </c>
      <c r="E3">
        <v>0</v>
      </c>
      <c r="F3">
        <v>1</v>
      </c>
      <c r="G3">
        <v>2</v>
      </c>
      <c r="H3">
        <v>2</v>
      </c>
      <c r="I3">
        <v>0</v>
      </c>
      <c r="J3">
        <v>7</v>
      </c>
      <c r="K3">
        <v>0</v>
      </c>
      <c r="L3">
        <v>9073</v>
      </c>
      <c r="M3">
        <v>61</v>
      </c>
      <c r="N3">
        <v>6.7232447922407146E-3</v>
      </c>
      <c r="O3">
        <v>3</v>
      </c>
      <c r="P3">
        <v>4.9180327868852458E-2</v>
      </c>
      <c r="Q3">
        <v>3.3065138322495318E-4</v>
      </c>
      <c r="R3">
        <v>39</v>
      </c>
      <c r="S3">
        <v>0.63934426229508201</v>
      </c>
      <c r="T3">
        <v>4.298467981924391E-3</v>
      </c>
      <c r="U3">
        <v>16</v>
      </c>
      <c r="V3">
        <v>0.26229508196721313</v>
      </c>
      <c r="W3">
        <v>1.7634740438664169E-3</v>
      </c>
      <c r="X3">
        <v>3</v>
      </c>
      <c r="Y3">
        <v>4.9180327868852458E-2</v>
      </c>
      <c r="Z3">
        <v>3.3065138322495318E-4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>
        <v>1035.3325000000041</v>
      </c>
      <c r="B4">
        <v>1310</v>
      </c>
      <c r="C4">
        <v>117</v>
      </c>
      <c r="D4">
        <v>319</v>
      </c>
      <c r="E4">
        <v>20</v>
      </c>
      <c r="F4">
        <v>3</v>
      </c>
      <c r="G4">
        <v>8</v>
      </c>
      <c r="H4">
        <v>28</v>
      </c>
      <c r="I4">
        <v>2</v>
      </c>
      <c r="J4">
        <v>107</v>
      </c>
      <c r="K4">
        <v>11</v>
      </c>
      <c r="L4">
        <v>24868</v>
      </c>
      <c r="M4">
        <v>10</v>
      </c>
      <c r="N4">
        <v>4.0212321055171305E-4</v>
      </c>
      <c r="O4">
        <v>0</v>
      </c>
      <c r="P4">
        <v>0</v>
      </c>
      <c r="Q4">
        <v>0</v>
      </c>
      <c r="R4">
        <v>4</v>
      </c>
      <c r="S4">
        <v>0.4</v>
      </c>
      <c r="T4">
        <v>1.6084928422068523E-4</v>
      </c>
      <c r="U4">
        <v>3</v>
      </c>
      <c r="V4">
        <v>0.3</v>
      </c>
      <c r="W4">
        <v>1.2063696316551391E-4</v>
      </c>
      <c r="X4">
        <v>1</v>
      </c>
      <c r="Y4">
        <v>0.1</v>
      </c>
      <c r="Z4">
        <v>4.0212321055171307E-5</v>
      </c>
      <c r="AA4">
        <v>0</v>
      </c>
      <c r="AB4">
        <v>0</v>
      </c>
      <c r="AC4">
        <v>0</v>
      </c>
      <c r="AD4">
        <v>2</v>
      </c>
      <c r="AE4">
        <v>0.2</v>
      </c>
      <c r="AF4">
        <v>8.0424642110342613E-5</v>
      </c>
    </row>
    <row r="5" spans="1:32" x14ac:dyDescent="0.2">
      <c r="A5">
        <v>1301.2825925925936</v>
      </c>
      <c r="B5">
        <v>4822</v>
      </c>
      <c r="C5">
        <v>164</v>
      </c>
      <c r="D5">
        <v>1010</v>
      </c>
      <c r="E5">
        <v>9</v>
      </c>
      <c r="F5">
        <v>0</v>
      </c>
      <c r="G5">
        <v>20</v>
      </c>
      <c r="H5">
        <v>34</v>
      </c>
      <c r="I5">
        <v>5</v>
      </c>
      <c r="J5">
        <v>229</v>
      </c>
      <c r="K5">
        <v>31</v>
      </c>
      <c r="L5">
        <v>1228</v>
      </c>
      <c r="M5">
        <v>9</v>
      </c>
      <c r="N5">
        <v>7.3289902280130291E-3</v>
      </c>
      <c r="O5">
        <v>0</v>
      </c>
      <c r="P5">
        <v>0</v>
      </c>
      <c r="Q5">
        <v>0</v>
      </c>
      <c r="R5">
        <v>5</v>
      </c>
      <c r="S5">
        <v>0.55555555555555558</v>
      </c>
      <c r="T5">
        <v>4.0716612377850164E-3</v>
      </c>
      <c r="U5">
        <v>2</v>
      </c>
      <c r="V5">
        <v>0.22222222222222221</v>
      </c>
      <c r="W5">
        <v>1.6286644951140066E-3</v>
      </c>
      <c r="X5">
        <v>2</v>
      </c>
      <c r="Y5">
        <v>0.22222222222222221</v>
      </c>
      <c r="Z5">
        <v>1.6286644951140066E-3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>
        <v>1007.8408217592587</v>
      </c>
      <c r="B6">
        <v>1214</v>
      </c>
      <c r="C6">
        <v>64</v>
      </c>
      <c r="D6">
        <v>162</v>
      </c>
      <c r="E6">
        <v>0</v>
      </c>
      <c r="F6">
        <v>0</v>
      </c>
      <c r="G6">
        <v>6</v>
      </c>
      <c r="H6">
        <v>25</v>
      </c>
      <c r="I6">
        <v>9</v>
      </c>
      <c r="J6">
        <v>14</v>
      </c>
      <c r="K6">
        <v>9</v>
      </c>
      <c r="L6">
        <v>143</v>
      </c>
      <c r="M6">
        <v>8</v>
      </c>
      <c r="N6">
        <v>5.5944055944055944E-2</v>
      </c>
      <c r="O6">
        <v>3</v>
      </c>
      <c r="P6">
        <v>0.375</v>
      </c>
      <c r="Q6">
        <v>2.097902097902098E-2</v>
      </c>
      <c r="R6">
        <v>2</v>
      </c>
      <c r="S6">
        <v>0.25</v>
      </c>
      <c r="T6">
        <v>1.3986013986013986E-2</v>
      </c>
      <c r="U6">
        <v>3</v>
      </c>
      <c r="V6">
        <v>0.375</v>
      </c>
      <c r="W6">
        <v>2.097902097902098E-2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>
        <v>1869.1254513888925</v>
      </c>
      <c r="B7">
        <v>331</v>
      </c>
      <c r="C7">
        <v>30</v>
      </c>
      <c r="D7">
        <v>94</v>
      </c>
      <c r="E7">
        <v>0</v>
      </c>
      <c r="F7">
        <v>0</v>
      </c>
      <c r="G7">
        <v>10</v>
      </c>
      <c r="H7">
        <v>27</v>
      </c>
      <c r="I7">
        <v>0</v>
      </c>
      <c r="J7">
        <v>26</v>
      </c>
      <c r="K7">
        <v>9</v>
      </c>
      <c r="L7">
        <v>1892</v>
      </c>
      <c r="M7">
        <v>78</v>
      </c>
      <c r="N7">
        <v>4.1226215644820298E-2</v>
      </c>
      <c r="O7">
        <v>36</v>
      </c>
      <c r="P7">
        <v>0.46153846153846156</v>
      </c>
      <c r="Q7">
        <v>1.9027484143763214E-2</v>
      </c>
      <c r="R7">
        <v>26</v>
      </c>
      <c r="S7">
        <v>0.33333333333333331</v>
      </c>
      <c r="T7">
        <v>1.3742071881606765E-2</v>
      </c>
      <c r="U7">
        <v>3</v>
      </c>
      <c r="V7">
        <v>3.8461538461538464E-2</v>
      </c>
      <c r="W7">
        <v>1.5856236786469344E-3</v>
      </c>
      <c r="X7">
        <v>13</v>
      </c>
      <c r="Y7">
        <v>0.16666666666666666</v>
      </c>
      <c r="Z7">
        <v>6.8710359408033824E-3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>
        <v>1567.486956018518</v>
      </c>
      <c r="B8">
        <v>397</v>
      </c>
      <c r="C8">
        <v>34</v>
      </c>
      <c r="D8">
        <v>98</v>
      </c>
      <c r="E8">
        <v>4</v>
      </c>
      <c r="F8">
        <v>0</v>
      </c>
      <c r="G8">
        <v>6</v>
      </c>
      <c r="H8">
        <v>14</v>
      </c>
      <c r="I8">
        <v>2</v>
      </c>
      <c r="J8">
        <v>28</v>
      </c>
      <c r="K8">
        <v>7</v>
      </c>
      <c r="L8">
        <v>2307</v>
      </c>
      <c r="M8">
        <v>2</v>
      </c>
      <c r="N8">
        <v>8.6692674469007367E-4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</v>
      </c>
      <c r="W8">
        <v>8.6692674469007367E-4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>
        <v>2788.5403240740707</v>
      </c>
      <c r="B9">
        <v>1313</v>
      </c>
      <c r="C9">
        <v>51</v>
      </c>
      <c r="D9">
        <v>325</v>
      </c>
      <c r="E9">
        <v>0</v>
      </c>
      <c r="F9">
        <v>5</v>
      </c>
      <c r="G9">
        <v>11</v>
      </c>
      <c r="H9">
        <v>360</v>
      </c>
      <c r="I9">
        <v>2</v>
      </c>
      <c r="J9">
        <v>167</v>
      </c>
      <c r="K9">
        <v>42</v>
      </c>
      <c r="L9">
        <v>5514</v>
      </c>
      <c r="M9">
        <v>79</v>
      </c>
      <c r="N9">
        <v>1.4327167210736307E-2</v>
      </c>
      <c r="O9">
        <v>32</v>
      </c>
      <c r="P9">
        <v>0.4050632911392405</v>
      </c>
      <c r="Q9">
        <v>5.8034095030830611E-3</v>
      </c>
      <c r="R9">
        <v>20</v>
      </c>
      <c r="S9">
        <v>0.25316455696202533</v>
      </c>
      <c r="T9">
        <v>3.6271309394269131E-3</v>
      </c>
      <c r="U9">
        <v>9</v>
      </c>
      <c r="V9">
        <v>0.11392405063291139</v>
      </c>
      <c r="W9">
        <v>1.632208922742111E-3</v>
      </c>
      <c r="X9">
        <v>8</v>
      </c>
      <c r="Y9">
        <v>0.10126582278481013</v>
      </c>
      <c r="Z9">
        <v>1.4508523757707653E-3</v>
      </c>
      <c r="AA9">
        <v>0</v>
      </c>
      <c r="AB9">
        <v>0</v>
      </c>
      <c r="AC9">
        <v>0</v>
      </c>
      <c r="AD9">
        <v>10</v>
      </c>
      <c r="AE9">
        <v>0.12658227848101267</v>
      </c>
      <c r="AF9">
        <v>1.8135654697134566E-3</v>
      </c>
    </row>
    <row r="10" spans="1:32" x14ac:dyDescent="0.2">
      <c r="A10">
        <v>1057.6440856481495</v>
      </c>
      <c r="B10">
        <v>585</v>
      </c>
      <c r="C10">
        <v>62</v>
      </c>
      <c r="D10">
        <v>134</v>
      </c>
      <c r="E10">
        <v>20</v>
      </c>
      <c r="F10">
        <v>2</v>
      </c>
      <c r="G10">
        <v>30</v>
      </c>
      <c r="H10">
        <v>603</v>
      </c>
      <c r="I10">
        <v>28</v>
      </c>
      <c r="J10">
        <v>353</v>
      </c>
      <c r="K10">
        <v>117</v>
      </c>
      <c r="L10">
        <v>31052</v>
      </c>
      <c r="M10">
        <v>301</v>
      </c>
      <c r="N10">
        <v>9.6934174932371501E-3</v>
      </c>
      <c r="O10">
        <v>74</v>
      </c>
      <c r="P10">
        <v>0.24584717607973422</v>
      </c>
      <c r="Q10">
        <v>2.3830993172742495E-3</v>
      </c>
      <c r="R10">
        <v>93</v>
      </c>
      <c r="S10">
        <v>0.30897009966777411</v>
      </c>
      <c r="T10">
        <v>2.9949761690068271E-3</v>
      </c>
      <c r="U10">
        <v>104</v>
      </c>
      <c r="V10">
        <v>0.34551495016611294</v>
      </c>
      <c r="W10">
        <v>3.3492206621151617E-3</v>
      </c>
      <c r="X10">
        <v>0</v>
      </c>
      <c r="Y10">
        <v>0</v>
      </c>
      <c r="Z10">
        <v>0</v>
      </c>
      <c r="AA10">
        <v>26</v>
      </c>
      <c r="AB10">
        <v>8.6378737541528236E-2</v>
      </c>
      <c r="AC10">
        <v>8.3730516552879043E-4</v>
      </c>
      <c r="AD10">
        <v>4</v>
      </c>
      <c r="AE10">
        <v>1.3289036544850499E-2</v>
      </c>
      <c r="AF10">
        <v>1.288161793121216E-4</v>
      </c>
    </row>
    <row r="11" spans="1:32" x14ac:dyDescent="0.2">
      <c r="A11">
        <v>951.48849537037313</v>
      </c>
      <c r="B11">
        <v>399</v>
      </c>
      <c r="C11">
        <v>4</v>
      </c>
      <c r="D11">
        <v>19</v>
      </c>
      <c r="E11">
        <v>15</v>
      </c>
      <c r="F11">
        <v>0</v>
      </c>
      <c r="G11">
        <v>8</v>
      </c>
      <c r="H11">
        <v>17</v>
      </c>
      <c r="I11">
        <v>2</v>
      </c>
      <c r="J11">
        <v>81</v>
      </c>
      <c r="K11">
        <v>26</v>
      </c>
      <c r="L11">
        <v>2755</v>
      </c>
      <c r="M11">
        <v>57</v>
      </c>
      <c r="N11">
        <v>2.0689655172413793E-2</v>
      </c>
      <c r="O11">
        <v>0</v>
      </c>
      <c r="P11">
        <v>0</v>
      </c>
      <c r="Q11">
        <v>0</v>
      </c>
      <c r="R11">
        <v>50</v>
      </c>
      <c r="S11">
        <v>0.8771929824561403</v>
      </c>
      <c r="T11">
        <v>1.8148820326678767E-2</v>
      </c>
      <c r="U11">
        <v>6</v>
      </c>
      <c r="V11">
        <v>0.10526315789473684</v>
      </c>
      <c r="W11">
        <v>2.1778584392014521E-3</v>
      </c>
      <c r="X11">
        <v>1</v>
      </c>
      <c r="Y11">
        <v>1.7543859649122806E-2</v>
      </c>
      <c r="Z11">
        <v>3.6297640653357529E-4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>
        <v>608.90261574074248</v>
      </c>
      <c r="B12">
        <v>2949</v>
      </c>
      <c r="C12">
        <v>54</v>
      </c>
      <c r="D12">
        <v>224</v>
      </c>
      <c r="E12">
        <v>12</v>
      </c>
      <c r="F12">
        <v>2</v>
      </c>
      <c r="G12">
        <v>59</v>
      </c>
      <c r="H12">
        <v>495</v>
      </c>
      <c r="I12">
        <v>14</v>
      </c>
      <c r="J12">
        <v>240</v>
      </c>
      <c r="K12">
        <v>13</v>
      </c>
      <c r="L12">
        <v>10790</v>
      </c>
      <c r="M12">
        <v>42</v>
      </c>
      <c r="N12">
        <v>3.8924930491195551E-3</v>
      </c>
      <c r="O12">
        <v>15</v>
      </c>
      <c r="P12">
        <v>0.35714285714285715</v>
      </c>
      <c r="Q12">
        <v>1.3901760889712697E-3</v>
      </c>
      <c r="R12">
        <v>9</v>
      </c>
      <c r="S12">
        <v>0.21428571428571427</v>
      </c>
      <c r="T12">
        <v>8.3410565338276176E-4</v>
      </c>
      <c r="U12">
        <v>3</v>
      </c>
      <c r="V12">
        <v>7.1428571428571425E-2</v>
      </c>
      <c r="W12">
        <v>2.7803521779425392E-4</v>
      </c>
      <c r="X12">
        <v>15</v>
      </c>
      <c r="Y12">
        <v>0.35714285714285715</v>
      </c>
      <c r="Z12">
        <v>1.3901760889712697E-3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>
        <v>1076.2876273148213</v>
      </c>
      <c r="B13">
        <v>395</v>
      </c>
      <c r="C13">
        <v>25</v>
      </c>
      <c r="D13">
        <v>78</v>
      </c>
      <c r="E13">
        <v>0</v>
      </c>
      <c r="F13">
        <v>11</v>
      </c>
      <c r="G13">
        <v>5</v>
      </c>
      <c r="H13">
        <v>23</v>
      </c>
      <c r="I13">
        <v>7</v>
      </c>
      <c r="J13">
        <v>129</v>
      </c>
      <c r="K13">
        <v>18</v>
      </c>
      <c r="L13">
        <v>1942</v>
      </c>
      <c r="M13">
        <v>88</v>
      </c>
      <c r="N13">
        <v>4.5314109165808442E-2</v>
      </c>
      <c r="O13">
        <v>1</v>
      </c>
      <c r="P13">
        <v>1.1363636363636364E-2</v>
      </c>
      <c r="Q13">
        <v>5.1493305870236867E-4</v>
      </c>
      <c r="R13">
        <v>40</v>
      </c>
      <c r="S13">
        <v>0.45454545454545453</v>
      </c>
      <c r="T13">
        <v>2.0597322348094749E-2</v>
      </c>
      <c r="U13">
        <v>0</v>
      </c>
      <c r="V13">
        <v>0</v>
      </c>
      <c r="W13">
        <v>0</v>
      </c>
      <c r="X13">
        <v>47</v>
      </c>
      <c r="Y13">
        <v>0.53409090909090906</v>
      </c>
      <c r="Z13">
        <v>2.4201853759011328E-2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>
        <v>352.2844907407416</v>
      </c>
      <c r="B14">
        <v>364</v>
      </c>
      <c r="C14">
        <v>12</v>
      </c>
      <c r="D14">
        <v>48</v>
      </c>
      <c r="E14">
        <v>4</v>
      </c>
      <c r="F14">
        <v>0</v>
      </c>
      <c r="G14">
        <v>342</v>
      </c>
      <c r="H14">
        <v>78</v>
      </c>
      <c r="I14">
        <v>7</v>
      </c>
      <c r="J14">
        <v>67</v>
      </c>
      <c r="K14">
        <v>24</v>
      </c>
      <c r="L14">
        <v>97853</v>
      </c>
      <c r="M14">
        <v>1182</v>
      </c>
      <c r="N14">
        <v>1.2079343505053498E-2</v>
      </c>
      <c r="O14">
        <v>10</v>
      </c>
      <c r="P14">
        <v>8.4602368866328256E-3</v>
      </c>
      <c r="Q14">
        <v>1.0219410748776225E-4</v>
      </c>
      <c r="R14">
        <v>810</v>
      </c>
      <c r="S14">
        <v>0.68527918781725883</v>
      </c>
      <c r="T14">
        <v>8.2777227065087434E-3</v>
      </c>
      <c r="U14">
        <v>280</v>
      </c>
      <c r="V14">
        <v>0.23688663282571912</v>
      </c>
      <c r="W14">
        <v>2.8614350096573433E-3</v>
      </c>
      <c r="X14">
        <v>82</v>
      </c>
      <c r="Y14">
        <v>6.9373942470389166E-2</v>
      </c>
      <c r="Z14">
        <v>8.3799168139965052E-4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>
        <v>1391.9054745370377</v>
      </c>
      <c r="B15">
        <v>425</v>
      </c>
      <c r="C15">
        <v>13</v>
      </c>
      <c r="D15">
        <v>71</v>
      </c>
      <c r="E15">
        <v>70</v>
      </c>
      <c r="F15">
        <v>3</v>
      </c>
      <c r="G15">
        <v>17</v>
      </c>
      <c r="H15">
        <v>252</v>
      </c>
      <c r="I15">
        <v>8</v>
      </c>
      <c r="J15">
        <v>100</v>
      </c>
      <c r="K15">
        <v>13</v>
      </c>
      <c r="L15">
        <v>1303</v>
      </c>
      <c r="M15">
        <v>29</v>
      </c>
      <c r="N15">
        <v>2.2256331542594012E-2</v>
      </c>
      <c r="O15">
        <v>0</v>
      </c>
      <c r="P15">
        <v>0</v>
      </c>
      <c r="Q15">
        <v>0</v>
      </c>
      <c r="R15">
        <v>11</v>
      </c>
      <c r="S15">
        <v>0.37931034482758619</v>
      </c>
      <c r="T15">
        <v>8.4420567920184195E-3</v>
      </c>
      <c r="U15">
        <v>6</v>
      </c>
      <c r="V15">
        <v>0.20689655172413793</v>
      </c>
      <c r="W15">
        <v>4.6047582501918651E-3</v>
      </c>
      <c r="X15">
        <v>12</v>
      </c>
      <c r="Y15">
        <v>0.41379310344827586</v>
      </c>
      <c r="Z15">
        <v>9.2095165003837302E-3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>
        <v>2134.8199652777766</v>
      </c>
      <c r="B16">
        <v>1124</v>
      </c>
      <c r="C16">
        <v>22</v>
      </c>
      <c r="D16">
        <v>172</v>
      </c>
      <c r="E16">
        <v>8</v>
      </c>
      <c r="F16">
        <v>0</v>
      </c>
      <c r="G16">
        <v>19</v>
      </c>
      <c r="H16">
        <v>960</v>
      </c>
      <c r="I16">
        <v>4</v>
      </c>
      <c r="J16">
        <v>233</v>
      </c>
      <c r="K16">
        <v>1</v>
      </c>
      <c r="L16">
        <v>285</v>
      </c>
      <c r="M16">
        <v>3</v>
      </c>
      <c r="N16">
        <v>1.0526315789473684E-2</v>
      </c>
      <c r="O16">
        <v>0</v>
      </c>
      <c r="P16">
        <v>0</v>
      </c>
      <c r="Q16">
        <v>0</v>
      </c>
      <c r="R16">
        <v>2</v>
      </c>
      <c r="S16">
        <v>0.66666666666666663</v>
      </c>
      <c r="T16">
        <v>7.0175438596491229E-3</v>
      </c>
      <c r="U16">
        <v>0</v>
      </c>
      <c r="V16">
        <v>0</v>
      </c>
      <c r="W16">
        <v>0</v>
      </c>
      <c r="X16">
        <v>1</v>
      </c>
      <c r="Y16">
        <v>0.33333333333333331</v>
      </c>
      <c r="Z16">
        <v>3.5087719298245615E-3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1838.3594328703693</v>
      </c>
      <c r="B17">
        <v>3329</v>
      </c>
      <c r="C17">
        <v>109</v>
      </c>
      <c r="D17">
        <v>472</v>
      </c>
      <c r="E17">
        <v>0</v>
      </c>
      <c r="F17">
        <v>12</v>
      </c>
      <c r="G17">
        <v>30</v>
      </c>
      <c r="H17">
        <v>86</v>
      </c>
      <c r="I17">
        <v>7</v>
      </c>
      <c r="J17">
        <v>419</v>
      </c>
      <c r="K17">
        <v>40</v>
      </c>
      <c r="L17">
        <v>3044</v>
      </c>
      <c r="M17">
        <v>12</v>
      </c>
      <c r="N17">
        <v>3.9421813403416554E-3</v>
      </c>
      <c r="O17">
        <v>1</v>
      </c>
      <c r="P17">
        <v>8.3333333333333329E-2</v>
      </c>
      <c r="Q17">
        <v>3.2851511169513798E-4</v>
      </c>
      <c r="R17">
        <v>4</v>
      </c>
      <c r="S17">
        <v>0.33333333333333331</v>
      </c>
      <c r="T17">
        <v>1.3140604467805519E-3</v>
      </c>
      <c r="U17">
        <v>2</v>
      </c>
      <c r="V17">
        <v>0.16666666666666666</v>
      </c>
      <c r="W17">
        <v>6.5703022339027597E-4</v>
      </c>
      <c r="X17">
        <v>1</v>
      </c>
      <c r="Y17">
        <v>8.3333333333333329E-2</v>
      </c>
      <c r="Z17">
        <v>3.2851511169513798E-4</v>
      </c>
      <c r="AA17">
        <v>0</v>
      </c>
      <c r="AB17">
        <v>0</v>
      </c>
      <c r="AC17">
        <v>0</v>
      </c>
      <c r="AD17">
        <v>4</v>
      </c>
      <c r="AE17">
        <v>0.33333333333333331</v>
      </c>
      <c r="AF17">
        <v>1.3140604467805519E-3</v>
      </c>
    </row>
    <row r="18" spans="1:32" x14ac:dyDescent="0.2">
      <c r="A18">
        <v>1168.8016898148198</v>
      </c>
      <c r="B18">
        <v>592</v>
      </c>
      <c r="C18">
        <v>43</v>
      </c>
      <c r="D18">
        <v>281</v>
      </c>
      <c r="E18">
        <v>0</v>
      </c>
      <c r="F18">
        <v>0</v>
      </c>
      <c r="G18">
        <v>3</v>
      </c>
      <c r="H18">
        <v>5</v>
      </c>
      <c r="I18">
        <v>1</v>
      </c>
      <c r="J18">
        <v>71</v>
      </c>
      <c r="K18">
        <v>25</v>
      </c>
      <c r="L18">
        <v>605</v>
      </c>
      <c r="M18">
        <v>1</v>
      </c>
      <c r="N18">
        <v>1.652892561983471E-3</v>
      </c>
      <c r="O18">
        <v>0</v>
      </c>
      <c r="P18">
        <v>0</v>
      </c>
      <c r="Q18">
        <v>0</v>
      </c>
      <c r="R18">
        <v>1</v>
      </c>
      <c r="S18">
        <v>1</v>
      </c>
      <c r="T18">
        <v>1.652892561983471E-3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>
        <v>1112.1773148148131</v>
      </c>
      <c r="B19">
        <v>648</v>
      </c>
      <c r="C19">
        <v>40</v>
      </c>
      <c r="D19">
        <v>290</v>
      </c>
      <c r="E19">
        <v>0</v>
      </c>
      <c r="F19">
        <v>0</v>
      </c>
      <c r="G19">
        <v>2</v>
      </c>
      <c r="H19">
        <v>3</v>
      </c>
      <c r="I19">
        <v>1</v>
      </c>
      <c r="J19">
        <v>30</v>
      </c>
      <c r="K19">
        <v>17</v>
      </c>
      <c r="L19">
        <v>13352</v>
      </c>
      <c r="M19">
        <v>72</v>
      </c>
      <c r="N19">
        <v>5.3924505692031152E-3</v>
      </c>
      <c r="O19">
        <v>5</v>
      </c>
      <c r="P19">
        <v>6.9444444444444448E-2</v>
      </c>
      <c r="Q19">
        <v>3.7447573397243858E-4</v>
      </c>
      <c r="R19">
        <v>52</v>
      </c>
      <c r="S19">
        <v>0.72222222222222221</v>
      </c>
      <c r="T19">
        <v>3.8945476333133613E-3</v>
      </c>
      <c r="U19">
        <v>12</v>
      </c>
      <c r="V19">
        <v>0.16666666666666666</v>
      </c>
      <c r="W19">
        <v>8.9874176153385257E-4</v>
      </c>
      <c r="X19">
        <v>2</v>
      </c>
      <c r="Y19">
        <v>2.7777777777777776E-2</v>
      </c>
      <c r="Z19">
        <v>1.4979029358897544E-4</v>
      </c>
      <c r="AA19">
        <v>0</v>
      </c>
      <c r="AB19">
        <v>0</v>
      </c>
      <c r="AC19">
        <v>0</v>
      </c>
      <c r="AD19">
        <v>1</v>
      </c>
      <c r="AE19">
        <v>1.3888888888888888E-2</v>
      </c>
      <c r="AF19">
        <v>7.4895146794487719E-5</v>
      </c>
    </row>
    <row r="20" spans="1:32" x14ac:dyDescent="0.2">
      <c r="A20">
        <v>441.27920138888294</v>
      </c>
      <c r="B20">
        <v>1978</v>
      </c>
      <c r="C20">
        <v>83</v>
      </c>
      <c r="D20">
        <v>371</v>
      </c>
      <c r="E20">
        <v>0</v>
      </c>
      <c r="F20">
        <v>3</v>
      </c>
      <c r="G20">
        <v>19</v>
      </c>
      <c r="H20">
        <v>53</v>
      </c>
      <c r="I20">
        <v>4</v>
      </c>
      <c r="J20">
        <v>291</v>
      </c>
      <c r="K20">
        <v>138</v>
      </c>
      <c r="L20">
        <v>8023</v>
      </c>
      <c r="M20">
        <v>24</v>
      </c>
      <c r="N20">
        <v>2.9913997257883583E-3</v>
      </c>
      <c r="O20">
        <v>0</v>
      </c>
      <c r="P20">
        <v>0</v>
      </c>
      <c r="Q20">
        <v>0</v>
      </c>
      <c r="R20">
        <v>21</v>
      </c>
      <c r="S20">
        <v>0.875</v>
      </c>
      <c r="T20">
        <v>2.6174747600648134E-3</v>
      </c>
      <c r="U20">
        <v>3</v>
      </c>
      <c r="V20">
        <v>0.125</v>
      </c>
      <c r="W20">
        <v>3.7392496572354479E-4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>
        <v>1651.5995486111133</v>
      </c>
      <c r="B21">
        <v>510</v>
      </c>
      <c r="C21">
        <v>17</v>
      </c>
      <c r="D21">
        <v>74</v>
      </c>
      <c r="E21">
        <v>18</v>
      </c>
      <c r="F21">
        <v>6</v>
      </c>
      <c r="G21">
        <v>28</v>
      </c>
      <c r="H21">
        <v>311</v>
      </c>
      <c r="I21">
        <v>13</v>
      </c>
      <c r="J21">
        <v>226</v>
      </c>
      <c r="K21">
        <v>25</v>
      </c>
      <c r="L21">
        <v>4660</v>
      </c>
      <c r="M21">
        <v>32</v>
      </c>
      <c r="N21">
        <v>6.8669527896995704E-3</v>
      </c>
      <c r="O21">
        <v>15</v>
      </c>
      <c r="P21">
        <v>0.46875</v>
      </c>
      <c r="Q21">
        <v>3.2188841201716738E-3</v>
      </c>
      <c r="R21">
        <v>8</v>
      </c>
      <c r="S21">
        <v>0.25</v>
      </c>
      <c r="T21">
        <v>1.7167381974248926E-3</v>
      </c>
      <c r="U21">
        <v>4</v>
      </c>
      <c r="V21">
        <v>0.125</v>
      </c>
      <c r="W21">
        <v>8.5836909871244631E-4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5</v>
      </c>
      <c r="AE21">
        <v>0.15625</v>
      </c>
      <c r="AF21">
        <v>1.0729613733905579E-3</v>
      </c>
    </row>
    <row r="22" spans="1:32" x14ac:dyDescent="0.2">
      <c r="A22">
        <v>2347.4593055555597</v>
      </c>
      <c r="B22">
        <v>553</v>
      </c>
      <c r="C22">
        <v>26</v>
      </c>
      <c r="D22">
        <v>129</v>
      </c>
      <c r="E22">
        <v>21</v>
      </c>
      <c r="F22">
        <v>9</v>
      </c>
      <c r="G22">
        <v>44</v>
      </c>
      <c r="H22">
        <v>528</v>
      </c>
      <c r="I22">
        <v>14</v>
      </c>
      <c r="J22">
        <v>207</v>
      </c>
      <c r="K22">
        <v>61</v>
      </c>
      <c r="L22">
        <v>12596</v>
      </c>
      <c r="M22">
        <v>169</v>
      </c>
      <c r="N22">
        <v>1.3416957764369641E-2</v>
      </c>
      <c r="O22">
        <v>74</v>
      </c>
      <c r="P22">
        <v>0.43786982248520712</v>
      </c>
      <c r="Q22">
        <v>5.8748809145760562E-3</v>
      </c>
      <c r="R22">
        <v>27</v>
      </c>
      <c r="S22">
        <v>0.15976331360946747</v>
      </c>
      <c r="T22">
        <v>2.1435376309939663E-3</v>
      </c>
      <c r="U22">
        <v>27</v>
      </c>
      <c r="V22">
        <v>0.15976331360946747</v>
      </c>
      <c r="W22">
        <v>2.1435376309939663E-3</v>
      </c>
      <c r="X22">
        <v>36</v>
      </c>
      <c r="Y22">
        <v>0.21301775147928995</v>
      </c>
      <c r="Z22">
        <v>2.8580501746586218E-3</v>
      </c>
      <c r="AA22">
        <v>0</v>
      </c>
      <c r="AB22">
        <v>0</v>
      </c>
      <c r="AC22">
        <v>0</v>
      </c>
      <c r="AD22">
        <v>5</v>
      </c>
      <c r="AE22">
        <v>2.9585798816568046E-2</v>
      </c>
      <c r="AF22">
        <v>3.9695141314703079E-4</v>
      </c>
    </row>
    <row r="23" spans="1:32" x14ac:dyDescent="0.2">
      <c r="A23">
        <v>2282.7341435185226</v>
      </c>
      <c r="B23">
        <v>1259</v>
      </c>
      <c r="C23">
        <v>46</v>
      </c>
      <c r="D23">
        <v>194</v>
      </c>
      <c r="E23">
        <v>19</v>
      </c>
      <c r="F23">
        <v>11</v>
      </c>
      <c r="G23">
        <v>77</v>
      </c>
      <c r="H23">
        <v>389</v>
      </c>
      <c r="I23">
        <v>24</v>
      </c>
      <c r="J23">
        <v>185</v>
      </c>
      <c r="K23">
        <v>71</v>
      </c>
      <c r="L23">
        <v>6014</v>
      </c>
      <c r="M23">
        <v>20</v>
      </c>
      <c r="N23">
        <v>3.3255736614566014E-3</v>
      </c>
      <c r="O23">
        <v>8</v>
      </c>
      <c r="P23">
        <v>0.4</v>
      </c>
      <c r="Q23">
        <v>1.3302294645826404E-3</v>
      </c>
      <c r="R23">
        <v>6</v>
      </c>
      <c r="S23">
        <v>0.3</v>
      </c>
      <c r="T23">
        <v>9.9767209843698037E-4</v>
      </c>
      <c r="U23">
        <v>6</v>
      </c>
      <c r="V23">
        <v>0.3</v>
      </c>
      <c r="W23">
        <v>9.9767209843698037E-4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>
        <v>3319.0542824074073</v>
      </c>
      <c r="B24">
        <v>522</v>
      </c>
      <c r="C24">
        <v>36</v>
      </c>
      <c r="D24">
        <v>137</v>
      </c>
      <c r="E24">
        <v>0</v>
      </c>
      <c r="F24">
        <v>9</v>
      </c>
      <c r="G24">
        <v>19</v>
      </c>
      <c r="H24">
        <v>42</v>
      </c>
      <c r="I24">
        <v>3</v>
      </c>
      <c r="J24">
        <v>191</v>
      </c>
      <c r="K24">
        <v>10</v>
      </c>
      <c r="L24">
        <v>2657</v>
      </c>
      <c r="M24">
        <v>43</v>
      </c>
      <c r="N24">
        <v>1.6183665788483251E-2</v>
      </c>
      <c r="O24">
        <v>0</v>
      </c>
      <c r="P24">
        <v>0</v>
      </c>
      <c r="Q24">
        <v>0</v>
      </c>
      <c r="R24">
        <v>22</v>
      </c>
      <c r="S24">
        <v>0.51162790697674421</v>
      </c>
      <c r="T24">
        <v>8.2800150545728271E-3</v>
      </c>
      <c r="U24">
        <v>1</v>
      </c>
      <c r="V24">
        <v>2.3255813953488372E-2</v>
      </c>
      <c r="W24">
        <v>3.7636432066240122E-4</v>
      </c>
      <c r="X24">
        <v>20</v>
      </c>
      <c r="Y24">
        <v>0.46511627906976744</v>
      </c>
      <c r="Z24">
        <v>7.5272864132480237E-3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>
        <v>1253.3167708333349</v>
      </c>
      <c r="B25">
        <v>635</v>
      </c>
      <c r="C25">
        <v>40</v>
      </c>
      <c r="D25">
        <v>129</v>
      </c>
      <c r="E25">
        <v>0</v>
      </c>
      <c r="F25">
        <v>0</v>
      </c>
      <c r="G25">
        <v>2</v>
      </c>
      <c r="H25">
        <v>9</v>
      </c>
      <c r="I25">
        <v>3</v>
      </c>
      <c r="J25">
        <v>44</v>
      </c>
      <c r="K25">
        <v>4</v>
      </c>
      <c r="L25">
        <v>1655</v>
      </c>
      <c r="M25">
        <v>1</v>
      </c>
      <c r="N25">
        <v>6.0422960725075529E-4</v>
      </c>
      <c r="O25">
        <v>0</v>
      </c>
      <c r="P25">
        <v>0</v>
      </c>
      <c r="Q25">
        <v>0</v>
      </c>
      <c r="R25">
        <v>1</v>
      </c>
      <c r="S25">
        <v>1</v>
      </c>
      <c r="T25">
        <v>6.0422960725075529E-4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>
        <v>1541.989999999998</v>
      </c>
      <c r="B26">
        <v>2977</v>
      </c>
      <c r="C26">
        <v>226</v>
      </c>
      <c r="D26">
        <v>731</v>
      </c>
      <c r="E26">
        <v>1</v>
      </c>
      <c r="F26">
        <v>4</v>
      </c>
      <c r="G26">
        <v>2</v>
      </c>
      <c r="H26">
        <v>44</v>
      </c>
      <c r="I26">
        <v>0</v>
      </c>
      <c r="J26">
        <v>208</v>
      </c>
      <c r="K26">
        <v>1</v>
      </c>
      <c r="L26">
        <v>16441</v>
      </c>
      <c r="M26">
        <v>157</v>
      </c>
      <c r="N26">
        <v>9.5492974879873484E-3</v>
      </c>
      <c r="O26">
        <v>0</v>
      </c>
      <c r="P26">
        <v>0</v>
      </c>
      <c r="Q26">
        <v>0</v>
      </c>
      <c r="R26">
        <v>111</v>
      </c>
      <c r="S26">
        <v>0.70700636942675155</v>
      </c>
      <c r="T26">
        <v>6.7514141475579345E-3</v>
      </c>
      <c r="U26">
        <v>31</v>
      </c>
      <c r="V26">
        <v>0.19745222929936307</v>
      </c>
      <c r="W26">
        <v>1.8855300772459096E-3</v>
      </c>
      <c r="X26">
        <v>7</v>
      </c>
      <c r="Y26">
        <v>4.4585987261146494E-2</v>
      </c>
      <c r="Z26">
        <v>4.2576485615230218E-4</v>
      </c>
      <c r="AA26">
        <v>0</v>
      </c>
      <c r="AB26">
        <v>0</v>
      </c>
      <c r="AC26">
        <v>0</v>
      </c>
      <c r="AD26">
        <v>8</v>
      </c>
      <c r="AE26">
        <v>5.0955414012738856E-2</v>
      </c>
      <c r="AF26">
        <v>4.8658840703120245E-4</v>
      </c>
    </row>
    <row r="27" spans="1:32" x14ac:dyDescent="0.2">
      <c r="A27">
        <v>884.25071759259299</v>
      </c>
      <c r="B27">
        <v>3814</v>
      </c>
      <c r="C27">
        <v>115</v>
      </c>
      <c r="D27">
        <v>494</v>
      </c>
      <c r="E27">
        <v>11</v>
      </c>
      <c r="F27">
        <v>3</v>
      </c>
      <c r="G27">
        <v>79</v>
      </c>
      <c r="H27">
        <v>381</v>
      </c>
      <c r="I27">
        <v>34</v>
      </c>
      <c r="J27">
        <v>374</v>
      </c>
      <c r="K27">
        <v>91</v>
      </c>
      <c r="L27">
        <v>18634</v>
      </c>
      <c r="M27">
        <v>9</v>
      </c>
      <c r="N27">
        <v>4.8298808629387141E-4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9</v>
      </c>
      <c r="V27">
        <v>1</v>
      </c>
      <c r="W27">
        <v>4.8298808629387141E-4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>
        <v>781.80268518518278</v>
      </c>
      <c r="B28">
        <v>418</v>
      </c>
      <c r="C28">
        <v>19</v>
      </c>
      <c r="D28">
        <v>192</v>
      </c>
      <c r="E28">
        <v>0</v>
      </c>
      <c r="F28">
        <v>0</v>
      </c>
      <c r="G28">
        <v>7</v>
      </c>
      <c r="H28">
        <v>10</v>
      </c>
      <c r="I28">
        <v>4</v>
      </c>
      <c r="J28">
        <v>7</v>
      </c>
      <c r="K28">
        <v>6</v>
      </c>
      <c r="L28">
        <v>393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>
        <v>3296.1583564814791</v>
      </c>
      <c r="B29">
        <v>1899</v>
      </c>
      <c r="C29">
        <v>84</v>
      </c>
      <c r="D29">
        <v>284</v>
      </c>
      <c r="E29">
        <v>80</v>
      </c>
      <c r="F29">
        <v>7</v>
      </c>
      <c r="G29">
        <v>61</v>
      </c>
      <c r="H29">
        <v>928</v>
      </c>
      <c r="I29">
        <v>9</v>
      </c>
      <c r="J29">
        <v>535</v>
      </c>
      <c r="K29">
        <v>27</v>
      </c>
      <c r="L29">
        <v>14836</v>
      </c>
      <c r="M29">
        <v>58</v>
      </c>
      <c r="N29">
        <v>3.9094095443515777E-3</v>
      </c>
      <c r="O29">
        <v>14</v>
      </c>
      <c r="P29">
        <v>0.2413793103448276</v>
      </c>
      <c r="Q29">
        <v>9.4365057967107035E-4</v>
      </c>
      <c r="R29">
        <v>15</v>
      </c>
      <c r="S29">
        <v>0.25862068965517243</v>
      </c>
      <c r="T29">
        <v>1.0110541925047183E-3</v>
      </c>
      <c r="U29">
        <v>16</v>
      </c>
      <c r="V29">
        <v>0.27586206896551724</v>
      </c>
      <c r="W29">
        <v>1.0784578053383662E-3</v>
      </c>
      <c r="X29">
        <v>10</v>
      </c>
      <c r="Y29">
        <v>0.17241379310344829</v>
      </c>
      <c r="Z29">
        <v>6.7403612833647885E-4</v>
      </c>
      <c r="AA29">
        <v>0</v>
      </c>
      <c r="AB29">
        <v>0</v>
      </c>
      <c r="AC29">
        <v>0</v>
      </c>
      <c r="AD29">
        <v>3</v>
      </c>
      <c r="AE29">
        <v>5.1724137931034482E-2</v>
      </c>
      <c r="AF29">
        <v>2.0221083850094365E-4</v>
      </c>
    </row>
    <row r="30" spans="1:32" x14ac:dyDescent="0.2">
      <c r="A30">
        <v>924.7131712962946</v>
      </c>
      <c r="B30">
        <v>530</v>
      </c>
      <c r="C30">
        <v>20</v>
      </c>
      <c r="D30">
        <v>29</v>
      </c>
      <c r="E30">
        <v>6</v>
      </c>
      <c r="F30">
        <v>0</v>
      </c>
      <c r="G30">
        <v>3</v>
      </c>
      <c r="H30">
        <v>87</v>
      </c>
      <c r="I30">
        <v>0</v>
      </c>
      <c r="J30">
        <v>8</v>
      </c>
      <c r="K30">
        <v>0</v>
      </c>
      <c r="L30">
        <v>2263</v>
      </c>
      <c r="M30">
        <v>4</v>
      </c>
      <c r="N30">
        <v>1.7675651789659744E-3</v>
      </c>
      <c r="O30">
        <v>3</v>
      </c>
      <c r="P30">
        <v>0.75</v>
      </c>
      <c r="Q30">
        <v>1.3256738842244808E-3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0.25</v>
      </c>
      <c r="Z30">
        <v>4.4189129474149361E-4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>
        <v>461.06645833333459</v>
      </c>
      <c r="B31">
        <v>366</v>
      </c>
      <c r="C31">
        <v>14</v>
      </c>
      <c r="D31">
        <v>24</v>
      </c>
      <c r="E31">
        <v>0</v>
      </c>
      <c r="F31">
        <v>0</v>
      </c>
      <c r="G31">
        <v>9</v>
      </c>
      <c r="H31">
        <v>75</v>
      </c>
      <c r="I31">
        <v>0</v>
      </c>
      <c r="J31">
        <v>80</v>
      </c>
      <c r="K31">
        <v>36</v>
      </c>
      <c r="L31">
        <v>4296</v>
      </c>
      <c r="M31">
        <v>8</v>
      </c>
      <c r="N31">
        <v>1.8621973929236499E-3</v>
      </c>
      <c r="O31">
        <v>0</v>
      </c>
      <c r="P31">
        <v>0</v>
      </c>
      <c r="Q31">
        <v>0</v>
      </c>
      <c r="R31">
        <v>3</v>
      </c>
      <c r="S31">
        <v>0.375</v>
      </c>
      <c r="T31">
        <v>6.9832402234636874E-4</v>
      </c>
      <c r="U31">
        <v>1</v>
      </c>
      <c r="V31">
        <v>0.125</v>
      </c>
      <c r="W31">
        <v>2.3277467411545624E-4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</v>
      </c>
      <c r="AE31">
        <v>0.5</v>
      </c>
      <c r="AF31">
        <v>9.3109869646182495E-4</v>
      </c>
    </row>
    <row r="32" spans="1:32" x14ac:dyDescent="0.2">
      <c r="A32">
        <v>1572.8023032407436</v>
      </c>
      <c r="B32">
        <v>1469</v>
      </c>
      <c r="C32">
        <v>130</v>
      </c>
      <c r="D32">
        <v>602</v>
      </c>
      <c r="E32">
        <v>6</v>
      </c>
      <c r="F32">
        <v>8</v>
      </c>
      <c r="G32">
        <v>21</v>
      </c>
      <c r="H32">
        <v>43</v>
      </c>
      <c r="I32">
        <v>1</v>
      </c>
      <c r="J32">
        <v>106</v>
      </c>
      <c r="K32">
        <v>17</v>
      </c>
      <c r="L32">
        <v>1318</v>
      </c>
      <c r="M32">
        <v>20</v>
      </c>
      <c r="N32">
        <v>1.5174506828528073E-2</v>
      </c>
      <c r="O32">
        <v>1</v>
      </c>
      <c r="P32">
        <v>0.05</v>
      </c>
      <c r="Q32">
        <v>7.5872534142640367E-4</v>
      </c>
      <c r="R32">
        <v>11</v>
      </c>
      <c r="S32">
        <v>0.55000000000000004</v>
      </c>
      <c r="T32">
        <v>8.3459787556904395E-3</v>
      </c>
      <c r="U32">
        <v>4</v>
      </c>
      <c r="V32">
        <v>0.2</v>
      </c>
      <c r="W32">
        <v>3.0349013657056147E-3</v>
      </c>
      <c r="X32">
        <v>4</v>
      </c>
      <c r="Y32">
        <v>0.2</v>
      </c>
      <c r="Z32">
        <v>3.0349013657056147E-3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">
      <c r="A33">
        <v>661.84143518518977</v>
      </c>
      <c r="B33">
        <v>391</v>
      </c>
      <c r="C33">
        <v>33</v>
      </c>
      <c r="D33">
        <v>131</v>
      </c>
      <c r="E33">
        <v>5</v>
      </c>
      <c r="F33">
        <v>0</v>
      </c>
      <c r="G33">
        <v>11</v>
      </c>
      <c r="H33">
        <v>129</v>
      </c>
      <c r="I33">
        <v>9</v>
      </c>
      <c r="J33">
        <v>55</v>
      </c>
      <c r="K33">
        <v>19</v>
      </c>
      <c r="L33">
        <v>172482</v>
      </c>
      <c r="M33">
        <v>2937</v>
      </c>
      <c r="N33">
        <v>1.7027863777089782E-2</v>
      </c>
      <c r="O33">
        <v>334</v>
      </c>
      <c r="P33">
        <v>0.11372148450800136</v>
      </c>
      <c r="Q33">
        <v>1.9364339467306734E-3</v>
      </c>
      <c r="R33">
        <v>1518</v>
      </c>
      <c r="S33">
        <v>0.5168539325842697</v>
      </c>
      <c r="T33">
        <v>8.8009183566980908E-3</v>
      </c>
      <c r="U33">
        <v>781</v>
      </c>
      <c r="V33">
        <v>0.26591760299625467</v>
      </c>
      <c r="W33">
        <v>4.5280087197504667E-3</v>
      </c>
      <c r="X33">
        <v>221</v>
      </c>
      <c r="Y33">
        <v>7.5246850527749404E-2</v>
      </c>
      <c r="Z33">
        <v>1.2812931204415534E-3</v>
      </c>
      <c r="AA33">
        <v>2</v>
      </c>
      <c r="AB33">
        <v>6.8096697310180451E-4</v>
      </c>
      <c r="AC33">
        <v>1.1595412854674691E-5</v>
      </c>
      <c r="AD33">
        <v>81</v>
      </c>
      <c r="AE33">
        <v>2.7579162410623085E-2</v>
      </c>
      <c r="AF33">
        <v>4.6961422061432497E-4</v>
      </c>
    </row>
    <row r="34" spans="1:32" x14ac:dyDescent="0.2">
      <c r="A34">
        <v>1028.446782407409</v>
      </c>
      <c r="B34">
        <v>778</v>
      </c>
      <c r="C34">
        <v>20</v>
      </c>
      <c r="D34">
        <v>106</v>
      </c>
      <c r="E34">
        <v>30</v>
      </c>
      <c r="F34">
        <v>2</v>
      </c>
      <c r="G34">
        <v>14</v>
      </c>
      <c r="H34">
        <v>109</v>
      </c>
      <c r="I34">
        <v>2</v>
      </c>
      <c r="J34">
        <v>149</v>
      </c>
      <c r="K34">
        <v>45</v>
      </c>
      <c r="L34">
        <v>1733</v>
      </c>
      <c r="M34">
        <v>3</v>
      </c>
      <c r="N34">
        <v>1.7311021350259665E-3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</v>
      </c>
      <c r="Y34">
        <v>1</v>
      </c>
      <c r="Z34">
        <v>1.7311021350259665E-3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2611.1875462962998</v>
      </c>
      <c r="B35">
        <v>737</v>
      </c>
      <c r="C35">
        <v>13</v>
      </c>
      <c r="D35">
        <v>91</v>
      </c>
      <c r="E35">
        <v>0</v>
      </c>
      <c r="F35">
        <v>2</v>
      </c>
      <c r="G35">
        <v>28</v>
      </c>
      <c r="H35">
        <v>169</v>
      </c>
      <c r="I35">
        <v>0</v>
      </c>
      <c r="J35">
        <v>110</v>
      </c>
      <c r="K35">
        <v>14</v>
      </c>
      <c r="L35">
        <v>2997</v>
      </c>
      <c r="M35">
        <v>14</v>
      </c>
      <c r="N35">
        <v>4.6713380046713377E-3</v>
      </c>
      <c r="O35">
        <v>0</v>
      </c>
      <c r="P35">
        <v>0</v>
      </c>
      <c r="Q35">
        <v>0</v>
      </c>
      <c r="R35">
        <v>2</v>
      </c>
      <c r="S35">
        <v>0.14285714285714285</v>
      </c>
      <c r="T35">
        <v>6.6733400066733403E-4</v>
      </c>
      <c r="U35">
        <v>6</v>
      </c>
      <c r="V35">
        <v>0.42857142857142855</v>
      </c>
      <c r="W35">
        <v>2.002002002002002E-3</v>
      </c>
      <c r="X35">
        <v>4</v>
      </c>
      <c r="Y35">
        <v>0.2857142857142857</v>
      </c>
      <c r="Z35">
        <v>1.3346680013346681E-3</v>
      </c>
      <c r="AA35">
        <v>0</v>
      </c>
      <c r="AB35">
        <v>0</v>
      </c>
      <c r="AC35">
        <v>0</v>
      </c>
      <c r="AD35">
        <v>2</v>
      </c>
      <c r="AE35">
        <v>0.14285714285714285</v>
      </c>
      <c r="AF35">
        <v>6.6733400066733403E-4</v>
      </c>
    </row>
    <row r="36" spans="1:32" x14ac:dyDescent="0.2">
      <c r="A36">
        <v>342.58858796296408</v>
      </c>
      <c r="B36">
        <v>646</v>
      </c>
      <c r="C36">
        <v>32</v>
      </c>
      <c r="D36">
        <v>179</v>
      </c>
      <c r="E36">
        <v>0</v>
      </c>
      <c r="F36">
        <v>0</v>
      </c>
      <c r="G36">
        <v>3</v>
      </c>
      <c r="H36">
        <v>11</v>
      </c>
      <c r="I36">
        <v>6</v>
      </c>
      <c r="J36">
        <v>45</v>
      </c>
      <c r="K36">
        <v>34</v>
      </c>
      <c r="L36">
        <v>434</v>
      </c>
      <c r="M36">
        <v>4</v>
      </c>
      <c r="N36">
        <v>9.2165898617511521E-3</v>
      </c>
      <c r="O36">
        <v>0</v>
      </c>
      <c r="P36">
        <v>0</v>
      </c>
      <c r="Q36">
        <v>0</v>
      </c>
      <c r="R36">
        <v>1</v>
      </c>
      <c r="S36">
        <v>0.25</v>
      </c>
      <c r="T36">
        <v>2.304147465437788E-3</v>
      </c>
      <c r="U36">
        <v>0</v>
      </c>
      <c r="V36">
        <v>0</v>
      </c>
      <c r="W36">
        <v>0</v>
      </c>
      <c r="X36">
        <v>3</v>
      </c>
      <c r="Y36">
        <v>0.75</v>
      </c>
      <c r="Z36">
        <v>6.9124423963133645E-3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3244.377442129633</v>
      </c>
      <c r="B37">
        <v>1542</v>
      </c>
      <c r="C37">
        <v>124</v>
      </c>
      <c r="D37">
        <v>406</v>
      </c>
      <c r="E37">
        <v>3</v>
      </c>
      <c r="F37">
        <v>21</v>
      </c>
      <c r="G37">
        <v>50</v>
      </c>
      <c r="H37">
        <v>3076</v>
      </c>
      <c r="I37">
        <v>13</v>
      </c>
      <c r="J37">
        <v>540</v>
      </c>
      <c r="K37">
        <v>62</v>
      </c>
      <c r="L37">
        <v>32049</v>
      </c>
      <c r="M37">
        <v>230</v>
      </c>
      <c r="N37">
        <v>7.1765109675808918E-3</v>
      </c>
      <c r="O37">
        <v>29</v>
      </c>
      <c r="P37">
        <v>0.12608695652173912</v>
      </c>
      <c r="Q37">
        <v>9.0486442634715595E-4</v>
      </c>
      <c r="R37">
        <v>94</v>
      </c>
      <c r="S37">
        <v>0.40869565217391307</v>
      </c>
      <c r="T37">
        <v>2.9330088302287121E-3</v>
      </c>
      <c r="U37">
        <v>54</v>
      </c>
      <c r="V37">
        <v>0.23478260869565218</v>
      </c>
      <c r="W37">
        <v>1.6849199663016006E-3</v>
      </c>
      <c r="X37">
        <v>42</v>
      </c>
      <c r="Y37">
        <v>0.18260869565217391</v>
      </c>
      <c r="Z37">
        <v>1.3104933071234671E-3</v>
      </c>
      <c r="AA37">
        <v>2</v>
      </c>
      <c r="AB37">
        <v>8.6956521739130436E-3</v>
      </c>
      <c r="AC37">
        <v>6.2404443196355586E-5</v>
      </c>
      <c r="AD37">
        <v>9</v>
      </c>
      <c r="AE37">
        <v>3.9130434782608699E-2</v>
      </c>
      <c r="AF37">
        <v>2.8081999438360012E-4</v>
      </c>
    </row>
    <row r="38" spans="1:32" x14ac:dyDescent="0.2">
      <c r="A38">
        <v>1424.5005555555545</v>
      </c>
      <c r="B38">
        <v>9904</v>
      </c>
      <c r="C38">
        <v>290</v>
      </c>
      <c r="D38">
        <v>1980</v>
      </c>
      <c r="E38">
        <v>46</v>
      </c>
      <c r="F38">
        <v>72</v>
      </c>
      <c r="G38">
        <v>230</v>
      </c>
      <c r="H38">
        <v>2786</v>
      </c>
      <c r="I38">
        <v>17</v>
      </c>
      <c r="J38">
        <v>2305</v>
      </c>
      <c r="K38">
        <v>89</v>
      </c>
      <c r="L38">
        <v>34817</v>
      </c>
      <c r="M38">
        <v>199</v>
      </c>
      <c r="N38">
        <v>5.7155987017836118E-3</v>
      </c>
      <c r="O38">
        <v>9</v>
      </c>
      <c r="P38">
        <v>4.5226130653266333E-2</v>
      </c>
      <c r="Q38">
        <v>2.5849441364850505E-4</v>
      </c>
      <c r="R38">
        <v>121</v>
      </c>
      <c r="S38">
        <v>0.60804020100502509</v>
      </c>
      <c r="T38">
        <v>3.4753137834965678E-3</v>
      </c>
      <c r="U38">
        <v>53</v>
      </c>
      <c r="V38">
        <v>0.26633165829145727</v>
      </c>
      <c r="W38">
        <v>1.5222448803745296E-3</v>
      </c>
      <c r="X38">
        <v>12</v>
      </c>
      <c r="Y38">
        <v>6.030150753768844E-2</v>
      </c>
      <c r="Z38">
        <v>3.4465921819800674E-4</v>
      </c>
      <c r="AA38">
        <v>2</v>
      </c>
      <c r="AB38">
        <v>1.0050251256281407E-2</v>
      </c>
      <c r="AC38">
        <v>5.7443203033001123E-5</v>
      </c>
      <c r="AD38">
        <v>2</v>
      </c>
      <c r="AE38">
        <v>1.0050251256281407E-2</v>
      </c>
      <c r="AF38">
        <v>5.7443203033001123E-5</v>
      </c>
    </row>
    <row r="39" spans="1:32" x14ac:dyDescent="0.2">
      <c r="A39">
        <v>796.45912037037488</v>
      </c>
      <c r="B39">
        <v>901</v>
      </c>
      <c r="C39">
        <v>41</v>
      </c>
      <c r="D39">
        <v>146</v>
      </c>
      <c r="E39">
        <v>0</v>
      </c>
      <c r="F39">
        <v>0</v>
      </c>
      <c r="G39">
        <v>6</v>
      </c>
      <c r="H39">
        <v>37</v>
      </c>
      <c r="I39">
        <v>5</v>
      </c>
      <c r="J39">
        <v>75</v>
      </c>
      <c r="K39">
        <v>45</v>
      </c>
      <c r="L39">
        <v>1052</v>
      </c>
      <c r="M39">
        <v>1</v>
      </c>
      <c r="N39">
        <v>9.5057034220532319E-4</v>
      </c>
      <c r="O39">
        <v>0</v>
      </c>
      <c r="P39">
        <v>0</v>
      </c>
      <c r="Q39">
        <v>0</v>
      </c>
      <c r="R39">
        <v>1</v>
      </c>
      <c r="S39">
        <v>1</v>
      </c>
      <c r="T39">
        <v>9.5057034220532319E-4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900.69877314814948</v>
      </c>
      <c r="B40">
        <v>535</v>
      </c>
      <c r="C40">
        <v>27</v>
      </c>
      <c r="D40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90</v>
      </c>
      <c r="M40">
        <v>4</v>
      </c>
      <c r="N40">
        <v>4.4444444444444446E-2</v>
      </c>
      <c r="O40">
        <v>0</v>
      </c>
      <c r="P40">
        <v>0</v>
      </c>
      <c r="Q40">
        <v>0</v>
      </c>
      <c r="R40">
        <v>4</v>
      </c>
      <c r="S40">
        <v>1</v>
      </c>
      <c r="T40">
        <v>4.4444444444444446E-2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1364.1630555555603</v>
      </c>
      <c r="B41">
        <v>1750</v>
      </c>
      <c r="C41">
        <v>54</v>
      </c>
      <c r="D41">
        <v>293</v>
      </c>
      <c r="E41">
        <v>3</v>
      </c>
      <c r="F41">
        <v>0</v>
      </c>
      <c r="G41">
        <v>15</v>
      </c>
      <c r="H41">
        <v>16</v>
      </c>
      <c r="I41">
        <v>0</v>
      </c>
      <c r="J41">
        <v>26</v>
      </c>
      <c r="K41">
        <v>8</v>
      </c>
      <c r="L41">
        <v>640</v>
      </c>
      <c r="M41">
        <v>31</v>
      </c>
      <c r="N41">
        <v>4.8437500000000001E-2</v>
      </c>
      <c r="O41">
        <v>4</v>
      </c>
      <c r="P41">
        <v>0.12903225806451613</v>
      </c>
      <c r="Q41">
        <v>6.2500000000000003E-3</v>
      </c>
      <c r="R41">
        <v>10</v>
      </c>
      <c r="S41">
        <v>0.32258064516129031</v>
      </c>
      <c r="T41">
        <v>1.5625E-2</v>
      </c>
      <c r="U41">
        <v>7</v>
      </c>
      <c r="V41">
        <v>0.22580645161290322</v>
      </c>
      <c r="W41">
        <v>1.0937499999999999E-2</v>
      </c>
      <c r="X41">
        <v>5</v>
      </c>
      <c r="Y41">
        <v>0.16129032258064516</v>
      </c>
      <c r="Z41">
        <v>7.8125E-3</v>
      </c>
      <c r="AA41">
        <v>5</v>
      </c>
      <c r="AB41">
        <v>0.16129032258064516</v>
      </c>
      <c r="AC41">
        <v>7.8125E-3</v>
      </c>
      <c r="AD41">
        <v>0</v>
      </c>
      <c r="AE41">
        <v>0</v>
      </c>
      <c r="AF41">
        <v>0</v>
      </c>
    </row>
    <row r="42" spans="1:32" x14ac:dyDescent="0.2">
      <c r="A42">
        <v>980.409004629626</v>
      </c>
      <c r="B42">
        <v>474</v>
      </c>
      <c r="C42">
        <v>45</v>
      </c>
      <c r="D42">
        <v>167</v>
      </c>
      <c r="E42">
        <v>33</v>
      </c>
      <c r="F42">
        <v>0</v>
      </c>
      <c r="G42">
        <v>14</v>
      </c>
      <c r="H42">
        <v>122</v>
      </c>
      <c r="I42">
        <v>3</v>
      </c>
      <c r="J42">
        <v>113</v>
      </c>
      <c r="K42">
        <v>21</v>
      </c>
      <c r="L42">
        <v>4534</v>
      </c>
      <c r="M42">
        <v>23</v>
      </c>
      <c r="N42">
        <v>5.0727834142037936E-3</v>
      </c>
      <c r="O42">
        <v>2</v>
      </c>
      <c r="P42">
        <v>8.6956521739130432E-2</v>
      </c>
      <c r="Q42">
        <v>4.4111160123511248E-4</v>
      </c>
      <c r="R42">
        <v>6</v>
      </c>
      <c r="S42">
        <v>0.2608695652173913</v>
      </c>
      <c r="T42">
        <v>1.3233348037053375E-3</v>
      </c>
      <c r="U42">
        <v>12</v>
      </c>
      <c r="V42">
        <v>0.52173913043478259</v>
      </c>
      <c r="W42">
        <v>2.6466696074106751E-3</v>
      </c>
      <c r="X42">
        <v>2</v>
      </c>
      <c r="Y42">
        <v>8.6956521739130432E-2</v>
      </c>
      <c r="Z42">
        <v>4.4111160123511248E-4</v>
      </c>
      <c r="AA42">
        <v>0</v>
      </c>
      <c r="AB42">
        <v>0</v>
      </c>
      <c r="AC42">
        <v>0</v>
      </c>
      <c r="AD42">
        <v>1</v>
      </c>
      <c r="AE42">
        <v>4.3478260869565216E-2</v>
      </c>
      <c r="AF42">
        <v>2.2055580061755624E-4</v>
      </c>
    </row>
    <row r="43" spans="1:32" x14ac:dyDescent="0.2">
      <c r="A43">
        <v>2570.1642129629618</v>
      </c>
      <c r="B43">
        <v>635</v>
      </c>
      <c r="C43">
        <v>19</v>
      </c>
      <c r="D43">
        <v>89</v>
      </c>
      <c r="E43">
        <v>15</v>
      </c>
      <c r="F43">
        <v>1</v>
      </c>
      <c r="G43">
        <v>43</v>
      </c>
      <c r="H43">
        <v>84</v>
      </c>
      <c r="I43">
        <v>6</v>
      </c>
      <c r="J43">
        <v>96</v>
      </c>
      <c r="K43">
        <v>11</v>
      </c>
      <c r="L43">
        <v>2935</v>
      </c>
      <c r="M43">
        <v>53</v>
      </c>
      <c r="N43">
        <v>1.8057921635434411E-2</v>
      </c>
      <c r="O43">
        <v>0</v>
      </c>
      <c r="P43">
        <v>0</v>
      </c>
      <c r="Q43">
        <v>0</v>
      </c>
      <c r="R43">
        <v>53</v>
      </c>
      <c r="S43">
        <v>1</v>
      </c>
      <c r="T43">
        <v>1.8057921635434411E-2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658.37179398148146</v>
      </c>
      <c r="B44">
        <v>451</v>
      </c>
      <c r="C44">
        <v>15</v>
      </c>
      <c r="D44">
        <v>124</v>
      </c>
      <c r="E44">
        <v>0</v>
      </c>
      <c r="F44">
        <v>0</v>
      </c>
      <c r="G44">
        <v>0</v>
      </c>
      <c r="H44">
        <v>2</v>
      </c>
      <c r="I44">
        <v>0</v>
      </c>
      <c r="J44">
        <v>10</v>
      </c>
      <c r="K44">
        <v>1</v>
      </c>
      <c r="L44">
        <v>8867</v>
      </c>
      <c r="M44">
        <v>5</v>
      </c>
      <c r="N44">
        <v>5.6388857561745801E-4</v>
      </c>
      <c r="O44">
        <v>0</v>
      </c>
      <c r="P44">
        <v>0</v>
      </c>
      <c r="Q44">
        <v>0</v>
      </c>
      <c r="R44">
        <v>3</v>
      </c>
      <c r="S44">
        <v>0.6</v>
      </c>
      <c r="T44">
        <v>3.3833314537047479E-4</v>
      </c>
      <c r="U44">
        <v>2</v>
      </c>
      <c r="V44">
        <v>0.4</v>
      </c>
      <c r="W44">
        <v>2.255554302469832E-4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1235.968460648146</v>
      </c>
      <c r="B45">
        <v>572</v>
      </c>
      <c r="C45">
        <v>15</v>
      </c>
      <c r="D45">
        <v>77</v>
      </c>
      <c r="E45">
        <v>3</v>
      </c>
      <c r="F45">
        <v>0</v>
      </c>
      <c r="G45">
        <v>7</v>
      </c>
      <c r="H45">
        <v>27</v>
      </c>
      <c r="I45">
        <v>5</v>
      </c>
      <c r="J45">
        <v>21</v>
      </c>
      <c r="K45">
        <v>8</v>
      </c>
      <c r="L45">
        <v>2358</v>
      </c>
      <c r="M45">
        <v>10</v>
      </c>
      <c r="N45">
        <v>4.2408821034775231E-3</v>
      </c>
      <c r="O45">
        <v>1</v>
      </c>
      <c r="P45">
        <v>0.1</v>
      </c>
      <c r="Q45">
        <v>4.2408821034775233E-4</v>
      </c>
      <c r="R45">
        <v>8</v>
      </c>
      <c r="S45">
        <v>0.8</v>
      </c>
      <c r="T45">
        <v>3.3927056827820186E-3</v>
      </c>
      <c r="U45">
        <v>0</v>
      </c>
      <c r="V45">
        <v>0</v>
      </c>
      <c r="W45">
        <v>0</v>
      </c>
      <c r="X45">
        <v>1</v>
      </c>
      <c r="Y45">
        <v>0.1</v>
      </c>
      <c r="Z45">
        <v>4.2408821034775233E-4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3371.0832291666666</v>
      </c>
      <c r="B46">
        <v>5665</v>
      </c>
      <c r="C46">
        <v>143</v>
      </c>
      <c r="D46">
        <v>426</v>
      </c>
      <c r="E46">
        <v>0</v>
      </c>
      <c r="F46">
        <v>19</v>
      </c>
      <c r="G46">
        <v>76</v>
      </c>
      <c r="H46">
        <v>176</v>
      </c>
      <c r="I46">
        <v>0</v>
      </c>
      <c r="J46">
        <v>387</v>
      </c>
      <c r="K46">
        <v>19</v>
      </c>
      <c r="L46">
        <v>3925</v>
      </c>
      <c r="M46">
        <v>42</v>
      </c>
      <c r="N46">
        <v>1.070063694267516E-2</v>
      </c>
      <c r="O46">
        <v>37</v>
      </c>
      <c r="P46">
        <v>0.88095238095238093</v>
      </c>
      <c r="Q46">
        <v>9.4267515923566886E-3</v>
      </c>
      <c r="R46">
        <v>2</v>
      </c>
      <c r="S46">
        <v>4.7619047619047616E-2</v>
      </c>
      <c r="T46">
        <v>5.0955414012738849E-4</v>
      </c>
      <c r="U46">
        <v>1</v>
      </c>
      <c r="V46">
        <v>2.3809523809523808E-2</v>
      </c>
      <c r="W46">
        <v>2.5477707006369424E-4</v>
      </c>
      <c r="X46">
        <v>1</v>
      </c>
      <c r="Y46">
        <v>2.3809523809523808E-2</v>
      </c>
      <c r="Z46">
        <v>2.5477707006369424E-4</v>
      </c>
      <c r="AA46">
        <v>0</v>
      </c>
      <c r="AB46">
        <v>0</v>
      </c>
      <c r="AC46">
        <v>0</v>
      </c>
      <c r="AD46">
        <v>1</v>
      </c>
      <c r="AE46">
        <v>2.3809523809523808E-2</v>
      </c>
      <c r="AF46">
        <v>2.5477707006369424E-4</v>
      </c>
    </row>
    <row r="47" spans="1:32" x14ac:dyDescent="0.2">
      <c r="A47">
        <v>1890.4012731481489</v>
      </c>
      <c r="B47">
        <v>1039</v>
      </c>
      <c r="C47">
        <v>30</v>
      </c>
      <c r="D47">
        <v>230</v>
      </c>
      <c r="E47">
        <v>179</v>
      </c>
      <c r="F47">
        <v>2</v>
      </c>
      <c r="G47">
        <v>121</v>
      </c>
      <c r="H47">
        <v>575</v>
      </c>
      <c r="I47">
        <v>8</v>
      </c>
      <c r="J47">
        <v>207</v>
      </c>
      <c r="K47">
        <v>48</v>
      </c>
      <c r="L47">
        <v>11643</v>
      </c>
      <c r="M47">
        <v>429</v>
      </c>
      <c r="N47">
        <v>3.684617366658078E-2</v>
      </c>
      <c r="O47">
        <v>372</v>
      </c>
      <c r="P47">
        <v>0.86713286713286708</v>
      </c>
      <c r="Q47">
        <v>3.1950528214377737E-2</v>
      </c>
      <c r="R47">
        <v>15</v>
      </c>
      <c r="S47">
        <v>3.4965034965034968E-2</v>
      </c>
      <c r="T47">
        <v>1.2883277505797476E-3</v>
      </c>
      <c r="U47">
        <v>29</v>
      </c>
      <c r="V47">
        <v>6.75990675990676E-2</v>
      </c>
      <c r="W47">
        <v>2.4907669844541785E-3</v>
      </c>
      <c r="X47">
        <v>13</v>
      </c>
      <c r="Y47">
        <v>3.0303030303030304E-2</v>
      </c>
      <c r="Z47">
        <v>1.1165507171691145E-3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1310.3316319444421</v>
      </c>
      <c r="B48">
        <v>1214</v>
      </c>
      <c r="C48">
        <v>54</v>
      </c>
      <c r="D48">
        <v>198</v>
      </c>
      <c r="E48">
        <v>0</v>
      </c>
      <c r="F48">
        <v>1</v>
      </c>
      <c r="G48">
        <v>39</v>
      </c>
      <c r="H48">
        <v>373</v>
      </c>
      <c r="I48">
        <v>12</v>
      </c>
      <c r="J48">
        <v>587</v>
      </c>
      <c r="K48">
        <v>181</v>
      </c>
      <c r="L48">
        <v>44743</v>
      </c>
      <c r="M48">
        <v>1644</v>
      </c>
      <c r="N48">
        <v>3.6743177703774894E-2</v>
      </c>
      <c r="O48">
        <v>450</v>
      </c>
      <c r="P48">
        <v>0.27372262773722628</v>
      </c>
      <c r="Q48">
        <v>1.0057439152493127E-2</v>
      </c>
      <c r="R48">
        <v>654</v>
      </c>
      <c r="S48">
        <v>0.3978102189781022</v>
      </c>
      <c r="T48">
        <v>1.4616811568290013E-2</v>
      </c>
      <c r="U48">
        <v>213</v>
      </c>
      <c r="V48">
        <v>0.12956204379562045</v>
      </c>
      <c r="W48">
        <v>4.7605211988467466E-3</v>
      </c>
      <c r="X48">
        <v>100</v>
      </c>
      <c r="Y48">
        <v>6.0827250608272508E-2</v>
      </c>
      <c r="Z48">
        <v>2.234986478331806E-3</v>
      </c>
      <c r="AA48">
        <v>0</v>
      </c>
      <c r="AB48">
        <v>0</v>
      </c>
      <c r="AC48">
        <v>0</v>
      </c>
      <c r="AD48">
        <v>227</v>
      </c>
      <c r="AE48">
        <v>0.13807785888077859</v>
      </c>
      <c r="AF48">
        <v>5.0734193058131994E-3</v>
      </c>
    </row>
    <row r="49" spans="1:32" x14ac:dyDescent="0.2">
      <c r="A49">
        <v>3508.0713078703702</v>
      </c>
      <c r="B49">
        <v>3549</v>
      </c>
      <c r="C49">
        <v>192</v>
      </c>
      <c r="D49">
        <v>1037</v>
      </c>
      <c r="E49">
        <v>4</v>
      </c>
      <c r="F49">
        <v>13</v>
      </c>
      <c r="G49">
        <v>64</v>
      </c>
      <c r="H49">
        <v>242</v>
      </c>
      <c r="I49">
        <v>30</v>
      </c>
      <c r="J49">
        <v>18520</v>
      </c>
      <c r="K49">
        <v>1856</v>
      </c>
      <c r="L49">
        <v>140758</v>
      </c>
      <c r="M49">
        <v>1637</v>
      </c>
      <c r="N49">
        <v>1.1629889597749328E-2</v>
      </c>
      <c r="O49">
        <v>743</v>
      </c>
      <c r="P49">
        <v>0.45387904703726328</v>
      </c>
      <c r="Q49">
        <v>5.2785632077750463E-3</v>
      </c>
      <c r="R49">
        <v>320</v>
      </c>
      <c r="S49">
        <v>0.19547953573610263</v>
      </c>
      <c r="T49">
        <v>2.273405419230168E-3</v>
      </c>
      <c r="U49">
        <v>310</v>
      </c>
      <c r="V49">
        <v>0.18937080024434941</v>
      </c>
      <c r="W49">
        <v>2.2023614998792252E-3</v>
      </c>
      <c r="X49">
        <v>217</v>
      </c>
      <c r="Y49">
        <v>0.13255956017104459</v>
      </c>
      <c r="Z49">
        <v>1.5416530499154577E-3</v>
      </c>
      <c r="AA49">
        <v>47</v>
      </c>
      <c r="AB49">
        <v>2.8711056811240074E-2</v>
      </c>
      <c r="AC49">
        <v>3.3390642094943094E-4</v>
      </c>
      <c r="AD49">
        <v>0</v>
      </c>
      <c r="AE49">
        <v>0</v>
      </c>
      <c r="AF49">
        <v>0</v>
      </c>
    </row>
    <row r="50" spans="1:32" x14ac:dyDescent="0.2">
      <c r="A50">
        <v>2072.0233217592613</v>
      </c>
      <c r="B50">
        <v>4969</v>
      </c>
      <c r="C50">
        <v>198</v>
      </c>
      <c r="D50">
        <v>774</v>
      </c>
      <c r="E50">
        <v>0</v>
      </c>
      <c r="F50">
        <v>37</v>
      </c>
      <c r="G50">
        <v>157</v>
      </c>
      <c r="H50">
        <v>1296</v>
      </c>
      <c r="I50">
        <v>70</v>
      </c>
      <c r="J50">
        <v>1291</v>
      </c>
      <c r="K50">
        <v>512</v>
      </c>
      <c r="L50">
        <v>81676</v>
      </c>
      <c r="M50">
        <v>1517</v>
      </c>
      <c r="N50">
        <v>1.8573387531220922E-2</v>
      </c>
      <c r="O50">
        <v>755</v>
      </c>
      <c r="P50">
        <v>0.49769281476598548</v>
      </c>
      <c r="Q50">
        <v>9.2438415201527985E-3</v>
      </c>
      <c r="R50">
        <v>207</v>
      </c>
      <c r="S50">
        <v>0.13645352669742913</v>
      </c>
      <c r="T50">
        <v>2.5344042313531516E-3</v>
      </c>
      <c r="U50">
        <v>390</v>
      </c>
      <c r="V50">
        <v>0.25708635464733026</v>
      </c>
      <c r="W50">
        <v>4.7749644938537639E-3</v>
      </c>
      <c r="X50">
        <v>137</v>
      </c>
      <c r="Y50">
        <v>9.0309822017139094E-2</v>
      </c>
      <c r="Z50">
        <v>1.6773593221999119E-3</v>
      </c>
      <c r="AA50">
        <v>24</v>
      </c>
      <c r="AB50">
        <v>1.5820698747528016E-2</v>
      </c>
      <c r="AC50">
        <v>2.9384396885253928E-4</v>
      </c>
      <c r="AD50">
        <v>4</v>
      </c>
      <c r="AE50">
        <v>2.6367831245880024E-3</v>
      </c>
      <c r="AF50">
        <v>4.8973994808756551E-5</v>
      </c>
    </row>
    <row r="51" spans="1:32" x14ac:dyDescent="0.2">
      <c r="A51">
        <v>1691.4128125000061</v>
      </c>
      <c r="B51">
        <v>514</v>
      </c>
      <c r="C51">
        <v>55</v>
      </c>
      <c r="D51">
        <v>93</v>
      </c>
      <c r="E51">
        <v>0</v>
      </c>
      <c r="F51">
        <v>1</v>
      </c>
      <c r="G51">
        <v>20</v>
      </c>
      <c r="H51">
        <v>35</v>
      </c>
      <c r="I51">
        <v>2</v>
      </c>
      <c r="J51">
        <v>39</v>
      </c>
      <c r="K51">
        <v>19</v>
      </c>
      <c r="L51">
        <v>5326</v>
      </c>
      <c r="M51">
        <v>154</v>
      </c>
      <c r="N51">
        <v>2.8914757791963952E-2</v>
      </c>
      <c r="O51">
        <v>80</v>
      </c>
      <c r="P51">
        <v>0.51948051948051943</v>
      </c>
      <c r="Q51">
        <v>1.5020653398422831E-2</v>
      </c>
      <c r="R51">
        <v>37</v>
      </c>
      <c r="S51">
        <v>0.24025974025974026</v>
      </c>
      <c r="T51">
        <v>6.9470521967705595E-3</v>
      </c>
      <c r="U51">
        <v>35</v>
      </c>
      <c r="V51">
        <v>0.22727272727272727</v>
      </c>
      <c r="W51">
        <v>6.5715358618099887E-3</v>
      </c>
      <c r="X51">
        <v>2</v>
      </c>
      <c r="Y51">
        <v>1.2987012987012988E-2</v>
      </c>
      <c r="Z51">
        <v>3.7551633496057078E-4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3320.505520833336</v>
      </c>
      <c r="B52">
        <v>47684</v>
      </c>
      <c r="C52">
        <v>2020</v>
      </c>
      <c r="D52">
        <v>19657</v>
      </c>
      <c r="E52">
        <v>3</v>
      </c>
      <c r="F52">
        <v>833</v>
      </c>
      <c r="G52">
        <v>0</v>
      </c>
      <c r="H52">
        <v>44930</v>
      </c>
      <c r="I52">
        <v>563</v>
      </c>
      <c r="J52">
        <v>29066</v>
      </c>
      <c r="K52">
        <v>1303</v>
      </c>
      <c r="L52">
        <v>118874</v>
      </c>
      <c r="M52">
        <v>913</v>
      </c>
      <c r="N52">
        <v>7.6804010969598064E-3</v>
      </c>
      <c r="O52">
        <v>250</v>
      </c>
      <c r="P52">
        <v>0.2738225629791895</v>
      </c>
      <c r="Q52">
        <v>2.1030671130777127E-3</v>
      </c>
      <c r="R52">
        <v>155</v>
      </c>
      <c r="S52">
        <v>0.16976998904709747</v>
      </c>
      <c r="T52">
        <v>1.3039016101081817E-3</v>
      </c>
      <c r="U52">
        <v>358</v>
      </c>
      <c r="V52">
        <v>0.39211391018619934</v>
      </c>
      <c r="W52">
        <v>3.0115921059272843E-3</v>
      </c>
      <c r="X52">
        <v>150</v>
      </c>
      <c r="Y52">
        <v>0.16429353778751368</v>
      </c>
      <c r="Z52">
        <v>1.2618402678466274E-3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1784.6352430555562</v>
      </c>
      <c r="B53">
        <v>2255</v>
      </c>
      <c r="C53">
        <v>141</v>
      </c>
      <c r="D53">
        <v>399</v>
      </c>
      <c r="E53">
        <v>0</v>
      </c>
      <c r="F53">
        <v>14</v>
      </c>
      <c r="G53">
        <v>68</v>
      </c>
      <c r="H53">
        <v>466</v>
      </c>
      <c r="I53">
        <v>9</v>
      </c>
      <c r="J53">
        <v>510</v>
      </c>
      <c r="K53">
        <v>191</v>
      </c>
      <c r="L53">
        <v>5065</v>
      </c>
      <c r="M53">
        <v>185</v>
      </c>
      <c r="N53">
        <v>3.6525172754195458E-2</v>
      </c>
      <c r="O53">
        <v>84</v>
      </c>
      <c r="P53">
        <v>0.45405405405405408</v>
      </c>
      <c r="Q53">
        <v>1.6584402764067127E-2</v>
      </c>
      <c r="R53">
        <v>66</v>
      </c>
      <c r="S53">
        <v>0.35675675675675678</v>
      </c>
      <c r="T53">
        <v>1.3030602171767028E-2</v>
      </c>
      <c r="U53">
        <v>5</v>
      </c>
      <c r="V53">
        <v>2.7027027027027029E-2</v>
      </c>
      <c r="W53">
        <v>9.871668311944718E-4</v>
      </c>
      <c r="X53">
        <v>24</v>
      </c>
      <c r="Y53">
        <v>0.12972972972972974</v>
      </c>
      <c r="Z53">
        <v>4.7384007897334646E-3</v>
      </c>
      <c r="AA53">
        <v>0</v>
      </c>
      <c r="AB53">
        <v>0</v>
      </c>
      <c r="AC53">
        <v>0</v>
      </c>
      <c r="AD53">
        <v>6</v>
      </c>
      <c r="AE53">
        <v>3.2432432432432434E-2</v>
      </c>
      <c r="AF53">
        <v>1.1846001974333662E-3</v>
      </c>
    </row>
    <row r="54" spans="1:32" x14ac:dyDescent="0.2">
      <c r="A54">
        <v>1007.6158912037063</v>
      </c>
      <c r="B54">
        <v>457</v>
      </c>
      <c r="C54">
        <v>19</v>
      </c>
      <c r="D54">
        <v>45</v>
      </c>
      <c r="E54">
        <v>0</v>
      </c>
      <c r="F54">
        <v>0</v>
      </c>
      <c r="G54">
        <v>9</v>
      </c>
      <c r="H54">
        <v>50</v>
      </c>
      <c r="I54">
        <v>1</v>
      </c>
      <c r="J54">
        <v>41</v>
      </c>
      <c r="K54">
        <v>12</v>
      </c>
      <c r="L54">
        <v>1544</v>
      </c>
      <c r="M54">
        <v>127</v>
      </c>
      <c r="N54">
        <v>8.2253886010362695E-2</v>
      </c>
      <c r="O54">
        <v>77</v>
      </c>
      <c r="P54">
        <v>0.60629921259842523</v>
      </c>
      <c r="Q54">
        <v>4.987046632124352E-2</v>
      </c>
      <c r="R54">
        <v>45</v>
      </c>
      <c r="S54">
        <v>0.3543307086614173</v>
      </c>
      <c r="T54">
        <v>2.9145077720207253E-2</v>
      </c>
      <c r="U54">
        <v>1</v>
      </c>
      <c r="V54">
        <v>7.874015748031496E-3</v>
      </c>
      <c r="W54">
        <v>6.4766839378238344E-4</v>
      </c>
      <c r="X54">
        <v>4</v>
      </c>
      <c r="Y54">
        <v>3.1496062992125984E-2</v>
      </c>
      <c r="Z54">
        <v>2.5906735751295338E-3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1160.402916666666</v>
      </c>
      <c r="B55">
        <v>501</v>
      </c>
      <c r="C55">
        <v>45</v>
      </c>
      <c r="D55">
        <v>162</v>
      </c>
      <c r="E55">
        <v>1</v>
      </c>
      <c r="F55">
        <v>2</v>
      </c>
      <c r="G55">
        <v>60</v>
      </c>
      <c r="H55">
        <v>441</v>
      </c>
      <c r="I55">
        <v>10</v>
      </c>
      <c r="J55">
        <v>223</v>
      </c>
      <c r="K55">
        <v>54</v>
      </c>
      <c r="L55">
        <v>4690</v>
      </c>
      <c r="M55">
        <v>23</v>
      </c>
      <c r="N55">
        <v>4.9040511727078892E-3</v>
      </c>
      <c r="O55">
        <v>16</v>
      </c>
      <c r="P55">
        <v>0.69565217391304346</v>
      </c>
      <c r="Q55">
        <v>3.4115138592750532E-3</v>
      </c>
      <c r="R55">
        <v>3</v>
      </c>
      <c r="S55">
        <v>0.13043478260869565</v>
      </c>
      <c r="T55">
        <v>6.3965884861407255E-4</v>
      </c>
      <c r="U55">
        <v>1</v>
      </c>
      <c r="V55">
        <v>4.3478260869565216E-2</v>
      </c>
      <c r="W55">
        <v>2.1321961620469082E-4</v>
      </c>
      <c r="X55">
        <v>2</v>
      </c>
      <c r="Y55">
        <v>8.6956521739130432E-2</v>
      </c>
      <c r="Z55">
        <v>4.2643923240938164E-4</v>
      </c>
      <c r="AA55">
        <v>0</v>
      </c>
      <c r="AB55">
        <v>0</v>
      </c>
      <c r="AC55">
        <v>0</v>
      </c>
      <c r="AD55">
        <v>1</v>
      </c>
      <c r="AE55">
        <v>4.3478260869565216E-2</v>
      </c>
      <c r="AF55">
        <v>2.1321961620469082E-4</v>
      </c>
    </row>
    <row r="56" spans="1:32" x14ac:dyDescent="0.2">
      <c r="A56">
        <v>1422.3984837962998</v>
      </c>
      <c r="B56">
        <v>9496</v>
      </c>
      <c r="C56">
        <v>370</v>
      </c>
      <c r="D56">
        <v>2352</v>
      </c>
      <c r="E56">
        <v>6</v>
      </c>
      <c r="F56">
        <v>88</v>
      </c>
      <c r="G56">
        <v>324</v>
      </c>
      <c r="H56">
        <v>4173</v>
      </c>
      <c r="I56">
        <v>58</v>
      </c>
      <c r="J56">
        <v>5679</v>
      </c>
      <c r="K56">
        <v>1334</v>
      </c>
      <c r="L56">
        <v>67761</v>
      </c>
      <c r="M56">
        <v>600</v>
      </c>
      <c r="N56">
        <v>8.8546509053880548E-3</v>
      </c>
      <c r="O56">
        <v>229</v>
      </c>
      <c r="P56">
        <v>0.38166666666666665</v>
      </c>
      <c r="Q56">
        <v>3.3795250955564412E-3</v>
      </c>
      <c r="R56">
        <v>82</v>
      </c>
      <c r="S56">
        <v>0.13666666666666666</v>
      </c>
      <c r="T56">
        <v>1.2101356237363674E-3</v>
      </c>
      <c r="U56">
        <v>122</v>
      </c>
      <c r="V56">
        <v>0.20333333333333334</v>
      </c>
      <c r="W56">
        <v>1.8004456840955711E-3</v>
      </c>
      <c r="X56">
        <v>96</v>
      </c>
      <c r="Y56">
        <v>0.16</v>
      </c>
      <c r="Z56">
        <v>1.4167441448620889E-3</v>
      </c>
      <c r="AA56">
        <v>1</v>
      </c>
      <c r="AB56">
        <v>1.6666666666666668E-3</v>
      </c>
      <c r="AC56">
        <v>1.4757751508980091E-5</v>
      </c>
      <c r="AD56">
        <v>70</v>
      </c>
      <c r="AE56">
        <v>0.11666666666666667</v>
      </c>
      <c r="AF56">
        <v>1.0330426056286064E-3</v>
      </c>
    </row>
    <row r="57" spans="1:32" x14ac:dyDescent="0.2">
      <c r="A57">
        <v>2380.8645023148129</v>
      </c>
      <c r="B57">
        <v>744</v>
      </c>
      <c r="C57">
        <v>92</v>
      </c>
      <c r="D57">
        <v>248</v>
      </c>
      <c r="E57">
        <v>3</v>
      </c>
      <c r="F57">
        <v>0</v>
      </c>
      <c r="G57">
        <v>50</v>
      </c>
      <c r="H57">
        <v>1224</v>
      </c>
      <c r="I57">
        <v>8</v>
      </c>
      <c r="J57">
        <v>1439</v>
      </c>
      <c r="K57">
        <v>223</v>
      </c>
      <c r="L57">
        <v>12429</v>
      </c>
      <c r="M57">
        <v>119</v>
      </c>
      <c r="N57">
        <v>9.5743824925577283E-3</v>
      </c>
      <c r="O57">
        <v>8</v>
      </c>
      <c r="P57">
        <v>6.7226890756302518E-2</v>
      </c>
      <c r="Q57">
        <v>6.4365596588623376E-4</v>
      </c>
      <c r="R57">
        <v>53</v>
      </c>
      <c r="S57">
        <v>0.44537815126050423</v>
      </c>
      <c r="T57">
        <v>4.2642207739962993E-3</v>
      </c>
      <c r="U57">
        <v>23</v>
      </c>
      <c r="V57">
        <v>0.19327731092436976</v>
      </c>
      <c r="W57">
        <v>1.8505109019229223E-3</v>
      </c>
      <c r="X57">
        <v>29</v>
      </c>
      <c r="Y57">
        <v>0.24369747899159663</v>
      </c>
      <c r="Z57">
        <v>2.3332528763375976E-3</v>
      </c>
      <c r="AA57">
        <v>0</v>
      </c>
      <c r="AB57">
        <v>0</v>
      </c>
      <c r="AC57">
        <v>0</v>
      </c>
      <c r="AD57">
        <v>6</v>
      </c>
      <c r="AE57">
        <v>5.0420168067226892E-2</v>
      </c>
      <c r="AF57">
        <v>4.8274197441467538E-4</v>
      </c>
    </row>
    <row r="58" spans="1:32" x14ac:dyDescent="0.2">
      <c r="A58">
        <v>472.03241898147826</v>
      </c>
      <c r="B58">
        <v>834</v>
      </c>
      <c r="C58">
        <v>21</v>
      </c>
      <c r="D58">
        <v>79</v>
      </c>
      <c r="E58">
        <v>0</v>
      </c>
      <c r="F58">
        <v>0</v>
      </c>
      <c r="G58">
        <v>3</v>
      </c>
      <c r="H58">
        <v>81</v>
      </c>
      <c r="I58">
        <v>2</v>
      </c>
      <c r="J58">
        <v>15</v>
      </c>
      <c r="K58">
        <v>6</v>
      </c>
      <c r="L58">
        <v>15423</v>
      </c>
      <c r="M58">
        <v>228</v>
      </c>
      <c r="N58">
        <v>1.4783116125267459E-2</v>
      </c>
      <c r="O58">
        <v>20</v>
      </c>
      <c r="P58">
        <v>8.771929824561403E-2</v>
      </c>
      <c r="Q58">
        <v>1.2967645723918823E-3</v>
      </c>
      <c r="R58">
        <v>117</v>
      </c>
      <c r="S58">
        <v>0.51315789473684215</v>
      </c>
      <c r="T58">
        <v>7.5860727484925112E-3</v>
      </c>
      <c r="U58">
        <v>61</v>
      </c>
      <c r="V58">
        <v>0.26754385964912281</v>
      </c>
      <c r="W58">
        <v>3.9551319457952405E-3</v>
      </c>
      <c r="X58">
        <v>20</v>
      </c>
      <c r="Y58">
        <v>8.771929824561403E-2</v>
      </c>
      <c r="Z58">
        <v>1.2967645723918823E-3</v>
      </c>
      <c r="AA58">
        <v>0</v>
      </c>
      <c r="AB58">
        <v>0</v>
      </c>
      <c r="AC58">
        <v>0</v>
      </c>
      <c r="AD58">
        <v>10</v>
      </c>
      <c r="AE58">
        <v>4.3859649122807015E-2</v>
      </c>
      <c r="AF58">
        <v>6.4838228619594116E-4</v>
      </c>
    </row>
    <row r="59" spans="1:32" x14ac:dyDescent="0.2">
      <c r="A59">
        <v>4550.4981712962981</v>
      </c>
      <c r="B59">
        <v>2575</v>
      </c>
      <c r="C59">
        <v>304</v>
      </c>
      <c r="D59">
        <v>2584</v>
      </c>
      <c r="E59">
        <v>0</v>
      </c>
      <c r="F59">
        <v>11</v>
      </c>
      <c r="G59">
        <v>145</v>
      </c>
      <c r="H59">
        <v>24</v>
      </c>
      <c r="I59">
        <v>0</v>
      </c>
      <c r="J59">
        <v>0</v>
      </c>
      <c r="K59">
        <v>0</v>
      </c>
      <c r="L59">
        <v>22311</v>
      </c>
      <c r="M59">
        <v>195</v>
      </c>
      <c r="N59">
        <v>8.740083366949038E-3</v>
      </c>
      <c r="O59">
        <v>86</v>
      </c>
      <c r="P59">
        <v>0.44102564102564101</v>
      </c>
      <c r="Q59">
        <v>3.8546008695262428E-3</v>
      </c>
      <c r="R59">
        <v>82</v>
      </c>
      <c r="S59">
        <v>0.42051282051282052</v>
      </c>
      <c r="T59">
        <v>3.6753171081529289E-3</v>
      </c>
      <c r="U59">
        <v>10</v>
      </c>
      <c r="V59">
        <v>5.128205128205128E-2</v>
      </c>
      <c r="W59">
        <v>4.4820940343328404E-4</v>
      </c>
      <c r="X59">
        <v>16</v>
      </c>
      <c r="Y59">
        <v>8.2051282051282051E-2</v>
      </c>
      <c r="Z59">
        <v>7.1713504549325449E-4</v>
      </c>
      <c r="AA59">
        <v>0</v>
      </c>
      <c r="AB59">
        <v>0</v>
      </c>
      <c r="AC59">
        <v>0</v>
      </c>
      <c r="AD59">
        <v>1</v>
      </c>
      <c r="AE59">
        <v>5.1282051282051282E-3</v>
      </c>
      <c r="AF59">
        <v>4.4820940343328406E-5</v>
      </c>
    </row>
    <row r="60" spans="1:32" x14ac:dyDescent="0.2">
      <c r="A60">
        <v>2187.412199074075</v>
      </c>
      <c r="B60">
        <v>21086</v>
      </c>
      <c r="C60">
        <v>744</v>
      </c>
      <c r="D60">
        <v>7999</v>
      </c>
      <c r="E60">
        <v>26</v>
      </c>
      <c r="F60">
        <v>413</v>
      </c>
      <c r="G60">
        <v>1547</v>
      </c>
      <c r="H60">
        <v>11893</v>
      </c>
      <c r="I60">
        <v>153</v>
      </c>
      <c r="J60">
        <v>3110</v>
      </c>
      <c r="K60">
        <v>802</v>
      </c>
      <c r="L60">
        <v>150860</v>
      </c>
      <c r="M60">
        <v>2893</v>
      </c>
      <c r="N60">
        <v>1.9176720137876177E-2</v>
      </c>
      <c r="O60">
        <v>314</v>
      </c>
      <c r="P60">
        <v>0.1085378499827169</v>
      </c>
      <c r="Q60">
        <v>2.0813999734853508E-3</v>
      </c>
      <c r="R60">
        <v>1503</v>
      </c>
      <c r="S60">
        <v>0.51952989975803665</v>
      </c>
      <c r="T60">
        <v>9.9628794909187319E-3</v>
      </c>
      <c r="U60">
        <v>802</v>
      </c>
      <c r="V60">
        <v>0.27722087798133427</v>
      </c>
      <c r="W60">
        <v>5.3161871934243668E-3</v>
      </c>
      <c r="X60">
        <v>200</v>
      </c>
      <c r="Y60">
        <v>6.9132388524023508E-2</v>
      </c>
      <c r="Z60">
        <v>1.3257324671881213E-3</v>
      </c>
      <c r="AA60">
        <v>2</v>
      </c>
      <c r="AB60">
        <v>6.9132388524023505E-4</v>
      </c>
      <c r="AC60">
        <v>1.3257324671881214E-5</v>
      </c>
      <c r="AD60">
        <v>72</v>
      </c>
      <c r="AE60">
        <v>2.4887659868648462E-2</v>
      </c>
      <c r="AF60">
        <v>4.7726368818772373E-4</v>
      </c>
    </row>
    <row r="61" spans="1:32" x14ac:dyDescent="0.2">
      <c r="A61">
        <v>4135.0283564814818</v>
      </c>
      <c r="B61">
        <v>1749</v>
      </c>
      <c r="C61">
        <v>90</v>
      </c>
      <c r="D61">
        <v>807</v>
      </c>
      <c r="E61">
        <v>0</v>
      </c>
      <c r="F61">
        <v>110</v>
      </c>
      <c r="G61">
        <v>327</v>
      </c>
      <c r="H61">
        <v>1465</v>
      </c>
      <c r="I61">
        <v>17</v>
      </c>
      <c r="J61">
        <v>106</v>
      </c>
      <c r="K61">
        <v>34</v>
      </c>
      <c r="L61">
        <v>104599</v>
      </c>
      <c r="M61">
        <v>43</v>
      </c>
      <c r="N61">
        <v>4.1109379630780411E-4</v>
      </c>
      <c r="O61">
        <v>8</v>
      </c>
      <c r="P61">
        <v>0.18604651162790697</v>
      </c>
      <c r="Q61">
        <v>7.6482566754940292E-5</v>
      </c>
      <c r="R61">
        <v>2</v>
      </c>
      <c r="S61">
        <v>4.6511627906976744E-2</v>
      </c>
      <c r="T61">
        <v>1.9120641688735073E-5</v>
      </c>
      <c r="U61">
        <v>28</v>
      </c>
      <c r="V61">
        <v>0.65116279069767447</v>
      </c>
      <c r="W61">
        <v>2.6768898364229102E-4</v>
      </c>
      <c r="X61">
        <v>5</v>
      </c>
      <c r="Y61">
        <v>0.11627906976744186</v>
      </c>
      <c r="Z61">
        <v>4.7801604221837682E-5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2088.3811805555597</v>
      </c>
      <c r="B62">
        <v>36539</v>
      </c>
      <c r="C62">
        <v>1418</v>
      </c>
      <c r="D62">
        <v>6856</v>
      </c>
      <c r="E62">
        <v>22</v>
      </c>
      <c r="F62">
        <v>126</v>
      </c>
      <c r="G62">
        <v>570</v>
      </c>
      <c r="H62">
        <v>7743</v>
      </c>
      <c r="I62">
        <v>129</v>
      </c>
      <c r="J62">
        <v>6059</v>
      </c>
      <c r="K62">
        <v>758</v>
      </c>
      <c r="L62">
        <v>53517</v>
      </c>
      <c r="M62">
        <v>446</v>
      </c>
      <c r="N62">
        <v>8.3338004746155419E-3</v>
      </c>
      <c r="O62">
        <v>35</v>
      </c>
      <c r="P62">
        <v>7.847533632286996E-2</v>
      </c>
      <c r="Q62">
        <v>6.5399779509314802E-4</v>
      </c>
      <c r="R62">
        <v>167</v>
      </c>
      <c r="S62">
        <v>0.3744394618834081</v>
      </c>
      <c r="T62">
        <v>3.1205037651587347E-3</v>
      </c>
      <c r="U62">
        <v>72</v>
      </c>
      <c r="V62">
        <v>0.16143497757847533</v>
      </c>
      <c r="W62">
        <v>1.3453668927630473E-3</v>
      </c>
      <c r="X62">
        <v>68</v>
      </c>
      <c r="Y62">
        <v>0.15246636771300448</v>
      </c>
      <c r="Z62">
        <v>1.2706242876095446E-3</v>
      </c>
      <c r="AA62">
        <v>0</v>
      </c>
      <c r="AB62">
        <v>0</v>
      </c>
      <c r="AC62">
        <v>0</v>
      </c>
      <c r="AD62">
        <v>104</v>
      </c>
      <c r="AE62">
        <v>0.23318385650224216</v>
      </c>
      <c r="AF62">
        <v>1.9433077339910682E-3</v>
      </c>
    </row>
    <row r="63" spans="1:32" x14ac:dyDescent="0.2">
      <c r="A63">
        <v>1729.1321412037069</v>
      </c>
      <c r="B63">
        <v>525</v>
      </c>
      <c r="C63">
        <v>35</v>
      </c>
      <c r="D63">
        <v>343</v>
      </c>
      <c r="E63">
        <v>1</v>
      </c>
      <c r="F63">
        <v>5</v>
      </c>
      <c r="G63">
        <v>115</v>
      </c>
      <c r="H63">
        <v>670</v>
      </c>
      <c r="I63">
        <v>17</v>
      </c>
      <c r="J63">
        <v>573</v>
      </c>
      <c r="K63">
        <v>104</v>
      </c>
      <c r="L63">
        <v>10085</v>
      </c>
      <c r="M63">
        <v>865</v>
      </c>
      <c r="N63">
        <v>8.5770946950917207E-2</v>
      </c>
      <c r="O63">
        <v>224</v>
      </c>
      <c r="P63">
        <v>0.25895953757225432</v>
      </c>
      <c r="Q63">
        <v>2.2211204759543877E-2</v>
      </c>
      <c r="R63">
        <v>148</v>
      </c>
      <c r="S63">
        <v>0.17109826589595376</v>
      </c>
      <c r="T63">
        <v>1.4675260287555775E-2</v>
      </c>
      <c r="U63">
        <v>441</v>
      </c>
      <c r="V63">
        <v>0.50982658959537575</v>
      </c>
      <c r="W63">
        <v>4.3728309370352006E-2</v>
      </c>
      <c r="X63">
        <v>38</v>
      </c>
      <c r="Y63">
        <v>4.3930635838150288E-2</v>
      </c>
      <c r="Z63">
        <v>3.7679722359940508E-3</v>
      </c>
      <c r="AA63">
        <v>14</v>
      </c>
      <c r="AB63">
        <v>1.6184971098265895E-2</v>
      </c>
      <c r="AC63">
        <v>1.3882002974714923E-3</v>
      </c>
      <c r="AD63">
        <v>0</v>
      </c>
      <c r="AE63">
        <v>0</v>
      </c>
      <c r="AF63">
        <v>0</v>
      </c>
    </row>
    <row r="64" spans="1:32" x14ac:dyDescent="0.2">
      <c r="A64">
        <v>1378.0163194444467</v>
      </c>
      <c r="B64">
        <v>2166</v>
      </c>
      <c r="C64">
        <v>108</v>
      </c>
      <c r="D64">
        <v>338</v>
      </c>
      <c r="E64">
        <v>18</v>
      </c>
      <c r="F64">
        <v>2</v>
      </c>
      <c r="G64">
        <v>91</v>
      </c>
      <c r="H64">
        <v>471</v>
      </c>
      <c r="I64">
        <v>9</v>
      </c>
      <c r="J64">
        <v>684</v>
      </c>
      <c r="K64">
        <v>336</v>
      </c>
      <c r="L64">
        <v>82989</v>
      </c>
      <c r="M64">
        <v>127</v>
      </c>
      <c r="N64">
        <v>1.5303232958584873E-3</v>
      </c>
      <c r="O64">
        <v>23</v>
      </c>
      <c r="P64">
        <v>0.18110236220472442</v>
      </c>
      <c r="Q64">
        <v>2.7714516381689138E-4</v>
      </c>
      <c r="R64">
        <v>40</v>
      </c>
      <c r="S64">
        <v>0.31496062992125984</v>
      </c>
      <c r="T64">
        <v>4.8199158924676762E-4</v>
      </c>
      <c r="U64">
        <v>51</v>
      </c>
      <c r="V64">
        <v>0.40157480314960631</v>
      </c>
      <c r="W64">
        <v>6.1453927628962875E-4</v>
      </c>
      <c r="X64">
        <v>10</v>
      </c>
      <c r="Y64">
        <v>7.874015748031496E-2</v>
      </c>
      <c r="Z64">
        <v>1.204978973116919E-4</v>
      </c>
      <c r="AA64">
        <v>0</v>
      </c>
      <c r="AB64">
        <v>0</v>
      </c>
      <c r="AC64">
        <v>0</v>
      </c>
      <c r="AD64">
        <v>3</v>
      </c>
      <c r="AE64">
        <v>2.3622047244094488E-2</v>
      </c>
      <c r="AF64">
        <v>3.6149369193507575E-5</v>
      </c>
    </row>
    <row r="65" spans="1:32" x14ac:dyDescent="0.2">
      <c r="A65">
        <v>1550.2123148148166</v>
      </c>
      <c r="B65">
        <v>388</v>
      </c>
      <c r="C65">
        <v>63</v>
      </c>
      <c r="D65">
        <v>490</v>
      </c>
      <c r="E65">
        <v>9</v>
      </c>
      <c r="F65">
        <v>7</v>
      </c>
      <c r="G65">
        <v>26</v>
      </c>
      <c r="H65">
        <v>210</v>
      </c>
      <c r="I65">
        <v>0</v>
      </c>
      <c r="J65">
        <v>243</v>
      </c>
      <c r="K65">
        <v>23</v>
      </c>
      <c r="L65">
        <v>7498</v>
      </c>
      <c r="M65">
        <v>1</v>
      </c>
      <c r="N65">
        <v>1.3336889837289943E-4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1.3336889837289943E-4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">
      <c r="A66">
        <v>995.5070023148146</v>
      </c>
      <c r="B66">
        <v>2787</v>
      </c>
      <c r="C66">
        <v>74</v>
      </c>
      <c r="D66">
        <v>381</v>
      </c>
      <c r="E66">
        <v>7</v>
      </c>
      <c r="F66">
        <v>4</v>
      </c>
      <c r="G66">
        <v>66</v>
      </c>
      <c r="H66">
        <v>284</v>
      </c>
      <c r="I66">
        <v>5</v>
      </c>
      <c r="J66">
        <v>155</v>
      </c>
      <c r="K66">
        <v>33</v>
      </c>
      <c r="L66">
        <v>3701</v>
      </c>
      <c r="M66">
        <v>100</v>
      </c>
      <c r="N66">
        <v>2.7019724398811132E-2</v>
      </c>
      <c r="O66">
        <v>78</v>
      </c>
      <c r="P66">
        <v>0.78</v>
      </c>
      <c r="Q66">
        <v>2.1075385031072685E-2</v>
      </c>
      <c r="R66">
        <v>6</v>
      </c>
      <c r="S66">
        <v>0.06</v>
      </c>
      <c r="T66">
        <v>1.6211834639286678E-3</v>
      </c>
      <c r="U66">
        <v>9</v>
      </c>
      <c r="V66">
        <v>0.09</v>
      </c>
      <c r="W66">
        <v>2.4317751958930021E-3</v>
      </c>
      <c r="X66">
        <v>5</v>
      </c>
      <c r="Y66">
        <v>0.05</v>
      </c>
      <c r="Z66">
        <v>1.3509862199405566E-3</v>
      </c>
      <c r="AA66">
        <v>0</v>
      </c>
      <c r="AB66">
        <v>0</v>
      </c>
      <c r="AC66">
        <v>0</v>
      </c>
      <c r="AD66">
        <v>2</v>
      </c>
      <c r="AE66">
        <v>0.02</v>
      </c>
      <c r="AF66">
        <v>5.4039448797622261E-4</v>
      </c>
    </row>
    <row r="67" spans="1:32" x14ac:dyDescent="0.2">
      <c r="A67">
        <v>332.84070601852</v>
      </c>
      <c r="B67">
        <v>457</v>
      </c>
      <c r="C67">
        <v>8</v>
      </c>
      <c r="D67">
        <v>122</v>
      </c>
      <c r="E67">
        <v>18</v>
      </c>
      <c r="F67">
        <v>0</v>
      </c>
      <c r="G67">
        <v>4</v>
      </c>
      <c r="H67">
        <v>14</v>
      </c>
      <c r="I67">
        <v>0</v>
      </c>
      <c r="J67">
        <v>60</v>
      </c>
      <c r="K67">
        <v>5</v>
      </c>
      <c r="L67">
        <v>4096</v>
      </c>
      <c r="M67">
        <v>32</v>
      </c>
      <c r="N67">
        <v>7.8125E-3</v>
      </c>
      <c r="O67">
        <v>8</v>
      </c>
      <c r="P67">
        <v>0.25</v>
      </c>
      <c r="Q67">
        <v>1.953125E-3</v>
      </c>
      <c r="R67">
        <v>9</v>
      </c>
      <c r="S67">
        <v>0.28125</v>
      </c>
      <c r="T67">
        <v>2.197265625E-3</v>
      </c>
      <c r="U67">
        <v>1</v>
      </c>
      <c r="V67">
        <v>3.125E-2</v>
      </c>
      <c r="W67">
        <v>2.44140625E-4</v>
      </c>
      <c r="X67">
        <v>12</v>
      </c>
      <c r="Y67">
        <v>0.375</v>
      </c>
      <c r="Z67">
        <v>2.9296875E-3</v>
      </c>
      <c r="AA67">
        <v>0</v>
      </c>
      <c r="AB67">
        <v>0</v>
      </c>
      <c r="AC67">
        <v>0</v>
      </c>
      <c r="AD67">
        <v>2</v>
      </c>
      <c r="AE67">
        <v>6.25E-2</v>
      </c>
      <c r="AF67">
        <v>4.8828125E-4</v>
      </c>
    </row>
    <row r="68" spans="1:32" x14ac:dyDescent="0.2">
      <c r="A68">
        <v>2080.3921990740782</v>
      </c>
      <c r="B68">
        <v>976</v>
      </c>
      <c r="C68">
        <v>47</v>
      </c>
      <c r="D68">
        <v>196</v>
      </c>
      <c r="E68">
        <v>22</v>
      </c>
      <c r="F68">
        <v>5</v>
      </c>
      <c r="G68">
        <v>76</v>
      </c>
      <c r="H68">
        <v>1081</v>
      </c>
      <c r="I68">
        <v>11</v>
      </c>
      <c r="J68">
        <v>572</v>
      </c>
      <c r="K68">
        <v>111</v>
      </c>
      <c r="L68">
        <v>20016</v>
      </c>
      <c r="M68">
        <v>86</v>
      </c>
      <c r="N68">
        <v>4.2965627498001598E-3</v>
      </c>
      <c r="O68">
        <v>0</v>
      </c>
      <c r="P68">
        <v>0</v>
      </c>
      <c r="Q68">
        <v>0</v>
      </c>
      <c r="R68">
        <v>9</v>
      </c>
      <c r="S68">
        <v>0.10465116279069768</v>
      </c>
      <c r="T68">
        <v>4.496402877697842E-4</v>
      </c>
      <c r="U68">
        <v>77</v>
      </c>
      <c r="V68">
        <v>0.89534883720930236</v>
      </c>
      <c r="W68">
        <v>3.8469224620303758E-3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">
      <c r="A69">
        <v>1332.4803124999962</v>
      </c>
      <c r="B69">
        <v>1193</v>
      </c>
      <c r="C69">
        <v>22</v>
      </c>
      <c r="D69">
        <v>65</v>
      </c>
      <c r="E69">
        <v>0</v>
      </c>
      <c r="F69">
        <v>0</v>
      </c>
      <c r="G69">
        <v>8</v>
      </c>
      <c r="H69">
        <v>489</v>
      </c>
      <c r="I69">
        <v>11</v>
      </c>
      <c r="J69">
        <v>123</v>
      </c>
      <c r="K69">
        <v>40</v>
      </c>
      <c r="L69">
        <v>2260</v>
      </c>
      <c r="M69">
        <v>1</v>
      </c>
      <c r="N69">
        <v>4.4247787610619468E-4</v>
      </c>
      <c r="O69">
        <v>0</v>
      </c>
      <c r="P69">
        <v>0</v>
      </c>
      <c r="Q69">
        <v>0</v>
      </c>
      <c r="R69">
        <v>1</v>
      </c>
      <c r="S69">
        <v>1</v>
      </c>
      <c r="T69">
        <v>4.4247787610619468E-4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">
      <c r="A70">
        <v>760.23334490740672</v>
      </c>
      <c r="B70">
        <v>648</v>
      </c>
      <c r="C70">
        <v>23</v>
      </c>
      <c r="D70">
        <v>101</v>
      </c>
      <c r="E70">
        <v>4</v>
      </c>
      <c r="F70">
        <v>15</v>
      </c>
      <c r="G70">
        <v>17</v>
      </c>
      <c r="H70">
        <v>203</v>
      </c>
      <c r="I70">
        <v>7</v>
      </c>
      <c r="J70">
        <v>131</v>
      </c>
      <c r="K70">
        <v>31</v>
      </c>
      <c r="L70">
        <v>22965</v>
      </c>
      <c r="M70">
        <v>48</v>
      </c>
      <c r="N70">
        <v>2.0901371652514698E-3</v>
      </c>
      <c r="O70">
        <v>0</v>
      </c>
      <c r="P70">
        <v>0</v>
      </c>
      <c r="Q70">
        <v>0</v>
      </c>
      <c r="R70">
        <v>28</v>
      </c>
      <c r="S70">
        <v>0.58333333333333337</v>
      </c>
      <c r="T70">
        <v>1.219246679730024E-3</v>
      </c>
      <c r="U70">
        <v>20</v>
      </c>
      <c r="V70">
        <v>0.41666666666666669</v>
      </c>
      <c r="W70">
        <v>8.7089048552144567E-4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">
      <c r="A71">
        <v>2107.2607754629644</v>
      </c>
      <c r="B71">
        <v>5336</v>
      </c>
      <c r="C71">
        <v>217</v>
      </c>
      <c r="D71">
        <v>976</v>
      </c>
      <c r="E71">
        <v>24</v>
      </c>
      <c r="F71">
        <v>7</v>
      </c>
      <c r="G71">
        <v>55</v>
      </c>
      <c r="H71">
        <v>421</v>
      </c>
      <c r="I71">
        <v>11</v>
      </c>
      <c r="J71">
        <v>699</v>
      </c>
      <c r="K71">
        <v>98</v>
      </c>
      <c r="L71">
        <v>21858</v>
      </c>
      <c r="M71">
        <v>192</v>
      </c>
      <c r="N71">
        <v>8.783969256107603E-3</v>
      </c>
      <c r="O71">
        <v>73</v>
      </c>
      <c r="P71">
        <v>0.38020833333333331</v>
      </c>
      <c r="Q71">
        <v>3.3397383109159116E-3</v>
      </c>
      <c r="R71">
        <v>59</v>
      </c>
      <c r="S71">
        <v>0.30729166666666669</v>
      </c>
      <c r="T71">
        <v>2.6992405526580659E-3</v>
      </c>
      <c r="U71">
        <v>38</v>
      </c>
      <c r="V71">
        <v>0.19791666666666666</v>
      </c>
      <c r="W71">
        <v>1.7384939152712965E-3</v>
      </c>
      <c r="X71">
        <v>17</v>
      </c>
      <c r="Y71">
        <v>8.8541666666666671E-2</v>
      </c>
      <c r="Z71">
        <v>7.7774727788452742E-4</v>
      </c>
      <c r="AA71">
        <v>3</v>
      </c>
      <c r="AB71">
        <v>1.5625E-2</v>
      </c>
      <c r="AC71">
        <v>1.372495196266813E-4</v>
      </c>
      <c r="AD71">
        <v>2</v>
      </c>
      <c r="AE71">
        <v>1.0416666666666666E-2</v>
      </c>
      <c r="AF71">
        <v>9.1499679751120869E-5</v>
      </c>
    </row>
    <row r="72" spans="1:32" x14ac:dyDescent="0.2">
      <c r="A72">
        <v>1580.2081712962972</v>
      </c>
      <c r="B72">
        <v>2070</v>
      </c>
      <c r="C72">
        <v>148</v>
      </c>
      <c r="D72">
        <v>970</v>
      </c>
      <c r="E72">
        <v>8</v>
      </c>
      <c r="F72">
        <v>19</v>
      </c>
      <c r="G72">
        <v>109</v>
      </c>
      <c r="H72">
        <v>568</v>
      </c>
      <c r="I72">
        <v>12</v>
      </c>
      <c r="J72">
        <v>265</v>
      </c>
      <c r="K72">
        <v>52</v>
      </c>
      <c r="L72">
        <v>12940</v>
      </c>
      <c r="M72">
        <v>40</v>
      </c>
      <c r="N72">
        <v>3.0911901081916537E-3</v>
      </c>
      <c r="O72">
        <v>8</v>
      </c>
      <c r="P72">
        <v>0.2</v>
      </c>
      <c r="Q72">
        <v>6.1823802163833079E-4</v>
      </c>
      <c r="R72">
        <v>25</v>
      </c>
      <c r="S72">
        <v>0.625</v>
      </c>
      <c r="T72">
        <v>1.9319938176197836E-3</v>
      </c>
      <c r="U72">
        <v>0</v>
      </c>
      <c r="V72">
        <v>0</v>
      </c>
      <c r="W72">
        <v>0</v>
      </c>
      <c r="X72">
        <v>7</v>
      </c>
      <c r="Y72">
        <v>0.17499999999999999</v>
      </c>
      <c r="Z72">
        <v>5.4095826893353941E-4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">
      <c r="A73">
        <v>1394.0926388888838</v>
      </c>
      <c r="B73">
        <v>337</v>
      </c>
      <c r="C73">
        <v>25</v>
      </c>
      <c r="D73">
        <v>75</v>
      </c>
      <c r="E73">
        <v>0</v>
      </c>
      <c r="F73">
        <v>0</v>
      </c>
      <c r="G73">
        <v>21</v>
      </c>
      <c r="H73">
        <v>53</v>
      </c>
      <c r="I73">
        <v>0</v>
      </c>
      <c r="J73">
        <v>32</v>
      </c>
      <c r="K73">
        <v>5</v>
      </c>
      <c r="L73">
        <v>5975</v>
      </c>
      <c r="M73">
        <v>232</v>
      </c>
      <c r="N73">
        <v>3.8828451882845186E-2</v>
      </c>
      <c r="O73">
        <v>92</v>
      </c>
      <c r="P73">
        <v>0.39655172413793105</v>
      </c>
      <c r="Q73">
        <v>1.5397489539748954E-2</v>
      </c>
      <c r="R73">
        <v>50</v>
      </c>
      <c r="S73">
        <v>0.21551724137931033</v>
      </c>
      <c r="T73">
        <v>8.368200836820083E-3</v>
      </c>
      <c r="U73">
        <v>37</v>
      </c>
      <c r="V73">
        <v>0.15948275862068967</v>
      </c>
      <c r="W73">
        <v>6.1924686192468617E-3</v>
      </c>
      <c r="X73">
        <v>15</v>
      </c>
      <c r="Y73">
        <v>6.4655172413793108E-2</v>
      </c>
      <c r="Z73">
        <v>2.5104602510460251E-3</v>
      </c>
      <c r="AA73">
        <v>21</v>
      </c>
      <c r="AB73">
        <v>9.0517241379310345E-2</v>
      </c>
      <c r="AC73">
        <v>3.5146443514644352E-3</v>
      </c>
      <c r="AD73">
        <v>17</v>
      </c>
      <c r="AE73">
        <v>7.3275862068965511E-2</v>
      </c>
      <c r="AF73">
        <v>2.8451882845188284E-3</v>
      </c>
    </row>
    <row r="74" spans="1:32" x14ac:dyDescent="0.2">
      <c r="A74">
        <v>1584.7241666666669</v>
      </c>
      <c r="B74">
        <v>1750</v>
      </c>
      <c r="C74">
        <v>71</v>
      </c>
      <c r="D74">
        <v>365</v>
      </c>
      <c r="E74">
        <v>0</v>
      </c>
      <c r="F74">
        <v>0</v>
      </c>
      <c r="G74">
        <v>9</v>
      </c>
      <c r="H74">
        <v>29</v>
      </c>
      <c r="I74">
        <v>5</v>
      </c>
      <c r="J74">
        <v>24</v>
      </c>
      <c r="K74">
        <v>0</v>
      </c>
      <c r="L74">
        <v>1450</v>
      </c>
      <c r="M74">
        <v>35</v>
      </c>
      <c r="N74">
        <v>2.4137931034482758E-2</v>
      </c>
      <c r="O74">
        <v>15</v>
      </c>
      <c r="P74">
        <v>0.42857142857142855</v>
      </c>
      <c r="Q74">
        <v>1.0344827586206896E-2</v>
      </c>
      <c r="R74">
        <v>1</v>
      </c>
      <c r="S74">
        <v>2.8571428571428571E-2</v>
      </c>
      <c r="T74">
        <v>6.8965517241379305E-4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19</v>
      </c>
      <c r="AE74">
        <v>0.54285714285714282</v>
      </c>
      <c r="AF74">
        <v>1.3103448275862069E-2</v>
      </c>
    </row>
    <row r="75" spans="1:32" x14ac:dyDescent="0.2">
      <c r="A75">
        <v>1093.6718055555539</v>
      </c>
      <c r="B75">
        <v>1494</v>
      </c>
      <c r="C75">
        <v>47</v>
      </c>
      <c r="D75">
        <v>312</v>
      </c>
      <c r="E75">
        <v>150</v>
      </c>
      <c r="F75">
        <v>0</v>
      </c>
      <c r="G75">
        <v>111</v>
      </c>
      <c r="H75">
        <v>1282</v>
      </c>
      <c r="I75">
        <v>12</v>
      </c>
      <c r="J75">
        <v>692</v>
      </c>
      <c r="K75">
        <v>73</v>
      </c>
      <c r="L75">
        <v>16241</v>
      </c>
      <c r="M75">
        <v>143</v>
      </c>
      <c r="N75">
        <v>8.8048765470106517E-3</v>
      </c>
      <c r="O75">
        <v>103</v>
      </c>
      <c r="P75">
        <v>0.72027972027972031</v>
      </c>
      <c r="Q75">
        <v>6.3419740163783017E-3</v>
      </c>
      <c r="R75">
        <v>20</v>
      </c>
      <c r="S75">
        <v>0.13986013986013987</v>
      </c>
      <c r="T75">
        <v>1.231451265316175E-3</v>
      </c>
      <c r="U75">
        <v>4</v>
      </c>
      <c r="V75">
        <v>2.7972027972027972E-2</v>
      </c>
      <c r="W75">
        <v>2.46290253063235E-4</v>
      </c>
      <c r="X75">
        <v>16</v>
      </c>
      <c r="Y75">
        <v>0.11188811188811189</v>
      </c>
      <c r="Z75">
        <v>9.8516101225294E-4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">
      <c r="A76">
        <v>1604.161620370367</v>
      </c>
      <c r="B76">
        <v>809</v>
      </c>
      <c r="C76">
        <v>41</v>
      </c>
      <c r="D76">
        <v>160</v>
      </c>
      <c r="E76">
        <v>45</v>
      </c>
      <c r="F76">
        <v>2</v>
      </c>
      <c r="G76">
        <v>32</v>
      </c>
      <c r="H76">
        <v>373</v>
      </c>
      <c r="I76">
        <v>5</v>
      </c>
      <c r="J76">
        <v>283</v>
      </c>
      <c r="K76">
        <v>50</v>
      </c>
      <c r="L76">
        <v>6934</v>
      </c>
      <c r="M76">
        <v>132</v>
      </c>
      <c r="N76">
        <v>1.9036631093164121E-2</v>
      </c>
      <c r="O76">
        <v>17</v>
      </c>
      <c r="P76">
        <v>0.12878787878787878</v>
      </c>
      <c r="Q76">
        <v>2.4516873377559852E-3</v>
      </c>
      <c r="R76">
        <v>50</v>
      </c>
      <c r="S76">
        <v>0.37878787878787878</v>
      </c>
      <c r="T76">
        <v>7.2108451110470149E-3</v>
      </c>
      <c r="U76">
        <v>33</v>
      </c>
      <c r="V76">
        <v>0.25</v>
      </c>
      <c r="W76">
        <v>4.7591577732910301E-3</v>
      </c>
      <c r="X76">
        <v>32</v>
      </c>
      <c r="Y76">
        <v>0.24242424242424243</v>
      </c>
      <c r="Z76">
        <v>4.614940871070089E-3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">
      <c r="A77">
        <v>797.1370601851886</v>
      </c>
      <c r="B77">
        <v>1859</v>
      </c>
      <c r="C77">
        <v>66</v>
      </c>
      <c r="D77">
        <v>757</v>
      </c>
      <c r="E77">
        <v>0</v>
      </c>
      <c r="F77">
        <v>8</v>
      </c>
      <c r="G77">
        <v>90</v>
      </c>
      <c r="H77">
        <v>275</v>
      </c>
      <c r="I77">
        <v>38</v>
      </c>
      <c r="J77">
        <v>139</v>
      </c>
      <c r="K77">
        <v>54</v>
      </c>
      <c r="L77">
        <v>1608</v>
      </c>
      <c r="M77">
        <v>24</v>
      </c>
      <c r="N77">
        <v>1.4925373134328358E-2</v>
      </c>
      <c r="O77">
        <v>1</v>
      </c>
      <c r="P77">
        <v>4.1666666666666664E-2</v>
      </c>
      <c r="Q77">
        <v>6.2189054726368158E-4</v>
      </c>
      <c r="R77">
        <v>15</v>
      </c>
      <c r="S77">
        <v>0.625</v>
      </c>
      <c r="T77">
        <v>9.3283582089552231E-3</v>
      </c>
      <c r="U77">
        <v>0</v>
      </c>
      <c r="V77">
        <v>0</v>
      </c>
      <c r="W77">
        <v>0</v>
      </c>
      <c r="X77">
        <v>5</v>
      </c>
      <c r="Y77">
        <v>0.20833333333333334</v>
      </c>
      <c r="Z77">
        <v>3.1094527363184081E-3</v>
      </c>
      <c r="AA77">
        <v>0</v>
      </c>
      <c r="AB77">
        <v>0</v>
      </c>
      <c r="AC77">
        <v>0</v>
      </c>
      <c r="AD77">
        <v>3</v>
      </c>
      <c r="AE77">
        <v>0.125</v>
      </c>
      <c r="AF77">
        <v>1.8656716417910447E-3</v>
      </c>
    </row>
    <row r="78" spans="1:32" x14ac:dyDescent="0.2">
      <c r="A78">
        <v>1417.853750000002</v>
      </c>
      <c r="B78">
        <v>841</v>
      </c>
      <c r="C78">
        <v>78</v>
      </c>
      <c r="D78">
        <v>436</v>
      </c>
      <c r="E78">
        <v>0</v>
      </c>
      <c r="F78">
        <v>0</v>
      </c>
      <c r="G78">
        <v>17</v>
      </c>
      <c r="H78">
        <v>25</v>
      </c>
      <c r="I78">
        <v>5</v>
      </c>
      <c r="J78">
        <v>61</v>
      </c>
      <c r="K78">
        <v>23</v>
      </c>
      <c r="L78">
        <v>1212</v>
      </c>
      <c r="M78">
        <v>2</v>
      </c>
      <c r="N78">
        <v>1.6501650165016502E-3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0.5</v>
      </c>
      <c r="W78">
        <v>8.2508250825082509E-4</v>
      </c>
      <c r="X78">
        <v>1</v>
      </c>
      <c r="Y78">
        <v>0.5</v>
      </c>
      <c r="Z78">
        <v>8.2508250825082509E-4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">
      <c r="A79">
        <v>2522.9184606481504</v>
      </c>
      <c r="B79">
        <v>607</v>
      </c>
      <c r="C79">
        <v>104</v>
      </c>
      <c r="D79">
        <v>217</v>
      </c>
      <c r="E79">
        <v>49</v>
      </c>
      <c r="F79">
        <v>11</v>
      </c>
      <c r="G79">
        <v>51</v>
      </c>
      <c r="H79">
        <v>1797</v>
      </c>
      <c r="I79">
        <v>14</v>
      </c>
      <c r="J79">
        <v>824</v>
      </c>
      <c r="K79">
        <v>69</v>
      </c>
      <c r="L79">
        <v>19592</v>
      </c>
      <c r="M79">
        <v>767</v>
      </c>
      <c r="N79">
        <v>3.9148632094732544E-2</v>
      </c>
      <c r="O79">
        <v>93</v>
      </c>
      <c r="P79">
        <v>0.121251629726206</v>
      </c>
      <c r="Q79">
        <v>4.7468354430379748E-3</v>
      </c>
      <c r="R79">
        <v>460</v>
      </c>
      <c r="S79">
        <v>0.59973924380704047</v>
      </c>
      <c r="T79">
        <v>2.347897100857493E-2</v>
      </c>
      <c r="U79">
        <v>37</v>
      </c>
      <c r="V79">
        <v>4.8239895697522815E-2</v>
      </c>
      <c r="W79">
        <v>1.8885259289505921E-3</v>
      </c>
      <c r="X79">
        <v>148</v>
      </c>
      <c r="Y79">
        <v>0.19295958279009126</v>
      </c>
      <c r="Z79">
        <v>7.5541037158023683E-3</v>
      </c>
      <c r="AA79">
        <v>25</v>
      </c>
      <c r="AB79">
        <v>3.259452411994785E-2</v>
      </c>
      <c r="AC79">
        <v>1.2760310330747243E-3</v>
      </c>
      <c r="AD79">
        <v>4</v>
      </c>
      <c r="AE79">
        <v>5.2151238591916557E-3</v>
      </c>
      <c r="AF79">
        <v>2.0416496529195591E-4</v>
      </c>
    </row>
    <row r="80" spans="1:32" x14ac:dyDescent="0.2">
      <c r="A80">
        <v>1415.3488773148201</v>
      </c>
      <c r="B80">
        <v>5482</v>
      </c>
      <c r="C80">
        <v>162</v>
      </c>
      <c r="D80">
        <v>828</v>
      </c>
      <c r="E80">
        <v>98</v>
      </c>
      <c r="F80">
        <v>6</v>
      </c>
      <c r="G80">
        <v>197</v>
      </c>
      <c r="H80">
        <v>1200</v>
      </c>
      <c r="I80">
        <v>25</v>
      </c>
      <c r="J80">
        <v>1550</v>
      </c>
      <c r="K80">
        <v>332</v>
      </c>
      <c r="L80">
        <v>35953</v>
      </c>
      <c r="M80">
        <v>402</v>
      </c>
      <c r="N80">
        <v>1.1181264428559509E-2</v>
      </c>
      <c r="O80">
        <v>216</v>
      </c>
      <c r="P80">
        <v>0.53731343283582089</v>
      </c>
      <c r="Q80">
        <v>6.0078435735543625E-3</v>
      </c>
      <c r="R80">
        <v>132</v>
      </c>
      <c r="S80">
        <v>0.32835820895522388</v>
      </c>
      <c r="T80">
        <v>3.6714599616165548E-3</v>
      </c>
      <c r="U80">
        <v>16</v>
      </c>
      <c r="V80">
        <v>3.9800995024875621E-2</v>
      </c>
      <c r="W80">
        <v>4.4502544989291577E-4</v>
      </c>
      <c r="X80">
        <v>20</v>
      </c>
      <c r="Y80">
        <v>4.975124378109453E-2</v>
      </c>
      <c r="Z80">
        <v>5.5628181236614467E-4</v>
      </c>
      <c r="AA80">
        <v>0</v>
      </c>
      <c r="AB80">
        <v>0</v>
      </c>
      <c r="AC80">
        <v>0</v>
      </c>
      <c r="AD80">
        <v>18</v>
      </c>
      <c r="AE80">
        <v>4.4776119402985072E-2</v>
      </c>
      <c r="AF80">
        <v>5.0065363112953025E-4</v>
      </c>
    </row>
    <row r="81" spans="1:32" x14ac:dyDescent="0.2">
      <c r="A81">
        <v>1241.9367939814838</v>
      </c>
      <c r="B81">
        <v>1357</v>
      </c>
      <c r="C81">
        <v>103</v>
      </c>
      <c r="D81">
        <v>591</v>
      </c>
      <c r="E81">
        <v>329</v>
      </c>
      <c r="F81">
        <v>21</v>
      </c>
      <c r="G81">
        <v>188</v>
      </c>
      <c r="H81">
        <v>1486</v>
      </c>
      <c r="I81">
        <v>11</v>
      </c>
      <c r="J81">
        <v>781</v>
      </c>
      <c r="K81">
        <v>240</v>
      </c>
      <c r="L81">
        <v>44713</v>
      </c>
      <c r="M81">
        <v>218</v>
      </c>
      <c r="N81">
        <v>4.8755395522554965E-3</v>
      </c>
      <c r="O81">
        <v>34</v>
      </c>
      <c r="P81">
        <v>0.15596330275229359</v>
      </c>
      <c r="Q81">
        <v>7.6040525126920588E-4</v>
      </c>
      <c r="R81">
        <v>92</v>
      </c>
      <c r="S81">
        <v>0.42201834862385323</v>
      </c>
      <c r="T81">
        <v>2.057567150493145E-3</v>
      </c>
      <c r="U81">
        <v>57</v>
      </c>
      <c r="V81">
        <v>0.26146788990825687</v>
      </c>
      <c r="W81">
        <v>1.2747970388924921E-3</v>
      </c>
      <c r="X81">
        <v>17</v>
      </c>
      <c r="Y81">
        <v>7.7981651376146793E-2</v>
      </c>
      <c r="Z81">
        <v>3.8020262563460294E-4</v>
      </c>
      <c r="AA81">
        <v>0</v>
      </c>
      <c r="AB81">
        <v>0</v>
      </c>
      <c r="AC81">
        <v>0</v>
      </c>
      <c r="AD81">
        <v>18</v>
      </c>
      <c r="AE81">
        <v>8.2568807339449546E-2</v>
      </c>
      <c r="AF81">
        <v>4.0256748596605017E-4</v>
      </c>
    </row>
    <row r="82" spans="1:32" x14ac:dyDescent="0.2">
      <c r="A82">
        <v>2312.4893981481437</v>
      </c>
      <c r="B82">
        <v>2083</v>
      </c>
      <c r="C82">
        <v>231</v>
      </c>
      <c r="D82">
        <v>981</v>
      </c>
      <c r="E82">
        <v>0</v>
      </c>
      <c r="F82">
        <v>12</v>
      </c>
      <c r="G82">
        <v>123</v>
      </c>
      <c r="H82">
        <v>351</v>
      </c>
      <c r="I82">
        <v>9</v>
      </c>
      <c r="J82">
        <v>189</v>
      </c>
      <c r="K82">
        <v>80</v>
      </c>
      <c r="L82">
        <v>6664</v>
      </c>
      <c r="M82">
        <v>204</v>
      </c>
      <c r="N82">
        <v>3.0612244897959183E-2</v>
      </c>
      <c r="O82">
        <v>62</v>
      </c>
      <c r="P82">
        <v>0.30392156862745096</v>
      </c>
      <c r="Q82">
        <v>9.3037214885954376E-3</v>
      </c>
      <c r="R82">
        <v>74</v>
      </c>
      <c r="S82">
        <v>0.36274509803921567</v>
      </c>
      <c r="T82">
        <v>1.1104441776710685E-2</v>
      </c>
      <c r="U82">
        <v>12</v>
      </c>
      <c r="V82">
        <v>5.8823529411764705E-2</v>
      </c>
      <c r="W82">
        <v>1.8007202881152461E-3</v>
      </c>
      <c r="X82">
        <v>56</v>
      </c>
      <c r="Y82">
        <v>0.27450980392156865</v>
      </c>
      <c r="Z82">
        <v>8.4033613445378148E-3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">
      <c r="A83">
        <v>773.04805555556231</v>
      </c>
      <c r="B83">
        <v>1634</v>
      </c>
      <c r="C83">
        <v>54</v>
      </c>
      <c r="D83">
        <v>251</v>
      </c>
      <c r="E83">
        <v>77</v>
      </c>
      <c r="F83">
        <v>0</v>
      </c>
      <c r="G83">
        <v>63</v>
      </c>
      <c r="H83">
        <v>273</v>
      </c>
      <c r="I83">
        <v>2</v>
      </c>
      <c r="J83">
        <v>365</v>
      </c>
      <c r="K83">
        <v>27</v>
      </c>
      <c r="L83">
        <v>11277</v>
      </c>
      <c r="M83">
        <v>195</v>
      </c>
      <c r="N83">
        <v>1.7291832934291033E-2</v>
      </c>
      <c r="O83">
        <v>178</v>
      </c>
      <c r="P83">
        <v>0.9128205128205128</v>
      </c>
      <c r="Q83">
        <v>1.5784339806686174E-2</v>
      </c>
      <c r="R83">
        <v>3</v>
      </c>
      <c r="S83">
        <v>1.5384615384615385E-2</v>
      </c>
      <c r="T83">
        <v>2.6602819898909286E-4</v>
      </c>
      <c r="U83">
        <v>3</v>
      </c>
      <c r="V83">
        <v>1.5384615384615385E-2</v>
      </c>
      <c r="W83">
        <v>2.6602819898909286E-4</v>
      </c>
      <c r="X83">
        <v>8</v>
      </c>
      <c r="Y83">
        <v>4.1025641025641026E-2</v>
      </c>
      <c r="Z83">
        <v>7.0940853063758088E-4</v>
      </c>
      <c r="AA83">
        <v>0</v>
      </c>
      <c r="AB83">
        <v>0</v>
      </c>
      <c r="AC83">
        <v>0</v>
      </c>
      <c r="AD83">
        <v>3</v>
      </c>
      <c r="AE83">
        <v>1.5384615384615385E-2</v>
      </c>
      <c r="AF83">
        <v>2.6602819898909286E-4</v>
      </c>
    </row>
    <row r="84" spans="1:32" x14ac:dyDescent="0.2">
      <c r="A84">
        <v>776.88734953703533</v>
      </c>
      <c r="B84">
        <v>381</v>
      </c>
      <c r="C84">
        <v>40</v>
      </c>
      <c r="D84">
        <v>129</v>
      </c>
      <c r="E84">
        <v>28</v>
      </c>
      <c r="F84">
        <v>0</v>
      </c>
      <c r="G84">
        <v>27</v>
      </c>
      <c r="H84">
        <v>158</v>
      </c>
      <c r="I84">
        <v>10</v>
      </c>
      <c r="J84">
        <v>189</v>
      </c>
      <c r="K84">
        <v>46</v>
      </c>
      <c r="L84">
        <v>5503</v>
      </c>
      <c r="M84">
        <v>166</v>
      </c>
      <c r="N84">
        <v>3.0165364346719972E-2</v>
      </c>
      <c r="O84">
        <v>32</v>
      </c>
      <c r="P84">
        <v>0.19277108433734941</v>
      </c>
      <c r="Q84">
        <v>5.8150099945484283E-3</v>
      </c>
      <c r="R84">
        <v>113</v>
      </c>
      <c r="S84">
        <v>0.68072289156626509</v>
      </c>
      <c r="T84">
        <v>2.0534254043249135E-2</v>
      </c>
      <c r="U84">
        <v>7</v>
      </c>
      <c r="V84">
        <v>4.2168674698795178E-2</v>
      </c>
      <c r="W84">
        <v>1.2720334363074686E-3</v>
      </c>
      <c r="X84">
        <v>12</v>
      </c>
      <c r="Y84">
        <v>7.2289156626506021E-2</v>
      </c>
      <c r="Z84">
        <v>2.1806287479556605E-3</v>
      </c>
      <c r="AA84">
        <v>0</v>
      </c>
      <c r="AB84">
        <v>0</v>
      </c>
      <c r="AC84">
        <v>0</v>
      </c>
      <c r="AD84">
        <v>2</v>
      </c>
      <c r="AE84">
        <v>1.2048192771084338E-2</v>
      </c>
      <c r="AF84">
        <v>3.6343812465927677E-4</v>
      </c>
    </row>
    <row r="85" spans="1:32" x14ac:dyDescent="0.2">
      <c r="A85">
        <v>510.28099537037633</v>
      </c>
      <c r="B85">
        <v>820</v>
      </c>
      <c r="C85">
        <v>70</v>
      </c>
      <c r="D85">
        <v>88</v>
      </c>
      <c r="E85">
        <v>30</v>
      </c>
      <c r="F85">
        <v>5</v>
      </c>
      <c r="G85">
        <v>25</v>
      </c>
      <c r="H85">
        <v>233</v>
      </c>
      <c r="I85">
        <v>2</v>
      </c>
      <c r="J85">
        <v>138</v>
      </c>
      <c r="K85">
        <v>15</v>
      </c>
      <c r="L85">
        <v>9572</v>
      </c>
      <c r="M85">
        <v>123</v>
      </c>
      <c r="N85">
        <v>1.2849979105725032E-2</v>
      </c>
      <c r="O85">
        <v>74</v>
      </c>
      <c r="P85">
        <v>0.60162601626016265</v>
      </c>
      <c r="Q85">
        <v>7.7308817384036778E-3</v>
      </c>
      <c r="R85">
        <v>38</v>
      </c>
      <c r="S85">
        <v>0.30894308943089432</v>
      </c>
      <c r="T85">
        <v>3.9699122440451312E-3</v>
      </c>
      <c r="U85">
        <v>2</v>
      </c>
      <c r="V85">
        <v>1.6260162601626018E-2</v>
      </c>
      <c r="W85">
        <v>2.0894274968658589E-4</v>
      </c>
      <c r="X85">
        <v>0</v>
      </c>
      <c r="Y85">
        <v>0</v>
      </c>
      <c r="Z85">
        <v>0</v>
      </c>
      <c r="AA85">
        <v>1</v>
      </c>
      <c r="AB85">
        <v>8.130081300813009E-3</v>
      </c>
      <c r="AC85">
        <v>1.0447137484329294E-4</v>
      </c>
      <c r="AD85">
        <v>8</v>
      </c>
      <c r="AE85">
        <v>6.5040650406504072E-2</v>
      </c>
      <c r="AF85">
        <v>8.3577099874634355E-4</v>
      </c>
    </row>
    <row r="86" spans="1:32" x14ac:dyDescent="0.2">
      <c r="A86">
        <v>1110.7894212963001</v>
      </c>
      <c r="B86">
        <v>433</v>
      </c>
      <c r="C86">
        <v>22</v>
      </c>
      <c r="D86">
        <v>122</v>
      </c>
      <c r="E86">
        <v>8</v>
      </c>
      <c r="F86">
        <v>2</v>
      </c>
      <c r="G86">
        <v>38</v>
      </c>
      <c r="H86">
        <v>84</v>
      </c>
      <c r="I86">
        <v>6</v>
      </c>
      <c r="J86">
        <v>147</v>
      </c>
      <c r="K86">
        <v>48</v>
      </c>
      <c r="L86">
        <v>10320</v>
      </c>
      <c r="M86">
        <v>28</v>
      </c>
      <c r="N86">
        <v>2.7131782945736434E-3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6</v>
      </c>
      <c r="V86">
        <v>0.21428571428571427</v>
      </c>
      <c r="W86">
        <v>5.8139534883720929E-4</v>
      </c>
      <c r="X86">
        <v>22</v>
      </c>
      <c r="Y86">
        <v>0.7857142857142857</v>
      </c>
      <c r="Z86">
        <v>2.1317829457364341E-3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">
      <c r="A87">
        <v>694.43480324073607</v>
      </c>
      <c r="B87">
        <v>1828</v>
      </c>
      <c r="C87">
        <v>66</v>
      </c>
      <c r="D87">
        <v>384</v>
      </c>
      <c r="E87">
        <v>28</v>
      </c>
      <c r="F87">
        <v>8</v>
      </c>
      <c r="G87">
        <v>66</v>
      </c>
      <c r="H87">
        <v>805</v>
      </c>
      <c r="I87">
        <v>50</v>
      </c>
      <c r="J87">
        <v>535</v>
      </c>
      <c r="K87">
        <v>166</v>
      </c>
      <c r="L87">
        <v>24614</v>
      </c>
      <c r="M87">
        <v>89</v>
      </c>
      <c r="N87">
        <v>3.6158283903469572E-3</v>
      </c>
      <c r="O87">
        <v>1</v>
      </c>
      <c r="P87">
        <v>1.1235955056179775E-2</v>
      </c>
      <c r="Q87">
        <v>4.0627285284797267E-5</v>
      </c>
      <c r="R87">
        <v>65</v>
      </c>
      <c r="S87">
        <v>0.7303370786516854</v>
      </c>
      <c r="T87">
        <v>2.6407735435118227E-3</v>
      </c>
      <c r="U87">
        <v>21</v>
      </c>
      <c r="V87">
        <v>0.23595505617977527</v>
      </c>
      <c r="W87">
        <v>8.5317299098074269E-4</v>
      </c>
      <c r="X87">
        <v>2</v>
      </c>
      <c r="Y87">
        <v>2.247191011235955E-2</v>
      </c>
      <c r="Z87">
        <v>8.1254570569594533E-5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">
      <c r="A88">
        <v>1400.8294675925936</v>
      </c>
      <c r="B88">
        <v>993</v>
      </c>
      <c r="C88">
        <v>54</v>
      </c>
      <c r="D88">
        <v>272</v>
      </c>
      <c r="E88">
        <v>54</v>
      </c>
      <c r="F88">
        <v>20</v>
      </c>
      <c r="G88">
        <v>47</v>
      </c>
      <c r="H88">
        <v>698</v>
      </c>
      <c r="I88">
        <v>3</v>
      </c>
      <c r="J88">
        <v>244</v>
      </c>
      <c r="K88">
        <v>16</v>
      </c>
      <c r="L88">
        <v>10889</v>
      </c>
      <c r="M88">
        <v>276</v>
      </c>
      <c r="N88">
        <v>2.5346680135916979E-2</v>
      </c>
      <c r="O88">
        <v>19</v>
      </c>
      <c r="P88">
        <v>6.8840579710144928E-2</v>
      </c>
      <c r="Q88">
        <v>1.74488015428414E-3</v>
      </c>
      <c r="R88">
        <v>205</v>
      </c>
      <c r="S88">
        <v>0.74275362318840576</v>
      </c>
      <c r="T88">
        <v>1.8826338506749932E-2</v>
      </c>
      <c r="U88">
        <v>36</v>
      </c>
      <c r="V88">
        <v>0.13043478260869565</v>
      </c>
      <c r="W88">
        <v>3.3060887133804758E-3</v>
      </c>
      <c r="X88">
        <v>12</v>
      </c>
      <c r="Y88">
        <v>4.3478260869565216E-2</v>
      </c>
      <c r="Z88">
        <v>1.1020295711268253E-3</v>
      </c>
      <c r="AA88">
        <v>0</v>
      </c>
      <c r="AB88">
        <v>0</v>
      </c>
      <c r="AC88">
        <v>0</v>
      </c>
      <c r="AD88">
        <v>4</v>
      </c>
      <c r="AE88">
        <v>1.4492753623188406E-2</v>
      </c>
      <c r="AF88">
        <v>3.6734319037560841E-4</v>
      </c>
    </row>
    <row r="89" spans="1:32" x14ac:dyDescent="0.2">
      <c r="A89">
        <v>1526.2126851851863</v>
      </c>
      <c r="B89">
        <v>1263</v>
      </c>
      <c r="C89">
        <v>92</v>
      </c>
      <c r="D89">
        <v>273</v>
      </c>
      <c r="E89">
        <v>11</v>
      </c>
      <c r="F89">
        <v>6</v>
      </c>
      <c r="G89">
        <v>20</v>
      </c>
      <c r="H89">
        <v>610</v>
      </c>
      <c r="I89">
        <v>33</v>
      </c>
      <c r="J89">
        <v>538</v>
      </c>
      <c r="K89">
        <v>73</v>
      </c>
      <c r="L89">
        <v>13523</v>
      </c>
      <c r="M89">
        <v>80</v>
      </c>
      <c r="N89">
        <v>5.9158470753531023E-3</v>
      </c>
      <c r="O89">
        <v>8</v>
      </c>
      <c r="P89">
        <v>0.1</v>
      </c>
      <c r="Q89">
        <v>5.9158470753531021E-4</v>
      </c>
      <c r="R89">
        <v>63</v>
      </c>
      <c r="S89">
        <v>0.78749999999999998</v>
      </c>
      <c r="T89">
        <v>4.6587295718405683E-3</v>
      </c>
      <c r="U89">
        <v>9</v>
      </c>
      <c r="V89">
        <v>0.1125</v>
      </c>
      <c r="W89">
        <v>6.6553279597722395E-4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">
      <c r="A90">
        <v>1891.1150231481442</v>
      </c>
      <c r="B90">
        <v>2332</v>
      </c>
      <c r="C90">
        <v>157</v>
      </c>
      <c r="D90">
        <v>1529</v>
      </c>
      <c r="E90">
        <v>121</v>
      </c>
      <c r="F90">
        <v>43</v>
      </c>
      <c r="G90">
        <v>612</v>
      </c>
      <c r="H90">
        <v>7823</v>
      </c>
      <c r="I90">
        <v>108</v>
      </c>
      <c r="J90">
        <v>9629</v>
      </c>
      <c r="K90">
        <v>1663</v>
      </c>
      <c r="L90">
        <v>172416</v>
      </c>
      <c r="M90">
        <v>1572</v>
      </c>
      <c r="N90">
        <v>9.1174832962138078E-3</v>
      </c>
      <c r="O90">
        <v>318</v>
      </c>
      <c r="P90">
        <v>0.20229007633587787</v>
      </c>
      <c r="Q90">
        <v>1.8443763919821826E-3</v>
      </c>
      <c r="R90">
        <v>360</v>
      </c>
      <c r="S90">
        <v>0.22900763358778625</v>
      </c>
      <c r="T90">
        <v>2.0879732739420937E-3</v>
      </c>
      <c r="U90">
        <v>823</v>
      </c>
      <c r="V90">
        <v>0.52353689567430028</v>
      </c>
      <c r="W90">
        <v>4.7733389012620635E-3</v>
      </c>
      <c r="X90">
        <v>69</v>
      </c>
      <c r="Y90">
        <v>4.3893129770992363E-2</v>
      </c>
      <c r="Z90">
        <v>4.0019487750556792E-4</v>
      </c>
      <c r="AA90">
        <v>0</v>
      </c>
      <c r="AB90">
        <v>0</v>
      </c>
      <c r="AC90">
        <v>0</v>
      </c>
      <c r="AD90">
        <v>2</v>
      </c>
      <c r="AE90">
        <v>1.2722646310432571E-3</v>
      </c>
      <c r="AF90">
        <v>1.1599851521900519E-5</v>
      </c>
    </row>
    <row r="91" spans="1:32" x14ac:dyDescent="0.2">
      <c r="A91">
        <v>3271.3800578703667</v>
      </c>
      <c r="B91">
        <v>1894</v>
      </c>
      <c r="C91">
        <v>287</v>
      </c>
      <c r="D91">
        <v>1211</v>
      </c>
      <c r="E91">
        <v>1552</v>
      </c>
      <c r="F91">
        <v>55</v>
      </c>
      <c r="G91">
        <v>287</v>
      </c>
      <c r="H91">
        <v>13292</v>
      </c>
      <c r="I91">
        <v>134</v>
      </c>
      <c r="J91">
        <v>4614</v>
      </c>
      <c r="K91">
        <v>746</v>
      </c>
      <c r="L91">
        <v>3506112</v>
      </c>
      <c r="M91">
        <v>883</v>
      </c>
      <c r="N91">
        <v>2.5184591935454431E-4</v>
      </c>
      <c r="O91">
        <v>251</v>
      </c>
      <c r="P91">
        <v>0.28425821064552659</v>
      </c>
      <c r="Q91">
        <v>7.1589270394100361E-5</v>
      </c>
      <c r="R91">
        <v>399</v>
      </c>
      <c r="S91">
        <v>0.45186862967157415</v>
      </c>
      <c r="T91">
        <v>1.1380127046711571E-4</v>
      </c>
      <c r="U91">
        <v>143</v>
      </c>
      <c r="V91">
        <v>0.16194790486976218</v>
      </c>
      <c r="W91">
        <v>4.0785918989467536E-5</v>
      </c>
      <c r="X91">
        <v>73</v>
      </c>
      <c r="Y91">
        <v>8.2672706681766711E-2</v>
      </c>
      <c r="Z91">
        <v>2.0820783819798113E-5</v>
      </c>
      <c r="AA91">
        <v>8</v>
      </c>
      <c r="AB91">
        <v>9.0600226500566258E-3</v>
      </c>
      <c r="AC91">
        <v>2.2817297336765056E-6</v>
      </c>
      <c r="AD91">
        <v>9</v>
      </c>
      <c r="AE91">
        <v>1.0192525481313703E-2</v>
      </c>
      <c r="AF91">
        <v>2.5669459503860687E-6</v>
      </c>
    </row>
    <row r="92" spans="1:32" x14ac:dyDescent="0.2">
      <c r="A92">
        <v>347.23699074074102</v>
      </c>
      <c r="B92">
        <v>699</v>
      </c>
      <c r="C92">
        <v>44</v>
      </c>
      <c r="D92">
        <v>79</v>
      </c>
      <c r="E92">
        <v>7</v>
      </c>
      <c r="F92">
        <v>0</v>
      </c>
      <c r="G92">
        <v>8</v>
      </c>
      <c r="H92">
        <v>23</v>
      </c>
      <c r="I92">
        <v>3</v>
      </c>
      <c r="J92">
        <v>16</v>
      </c>
      <c r="K92">
        <v>3</v>
      </c>
      <c r="L92">
        <v>1116</v>
      </c>
      <c r="M92">
        <v>47</v>
      </c>
      <c r="N92">
        <v>4.2114695340501794E-2</v>
      </c>
      <c r="O92">
        <v>0</v>
      </c>
      <c r="P92">
        <v>0</v>
      </c>
      <c r="Q92">
        <v>0</v>
      </c>
      <c r="R92">
        <v>31</v>
      </c>
      <c r="S92">
        <v>0.65957446808510634</v>
      </c>
      <c r="T92">
        <v>2.7777777777777776E-2</v>
      </c>
      <c r="U92">
        <v>6</v>
      </c>
      <c r="V92">
        <v>0.1276595744680851</v>
      </c>
      <c r="W92">
        <v>5.3763440860215058E-3</v>
      </c>
      <c r="X92">
        <v>10</v>
      </c>
      <c r="Y92">
        <v>0.21276595744680851</v>
      </c>
      <c r="Z92">
        <v>8.9605734767025085E-3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">
      <c r="A93">
        <v>1669.861666666664</v>
      </c>
      <c r="B93">
        <v>411</v>
      </c>
      <c r="C93">
        <v>19</v>
      </c>
      <c r="D93">
        <v>140</v>
      </c>
      <c r="E93">
        <v>0</v>
      </c>
      <c r="F93">
        <v>1</v>
      </c>
      <c r="G93">
        <v>2</v>
      </c>
      <c r="H93">
        <v>4</v>
      </c>
      <c r="I93">
        <v>1</v>
      </c>
      <c r="J93">
        <v>14</v>
      </c>
      <c r="K93">
        <v>1</v>
      </c>
      <c r="L93">
        <v>733</v>
      </c>
      <c r="M93">
        <v>4</v>
      </c>
      <c r="N93">
        <v>5.4570259208731242E-3</v>
      </c>
      <c r="O93">
        <v>0</v>
      </c>
      <c r="P93">
        <v>0</v>
      </c>
      <c r="Q93">
        <v>0</v>
      </c>
      <c r="R93">
        <v>2</v>
      </c>
      <c r="S93">
        <v>0.5</v>
      </c>
      <c r="T93">
        <v>2.7285129604365621E-3</v>
      </c>
      <c r="U93">
        <v>1</v>
      </c>
      <c r="V93">
        <v>0.25</v>
      </c>
      <c r="W93">
        <v>1.364256480218281E-3</v>
      </c>
      <c r="X93">
        <v>1</v>
      </c>
      <c r="Y93">
        <v>0.25</v>
      </c>
      <c r="Z93">
        <v>1.364256480218281E-3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">
      <c r="A94">
        <v>889.40297453703533</v>
      </c>
      <c r="B94">
        <v>478</v>
      </c>
      <c r="C94">
        <v>37</v>
      </c>
      <c r="D94">
        <v>91</v>
      </c>
      <c r="E94">
        <v>5</v>
      </c>
      <c r="F94">
        <v>0</v>
      </c>
      <c r="G94">
        <v>11</v>
      </c>
      <c r="H94">
        <v>50</v>
      </c>
      <c r="I94">
        <v>4</v>
      </c>
      <c r="J94">
        <v>32</v>
      </c>
      <c r="K94">
        <v>15</v>
      </c>
      <c r="L94">
        <v>4592</v>
      </c>
      <c r="M94">
        <v>109</v>
      </c>
      <c r="N94">
        <v>2.3736933797909407E-2</v>
      </c>
      <c r="O94">
        <v>43</v>
      </c>
      <c r="P94">
        <v>0.39449541284403672</v>
      </c>
      <c r="Q94">
        <v>9.3641114982578391E-3</v>
      </c>
      <c r="R94">
        <v>12</v>
      </c>
      <c r="S94">
        <v>0.11009174311926606</v>
      </c>
      <c r="T94">
        <v>2.6132404181184671E-3</v>
      </c>
      <c r="U94">
        <v>37</v>
      </c>
      <c r="V94">
        <v>0.33944954128440369</v>
      </c>
      <c r="W94">
        <v>8.057491289198606E-3</v>
      </c>
      <c r="X94">
        <v>17</v>
      </c>
      <c r="Y94">
        <v>0.15596330275229359</v>
      </c>
      <c r="Z94">
        <v>3.7020905923344947E-3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">
      <c r="A95">
        <v>2692.6848958333285</v>
      </c>
      <c r="B95">
        <v>670</v>
      </c>
      <c r="C95">
        <v>24</v>
      </c>
      <c r="D95">
        <v>240</v>
      </c>
      <c r="E95">
        <v>6</v>
      </c>
      <c r="F95">
        <v>9</v>
      </c>
      <c r="G95">
        <v>21</v>
      </c>
      <c r="H95">
        <v>61</v>
      </c>
      <c r="I95">
        <v>15</v>
      </c>
      <c r="J95">
        <v>0</v>
      </c>
      <c r="K95">
        <v>0</v>
      </c>
      <c r="L95">
        <v>692</v>
      </c>
      <c r="M95">
        <v>81</v>
      </c>
      <c r="N95">
        <v>0.11705202312138728</v>
      </c>
      <c r="O95">
        <v>4</v>
      </c>
      <c r="P95">
        <v>4.9382716049382713E-2</v>
      </c>
      <c r="Q95">
        <v>5.7803468208092483E-3</v>
      </c>
      <c r="R95">
        <v>58</v>
      </c>
      <c r="S95">
        <v>0.71604938271604934</v>
      </c>
      <c r="T95">
        <v>8.3815028901734104E-2</v>
      </c>
      <c r="U95">
        <v>0</v>
      </c>
      <c r="V95">
        <v>0</v>
      </c>
      <c r="W95">
        <v>0</v>
      </c>
      <c r="X95">
        <v>3</v>
      </c>
      <c r="Y95">
        <v>3.7037037037037035E-2</v>
      </c>
      <c r="Z95">
        <v>4.335260115606936E-3</v>
      </c>
      <c r="AA95">
        <v>0</v>
      </c>
      <c r="AB95">
        <v>0</v>
      </c>
      <c r="AC95">
        <v>0</v>
      </c>
      <c r="AD95">
        <v>16</v>
      </c>
      <c r="AE95">
        <v>0.19753086419753085</v>
      </c>
      <c r="AF95">
        <v>2.3121387283236993E-2</v>
      </c>
    </row>
    <row r="96" spans="1:32" x14ac:dyDescent="0.2">
      <c r="A96">
        <v>1951.5843981481448</v>
      </c>
      <c r="B96">
        <v>973</v>
      </c>
      <c r="C96">
        <v>30</v>
      </c>
      <c r="D96">
        <v>154</v>
      </c>
      <c r="E96">
        <v>0</v>
      </c>
      <c r="F96">
        <v>118</v>
      </c>
      <c r="G96">
        <v>65</v>
      </c>
      <c r="H96">
        <v>520</v>
      </c>
      <c r="I96">
        <v>4</v>
      </c>
      <c r="J96">
        <v>729</v>
      </c>
      <c r="K96">
        <v>53</v>
      </c>
      <c r="L96">
        <v>4595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">
      <c r="A97">
        <v>3130.1869097222225</v>
      </c>
      <c r="B97">
        <v>3150</v>
      </c>
      <c r="C97">
        <v>174</v>
      </c>
      <c r="D97">
        <v>925</v>
      </c>
      <c r="E97">
        <v>12</v>
      </c>
      <c r="F97">
        <v>27</v>
      </c>
      <c r="G97">
        <v>133</v>
      </c>
      <c r="H97">
        <v>302</v>
      </c>
      <c r="I97">
        <v>18</v>
      </c>
      <c r="J97">
        <v>389</v>
      </c>
      <c r="K97">
        <v>81</v>
      </c>
      <c r="L97">
        <v>4820</v>
      </c>
      <c r="M97">
        <v>5</v>
      </c>
      <c r="N97">
        <v>1.037344398340249E-3</v>
      </c>
      <c r="O97">
        <v>1</v>
      </c>
      <c r="P97">
        <v>0.2</v>
      </c>
      <c r="Q97">
        <v>2.0746887966804979E-4</v>
      </c>
      <c r="R97">
        <v>0</v>
      </c>
      <c r="S97">
        <v>0</v>
      </c>
      <c r="T97">
        <v>0</v>
      </c>
      <c r="U97">
        <v>4</v>
      </c>
      <c r="V97">
        <v>0.8</v>
      </c>
      <c r="W97">
        <v>8.2987551867219915E-4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">
      <c r="A98">
        <v>737.79702546296176</v>
      </c>
      <c r="B98">
        <v>2310</v>
      </c>
      <c r="C98">
        <v>50</v>
      </c>
      <c r="D98">
        <v>263</v>
      </c>
      <c r="E98">
        <v>53</v>
      </c>
      <c r="F98">
        <v>0</v>
      </c>
      <c r="G98">
        <v>74</v>
      </c>
      <c r="H98">
        <v>1104</v>
      </c>
      <c r="I98">
        <v>12</v>
      </c>
      <c r="J98">
        <v>394</v>
      </c>
      <c r="K98">
        <v>89</v>
      </c>
      <c r="L98">
        <v>19127</v>
      </c>
      <c r="M98">
        <v>358</v>
      </c>
      <c r="N98">
        <v>1.8716996915355257E-2</v>
      </c>
      <c r="O98">
        <v>123</v>
      </c>
      <c r="P98">
        <v>0.34357541899441341</v>
      </c>
      <c r="Q98">
        <v>6.4307000575103256E-3</v>
      </c>
      <c r="R98">
        <v>145</v>
      </c>
      <c r="S98">
        <v>0.40502793296089384</v>
      </c>
      <c r="T98">
        <v>7.5809065718617664E-3</v>
      </c>
      <c r="U98">
        <v>49</v>
      </c>
      <c r="V98">
        <v>0.13687150837988826</v>
      </c>
      <c r="W98">
        <v>2.56182360014639E-3</v>
      </c>
      <c r="X98">
        <v>41</v>
      </c>
      <c r="Y98">
        <v>0.11452513966480447</v>
      </c>
      <c r="Z98">
        <v>2.1435666858367754E-3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">
      <c r="A99">
        <v>542.19829861111066</v>
      </c>
      <c r="B99">
        <v>392</v>
      </c>
      <c r="C99">
        <v>11</v>
      </c>
      <c r="D99">
        <v>36</v>
      </c>
      <c r="E99">
        <v>0</v>
      </c>
      <c r="F99">
        <v>0</v>
      </c>
      <c r="G99">
        <v>4</v>
      </c>
      <c r="H99">
        <v>6</v>
      </c>
      <c r="I99">
        <v>0</v>
      </c>
      <c r="J99">
        <v>15</v>
      </c>
      <c r="K99">
        <v>3</v>
      </c>
      <c r="L99">
        <v>42661</v>
      </c>
      <c r="M99">
        <v>670</v>
      </c>
      <c r="N99">
        <v>1.5705210848315793E-2</v>
      </c>
      <c r="O99">
        <v>0</v>
      </c>
      <c r="P99">
        <v>0</v>
      </c>
      <c r="Q99">
        <v>0</v>
      </c>
      <c r="R99">
        <v>553</v>
      </c>
      <c r="S99">
        <v>0.82537313432835824</v>
      </c>
      <c r="T99">
        <v>1.2962659103162138E-2</v>
      </c>
      <c r="U99">
        <v>67</v>
      </c>
      <c r="V99">
        <v>0.1</v>
      </c>
      <c r="W99">
        <v>1.5705210848315791E-3</v>
      </c>
      <c r="X99">
        <v>50</v>
      </c>
      <c r="Y99">
        <v>7.4626865671641784E-2</v>
      </c>
      <c r="Z99">
        <v>1.172030660322074E-3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">
      <c r="A100">
        <v>541.18874999999389</v>
      </c>
      <c r="B100">
        <v>526</v>
      </c>
      <c r="C100">
        <v>23</v>
      </c>
      <c r="D100">
        <v>195</v>
      </c>
      <c r="E100">
        <v>2</v>
      </c>
      <c r="F100">
        <v>0</v>
      </c>
      <c r="G100">
        <v>7</v>
      </c>
      <c r="H100">
        <v>44</v>
      </c>
      <c r="I100">
        <v>0</v>
      </c>
      <c r="J100">
        <v>13</v>
      </c>
      <c r="K100">
        <v>4</v>
      </c>
      <c r="L100">
        <v>16817</v>
      </c>
      <c r="M100">
        <v>369</v>
      </c>
      <c r="N100">
        <v>2.1942082416602247E-2</v>
      </c>
      <c r="O100">
        <v>1</v>
      </c>
      <c r="P100">
        <v>2.7100271002710027E-3</v>
      </c>
      <c r="Q100">
        <v>5.9463637985371946E-5</v>
      </c>
      <c r="R100">
        <v>143</v>
      </c>
      <c r="S100">
        <v>0.38753387533875339</v>
      </c>
      <c r="T100">
        <v>8.5033002319081889E-3</v>
      </c>
      <c r="U100">
        <v>18</v>
      </c>
      <c r="V100">
        <v>4.878048780487805E-2</v>
      </c>
      <c r="W100">
        <v>1.0703454837366949E-3</v>
      </c>
      <c r="X100">
        <v>205</v>
      </c>
      <c r="Y100">
        <v>0.55555555555555558</v>
      </c>
      <c r="Z100">
        <v>1.2190045787001249E-2</v>
      </c>
      <c r="AA100">
        <v>0</v>
      </c>
      <c r="AB100">
        <v>0</v>
      </c>
      <c r="AC100">
        <v>0</v>
      </c>
      <c r="AD100">
        <v>2</v>
      </c>
      <c r="AE100">
        <v>5.4200542005420054E-3</v>
      </c>
      <c r="AF100">
        <v>1.1892727597074389E-4</v>
      </c>
    </row>
    <row r="101" spans="1:32" x14ac:dyDescent="0.2">
      <c r="A101">
        <v>1886.557847222226</v>
      </c>
      <c r="B101">
        <v>3598</v>
      </c>
      <c r="C101">
        <v>229</v>
      </c>
      <c r="D101">
        <v>700</v>
      </c>
      <c r="E101">
        <v>51</v>
      </c>
      <c r="F101">
        <v>45</v>
      </c>
      <c r="G101">
        <v>70</v>
      </c>
      <c r="H101">
        <v>1524</v>
      </c>
      <c r="I101">
        <v>2</v>
      </c>
      <c r="J101">
        <v>1194</v>
      </c>
      <c r="K101">
        <v>146</v>
      </c>
      <c r="L101">
        <v>9262</v>
      </c>
      <c r="M101">
        <v>56</v>
      </c>
      <c r="N101">
        <v>6.0462103217447634E-3</v>
      </c>
      <c r="O101">
        <v>20</v>
      </c>
      <c r="P101">
        <v>0.35714285714285715</v>
      </c>
      <c r="Q101">
        <v>2.1593608291945584E-3</v>
      </c>
      <c r="R101">
        <v>17</v>
      </c>
      <c r="S101">
        <v>0.30357142857142855</v>
      </c>
      <c r="T101">
        <v>1.8354567048153748E-3</v>
      </c>
      <c r="U101">
        <v>6</v>
      </c>
      <c r="V101">
        <v>0.10714285714285714</v>
      </c>
      <c r="W101">
        <v>6.4780824875836757E-4</v>
      </c>
      <c r="X101">
        <v>11</v>
      </c>
      <c r="Y101">
        <v>0.19642857142857142</v>
      </c>
      <c r="Z101">
        <v>1.1876484560570072E-3</v>
      </c>
      <c r="AA101">
        <v>2</v>
      </c>
      <c r="AB101">
        <v>3.5714285714285712E-2</v>
      </c>
      <c r="AC101">
        <v>2.1593608291945585E-4</v>
      </c>
      <c r="AD101">
        <v>0</v>
      </c>
      <c r="AE101">
        <v>0</v>
      </c>
      <c r="AF101">
        <v>0</v>
      </c>
    </row>
    <row r="102" spans="1:32" x14ac:dyDescent="0.2">
      <c r="A102">
        <v>2603.2362962963016</v>
      </c>
      <c r="B102">
        <v>14945</v>
      </c>
      <c r="C102">
        <v>908</v>
      </c>
      <c r="D102">
        <v>3468</v>
      </c>
      <c r="E102">
        <v>13</v>
      </c>
      <c r="F102">
        <v>31</v>
      </c>
      <c r="G102">
        <v>51</v>
      </c>
      <c r="H102">
        <v>161</v>
      </c>
      <c r="I102">
        <v>20</v>
      </c>
      <c r="J102">
        <v>804</v>
      </c>
      <c r="K102">
        <v>261</v>
      </c>
      <c r="L102">
        <v>11364</v>
      </c>
      <c r="M102">
        <v>132</v>
      </c>
      <c r="N102">
        <v>1.1615628299894404E-2</v>
      </c>
      <c r="O102">
        <v>14</v>
      </c>
      <c r="P102">
        <v>0.10606060606060606</v>
      </c>
      <c r="Q102">
        <v>1.2319605772615277E-3</v>
      </c>
      <c r="R102">
        <v>54</v>
      </c>
      <c r="S102">
        <v>0.40909090909090912</v>
      </c>
      <c r="T102">
        <v>4.7518479408658922E-3</v>
      </c>
      <c r="U102">
        <v>22</v>
      </c>
      <c r="V102">
        <v>0.16666666666666666</v>
      </c>
      <c r="W102">
        <v>1.9359380499824005E-3</v>
      </c>
      <c r="X102">
        <v>26</v>
      </c>
      <c r="Y102">
        <v>0.19696969696969696</v>
      </c>
      <c r="Z102">
        <v>2.2879267863428372E-3</v>
      </c>
      <c r="AA102">
        <v>0</v>
      </c>
      <c r="AB102">
        <v>0</v>
      </c>
      <c r="AC102">
        <v>0</v>
      </c>
      <c r="AD102">
        <v>16</v>
      </c>
      <c r="AE102">
        <v>0.12121212121212122</v>
      </c>
      <c r="AF102">
        <v>1.4079549454417458E-3</v>
      </c>
    </row>
    <row r="103" spans="1:32" x14ac:dyDescent="0.2">
      <c r="A103">
        <v>3069.9597106481451</v>
      </c>
      <c r="B103">
        <v>2592</v>
      </c>
      <c r="C103">
        <v>178</v>
      </c>
      <c r="D103">
        <v>528</v>
      </c>
      <c r="E103">
        <v>5</v>
      </c>
      <c r="F103">
        <v>145</v>
      </c>
      <c r="G103">
        <v>109</v>
      </c>
      <c r="H103">
        <v>1144</v>
      </c>
      <c r="I103">
        <v>45</v>
      </c>
      <c r="J103">
        <v>598</v>
      </c>
      <c r="K103">
        <v>151</v>
      </c>
      <c r="L103">
        <v>22863</v>
      </c>
      <c r="M103">
        <v>456</v>
      </c>
      <c r="N103">
        <v>1.9944889122162447E-2</v>
      </c>
      <c r="O103">
        <v>158</v>
      </c>
      <c r="P103">
        <v>0.34649122807017546</v>
      </c>
      <c r="Q103">
        <v>6.9107291256615489E-3</v>
      </c>
      <c r="R103">
        <v>161</v>
      </c>
      <c r="S103">
        <v>0.35307017543859648</v>
      </c>
      <c r="T103">
        <v>7.0419455014652495E-3</v>
      </c>
      <c r="U103">
        <v>33</v>
      </c>
      <c r="V103">
        <v>7.2368421052631582E-2</v>
      </c>
      <c r="W103">
        <v>1.4433801338407032E-3</v>
      </c>
      <c r="X103">
        <v>83</v>
      </c>
      <c r="Y103">
        <v>0.18201754385964913</v>
      </c>
      <c r="Z103">
        <v>3.6303197305690418E-3</v>
      </c>
      <c r="AA103">
        <v>10</v>
      </c>
      <c r="AB103">
        <v>2.1929824561403508E-2</v>
      </c>
      <c r="AC103">
        <v>4.3738791934566765E-4</v>
      </c>
      <c r="AD103">
        <v>11</v>
      </c>
      <c r="AE103">
        <v>2.4122807017543858E-2</v>
      </c>
      <c r="AF103">
        <v>4.8112671128023443E-4</v>
      </c>
    </row>
    <row r="104" spans="1:32" x14ac:dyDescent="0.2">
      <c r="A104">
        <v>1155.0790162037083</v>
      </c>
      <c r="B104">
        <v>1182</v>
      </c>
      <c r="C104">
        <v>74</v>
      </c>
      <c r="D104">
        <v>484</v>
      </c>
      <c r="E104">
        <v>67</v>
      </c>
      <c r="F104">
        <v>4</v>
      </c>
      <c r="G104">
        <v>13</v>
      </c>
      <c r="H104">
        <v>46</v>
      </c>
      <c r="I104">
        <v>2</v>
      </c>
      <c r="J104">
        <v>202</v>
      </c>
      <c r="K104">
        <v>3</v>
      </c>
      <c r="L104">
        <v>6147</v>
      </c>
      <c r="M104">
        <v>5</v>
      </c>
      <c r="N104">
        <v>8.134049129656743E-4</v>
      </c>
      <c r="O104">
        <v>0</v>
      </c>
      <c r="P104">
        <v>0</v>
      </c>
      <c r="Q104">
        <v>0</v>
      </c>
      <c r="R104">
        <v>3</v>
      </c>
      <c r="S104">
        <v>0.6</v>
      </c>
      <c r="T104">
        <v>4.880429477794046E-4</v>
      </c>
      <c r="U104">
        <v>0</v>
      </c>
      <c r="V104">
        <v>0</v>
      </c>
      <c r="W104">
        <v>0</v>
      </c>
      <c r="X104">
        <v>2</v>
      </c>
      <c r="Y104">
        <v>0.4</v>
      </c>
      <c r="Z104">
        <v>3.253619651862697E-4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">
      <c r="A105">
        <v>122.97435185185168</v>
      </c>
      <c r="B105">
        <v>516</v>
      </c>
      <c r="C105">
        <v>16</v>
      </c>
      <c r="D105">
        <v>94</v>
      </c>
      <c r="E105">
        <v>0</v>
      </c>
      <c r="F105">
        <v>0</v>
      </c>
      <c r="G105">
        <v>0</v>
      </c>
      <c r="H105">
        <v>3</v>
      </c>
      <c r="I105">
        <v>3</v>
      </c>
      <c r="J105">
        <v>26</v>
      </c>
      <c r="K105">
        <v>14</v>
      </c>
      <c r="L105">
        <v>4876</v>
      </c>
      <c r="M105">
        <v>252</v>
      </c>
      <c r="N105">
        <v>5.1681706316652996E-2</v>
      </c>
      <c r="O105">
        <v>232</v>
      </c>
      <c r="P105">
        <v>0.92063492063492058</v>
      </c>
      <c r="Q105">
        <v>4.7579983593109103E-2</v>
      </c>
      <c r="R105">
        <v>5</v>
      </c>
      <c r="S105">
        <v>1.984126984126984E-2</v>
      </c>
      <c r="T105">
        <v>1.0254306808859721E-3</v>
      </c>
      <c r="U105">
        <v>5</v>
      </c>
      <c r="V105">
        <v>1.984126984126984E-2</v>
      </c>
      <c r="W105">
        <v>1.0254306808859721E-3</v>
      </c>
      <c r="X105">
        <v>10</v>
      </c>
      <c r="Y105">
        <v>3.968253968253968E-2</v>
      </c>
      <c r="Z105">
        <v>2.0508613617719442E-3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">
      <c r="A106">
        <v>2240.397719907407</v>
      </c>
      <c r="B106">
        <v>1415</v>
      </c>
      <c r="C106">
        <v>107</v>
      </c>
      <c r="D106">
        <v>371</v>
      </c>
      <c r="E106">
        <v>0</v>
      </c>
      <c r="F106">
        <v>22</v>
      </c>
      <c r="G106">
        <v>52</v>
      </c>
      <c r="H106">
        <v>1474</v>
      </c>
      <c r="I106">
        <v>4</v>
      </c>
      <c r="J106">
        <v>0</v>
      </c>
      <c r="K106">
        <v>0</v>
      </c>
      <c r="L106">
        <v>34332</v>
      </c>
      <c r="M106">
        <v>874</v>
      </c>
      <c r="N106">
        <v>2.5457299312594665E-2</v>
      </c>
      <c r="O106">
        <v>435</v>
      </c>
      <c r="P106">
        <v>0.49771167048054921</v>
      </c>
      <c r="Q106">
        <v>1.2670394966794826E-2</v>
      </c>
      <c r="R106">
        <v>169</v>
      </c>
      <c r="S106">
        <v>0.19336384439359267</v>
      </c>
      <c r="T106">
        <v>4.9225212629616681E-3</v>
      </c>
      <c r="U106">
        <v>251</v>
      </c>
      <c r="V106">
        <v>0.28718535469107553</v>
      </c>
      <c r="W106">
        <v>7.3109635325643713E-3</v>
      </c>
      <c r="X106">
        <v>19</v>
      </c>
      <c r="Y106">
        <v>2.1739130434782608E-2</v>
      </c>
      <c r="Z106">
        <v>5.53419550273797E-4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">
      <c r="A107">
        <v>1897.6006365740759</v>
      </c>
      <c r="B107">
        <v>332</v>
      </c>
      <c r="C107">
        <v>66</v>
      </c>
      <c r="D107">
        <v>167</v>
      </c>
      <c r="E107">
        <v>0</v>
      </c>
      <c r="F107">
        <v>5</v>
      </c>
      <c r="G107">
        <v>16</v>
      </c>
      <c r="H107">
        <v>105</v>
      </c>
      <c r="I107">
        <v>4</v>
      </c>
      <c r="J107">
        <v>92</v>
      </c>
      <c r="K107">
        <v>26</v>
      </c>
      <c r="L107">
        <v>1643</v>
      </c>
      <c r="M107">
        <v>81</v>
      </c>
      <c r="N107">
        <v>4.9300060864272674E-2</v>
      </c>
      <c r="O107">
        <v>6</v>
      </c>
      <c r="P107">
        <v>7.407407407407407E-2</v>
      </c>
      <c r="Q107">
        <v>3.6518563603164943E-3</v>
      </c>
      <c r="R107">
        <v>41</v>
      </c>
      <c r="S107">
        <v>0.50617283950617287</v>
      </c>
      <c r="T107">
        <v>2.4954351795496044E-2</v>
      </c>
      <c r="U107">
        <v>14</v>
      </c>
      <c r="V107">
        <v>0.1728395061728395</v>
      </c>
      <c r="W107">
        <v>8.5209981740718196E-3</v>
      </c>
      <c r="X107">
        <v>20</v>
      </c>
      <c r="Y107">
        <v>0.24691358024691357</v>
      </c>
      <c r="Z107">
        <v>1.2172854534388313E-2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">
      <c r="A108">
        <v>1072.3090162037042</v>
      </c>
      <c r="B108">
        <v>976</v>
      </c>
      <c r="C108">
        <v>59</v>
      </c>
      <c r="D108">
        <v>231</v>
      </c>
      <c r="E108">
        <v>7</v>
      </c>
      <c r="F108">
        <v>0</v>
      </c>
      <c r="G108">
        <v>14</v>
      </c>
      <c r="H108">
        <v>123</v>
      </c>
      <c r="I108">
        <v>4</v>
      </c>
      <c r="J108">
        <v>122</v>
      </c>
      <c r="K108">
        <v>37</v>
      </c>
      <c r="L108">
        <v>3827</v>
      </c>
      <c r="M108">
        <v>51</v>
      </c>
      <c r="N108">
        <v>1.3326365299189966E-2</v>
      </c>
      <c r="O108">
        <v>4</v>
      </c>
      <c r="P108">
        <v>7.8431372549019607E-2</v>
      </c>
      <c r="Q108">
        <v>1.0452051215050953E-3</v>
      </c>
      <c r="R108">
        <v>29</v>
      </c>
      <c r="S108">
        <v>0.56862745098039214</v>
      </c>
      <c r="T108">
        <v>7.5777371309119412E-3</v>
      </c>
      <c r="U108">
        <v>8</v>
      </c>
      <c r="V108">
        <v>0.15686274509803921</v>
      </c>
      <c r="W108">
        <v>2.0904102430101905E-3</v>
      </c>
      <c r="X108">
        <v>6</v>
      </c>
      <c r="Y108">
        <v>0.11764705882352941</v>
      </c>
      <c r="Z108">
        <v>1.567807682257643E-3</v>
      </c>
      <c r="AA108">
        <v>0</v>
      </c>
      <c r="AB108">
        <v>0</v>
      </c>
      <c r="AC108">
        <v>0</v>
      </c>
      <c r="AD108">
        <v>4</v>
      </c>
      <c r="AE108">
        <v>7.8431372549019607E-2</v>
      </c>
      <c r="AF108">
        <v>1.0452051215050953E-3</v>
      </c>
    </row>
    <row r="109" spans="1:32" x14ac:dyDescent="0.2">
      <c r="A109">
        <v>482.25806712963094</v>
      </c>
      <c r="B109">
        <v>740</v>
      </c>
      <c r="C109">
        <v>48</v>
      </c>
      <c r="D109">
        <v>130</v>
      </c>
      <c r="E109">
        <v>1</v>
      </c>
      <c r="F109">
        <v>0</v>
      </c>
      <c r="G109">
        <v>6</v>
      </c>
      <c r="H109">
        <v>20</v>
      </c>
      <c r="I109">
        <v>5</v>
      </c>
      <c r="J109">
        <v>10</v>
      </c>
      <c r="K109">
        <v>2</v>
      </c>
      <c r="L109">
        <v>40369</v>
      </c>
      <c r="M109">
        <v>104</v>
      </c>
      <c r="N109">
        <v>2.5762342391438976E-3</v>
      </c>
      <c r="O109">
        <v>0</v>
      </c>
      <c r="P109">
        <v>0</v>
      </c>
      <c r="Q109">
        <v>0</v>
      </c>
      <c r="R109">
        <v>75</v>
      </c>
      <c r="S109">
        <v>0.72115384615384615</v>
      </c>
      <c r="T109">
        <v>1.8578612301518491E-3</v>
      </c>
      <c r="U109">
        <v>24</v>
      </c>
      <c r="V109">
        <v>0.23076923076923078</v>
      </c>
      <c r="W109">
        <v>5.9451559364859176E-4</v>
      </c>
      <c r="X109">
        <v>5</v>
      </c>
      <c r="Y109">
        <v>4.807692307692308E-2</v>
      </c>
      <c r="Z109">
        <v>1.2385741534345663E-4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">
      <c r="A110">
        <v>483.72862268518656</v>
      </c>
      <c r="B110">
        <v>540</v>
      </c>
      <c r="C110">
        <v>39</v>
      </c>
      <c r="D110">
        <v>110</v>
      </c>
      <c r="E110">
        <v>2</v>
      </c>
      <c r="F110">
        <v>0</v>
      </c>
      <c r="G110">
        <v>4</v>
      </c>
      <c r="H110">
        <v>6</v>
      </c>
      <c r="I110">
        <v>3</v>
      </c>
      <c r="J110">
        <v>16</v>
      </c>
      <c r="K110">
        <v>0</v>
      </c>
      <c r="L110">
        <v>1256</v>
      </c>
      <c r="M110">
        <v>41</v>
      </c>
      <c r="N110">
        <v>3.2643312101910828E-2</v>
      </c>
      <c r="O110">
        <v>0</v>
      </c>
      <c r="P110">
        <v>0</v>
      </c>
      <c r="Q110">
        <v>0</v>
      </c>
      <c r="R110">
        <v>41</v>
      </c>
      <c r="S110">
        <v>1</v>
      </c>
      <c r="T110">
        <v>3.2643312101910828E-2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">
      <c r="A111">
        <v>1153.7149768518502</v>
      </c>
      <c r="B111">
        <v>837</v>
      </c>
      <c r="C111">
        <v>32</v>
      </c>
      <c r="D111">
        <v>76</v>
      </c>
      <c r="E111">
        <v>27</v>
      </c>
      <c r="F111">
        <v>5</v>
      </c>
      <c r="G111">
        <v>9</v>
      </c>
      <c r="H111">
        <v>53</v>
      </c>
      <c r="I111">
        <v>2</v>
      </c>
      <c r="J111">
        <v>145</v>
      </c>
      <c r="K111">
        <v>9</v>
      </c>
      <c r="L111">
        <v>2293</v>
      </c>
      <c r="M111">
        <v>110</v>
      </c>
      <c r="N111">
        <v>4.7972088966419538E-2</v>
      </c>
      <c r="O111">
        <v>28</v>
      </c>
      <c r="P111">
        <v>0.25454545454545452</v>
      </c>
      <c r="Q111">
        <v>1.2211077191452245E-2</v>
      </c>
      <c r="R111">
        <v>18</v>
      </c>
      <c r="S111">
        <v>0.16363636363636364</v>
      </c>
      <c r="T111">
        <v>7.849978194505015E-3</v>
      </c>
      <c r="U111">
        <v>2</v>
      </c>
      <c r="V111">
        <v>1.8181818181818181E-2</v>
      </c>
      <c r="W111">
        <v>8.7221979938944616E-4</v>
      </c>
      <c r="X111">
        <v>60</v>
      </c>
      <c r="Y111">
        <v>0.54545454545454541</v>
      </c>
      <c r="Z111">
        <v>2.6166593981683386E-2</v>
      </c>
      <c r="AA111">
        <v>2</v>
      </c>
      <c r="AB111">
        <v>1.8181818181818181E-2</v>
      </c>
      <c r="AC111">
        <v>8.7221979938944616E-4</v>
      </c>
      <c r="AD111">
        <v>0</v>
      </c>
      <c r="AE111">
        <v>0</v>
      </c>
      <c r="AF111">
        <v>0</v>
      </c>
    </row>
    <row r="112" spans="1:32" x14ac:dyDescent="0.2">
      <c r="A112">
        <v>3300.448935185188</v>
      </c>
      <c r="B112">
        <v>14955</v>
      </c>
      <c r="C112">
        <v>471</v>
      </c>
      <c r="D112">
        <v>3619</v>
      </c>
      <c r="E112">
        <v>0</v>
      </c>
      <c r="F112">
        <v>275</v>
      </c>
      <c r="G112">
        <v>498</v>
      </c>
      <c r="H112">
        <v>4658</v>
      </c>
      <c r="I112">
        <v>24</v>
      </c>
      <c r="J112">
        <v>6491</v>
      </c>
      <c r="K112">
        <v>645</v>
      </c>
      <c r="L112">
        <v>57608</v>
      </c>
      <c r="M112">
        <v>139</v>
      </c>
      <c r="N112">
        <v>2.4128593250937369E-3</v>
      </c>
      <c r="O112">
        <v>48</v>
      </c>
      <c r="P112">
        <v>0.34532374100719426</v>
      </c>
      <c r="Q112">
        <v>8.3321760866546311E-4</v>
      </c>
      <c r="R112">
        <v>32</v>
      </c>
      <c r="S112">
        <v>0.23021582733812951</v>
      </c>
      <c r="T112">
        <v>5.5547840577697537E-4</v>
      </c>
      <c r="U112">
        <v>32</v>
      </c>
      <c r="V112">
        <v>0.23021582733812951</v>
      </c>
      <c r="W112">
        <v>5.5547840577697537E-4</v>
      </c>
      <c r="X112">
        <v>23</v>
      </c>
      <c r="Y112">
        <v>0.16546762589928057</v>
      </c>
      <c r="Z112">
        <v>3.9925010415220111E-4</v>
      </c>
      <c r="AA112">
        <v>3</v>
      </c>
      <c r="AB112">
        <v>2.1582733812949641E-2</v>
      </c>
      <c r="AC112">
        <v>5.2076100541591444E-5</v>
      </c>
      <c r="AD112">
        <v>1</v>
      </c>
      <c r="AE112">
        <v>7.1942446043165471E-3</v>
      </c>
      <c r="AF112">
        <v>1.735870018053048E-5</v>
      </c>
    </row>
    <row r="113" spans="1:32" x14ac:dyDescent="0.2">
      <c r="A113">
        <v>1813.4526041666686</v>
      </c>
      <c r="B113">
        <v>422</v>
      </c>
      <c r="C113">
        <v>22</v>
      </c>
      <c r="D113">
        <v>80</v>
      </c>
      <c r="E113">
        <v>11</v>
      </c>
      <c r="F113">
        <v>0</v>
      </c>
      <c r="G113">
        <v>9</v>
      </c>
      <c r="H113">
        <v>11</v>
      </c>
      <c r="I113">
        <v>0</v>
      </c>
      <c r="J113">
        <v>54</v>
      </c>
      <c r="K113">
        <v>4</v>
      </c>
      <c r="L113">
        <v>1520</v>
      </c>
      <c r="M113">
        <v>24</v>
      </c>
      <c r="N113">
        <v>1.5789473684210527E-2</v>
      </c>
      <c r="O113">
        <v>9</v>
      </c>
      <c r="P113">
        <v>0.375</v>
      </c>
      <c r="Q113">
        <v>5.9210526315789476E-3</v>
      </c>
      <c r="R113">
        <v>5</v>
      </c>
      <c r="S113">
        <v>0.20833333333333334</v>
      </c>
      <c r="T113">
        <v>3.2894736842105261E-3</v>
      </c>
      <c r="U113">
        <v>8</v>
      </c>
      <c r="V113">
        <v>0.33333333333333331</v>
      </c>
      <c r="W113">
        <v>5.263157894736842E-3</v>
      </c>
      <c r="X113">
        <v>2</v>
      </c>
      <c r="Y113">
        <v>8.3333333333333329E-2</v>
      </c>
      <c r="Z113">
        <v>1.3157894736842105E-3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">
      <c r="A114">
        <v>447.77523148147884</v>
      </c>
      <c r="B114">
        <v>1444</v>
      </c>
      <c r="C114">
        <v>163</v>
      </c>
      <c r="D114">
        <v>305</v>
      </c>
      <c r="E114">
        <v>0</v>
      </c>
      <c r="F114">
        <v>1</v>
      </c>
      <c r="G114">
        <v>0</v>
      </c>
      <c r="H114">
        <v>13</v>
      </c>
      <c r="I114">
        <v>6</v>
      </c>
      <c r="J114">
        <v>0</v>
      </c>
      <c r="K114">
        <v>0</v>
      </c>
      <c r="L114">
        <v>28875</v>
      </c>
      <c r="M114">
        <v>491</v>
      </c>
      <c r="N114">
        <v>1.7004329004329004E-2</v>
      </c>
      <c r="O114">
        <v>46</v>
      </c>
      <c r="P114">
        <v>9.368635437881874E-2</v>
      </c>
      <c r="Q114">
        <v>1.593073593073593E-3</v>
      </c>
      <c r="R114">
        <v>286</v>
      </c>
      <c r="S114">
        <v>0.58248472505091653</v>
      </c>
      <c r="T114">
        <v>9.9047619047619041E-3</v>
      </c>
      <c r="U114">
        <v>39</v>
      </c>
      <c r="V114">
        <v>7.9429735234215884E-2</v>
      </c>
      <c r="W114">
        <v>1.3506493506493507E-3</v>
      </c>
      <c r="X114">
        <v>93</v>
      </c>
      <c r="Y114">
        <v>0.18940936863543789</v>
      </c>
      <c r="Z114">
        <v>3.2207792207792209E-3</v>
      </c>
      <c r="AA114">
        <v>0</v>
      </c>
      <c r="AB114">
        <v>0</v>
      </c>
      <c r="AC114">
        <v>0</v>
      </c>
      <c r="AD114">
        <v>27</v>
      </c>
      <c r="AE114">
        <v>5.4989816700610997E-2</v>
      </c>
      <c r="AF114">
        <v>9.3506493506493509E-4</v>
      </c>
    </row>
    <row r="115" spans="1:32" x14ac:dyDescent="0.2">
      <c r="A115">
        <v>708.86534722222132</v>
      </c>
      <c r="B115">
        <v>901</v>
      </c>
      <c r="C115">
        <v>25</v>
      </c>
      <c r="D115">
        <v>42</v>
      </c>
      <c r="E115">
        <v>0</v>
      </c>
      <c r="F115">
        <v>0</v>
      </c>
      <c r="G115">
        <v>6</v>
      </c>
      <c r="H115">
        <v>5</v>
      </c>
      <c r="I115">
        <v>0</v>
      </c>
      <c r="J115">
        <v>102</v>
      </c>
      <c r="K115">
        <v>43</v>
      </c>
      <c r="L115">
        <v>2869</v>
      </c>
      <c r="M115">
        <v>30</v>
      </c>
      <c r="N115">
        <v>1.0456605088881143E-2</v>
      </c>
      <c r="O115">
        <v>0</v>
      </c>
      <c r="P115">
        <v>0</v>
      </c>
      <c r="Q115">
        <v>0</v>
      </c>
      <c r="R115">
        <v>2</v>
      </c>
      <c r="S115">
        <v>6.6666666666666666E-2</v>
      </c>
      <c r="T115">
        <v>6.9710700592540956E-4</v>
      </c>
      <c r="U115">
        <v>28</v>
      </c>
      <c r="V115">
        <v>0.93333333333333335</v>
      </c>
      <c r="W115">
        <v>9.7594980829557344E-3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">
      <c r="A116">
        <v>1310.9374652777842</v>
      </c>
      <c r="B116">
        <v>456</v>
      </c>
      <c r="C116">
        <v>21</v>
      </c>
      <c r="D116">
        <v>84</v>
      </c>
      <c r="E116">
        <v>0</v>
      </c>
      <c r="F116">
        <v>1</v>
      </c>
      <c r="G116">
        <v>3</v>
      </c>
      <c r="H116">
        <v>9</v>
      </c>
      <c r="I116">
        <v>0</v>
      </c>
      <c r="J116">
        <v>15</v>
      </c>
      <c r="K116">
        <v>6</v>
      </c>
      <c r="L116">
        <v>4679</v>
      </c>
      <c r="M116">
        <v>1</v>
      </c>
      <c r="N116">
        <v>2.1372088053002778E-4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2.1372088053002778E-4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">
      <c r="A117">
        <v>498.49270833333867</v>
      </c>
      <c r="B117">
        <v>2316</v>
      </c>
      <c r="C117">
        <v>51</v>
      </c>
      <c r="D117">
        <v>265</v>
      </c>
      <c r="E117">
        <v>142</v>
      </c>
      <c r="F117">
        <v>19</v>
      </c>
      <c r="G117">
        <v>84</v>
      </c>
      <c r="H117">
        <v>678</v>
      </c>
      <c r="I117">
        <v>9</v>
      </c>
      <c r="J117">
        <v>361</v>
      </c>
      <c r="K117">
        <v>82</v>
      </c>
      <c r="L117">
        <v>25437</v>
      </c>
      <c r="M117">
        <v>126</v>
      </c>
      <c r="N117">
        <v>4.9534143177261472E-3</v>
      </c>
      <c r="O117">
        <v>71</v>
      </c>
      <c r="P117">
        <v>0.56349206349206349</v>
      </c>
      <c r="Q117">
        <v>2.7912096552266384E-3</v>
      </c>
      <c r="R117">
        <v>15</v>
      </c>
      <c r="S117">
        <v>0.11904761904761904</v>
      </c>
      <c r="T117">
        <v>5.8969218068168419E-4</v>
      </c>
      <c r="U117">
        <v>3</v>
      </c>
      <c r="V117">
        <v>2.3809523809523808E-2</v>
      </c>
      <c r="W117">
        <v>1.1793843613633684E-4</v>
      </c>
      <c r="X117">
        <v>37</v>
      </c>
      <c r="Y117">
        <v>0.29365079365079366</v>
      </c>
      <c r="Z117">
        <v>1.4545740456814876E-3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">
      <c r="A118">
        <v>125.99266203703883</v>
      </c>
      <c r="B118">
        <v>1241</v>
      </c>
      <c r="C118">
        <v>61</v>
      </c>
      <c r="D118">
        <v>165</v>
      </c>
      <c r="E118">
        <v>19</v>
      </c>
      <c r="F118">
        <v>0</v>
      </c>
      <c r="G118">
        <v>2</v>
      </c>
      <c r="H118">
        <v>1</v>
      </c>
      <c r="I118">
        <v>0</v>
      </c>
      <c r="J118">
        <v>16</v>
      </c>
      <c r="K118">
        <v>4</v>
      </c>
      <c r="L118">
        <v>555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">
      <c r="A119">
        <v>2581.0074537036999</v>
      </c>
      <c r="B119">
        <v>494</v>
      </c>
      <c r="C119">
        <v>34</v>
      </c>
      <c r="D119">
        <v>129</v>
      </c>
      <c r="E119">
        <v>3</v>
      </c>
      <c r="F119">
        <v>4</v>
      </c>
      <c r="G119">
        <v>35</v>
      </c>
      <c r="H119">
        <v>118</v>
      </c>
      <c r="I119">
        <v>13</v>
      </c>
      <c r="J119">
        <v>131</v>
      </c>
      <c r="K119">
        <v>34</v>
      </c>
      <c r="L119">
        <v>9411</v>
      </c>
      <c r="M119">
        <v>32</v>
      </c>
      <c r="N119">
        <v>3.4002762724471363E-3</v>
      </c>
      <c r="O119">
        <v>18</v>
      </c>
      <c r="P119">
        <v>0.5625</v>
      </c>
      <c r="Q119">
        <v>1.9126554032515141E-3</v>
      </c>
      <c r="R119">
        <v>9</v>
      </c>
      <c r="S119">
        <v>0.28125</v>
      </c>
      <c r="T119">
        <v>9.5632770162575704E-4</v>
      </c>
      <c r="U119">
        <v>4</v>
      </c>
      <c r="V119">
        <v>0.125</v>
      </c>
      <c r="W119">
        <v>4.2503453405589204E-4</v>
      </c>
      <c r="X119">
        <v>1</v>
      </c>
      <c r="Y119">
        <v>3.125E-2</v>
      </c>
      <c r="Z119">
        <v>1.0625863351397301E-4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">
      <c r="A120">
        <v>3335.0379861111142</v>
      </c>
      <c r="B120">
        <v>822</v>
      </c>
      <c r="C120">
        <v>78</v>
      </c>
      <c r="D120">
        <v>180</v>
      </c>
      <c r="E120">
        <v>9</v>
      </c>
      <c r="F120">
        <v>8</v>
      </c>
      <c r="G120">
        <v>31</v>
      </c>
      <c r="H120">
        <v>172</v>
      </c>
      <c r="I120">
        <v>0</v>
      </c>
      <c r="J120">
        <v>145</v>
      </c>
      <c r="K120">
        <v>0</v>
      </c>
      <c r="L120">
        <v>19158</v>
      </c>
      <c r="M120">
        <v>200</v>
      </c>
      <c r="N120">
        <v>1.0439503079653408E-2</v>
      </c>
      <c r="O120">
        <v>9</v>
      </c>
      <c r="P120">
        <v>4.4999999999999998E-2</v>
      </c>
      <c r="Q120">
        <v>4.697776385844034E-4</v>
      </c>
      <c r="R120">
        <v>43</v>
      </c>
      <c r="S120">
        <v>0.215</v>
      </c>
      <c r="T120">
        <v>2.2444931621254829E-3</v>
      </c>
      <c r="U120">
        <v>144</v>
      </c>
      <c r="V120">
        <v>0.72</v>
      </c>
      <c r="W120">
        <v>7.5164422173504544E-3</v>
      </c>
      <c r="X120">
        <v>0</v>
      </c>
      <c r="Y120">
        <v>0</v>
      </c>
      <c r="Z120">
        <v>0</v>
      </c>
      <c r="AA120">
        <v>4</v>
      </c>
      <c r="AB120">
        <v>0.02</v>
      </c>
      <c r="AC120">
        <v>2.0879006159306817E-4</v>
      </c>
      <c r="AD120">
        <v>0</v>
      </c>
      <c r="AE120">
        <v>0</v>
      </c>
      <c r="AF120">
        <v>0</v>
      </c>
    </row>
    <row r="121" spans="1:32" x14ac:dyDescent="0.2">
      <c r="A121">
        <v>1802.2560763888832</v>
      </c>
      <c r="B121">
        <v>521</v>
      </c>
      <c r="C121">
        <v>31</v>
      </c>
      <c r="D121">
        <v>133</v>
      </c>
      <c r="E121">
        <v>13</v>
      </c>
      <c r="F121">
        <v>6</v>
      </c>
      <c r="G121">
        <v>15</v>
      </c>
      <c r="H121">
        <v>39</v>
      </c>
      <c r="I121">
        <v>5</v>
      </c>
      <c r="J121">
        <v>388</v>
      </c>
      <c r="K121">
        <v>101</v>
      </c>
      <c r="L121">
        <v>15123</v>
      </c>
      <c r="M121">
        <v>137</v>
      </c>
      <c r="N121">
        <v>9.0590491304635319E-3</v>
      </c>
      <c r="O121">
        <v>1</v>
      </c>
      <c r="P121">
        <v>7.2992700729927005E-3</v>
      </c>
      <c r="Q121">
        <v>6.6124446207763005E-5</v>
      </c>
      <c r="R121">
        <v>35</v>
      </c>
      <c r="S121">
        <v>0.25547445255474455</v>
      </c>
      <c r="T121">
        <v>2.3143556172717052E-3</v>
      </c>
      <c r="U121">
        <v>53</v>
      </c>
      <c r="V121">
        <v>0.38686131386861317</v>
      </c>
      <c r="W121">
        <v>3.5045956490114393E-3</v>
      </c>
      <c r="X121">
        <v>14</v>
      </c>
      <c r="Y121">
        <v>0.10218978102189781</v>
      </c>
      <c r="Z121">
        <v>9.257422469086821E-4</v>
      </c>
      <c r="AA121">
        <v>0</v>
      </c>
      <c r="AB121">
        <v>0</v>
      </c>
      <c r="AC121">
        <v>0</v>
      </c>
      <c r="AD121">
        <v>34</v>
      </c>
      <c r="AE121">
        <v>0.24817518248175183</v>
      </c>
      <c r="AF121">
        <v>2.2482311710639424E-3</v>
      </c>
    </row>
    <row r="122" spans="1:32" x14ac:dyDescent="0.2">
      <c r="A122">
        <v>3928.8423032407372</v>
      </c>
      <c r="B122">
        <v>4592</v>
      </c>
      <c r="C122">
        <v>204</v>
      </c>
      <c r="D122">
        <v>1384</v>
      </c>
      <c r="E122">
        <v>48</v>
      </c>
      <c r="F122">
        <v>318</v>
      </c>
      <c r="G122">
        <v>566</v>
      </c>
      <c r="H122">
        <v>4663</v>
      </c>
      <c r="I122">
        <v>11</v>
      </c>
      <c r="J122">
        <v>1298</v>
      </c>
      <c r="K122">
        <v>629</v>
      </c>
      <c r="L122">
        <v>99059</v>
      </c>
      <c r="M122">
        <v>280</v>
      </c>
      <c r="N122">
        <v>2.8265982899080347E-3</v>
      </c>
      <c r="O122">
        <v>6</v>
      </c>
      <c r="P122">
        <v>2.1428571428571429E-2</v>
      </c>
      <c r="Q122">
        <v>6.0569963355172173E-5</v>
      </c>
      <c r="R122">
        <v>7</v>
      </c>
      <c r="S122">
        <v>2.5000000000000001E-2</v>
      </c>
      <c r="T122">
        <v>7.0664957247700865E-5</v>
      </c>
      <c r="U122">
        <v>58</v>
      </c>
      <c r="V122">
        <v>0.20714285714285716</v>
      </c>
      <c r="W122">
        <v>5.8550964576666433E-4</v>
      </c>
      <c r="X122">
        <v>209</v>
      </c>
      <c r="Y122">
        <v>0.74642857142857144</v>
      </c>
      <c r="Z122">
        <v>2.1098537235384974E-3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">
      <c r="A123">
        <v>3298.33248842592</v>
      </c>
      <c r="B123">
        <v>510</v>
      </c>
      <c r="C123">
        <v>54</v>
      </c>
      <c r="D123">
        <v>163</v>
      </c>
      <c r="E123">
        <v>0</v>
      </c>
      <c r="F123">
        <v>61</v>
      </c>
      <c r="G123">
        <v>78</v>
      </c>
      <c r="H123">
        <v>249</v>
      </c>
      <c r="I123">
        <v>13</v>
      </c>
      <c r="J123">
        <v>316</v>
      </c>
      <c r="K123">
        <v>113</v>
      </c>
      <c r="L123">
        <v>4442</v>
      </c>
      <c r="M123">
        <v>72</v>
      </c>
      <c r="N123">
        <v>1.6208914903196758E-2</v>
      </c>
      <c r="O123">
        <v>30</v>
      </c>
      <c r="P123">
        <v>0.41666666666666669</v>
      </c>
      <c r="Q123">
        <v>6.7537145429986496E-3</v>
      </c>
      <c r="R123">
        <v>19</v>
      </c>
      <c r="S123">
        <v>0.2638888888888889</v>
      </c>
      <c r="T123">
        <v>4.2773525438991444E-3</v>
      </c>
      <c r="U123">
        <v>21</v>
      </c>
      <c r="V123">
        <v>0.29166666666666669</v>
      </c>
      <c r="W123">
        <v>4.7276001800990548E-3</v>
      </c>
      <c r="X123">
        <v>2</v>
      </c>
      <c r="Y123">
        <v>2.7777777777777776E-2</v>
      </c>
      <c r="Z123">
        <v>4.5024763619990995E-4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">
      <c r="A124">
        <v>1675.8144791666637</v>
      </c>
      <c r="B124">
        <v>375</v>
      </c>
      <c r="C124">
        <v>19</v>
      </c>
      <c r="D124">
        <v>62</v>
      </c>
      <c r="E124">
        <v>0</v>
      </c>
      <c r="F124">
        <v>1</v>
      </c>
      <c r="G124">
        <v>3</v>
      </c>
      <c r="H124">
        <v>12</v>
      </c>
      <c r="I124">
        <v>4</v>
      </c>
      <c r="J124">
        <v>33</v>
      </c>
      <c r="K124">
        <v>22</v>
      </c>
      <c r="L124">
        <v>1740</v>
      </c>
      <c r="M124">
        <v>5</v>
      </c>
      <c r="N124">
        <v>2.8735632183908046E-3</v>
      </c>
      <c r="O124">
        <v>1</v>
      </c>
      <c r="P124">
        <v>0.2</v>
      </c>
      <c r="Q124">
        <v>5.7471264367816091E-4</v>
      </c>
      <c r="R124">
        <v>1</v>
      </c>
      <c r="S124">
        <v>0.2</v>
      </c>
      <c r="T124">
        <v>5.7471264367816091E-4</v>
      </c>
      <c r="U124">
        <v>1</v>
      </c>
      <c r="V124">
        <v>0.2</v>
      </c>
      <c r="W124">
        <v>5.7471264367816091E-4</v>
      </c>
      <c r="X124">
        <v>2</v>
      </c>
      <c r="Y124">
        <v>0.4</v>
      </c>
      <c r="Z124">
        <v>1.1494252873563218E-3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">
      <c r="A125">
        <v>2031.9040625000052</v>
      </c>
      <c r="B125">
        <v>673</v>
      </c>
      <c r="C125">
        <v>47</v>
      </c>
      <c r="D125">
        <v>178</v>
      </c>
      <c r="E125">
        <v>0</v>
      </c>
      <c r="F125">
        <v>0</v>
      </c>
      <c r="G125">
        <v>8</v>
      </c>
      <c r="H125">
        <v>17</v>
      </c>
      <c r="I125">
        <v>0</v>
      </c>
      <c r="J125">
        <v>21</v>
      </c>
      <c r="K125">
        <v>0</v>
      </c>
      <c r="L125">
        <v>420</v>
      </c>
      <c r="M125">
        <v>21</v>
      </c>
      <c r="N125">
        <v>0.05</v>
      </c>
      <c r="O125">
        <v>12</v>
      </c>
      <c r="P125">
        <v>0.5714285714285714</v>
      </c>
      <c r="Q125">
        <v>2.8571428571428571E-2</v>
      </c>
      <c r="R125">
        <v>4</v>
      </c>
      <c r="S125">
        <v>0.19047619047619047</v>
      </c>
      <c r="T125">
        <v>9.5238095238095247E-3</v>
      </c>
      <c r="U125">
        <v>1</v>
      </c>
      <c r="V125">
        <v>4.7619047619047616E-2</v>
      </c>
      <c r="W125">
        <v>2.3809523809523812E-3</v>
      </c>
      <c r="X125">
        <v>0</v>
      </c>
      <c r="Y125">
        <v>0</v>
      </c>
      <c r="Z125">
        <v>0</v>
      </c>
      <c r="AA125">
        <v>4</v>
      </c>
      <c r="AB125">
        <v>0.19047619047619047</v>
      </c>
      <c r="AC125">
        <v>9.5238095238095247E-3</v>
      </c>
      <c r="AD125">
        <v>0</v>
      </c>
      <c r="AE125">
        <v>0</v>
      </c>
      <c r="AF125">
        <v>0</v>
      </c>
    </row>
    <row r="126" spans="1:32" x14ac:dyDescent="0.2">
      <c r="A126">
        <v>383.03071759259183</v>
      </c>
      <c r="B126">
        <v>524</v>
      </c>
      <c r="C126">
        <v>22</v>
      </c>
      <c r="D126">
        <v>74</v>
      </c>
      <c r="E126">
        <v>2</v>
      </c>
      <c r="F126">
        <v>0</v>
      </c>
      <c r="G126">
        <v>9</v>
      </c>
      <c r="H126">
        <v>110</v>
      </c>
      <c r="I126">
        <v>1</v>
      </c>
      <c r="J126">
        <v>44</v>
      </c>
      <c r="K126">
        <v>12</v>
      </c>
      <c r="L126">
        <v>524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">
      <c r="A127">
        <v>2063.8101967592593</v>
      </c>
      <c r="B127">
        <v>4649</v>
      </c>
      <c r="C127">
        <v>292</v>
      </c>
      <c r="D127">
        <v>994</v>
      </c>
      <c r="E127">
        <v>25</v>
      </c>
      <c r="F127">
        <v>17</v>
      </c>
      <c r="G127">
        <v>30</v>
      </c>
      <c r="H127">
        <v>86</v>
      </c>
      <c r="I127">
        <v>18</v>
      </c>
      <c r="J127">
        <v>371</v>
      </c>
      <c r="K127">
        <v>44</v>
      </c>
      <c r="L127">
        <v>7010</v>
      </c>
      <c r="M127">
        <v>300</v>
      </c>
      <c r="N127">
        <v>4.2796005706134094E-2</v>
      </c>
      <c r="O127">
        <v>118</v>
      </c>
      <c r="P127">
        <v>0.39333333333333331</v>
      </c>
      <c r="Q127">
        <v>1.6833095577746076E-2</v>
      </c>
      <c r="R127">
        <v>68</v>
      </c>
      <c r="S127">
        <v>0.22666666666666666</v>
      </c>
      <c r="T127">
        <v>9.7004279600570609E-3</v>
      </c>
      <c r="U127">
        <v>0</v>
      </c>
      <c r="V127">
        <v>0</v>
      </c>
      <c r="W127">
        <v>0</v>
      </c>
      <c r="X127">
        <v>114</v>
      </c>
      <c r="Y127">
        <v>0.38</v>
      </c>
      <c r="Z127">
        <v>1.6262482168330955E-2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">
      <c r="A128">
        <v>1416.2762384259258</v>
      </c>
      <c r="B128">
        <v>1230</v>
      </c>
      <c r="C128">
        <v>79</v>
      </c>
      <c r="D128">
        <v>280</v>
      </c>
      <c r="E128">
        <v>0</v>
      </c>
      <c r="F128">
        <v>0</v>
      </c>
      <c r="G128">
        <v>6</v>
      </c>
      <c r="H128">
        <v>17</v>
      </c>
      <c r="I128">
        <v>2</v>
      </c>
      <c r="J128">
        <v>59</v>
      </c>
      <c r="K128">
        <v>4</v>
      </c>
      <c r="L128">
        <v>908</v>
      </c>
      <c r="M128">
        <v>61</v>
      </c>
      <c r="N128">
        <v>6.71806167400881E-2</v>
      </c>
      <c r="O128">
        <v>41</v>
      </c>
      <c r="P128">
        <v>0.67213114754098358</v>
      </c>
      <c r="Q128">
        <v>4.5154185022026429E-2</v>
      </c>
      <c r="R128">
        <v>11</v>
      </c>
      <c r="S128">
        <v>0.18032786885245902</v>
      </c>
      <c r="T128">
        <v>1.2114537444933921E-2</v>
      </c>
      <c r="U128">
        <v>0</v>
      </c>
      <c r="V128">
        <v>0</v>
      </c>
      <c r="W128">
        <v>0</v>
      </c>
      <c r="X128">
        <v>9</v>
      </c>
      <c r="Y128">
        <v>0.14754098360655737</v>
      </c>
      <c r="Z128">
        <v>9.911894273127754E-3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">
      <c r="A129">
        <v>633.4917824074073</v>
      </c>
      <c r="B129">
        <v>440</v>
      </c>
      <c r="C129">
        <v>21</v>
      </c>
      <c r="D129">
        <v>69</v>
      </c>
      <c r="E129">
        <v>0</v>
      </c>
      <c r="F129">
        <v>0</v>
      </c>
      <c r="G129">
        <v>2</v>
      </c>
      <c r="H129">
        <v>8</v>
      </c>
      <c r="I129">
        <v>3</v>
      </c>
      <c r="J129">
        <v>22</v>
      </c>
      <c r="K129">
        <v>7</v>
      </c>
      <c r="L129">
        <v>1207</v>
      </c>
      <c r="M129">
        <v>40</v>
      </c>
      <c r="N129">
        <v>3.3140016570008285E-2</v>
      </c>
      <c r="O129">
        <v>17</v>
      </c>
      <c r="P129">
        <v>0.42499999999999999</v>
      </c>
      <c r="Q129">
        <v>1.4084507042253521E-2</v>
      </c>
      <c r="R129">
        <v>16</v>
      </c>
      <c r="S129">
        <v>0.4</v>
      </c>
      <c r="T129">
        <v>1.3256006628003313E-2</v>
      </c>
      <c r="U129">
        <v>2</v>
      </c>
      <c r="V129">
        <v>0.05</v>
      </c>
      <c r="W129">
        <v>1.6570008285004142E-3</v>
      </c>
      <c r="X129">
        <v>5</v>
      </c>
      <c r="Y129">
        <v>0.125</v>
      </c>
      <c r="Z129">
        <v>4.1425020712510356E-3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">
      <c r="A130">
        <v>652.78284722222452</v>
      </c>
      <c r="B130">
        <v>2762</v>
      </c>
      <c r="C130">
        <v>78</v>
      </c>
      <c r="D130">
        <v>379</v>
      </c>
      <c r="E130">
        <v>1</v>
      </c>
      <c r="F130">
        <v>2</v>
      </c>
      <c r="G130">
        <v>21</v>
      </c>
      <c r="H130">
        <v>154</v>
      </c>
      <c r="I130">
        <v>4</v>
      </c>
      <c r="J130">
        <v>229</v>
      </c>
      <c r="K130">
        <v>82</v>
      </c>
      <c r="L130">
        <v>8516</v>
      </c>
      <c r="M130">
        <v>60</v>
      </c>
      <c r="N130">
        <v>7.0455612963832787E-3</v>
      </c>
      <c r="O130">
        <v>14</v>
      </c>
      <c r="P130">
        <v>0.23333333333333334</v>
      </c>
      <c r="Q130">
        <v>1.6439643024894317E-3</v>
      </c>
      <c r="R130">
        <v>34</v>
      </c>
      <c r="S130">
        <v>0.56666666666666665</v>
      </c>
      <c r="T130">
        <v>3.992484734617191E-3</v>
      </c>
      <c r="U130">
        <v>12</v>
      </c>
      <c r="V130">
        <v>0.2</v>
      </c>
      <c r="W130">
        <v>1.4091122592766556E-3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">
      <c r="A131">
        <v>443.54057870370889</v>
      </c>
      <c r="B131">
        <v>565</v>
      </c>
      <c r="C131">
        <v>26</v>
      </c>
      <c r="D131">
        <v>116</v>
      </c>
      <c r="E131">
        <v>4</v>
      </c>
      <c r="F131">
        <v>0</v>
      </c>
      <c r="G131">
        <v>31</v>
      </c>
      <c r="H131">
        <v>760</v>
      </c>
      <c r="I131">
        <v>13</v>
      </c>
      <c r="J131">
        <v>20</v>
      </c>
      <c r="K131">
        <v>5</v>
      </c>
      <c r="L131">
        <v>23056</v>
      </c>
      <c r="M131">
        <v>381</v>
      </c>
      <c r="N131">
        <v>1.652498265093685E-2</v>
      </c>
      <c r="O131">
        <v>67</v>
      </c>
      <c r="P131">
        <v>0.17585301837270342</v>
      </c>
      <c r="Q131">
        <v>2.9059680777238027E-3</v>
      </c>
      <c r="R131">
        <v>180</v>
      </c>
      <c r="S131">
        <v>0.47244094488188976</v>
      </c>
      <c r="T131">
        <v>7.8070784177654406E-3</v>
      </c>
      <c r="U131">
        <v>101</v>
      </c>
      <c r="V131">
        <v>0.26509186351706038</v>
      </c>
      <c r="W131">
        <v>4.3806384455239416E-3</v>
      </c>
      <c r="X131">
        <v>33</v>
      </c>
      <c r="Y131">
        <v>8.6614173228346455E-2</v>
      </c>
      <c r="Z131">
        <v>1.4312977099236641E-3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">
      <c r="A132">
        <v>1472.9346643518511</v>
      </c>
      <c r="B132">
        <v>606</v>
      </c>
      <c r="C132">
        <v>12</v>
      </c>
      <c r="D132">
        <v>91</v>
      </c>
      <c r="E132">
        <v>0</v>
      </c>
      <c r="F132">
        <v>3</v>
      </c>
      <c r="G132">
        <v>44</v>
      </c>
      <c r="H132">
        <v>83</v>
      </c>
      <c r="I132">
        <v>14</v>
      </c>
      <c r="J132">
        <v>128</v>
      </c>
      <c r="K132">
        <v>64</v>
      </c>
      <c r="L132">
        <v>1745</v>
      </c>
      <c r="M132">
        <v>39</v>
      </c>
      <c r="N132">
        <v>2.2349570200573064E-2</v>
      </c>
      <c r="O132">
        <v>7</v>
      </c>
      <c r="P132">
        <v>0.17948717948717949</v>
      </c>
      <c r="Q132">
        <v>4.0114613180515755E-3</v>
      </c>
      <c r="R132">
        <v>25</v>
      </c>
      <c r="S132">
        <v>0.64102564102564108</v>
      </c>
      <c r="T132">
        <v>1.4326647564469915E-2</v>
      </c>
      <c r="U132">
        <v>5</v>
      </c>
      <c r="V132">
        <v>0.12820512820512819</v>
      </c>
      <c r="W132">
        <v>2.8653295128939827E-3</v>
      </c>
      <c r="X132">
        <v>1</v>
      </c>
      <c r="Y132">
        <v>2.564102564102564E-2</v>
      </c>
      <c r="Z132">
        <v>5.7306590257879652E-4</v>
      </c>
      <c r="AA132">
        <v>0</v>
      </c>
      <c r="AB132">
        <v>0</v>
      </c>
      <c r="AC132">
        <v>0</v>
      </c>
      <c r="AD132">
        <v>1</v>
      </c>
      <c r="AE132">
        <v>2.564102564102564E-2</v>
      </c>
      <c r="AF132">
        <v>5.7306590257879652E-4</v>
      </c>
    </row>
    <row r="133" spans="1:32" x14ac:dyDescent="0.2">
      <c r="A133">
        <v>336.8425347222219</v>
      </c>
      <c r="B133">
        <v>720</v>
      </c>
      <c r="C133">
        <v>34</v>
      </c>
      <c r="D133">
        <v>72</v>
      </c>
      <c r="E133">
        <v>0</v>
      </c>
      <c r="F133">
        <v>0</v>
      </c>
      <c r="G133">
        <v>9</v>
      </c>
      <c r="H133">
        <v>17</v>
      </c>
      <c r="I133">
        <v>4</v>
      </c>
      <c r="J133">
        <v>74</v>
      </c>
      <c r="K133">
        <v>13</v>
      </c>
      <c r="L133">
        <v>6849</v>
      </c>
      <c r="M133">
        <v>7</v>
      </c>
      <c r="N133">
        <v>1.0220470141626514E-3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7</v>
      </c>
      <c r="Y133">
        <v>1</v>
      </c>
      <c r="Z133">
        <v>1.0220470141626514E-3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">
      <c r="A134">
        <v>1720.4523148148146</v>
      </c>
      <c r="B134">
        <v>375</v>
      </c>
      <c r="C134">
        <v>26</v>
      </c>
      <c r="D134">
        <v>43</v>
      </c>
      <c r="E134">
        <v>16</v>
      </c>
      <c r="F134">
        <v>1</v>
      </c>
      <c r="G134">
        <v>32</v>
      </c>
      <c r="H134">
        <v>60</v>
      </c>
      <c r="I134">
        <v>0</v>
      </c>
      <c r="J134">
        <v>54</v>
      </c>
      <c r="K134">
        <v>13</v>
      </c>
      <c r="L134">
        <v>848</v>
      </c>
      <c r="M134">
        <v>3</v>
      </c>
      <c r="N134">
        <v>3.5377358490566039E-3</v>
      </c>
      <c r="O134">
        <v>3</v>
      </c>
      <c r="P134">
        <v>1</v>
      </c>
      <c r="Q134">
        <v>3.5377358490566039E-3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">
      <c r="A135">
        <v>962.32916666667006</v>
      </c>
      <c r="B135">
        <v>2515</v>
      </c>
      <c r="C135">
        <v>45</v>
      </c>
      <c r="D135">
        <v>301</v>
      </c>
      <c r="E135">
        <v>24</v>
      </c>
      <c r="F135">
        <v>1</v>
      </c>
      <c r="G135">
        <v>90</v>
      </c>
      <c r="H135">
        <v>881</v>
      </c>
      <c r="I135">
        <v>4</v>
      </c>
      <c r="J135">
        <v>289</v>
      </c>
      <c r="K135">
        <v>8</v>
      </c>
      <c r="L135">
        <v>17976</v>
      </c>
      <c r="M135">
        <v>18</v>
      </c>
      <c r="N135">
        <v>1.0013351134846463E-3</v>
      </c>
      <c r="O135">
        <v>3</v>
      </c>
      <c r="P135">
        <v>0.16666666666666666</v>
      </c>
      <c r="Q135">
        <v>1.6688918558077436E-4</v>
      </c>
      <c r="R135">
        <v>0</v>
      </c>
      <c r="S135">
        <v>0</v>
      </c>
      <c r="T135">
        <v>0</v>
      </c>
      <c r="U135">
        <v>13</v>
      </c>
      <c r="V135">
        <v>0.72222222222222221</v>
      </c>
      <c r="W135">
        <v>7.2318647085002229E-4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</v>
      </c>
      <c r="AE135">
        <v>0.1111111111111111</v>
      </c>
      <c r="AF135">
        <v>1.1125945705384957E-4</v>
      </c>
    </row>
    <row r="136" spans="1:32" x14ac:dyDescent="0.2">
      <c r="A136">
        <v>1355.533541666664</v>
      </c>
      <c r="B136">
        <v>450</v>
      </c>
      <c r="C136">
        <v>16</v>
      </c>
      <c r="D136">
        <v>145</v>
      </c>
      <c r="E136">
        <v>0</v>
      </c>
      <c r="F136">
        <v>0</v>
      </c>
      <c r="G136">
        <v>10</v>
      </c>
      <c r="H136">
        <v>2</v>
      </c>
      <c r="I136">
        <v>1</v>
      </c>
      <c r="J136">
        <v>13</v>
      </c>
      <c r="K136">
        <v>10</v>
      </c>
      <c r="L136">
        <v>28737</v>
      </c>
      <c r="M136">
        <v>2</v>
      </c>
      <c r="N136">
        <v>6.9596687197689394E-5</v>
      </c>
      <c r="O136">
        <v>0</v>
      </c>
      <c r="P136">
        <v>0</v>
      </c>
      <c r="Q136">
        <v>0</v>
      </c>
      <c r="R136">
        <v>1</v>
      </c>
      <c r="S136">
        <v>0.5</v>
      </c>
      <c r="T136">
        <v>3.4798343598844697E-5</v>
      </c>
      <c r="U136">
        <v>0</v>
      </c>
      <c r="V136">
        <v>0</v>
      </c>
      <c r="W136">
        <v>0</v>
      </c>
      <c r="X136">
        <v>1</v>
      </c>
      <c r="Y136">
        <v>0.5</v>
      </c>
      <c r="Z136">
        <v>3.4798343598844697E-5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">
      <c r="A137">
        <v>2873.8781944444418</v>
      </c>
      <c r="B137">
        <v>853</v>
      </c>
      <c r="C137">
        <v>26</v>
      </c>
      <c r="D137">
        <v>99</v>
      </c>
      <c r="E137">
        <v>0</v>
      </c>
      <c r="F137">
        <v>0</v>
      </c>
      <c r="G137">
        <v>10</v>
      </c>
      <c r="H137">
        <v>183</v>
      </c>
      <c r="I137">
        <v>15</v>
      </c>
      <c r="J137">
        <v>18</v>
      </c>
      <c r="K137">
        <v>0</v>
      </c>
      <c r="L137">
        <v>543</v>
      </c>
      <c r="M137">
        <v>1</v>
      </c>
      <c r="N137">
        <v>1.841620626151013E-3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1.841620626151013E-3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">
      <c r="A138">
        <v>2047.8421064814829</v>
      </c>
      <c r="B138">
        <v>2394</v>
      </c>
      <c r="C138">
        <v>160</v>
      </c>
      <c r="D138">
        <v>440</v>
      </c>
      <c r="E138">
        <v>49</v>
      </c>
      <c r="F138">
        <v>88</v>
      </c>
      <c r="G138">
        <v>47</v>
      </c>
      <c r="H138">
        <v>145</v>
      </c>
      <c r="I138">
        <v>21</v>
      </c>
      <c r="J138">
        <v>1945</v>
      </c>
      <c r="K138">
        <v>642</v>
      </c>
      <c r="L138">
        <v>7548</v>
      </c>
      <c r="M138">
        <v>461</v>
      </c>
      <c r="N138">
        <v>6.1075781664016955E-2</v>
      </c>
      <c r="O138">
        <v>257</v>
      </c>
      <c r="P138">
        <v>0.55748373101952275</v>
      </c>
      <c r="Q138">
        <v>3.4048754636989934E-2</v>
      </c>
      <c r="R138">
        <v>36</v>
      </c>
      <c r="S138">
        <v>7.8091106290672452E-2</v>
      </c>
      <c r="T138">
        <v>4.7694753577106515E-3</v>
      </c>
      <c r="U138">
        <v>20</v>
      </c>
      <c r="V138">
        <v>4.3383947939262472E-2</v>
      </c>
      <c r="W138">
        <v>2.6497085320614732E-3</v>
      </c>
      <c r="X138">
        <v>148</v>
      </c>
      <c r="Y138">
        <v>0.32104121475054231</v>
      </c>
      <c r="Z138">
        <v>1.9607843137254902E-2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">
      <c r="A139">
        <v>1656.3347800925912</v>
      </c>
      <c r="B139">
        <v>411</v>
      </c>
      <c r="C139">
        <v>25</v>
      </c>
      <c r="D139">
        <v>82</v>
      </c>
      <c r="E139">
        <v>2</v>
      </c>
      <c r="F139">
        <v>0</v>
      </c>
      <c r="G139">
        <v>14</v>
      </c>
      <c r="H139">
        <v>22</v>
      </c>
      <c r="I139">
        <v>0</v>
      </c>
      <c r="J139">
        <v>47</v>
      </c>
      <c r="K139">
        <v>5</v>
      </c>
      <c r="L139">
        <v>335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">
      <c r="A140">
        <v>2400.4112962962972</v>
      </c>
      <c r="B140">
        <v>2062</v>
      </c>
      <c r="C140">
        <v>156</v>
      </c>
      <c r="D140">
        <v>489</v>
      </c>
      <c r="E140">
        <v>0</v>
      </c>
      <c r="F140">
        <v>1</v>
      </c>
      <c r="G140">
        <v>35</v>
      </c>
      <c r="H140">
        <v>869</v>
      </c>
      <c r="I140">
        <v>4</v>
      </c>
      <c r="J140">
        <v>231</v>
      </c>
      <c r="K140">
        <v>26</v>
      </c>
      <c r="L140">
        <v>24800</v>
      </c>
      <c r="M140">
        <v>256</v>
      </c>
      <c r="N140">
        <v>1.032258064516129E-2</v>
      </c>
      <c r="O140">
        <v>51</v>
      </c>
      <c r="P140">
        <v>0.19921875</v>
      </c>
      <c r="Q140">
        <v>2.0564516129032259E-3</v>
      </c>
      <c r="R140">
        <v>33</v>
      </c>
      <c r="S140">
        <v>0.12890625</v>
      </c>
      <c r="T140">
        <v>1.3306451612903226E-3</v>
      </c>
      <c r="U140">
        <v>153</v>
      </c>
      <c r="V140">
        <v>0.59765625</v>
      </c>
      <c r="W140">
        <v>6.1693548387096774E-3</v>
      </c>
      <c r="X140">
        <v>12</v>
      </c>
      <c r="Y140">
        <v>4.6875E-2</v>
      </c>
      <c r="Z140">
        <v>4.8387096774193548E-4</v>
      </c>
      <c r="AA140">
        <v>7</v>
      </c>
      <c r="AB140">
        <v>2.734375E-2</v>
      </c>
      <c r="AC140">
        <v>2.8225806451612906E-4</v>
      </c>
      <c r="AD140">
        <v>0</v>
      </c>
      <c r="AE140">
        <v>0</v>
      </c>
      <c r="AF140">
        <v>0</v>
      </c>
    </row>
    <row r="141" spans="1:32" x14ac:dyDescent="0.2">
      <c r="A141">
        <v>2353.4909837962987</v>
      </c>
      <c r="B141">
        <v>2406</v>
      </c>
      <c r="C141">
        <v>137</v>
      </c>
      <c r="D141">
        <v>358</v>
      </c>
      <c r="E141">
        <v>5</v>
      </c>
      <c r="F141">
        <v>2</v>
      </c>
      <c r="G141">
        <v>61</v>
      </c>
      <c r="H141">
        <v>1063</v>
      </c>
      <c r="I141">
        <v>37</v>
      </c>
      <c r="J141">
        <v>300</v>
      </c>
      <c r="K141">
        <v>92</v>
      </c>
      <c r="L141">
        <v>63236</v>
      </c>
      <c r="M141">
        <v>381</v>
      </c>
      <c r="N141">
        <v>6.0250490227085835E-3</v>
      </c>
      <c r="O141">
        <v>178</v>
      </c>
      <c r="P141">
        <v>0.46719160104986879</v>
      </c>
      <c r="Q141">
        <v>2.8148522993231705E-3</v>
      </c>
      <c r="R141">
        <v>64</v>
      </c>
      <c r="S141">
        <v>0.16797900262467191</v>
      </c>
      <c r="T141">
        <v>1.0120817255993421E-3</v>
      </c>
      <c r="U141">
        <v>128</v>
      </c>
      <c r="V141">
        <v>0.33595800524934383</v>
      </c>
      <c r="W141">
        <v>2.0241634511986841E-3</v>
      </c>
      <c r="X141">
        <v>11</v>
      </c>
      <c r="Y141">
        <v>2.8871391076115485E-2</v>
      </c>
      <c r="Z141">
        <v>1.7395154658738694E-4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">
      <c r="A142">
        <v>2389.6304513888899</v>
      </c>
      <c r="B142">
        <v>445</v>
      </c>
      <c r="C142">
        <v>36</v>
      </c>
      <c r="D142">
        <v>48</v>
      </c>
      <c r="E142">
        <v>2</v>
      </c>
      <c r="F142">
        <v>0</v>
      </c>
      <c r="G142">
        <v>6</v>
      </c>
      <c r="H142">
        <v>79</v>
      </c>
      <c r="I142">
        <v>3</v>
      </c>
      <c r="J142">
        <v>23</v>
      </c>
      <c r="K142">
        <v>4</v>
      </c>
      <c r="L142">
        <v>4079</v>
      </c>
      <c r="M142">
        <v>24</v>
      </c>
      <c r="N142">
        <v>5.8837950478058346E-3</v>
      </c>
      <c r="O142">
        <v>5</v>
      </c>
      <c r="P142">
        <v>0.20833333333333334</v>
      </c>
      <c r="Q142">
        <v>1.225790634959549E-3</v>
      </c>
      <c r="R142">
        <v>13</v>
      </c>
      <c r="S142">
        <v>0.54166666666666663</v>
      </c>
      <c r="T142">
        <v>3.187055650894827E-3</v>
      </c>
      <c r="U142">
        <v>2</v>
      </c>
      <c r="V142">
        <v>8.3333333333333329E-2</v>
      </c>
      <c r="W142">
        <v>4.9031625398381952E-4</v>
      </c>
      <c r="X142">
        <v>1</v>
      </c>
      <c r="Y142">
        <v>4.1666666666666664E-2</v>
      </c>
      <c r="Z142">
        <v>2.4515812699190976E-4</v>
      </c>
      <c r="AA142">
        <v>1</v>
      </c>
      <c r="AB142">
        <v>4.1666666666666664E-2</v>
      </c>
      <c r="AC142">
        <v>2.4515812699190976E-4</v>
      </c>
      <c r="AD142">
        <v>2</v>
      </c>
      <c r="AE142">
        <v>8.3333333333333329E-2</v>
      </c>
      <c r="AF142">
        <v>4.9031625398381952E-4</v>
      </c>
    </row>
    <row r="143" spans="1:32" x14ac:dyDescent="0.2">
      <c r="A143">
        <v>4367.5676736111127</v>
      </c>
      <c r="B143">
        <v>17028</v>
      </c>
      <c r="C143">
        <v>493</v>
      </c>
      <c r="D143">
        <v>3825</v>
      </c>
      <c r="E143">
        <v>17</v>
      </c>
      <c r="F143">
        <v>255</v>
      </c>
      <c r="G143">
        <v>929</v>
      </c>
      <c r="H143">
        <v>2254</v>
      </c>
      <c r="I143">
        <v>54</v>
      </c>
      <c r="J143">
        <v>4414</v>
      </c>
      <c r="K143">
        <v>444</v>
      </c>
      <c r="L143">
        <v>43738</v>
      </c>
      <c r="M143">
        <v>129</v>
      </c>
      <c r="N143">
        <v>2.9493804014815491E-3</v>
      </c>
      <c r="O143">
        <v>29</v>
      </c>
      <c r="P143">
        <v>0.22480620155038761</v>
      </c>
      <c r="Q143">
        <v>6.6303900498422422E-4</v>
      </c>
      <c r="R143">
        <v>22</v>
      </c>
      <c r="S143">
        <v>0.17054263565891473</v>
      </c>
      <c r="T143">
        <v>5.0299510722941144E-4</v>
      </c>
      <c r="U143">
        <v>31</v>
      </c>
      <c r="V143">
        <v>0.24031007751937986</v>
      </c>
      <c r="W143">
        <v>7.0876583291417077E-4</v>
      </c>
      <c r="X143">
        <v>26</v>
      </c>
      <c r="Y143">
        <v>0.20155038759689922</v>
      </c>
      <c r="Z143">
        <v>5.9444876308930444E-4</v>
      </c>
      <c r="AA143">
        <v>4</v>
      </c>
      <c r="AB143">
        <v>3.1007751937984496E-2</v>
      </c>
      <c r="AC143">
        <v>9.1453655859893E-5</v>
      </c>
      <c r="AD143">
        <v>17</v>
      </c>
      <c r="AE143">
        <v>0.13178294573643412</v>
      </c>
      <c r="AF143">
        <v>3.8867803740454522E-4</v>
      </c>
    </row>
    <row r="144" spans="1:32" x14ac:dyDescent="0.2">
      <c r="A144">
        <v>1708.3381944444409</v>
      </c>
      <c r="B144">
        <v>897</v>
      </c>
      <c r="C144">
        <v>48</v>
      </c>
      <c r="D144">
        <v>246</v>
      </c>
      <c r="E144">
        <v>10</v>
      </c>
      <c r="F144">
        <v>13</v>
      </c>
      <c r="G144">
        <v>73</v>
      </c>
      <c r="H144">
        <v>142</v>
      </c>
      <c r="I144">
        <v>7</v>
      </c>
      <c r="J144">
        <v>254</v>
      </c>
      <c r="K144">
        <v>64</v>
      </c>
      <c r="L144">
        <v>2077</v>
      </c>
      <c r="M144">
        <v>5</v>
      </c>
      <c r="N144">
        <v>2.4073182474723159E-3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0.2</v>
      </c>
      <c r="Z144">
        <v>4.8146364949446316E-4</v>
      </c>
      <c r="AA144">
        <v>0</v>
      </c>
      <c r="AB144">
        <v>0</v>
      </c>
      <c r="AC144">
        <v>0</v>
      </c>
      <c r="AD144">
        <v>4</v>
      </c>
      <c r="AE144">
        <v>0.8</v>
      </c>
      <c r="AF144">
        <v>1.9258545979778526E-3</v>
      </c>
    </row>
    <row r="145" spans="1:32" x14ac:dyDescent="0.2">
      <c r="A145">
        <v>2877.9034953703667</v>
      </c>
      <c r="B145">
        <v>569</v>
      </c>
      <c r="C145">
        <v>53</v>
      </c>
      <c r="D145">
        <v>268</v>
      </c>
      <c r="E145">
        <v>21</v>
      </c>
      <c r="F145">
        <v>84</v>
      </c>
      <c r="G145">
        <v>134</v>
      </c>
      <c r="H145">
        <v>7123</v>
      </c>
      <c r="I145">
        <v>84</v>
      </c>
      <c r="J145">
        <v>2541</v>
      </c>
      <c r="K145">
        <v>211</v>
      </c>
      <c r="L145">
        <v>155776</v>
      </c>
      <c r="M145">
        <v>789</v>
      </c>
      <c r="N145">
        <v>5.0649650780608055E-3</v>
      </c>
      <c r="O145">
        <v>57</v>
      </c>
      <c r="P145">
        <v>7.2243346007604556E-2</v>
      </c>
      <c r="Q145">
        <v>3.659100246507806E-4</v>
      </c>
      <c r="R145">
        <v>526</v>
      </c>
      <c r="S145">
        <v>0.66666666666666663</v>
      </c>
      <c r="T145">
        <v>3.3766433853738703E-3</v>
      </c>
      <c r="U145">
        <v>101</v>
      </c>
      <c r="V145">
        <v>0.12801013941698353</v>
      </c>
      <c r="W145">
        <v>6.4836688578471656E-4</v>
      </c>
      <c r="X145">
        <v>77</v>
      </c>
      <c r="Y145">
        <v>9.7591888466413187E-2</v>
      </c>
      <c r="Z145">
        <v>4.9429950698438787E-4</v>
      </c>
      <c r="AA145">
        <v>0</v>
      </c>
      <c r="AB145">
        <v>0</v>
      </c>
      <c r="AC145">
        <v>0</v>
      </c>
      <c r="AD145">
        <v>28</v>
      </c>
      <c r="AE145">
        <v>3.5487959442332066E-2</v>
      </c>
      <c r="AF145">
        <v>1.7974527526705013E-4</v>
      </c>
    </row>
    <row r="146" spans="1:32" x14ac:dyDescent="0.2">
      <c r="A146">
        <v>2339.9889467592584</v>
      </c>
      <c r="B146">
        <v>27879</v>
      </c>
      <c r="C146">
        <v>826</v>
      </c>
      <c r="D146">
        <v>2927</v>
      </c>
      <c r="E146">
        <v>17</v>
      </c>
      <c r="F146">
        <v>241</v>
      </c>
      <c r="G146">
        <v>427</v>
      </c>
      <c r="H146">
        <v>3988</v>
      </c>
      <c r="I146">
        <v>69</v>
      </c>
      <c r="J146">
        <v>4772</v>
      </c>
      <c r="K146">
        <v>517</v>
      </c>
      <c r="L146">
        <v>37742</v>
      </c>
      <c r="M146">
        <v>460</v>
      </c>
      <c r="N146">
        <v>1.2188013353823328E-2</v>
      </c>
      <c r="O146">
        <v>223</v>
      </c>
      <c r="P146">
        <v>0.48478260869565215</v>
      </c>
      <c r="Q146">
        <v>5.9085369084839173E-3</v>
      </c>
      <c r="R146">
        <v>71</v>
      </c>
      <c r="S146">
        <v>0.15434782608695652</v>
      </c>
      <c r="T146">
        <v>1.8811933654814266E-3</v>
      </c>
      <c r="U146">
        <v>76</v>
      </c>
      <c r="V146">
        <v>0.16521739130434782</v>
      </c>
      <c r="W146">
        <v>2.0136717715012451E-3</v>
      </c>
      <c r="X146">
        <v>75</v>
      </c>
      <c r="Y146">
        <v>0.16304347826086957</v>
      </c>
      <c r="Z146">
        <v>1.9871760902972816E-3</v>
      </c>
      <c r="AA146">
        <v>11</v>
      </c>
      <c r="AB146">
        <v>2.391304347826087E-2</v>
      </c>
      <c r="AC146">
        <v>2.9145249324360128E-4</v>
      </c>
      <c r="AD146">
        <v>4</v>
      </c>
      <c r="AE146">
        <v>8.6956521739130436E-3</v>
      </c>
      <c r="AF146">
        <v>1.0598272481585502E-4</v>
      </c>
    </row>
    <row r="147" spans="1:32" x14ac:dyDescent="0.2">
      <c r="A147">
        <v>1125.6317824074067</v>
      </c>
      <c r="B147">
        <v>1144</v>
      </c>
      <c r="C147">
        <v>128</v>
      </c>
      <c r="D147">
        <v>322</v>
      </c>
      <c r="E147">
        <v>0</v>
      </c>
      <c r="F147">
        <v>1</v>
      </c>
      <c r="G147">
        <v>2</v>
      </c>
      <c r="H147">
        <v>9</v>
      </c>
      <c r="I147">
        <v>0</v>
      </c>
      <c r="J147">
        <v>23</v>
      </c>
      <c r="K147">
        <v>8</v>
      </c>
      <c r="L147">
        <v>2303</v>
      </c>
      <c r="M147">
        <v>30</v>
      </c>
      <c r="N147">
        <v>1.3026487190620929E-2</v>
      </c>
      <c r="O147">
        <v>0</v>
      </c>
      <c r="P147">
        <v>0</v>
      </c>
      <c r="Q147">
        <v>0</v>
      </c>
      <c r="R147">
        <v>17</v>
      </c>
      <c r="S147">
        <v>0.56666666666666665</v>
      </c>
      <c r="T147">
        <v>7.3816760746851931E-3</v>
      </c>
      <c r="U147">
        <v>13</v>
      </c>
      <c r="V147">
        <v>0.43333333333333335</v>
      </c>
      <c r="W147">
        <v>5.6448111159357363E-3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">
      <c r="A148">
        <v>2351.1208449074038</v>
      </c>
      <c r="B148">
        <v>530</v>
      </c>
      <c r="C148">
        <v>38</v>
      </c>
      <c r="D148">
        <v>74</v>
      </c>
      <c r="E148">
        <v>0</v>
      </c>
      <c r="F148">
        <v>6</v>
      </c>
      <c r="G148">
        <v>9</v>
      </c>
      <c r="H148">
        <v>192</v>
      </c>
      <c r="I148">
        <v>5</v>
      </c>
      <c r="J148">
        <v>102</v>
      </c>
      <c r="K148">
        <v>23</v>
      </c>
      <c r="L148">
        <v>2639</v>
      </c>
      <c r="M148">
        <v>4</v>
      </c>
      <c r="N148">
        <v>1.5157256536566881E-3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4</v>
      </c>
      <c r="V148">
        <v>1</v>
      </c>
      <c r="W148">
        <v>1.5157256536566881E-3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">
      <c r="A149">
        <v>1395.4225810185162</v>
      </c>
      <c r="B149">
        <v>434</v>
      </c>
      <c r="C149">
        <v>20</v>
      </c>
      <c r="D149">
        <v>117</v>
      </c>
      <c r="E149">
        <v>8</v>
      </c>
      <c r="F149">
        <v>0</v>
      </c>
      <c r="G149">
        <v>34</v>
      </c>
      <c r="H149">
        <v>109</v>
      </c>
      <c r="I149">
        <v>17</v>
      </c>
      <c r="J149">
        <v>119</v>
      </c>
      <c r="K149">
        <v>44</v>
      </c>
      <c r="L149">
        <v>2316</v>
      </c>
      <c r="M149">
        <v>25</v>
      </c>
      <c r="N149">
        <v>1.079447322970639E-2</v>
      </c>
      <c r="O149">
        <v>5</v>
      </c>
      <c r="P149">
        <v>0.2</v>
      </c>
      <c r="Q149">
        <v>2.1588946459412781E-3</v>
      </c>
      <c r="R149">
        <v>4</v>
      </c>
      <c r="S149">
        <v>0.16</v>
      </c>
      <c r="T149">
        <v>1.7271157167530224E-3</v>
      </c>
      <c r="U149">
        <v>0</v>
      </c>
      <c r="V149">
        <v>0</v>
      </c>
      <c r="W149">
        <v>0</v>
      </c>
      <c r="X149">
        <v>4</v>
      </c>
      <c r="Y149">
        <v>0.16</v>
      </c>
      <c r="Z149">
        <v>1.7271157167530224E-3</v>
      </c>
      <c r="AA149">
        <v>3</v>
      </c>
      <c r="AB149">
        <v>0.12</v>
      </c>
      <c r="AC149">
        <v>1.2953367875647669E-3</v>
      </c>
      <c r="AD149">
        <v>9</v>
      </c>
      <c r="AE149">
        <v>0.36</v>
      </c>
      <c r="AF149">
        <v>3.8860103626943004E-3</v>
      </c>
    </row>
    <row r="150" spans="1:32" x14ac:dyDescent="0.2">
      <c r="A150">
        <v>1374.3728703703746</v>
      </c>
      <c r="B150">
        <v>404</v>
      </c>
      <c r="C150">
        <v>33</v>
      </c>
      <c r="D150">
        <v>126</v>
      </c>
      <c r="E150">
        <v>17</v>
      </c>
      <c r="F150">
        <v>7</v>
      </c>
      <c r="G150">
        <v>22</v>
      </c>
      <c r="H150">
        <v>161</v>
      </c>
      <c r="I150">
        <v>10</v>
      </c>
      <c r="J150">
        <v>407</v>
      </c>
      <c r="K150">
        <v>96</v>
      </c>
      <c r="L150">
        <v>21363</v>
      </c>
      <c r="M150">
        <v>40</v>
      </c>
      <c r="N150">
        <v>1.872396199035716E-3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40</v>
      </c>
      <c r="V150">
        <v>1</v>
      </c>
      <c r="W150">
        <v>1.872396199035716E-3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">
      <c r="A151">
        <v>1210.345219907409</v>
      </c>
      <c r="B151">
        <v>463</v>
      </c>
      <c r="C151">
        <v>54</v>
      </c>
      <c r="D151">
        <v>114</v>
      </c>
      <c r="E151">
        <v>8</v>
      </c>
      <c r="F151">
        <v>0</v>
      </c>
      <c r="G151">
        <v>21</v>
      </c>
      <c r="H151">
        <v>334</v>
      </c>
      <c r="I151">
        <v>3</v>
      </c>
      <c r="J151">
        <v>92</v>
      </c>
      <c r="K151">
        <v>26</v>
      </c>
      <c r="L151">
        <v>16242</v>
      </c>
      <c r="M151">
        <v>57</v>
      </c>
      <c r="N151">
        <v>3.509420022164758E-3</v>
      </c>
      <c r="O151">
        <v>3</v>
      </c>
      <c r="P151">
        <v>5.2631578947368418E-2</v>
      </c>
      <c r="Q151">
        <v>1.8470631695603989E-4</v>
      </c>
      <c r="R151">
        <v>10</v>
      </c>
      <c r="S151">
        <v>0.17543859649122806</v>
      </c>
      <c r="T151">
        <v>6.1568772318679969E-4</v>
      </c>
      <c r="U151">
        <v>42</v>
      </c>
      <c r="V151">
        <v>0.73684210526315785</v>
      </c>
      <c r="W151">
        <v>2.5858884373845584E-3</v>
      </c>
      <c r="X151">
        <v>2</v>
      </c>
      <c r="Y151">
        <v>3.5087719298245612E-2</v>
      </c>
      <c r="Z151">
        <v>1.2313754463735992E-4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">
      <c r="A152">
        <v>1392.8121643518534</v>
      </c>
      <c r="B152">
        <v>2475</v>
      </c>
      <c r="C152">
        <v>106</v>
      </c>
      <c r="D152">
        <v>221</v>
      </c>
      <c r="E152">
        <v>0</v>
      </c>
      <c r="F152">
        <v>11</v>
      </c>
      <c r="G152">
        <v>82</v>
      </c>
      <c r="H152">
        <v>437</v>
      </c>
      <c r="I152">
        <v>3</v>
      </c>
      <c r="J152">
        <v>137</v>
      </c>
      <c r="K152">
        <v>22</v>
      </c>
      <c r="L152">
        <v>1686</v>
      </c>
      <c r="M152">
        <v>35</v>
      </c>
      <c r="N152">
        <v>2.0759193357058125E-2</v>
      </c>
      <c r="O152">
        <v>2</v>
      </c>
      <c r="P152">
        <v>5.7142857142857141E-2</v>
      </c>
      <c r="Q152">
        <v>1.1862396204033216E-3</v>
      </c>
      <c r="R152">
        <v>23</v>
      </c>
      <c r="S152">
        <v>0.65714285714285714</v>
      </c>
      <c r="T152">
        <v>1.3641755634638196E-2</v>
      </c>
      <c r="U152">
        <v>1</v>
      </c>
      <c r="V152">
        <v>2.8571428571428571E-2</v>
      </c>
      <c r="W152">
        <v>5.9311981020166078E-4</v>
      </c>
      <c r="X152">
        <v>1</v>
      </c>
      <c r="Y152">
        <v>2.8571428571428571E-2</v>
      </c>
      <c r="Z152">
        <v>5.9311981020166078E-4</v>
      </c>
      <c r="AA152">
        <v>0</v>
      </c>
      <c r="AB152">
        <v>0</v>
      </c>
      <c r="AC152">
        <v>0</v>
      </c>
      <c r="AD152">
        <v>8</v>
      </c>
      <c r="AE152">
        <v>0.22857142857142856</v>
      </c>
      <c r="AF152">
        <v>4.7449584816132862E-3</v>
      </c>
    </row>
    <row r="153" spans="1:32" x14ac:dyDescent="0.2">
      <c r="A153">
        <v>1291.9105092592581</v>
      </c>
      <c r="B153">
        <v>1221</v>
      </c>
      <c r="C153">
        <v>39</v>
      </c>
      <c r="D153">
        <v>114</v>
      </c>
      <c r="E153">
        <v>39</v>
      </c>
      <c r="F153">
        <v>0</v>
      </c>
      <c r="G153">
        <v>11</v>
      </c>
      <c r="H153">
        <v>62</v>
      </c>
      <c r="I153">
        <v>4</v>
      </c>
      <c r="J153">
        <v>141</v>
      </c>
      <c r="K153">
        <v>65</v>
      </c>
      <c r="L153">
        <v>861</v>
      </c>
      <c r="M153">
        <v>16</v>
      </c>
      <c r="N153">
        <v>1.8583042973286876E-2</v>
      </c>
      <c r="O153">
        <v>8</v>
      </c>
      <c r="P153">
        <v>0.5</v>
      </c>
      <c r="Q153">
        <v>9.2915214866434379E-3</v>
      </c>
      <c r="R153">
        <v>2</v>
      </c>
      <c r="S153">
        <v>0.125</v>
      </c>
      <c r="T153">
        <v>2.3228803716608595E-3</v>
      </c>
      <c r="U153">
        <v>2</v>
      </c>
      <c r="V153">
        <v>0.125</v>
      </c>
      <c r="W153">
        <v>2.3228803716608595E-3</v>
      </c>
      <c r="X153">
        <v>4</v>
      </c>
      <c r="Y153">
        <v>0.25</v>
      </c>
      <c r="Z153">
        <v>4.6457607433217189E-3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">
      <c r="A154">
        <v>2625.3073611111104</v>
      </c>
      <c r="B154">
        <v>380</v>
      </c>
      <c r="C154">
        <v>22</v>
      </c>
      <c r="D154">
        <v>147</v>
      </c>
      <c r="E154">
        <v>0</v>
      </c>
      <c r="F154">
        <v>132</v>
      </c>
      <c r="G154">
        <v>90</v>
      </c>
      <c r="H154">
        <v>5867</v>
      </c>
      <c r="I154">
        <v>13</v>
      </c>
      <c r="J154">
        <v>349</v>
      </c>
      <c r="K154">
        <v>17</v>
      </c>
      <c r="L154">
        <v>7581</v>
      </c>
      <c r="M154">
        <v>3</v>
      </c>
      <c r="N154">
        <v>3.9572615749901069E-4</v>
      </c>
      <c r="O154">
        <v>0</v>
      </c>
      <c r="P154">
        <v>0</v>
      </c>
      <c r="Q154">
        <v>0</v>
      </c>
      <c r="R154">
        <v>1</v>
      </c>
      <c r="S154">
        <v>0.33333333333333331</v>
      </c>
      <c r="T154">
        <v>1.3190871916633689E-4</v>
      </c>
      <c r="U154">
        <v>1</v>
      </c>
      <c r="V154">
        <v>0.33333333333333331</v>
      </c>
      <c r="W154">
        <v>1.3190871916633689E-4</v>
      </c>
      <c r="X154">
        <v>1</v>
      </c>
      <c r="Y154">
        <v>0.33333333333333331</v>
      </c>
      <c r="Z154">
        <v>1.3190871916633689E-4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">
      <c r="A155">
        <v>718.98373842592264</v>
      </c>
      <c r="B155">
        <v>659</v>
      </c>
      <c r="C155">
        <v>5</v>
      </c>
      <c r="D155">
        <v>34</v>
      </c>
      <c r="E155">
        <v>41</v>
      </c>
      <c r="F155">
        <v>4</v>
      </c>
      <c r="G155">
        <v>20</v>
      </c>
      <c r="H155">
        <v>511</v>
      </c>
      <c r="I155">
        <v>4</v>
      </c>
      <c r="J155">
        <v>134</v>
      </c>
      <c r="K155">
        <v>19</v>
      </c>
      <c r="L155">
        <v>8572</v>
      </c>
      <c r="M155">
        <v>116</v>
      </c>
      <c r="N155">
        <v>1.3532431171255249E-2</v>
      </c>
      <c r="O155">
        <v>0</v>
      </c>
      <c r="P155">
        <v>0</v>
      </c>
      <c r="Q155">
        <v>0</v>
      </c>
      <c r="R155">
        <v>65</v>
      </c>
      <c r="S155">
        <v>0.56034482758620685</v>
      </c>
      <c r="T155">
        <v>7.5828278114792348E-3</v>
      </c>
      <c r="U155">
        <v>33</v>
      </c>
      <c r="V155">
        <v>0.28448275862068967</v>
      </c>
      <c r="W155">
        <v>3.8497433504433038E-3</v>
      </c>
      <c r="X155">
        <v>3</v>
      </c>
      <c r="Y155">
        <v>2.5862068965517241E-2</v>
      </c>
      <c r="Z155">
        <v>3.4997666822211853E-4</v>
      </c>
      <c r="AA155">
        <v>0</v>
      </c>
      <c r="AB155">
        <v>0</v>
      </c>
      <c r="AC155">
        <v>0</v>
      </c>
      <c r="AD155">
        <v>15</v>
      </c>
      <c r="AE155">
        <v>0.12931034482758622</v>
      </c>
      <c r="AF155">
        <v>1.7498833411105927E-3</v>
      </c>
    </row>
    <row r="156" spans="1:32" x14ac:dyDescent="0.2">
      <c r="A156">
        <v>1462.248101851852</v>
      </c>
      <c r="B156">
        <v>781</v>
      </c>
      <c r="C156">
        <v>19</v>
      </c>
      <c r="D156">
        <v>188</v>
      </c>
      <c r="E156">
        <v>0</v>
      </c>
      <c r="F156">
        <v>3</v>
      </c>
      <c r="G156">
        <v>10</v>
      </c>
      <c r="H156">
        <v>32</v>
      </c>
      <c r="I156">
        <v>5</v>
      </c>
      <c r="J156">
        <v>111</v>
      </c>
      <c r="K156">
        <v>22</v>
      </c>
      <c r="L156">
        <v>2200</v>
      </c>
      <c r="M156">
        <v>35</v>
      </c>
      <c r="N156">
        <v>1.5909090909090907E-2</v>
      </c>
      <c r="O156">
        <v>0</v>
      </c>
      <c r="P156">
        <v>0</v>
      </c>
      <c r="Q156">
        <v>0</v>
      </c>
      <c r="R156">
        <v>26</v>
      </c>
      <c r="S156">
        <v>0.74285714285714288</v>
      </c>
      <c r="T156">
        <v>1.1818181818181818E-2</v>
      </c>
      <c r="U156">
        <v>7</v>
      </c>
      <c r="V156">
        <v>0.2</v>
      </c>
      <c r="W156">
        <v>3.1818181818181819E-3</v>
      </c>
      <c r="X156">
        <v>2</v>
      </c>
      <c r="Y156">
        <v>5.7142857142857141E-2</v>
      </c>
      <c r="Z156">
        <v>9.0909090909090909E-4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">
      <c r="A157">
        <v>800.92142361111473</v>
      </c>
      <c r="B157">
        <v>509</v>
      </c>
      <c r="C157">
        <v>29</v>
      </c>
      <c r="D157">
        <v>211</v>
      </c>
      <c r="E157">
        <v>6</v>
      </c>
      <c r="F157">
        <v>2</v>
      </c>
      <c r="G157">
        <v>21</v>
      </c>
      <c r="H157">
        <v>62</v>
      </c>
      <c r="I157">
        <v>7</v>
      </c>
      <c r="J157">
        <v>97</v>
      </c>
      <c r="K157">
        <v>15</v>
      </c>
      <c r="L157">
        <v>5044</v>
      </c>
      <c r="M157">
        <v>12</v>
      </c>
      <c r="N157">
        <v>2.3790642347343376E-3</v>
      </c>
      <c r="O157">
        <v>5</v>
      </c>
      <c r="P157">
        <v>0.41666666666666669</v>
      </c>
      <c r="Q157">
        <v>9.9127676447264071E-4</v>
      </c>
      <c r="R157">
        <v>7</v>
      </c>
      <c r="S157">
        <v>0.58333333333333337</v>
      </c>
      <c r="T157">
        <v>1.3877874702616971E-3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">
      <c r="A158">
        <v>1478.2990509259253</v>
      </c>
      <c r="B158">
        <v>568</v>
      </c>
      <c r="C158">
        <v>41</v>
      </c>
      <c r="D158">
        <v>167</v>
      </c>
      <c r="E158">
        <v>2</v>
      </c>
      <c r="F158">
        <v>1</v>
      </c>
      <c r="G158">
        <v>3</v>
      </c>
      <c r="H158">
        <v>22</v>
      </c>
      <c r="I158">
        <v>2</v>
      </c>
      <c r="J158">
        <v>34</v>
      </c>
      <c r="K158">
        <v>10</v>
      </c>
      <c r="L158">
        <v>1479</v>
      </c>
      <c r="M158">
        <v>14</v>
      </c>
      <c r="N158">
        <v>9.4658553076402974E-3</v>
      </c>
      <c r="O158">
        <v>0</v>
      </c>
      <c r="P158">
        <v>0</v>
      </c>
      <c r="Q158">
        <v>0</v>
      </c>
      <c r="R158">
        <v>2</v>
      </c>
      <c r="S158">
        <v>0.14285714285714285</v>
      </c>
      <c r="T158">
        <v>1.3522650439486139E-3</v>
      </c>
      <c r="U158">
        <v>5</v>
      </c>
      <c r="V158">
        <v>0.35714285714285715</v>
      </c>
      <c r="W158">
        <v>3.3806626098715348E-3</v>
      </c>
      <c r="X158">
        <v>7</v>
      </c>
      <c r="Y158">
        <v>0.5</v>
      </c>
      <c r="Z158">
        <v>4.7329276538201487E-3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">
      <c r="A159">
        <v>436.27790509259648</v>
      </c>
      <c r="B159">
        <v>372</v>
      </c>
      <c r="C159">
        <v>17</v>
      </c>
      <c r="D159">
        <v>49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72</v>
      </c>
      <c r="K159">
        <v>28</v>
      </c>
      <c r="L159">
        <v>6788</v>
      </c>
      <c r="M159">
        <v>181</v>
      </c>
      <c r="N159">
        <v>2.6664702416028287E-2</v>
      </c>
      <c r="O159">
        <v>0</v>
      </c>
      <c r="P159">
        <v>0</v>
      </c>
      <c r="Q159">
        <v>0</v>
      </c>
      <c r="R159">
        <v>178</v>
      </c>
      <c r="S159">
        <v>0.98342541436464093</v>
      </c>
      <c r="T159">
        <v>2.6222746022392458E-2</v>
      </c>
      <c r="U159">
        <v>2</v>
      </c>
      <c r="V159">
        <v>1.1049723756906077E-2</v>
      </c>
      <c r="W159">
        <v>2.9463759575721861E-4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5.5248618784530384E-3</v>
      </c>
      <c r="AF159">
        <v>1.4731879787860931E-4</v>
      </c>
    </row>
    <row r="160" spans="1:32" x14ac:dyDescent="0.2">
      <c r="A160">
        <v>2624.5428124999962</v>
      </c>
      <c r="B160">
        <v>372</v>
      </c>
      <c r="C160">
        <v>21</v>
      </c>
      <c r="D160">
        <v>37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0</v>
      </c>
      <c r="L160">
        <v>721</v>
      </c>
      <c r="M160">
        <v>67</v>
      </c>
      <c r="N160">
        <v>9.2926490984743412E-2</v>
      </c>
      <c r="O160">
        <v>17</v>
      </c>
      <c r="P160">
        <v>0.2537313432835821</v>
      </c>
      <c r="Q160">
        <v>2.3578363384188627E-2</v>
      </c>
      <c r="R160">
        <v>35</v>
      </c>
      <c r="S160">
        <v>0.52238805970149249</v>
      </c>
      <c r="T160">
        <v>4.8543689320388349E-2</v>
      </c>
      <c r="U160">
        <v>0</v>
      </c>
      <c r="V160">
        <v>0</v>
      </c>
      <c r="W160">
        <v>0</v>
      </c>
      <c r="X160">
        <v>15</v>
      </c>
      <c r="Y160">
        <v>0.22388059701492538</v>
      </c>
      <c r="Z160">
        <v>2.0804438280166437E-2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">
      <c r="A161">
        <v>1432.0262037037028</v>
      </c>
      <c r="B161">
        <v>23931</v>
      </c>
      <c r="C161">
        <v>528</v>
      </c>
      <c r="D161">
        <v>1182</v>
      </c>
      <c r="E161">
        <v>0</v>
      </c>
      <c r="F161">
        <v>21</v>
      </c>
      <c r="G161">
        <v>46</v>
      </c>
      <c r="H161">
        <v>125</v>
      </c>
      <c r="I161">
        <v>4</v>
      </c>
      <c r="J161">
        <v>166</v>
      </c>
      <c r="K161">
        <v>79</v>
      </c>
      <c r="L161">
        <v>3412</v>
      </c>
      <c r="M161">
        <v>3</v>
      </c>
      <c r="N161">
        <v>8.7924970691676441E-4</v>
      </c>
      <c r="O161">
        <v>0</v>
      </c>
      <c r="P161">
        <v>0</v>
      </c>
      <c r="Q161">
        <v>0</v>
      </c>
      <c r="R161">
        <v>2</v>
      </c>
      <c r="S161">
        <v>0.66666666666666663</v>
      </c>
      <c r="T161">
        <v>5.8616647127784287E-4</v>
      </c>
      <c r="U161">
        <v>0</v>
      </c>
      <c r="V161">
        <v>0</v>
      </c>
      <c r="W161">
        <v>0</v>
      </c>
      <c r="X161">
        <v>1</v>
      </c>
      <c r="Y161">
        <v>0.33333333333333331</v>
      </c>
      <c r="Z161">
        <v>2.9308323563892143E-4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">
      <c r="A162">
        <v>1929.9367245370377</v>
      </c>
      <c r="B162">
        <v>14127</v>
      </c>
      <c r="C162">
        <v>203</v>
      </c>
      <c r="D162">
        <v>681</v>
      </c>
      <c r="E162">
        <v>0</v>
      </c>
      <c r="F162">
        <v>10</v>
      </c>
      <c r="G162">
        <v>118</v>
      </c>
      <c r="H162">
        <v>208</v>
      </c>
      <c r="I162">
        <v>0</v>
      </c>
      <c r="J162">
        <v>380</v>
      </c>
      <c r="K162">
        <v>142</v>
      </c>
      <c r="L162">
        <v>2500</v>
      </c>
      <c r="M162">
        <v>24</v>
      </c>
      <c r="N162">
        <v>9.5999999999999992E-3</v>
      </c>
      <c r="O162">
        <v>17</v>
      </c>
      <c r="P162">
        <v>0.70833333333333337</v>
      </c>
      <c r="Q162">
        <v>6.7999999999999996E-3</v>
      </c>
      <c r="R162">
        <v>1</v>
      </c>
      <c r="S162">
        <v>4.1666666666666664E-2</v>
      </c>
      <c r="T162">
        <v>4.0000000000000002E-4</v>
      </c>
      <c r="U162">
        <v>0</v>
      </c>
      <c r="V162">
        <v>0</v>
      </c>
      <c r="W162">
        <v>0</v>
      </c>
      <c r="X162">
        <v>6</v>
      </c>
      <c r="Y162">
        <v>0.25</v>
      </c>
      <c r="Z162">
        <v>2.3999999999999998E-3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">
      <c r="A163">
        <v>2438.5960879629638</v>
      </c>
      <c r="B163">
        <v>1098</v>
      </c>
      <c r="C163">
        <v>90</v>
      </c>
      <c r="D163">
        <v>234</v>
      </c>
      <c r="E163">
        <v>22</v>
      </c>
      <c r="F163">
        <v>6</v>
      </c>
      <c r="G163">
        <v>41</v>
      </c>
      <c r="H163">
        <v>189</v>
      </c>
      <c r="I163">
        <v>6</v>
      </c>
      <c r="J163">
        <v>363</v>
      </c>
      <c r="K163">
        <v>180</v>
      </c>
      <c r="L163">
        <v>19812</v>
      </c>
      <c r="M163">
        <v>158</v>
      </c>
      <c r="N163">
        <v>7.9749646678780543E-3</v>
      </c>
      <c r="O163">
        <v>52</v>
      </c>
      <c r="P163">
        <v>0.32911392405063289</v>
      </c>
      <c r="Q163">
        <v>2.6246719160104987E-3</v>
      </c>
      <c r="R163">
        <v>55</v>
      </c>
      <c r="S163">
        <v>0.34810126582278483</v>
      </c>
      <c r="T163">
        <v>2.7760952957803352E-3</v>
      </c>
      <c r="U163">
        <v>38</v>
      </c>
      <c r="V163">
        <v>0.24050632911392406</v>
      </c>
      <c r="W163">
        <v>1.9180294770845953E-3</v>
      </c>
      <c r="X163">
        <v>13</v>
      </c>
      <c r="Y163">
        <v>8.2278481012658222E-2</v>
      </c>
      <c r="Z163">
        <v>6.5616797900262466E-4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">
      <c r="A164">
        <v>696.1456018518511</v>
      </c>
      <c r="B164">
        <v>704</v>
      </c>
      <c r="C164">
        <v>20</v>
      </c>
      <c r="D164">
        <v>105</v>
      </c>
      <c r="E164">
        <v>37</v>
      </c>
      <c r="F164">
        <v>0</v>
      </c>
      <c r="G164">
        <v>6</v>
      </c>
      <c r="H164">
        <v>62</v>
      </c>
      <c r="I164">
        <v>1</v>
      </c>
      <c r="J164">
        <v>101</v>
      </c>
      <c r="K164">
        <v>0</v>
      </c>
      <c r="L164">
        <v>10814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">
      <c r="A165">
        <v>1738.3613541666709</v>
      </c>
      <c r="B165">
        <v>612</v>
      </c>
      <c r="C165">
        <v>45</v>
      </c>
      <c r="D165">
        <v>67</v>
      </c>
      <c r="E165">
        <v>4</v>
      </c>
      <c r="F165">
        <v>9</v>
      </c>
      <c r="G165">
        <v>22</v>
      </c>
      <c r="H165">
        <v>135</v>
      </c>
      <c r="I165">
        <v>3</v>
      </c>
      <c r="J165">
        <v>83</v>
      </c>
      <c r="K165">
        <v>30</v>
      </c>
      <c r="L165">
        <v>1246</v>
      </c>
      <c r="M165">
        <v>82</v>
      </c>
      <c r="N165">
        <v>6.5810593900481537E-2</v>
      </c>
      <c r="O165">
        <v>40</v>
      </c>
      <c r="P165">
        <v>0.48780487804878048</v>
      </c>
      <c r="Q165">
        <v>3.2102728731942212E-2</v>
      </c>
      <c r="R165">
        <v>0</v>
      </c>
      <c r="S165">
        <v>0</v>
      </c>
      <c r="T165">
        <v>0</v>
      </c>
      <c r="U165">
        <v>11</v>
      </c>
      <c r="V165">
        <v>0.13414634146341464</v>
      </c>
      <c r="W165">
        <v>8.8282504012841094E-3</v>
      </c>
      <c r="X165">
        <v>3</v>
      </c>
      <c r="Y165">
        <v>3.6585365853658534E-2</v>
      </c>
      <c r="Z165">
        <v>2.407704654895666E-3</v>
      </c>
      <c r="AA165">
        <v>0</v>
      </c>
      <c r="AB165">
        <v>0</v>
      </c>
      <c r="AC165">
        <v>0</v>
      </c>
      <c r="AD165">
        <v>28</v>
      </c>
      <c r="AE165">
        <v>0.34146341463414637</v>
      </c>
      <c r="AF165">
        <v>2.247191011235955E-2</v>
      </c>
    </row>
    <row r="166" spans="1:32" x14ac:dyDescent="0.2">
      <c r="A166">
        <v>744.69421296296059</v>
      </c>
      <c r="B166">
        <v>451</v>
      </c>
      <c r="C166">
        <v>34</v>
      </c>
      <c r="D166">
        <v>118</v>
      </c>
      <c r="E166">
        <v>0</v>
      </c>
      <c r="F166">
        <v>0</v>
      </c>
      <c r="G166">
        <v>32</v>
      </c>
      <c r="H166">
        <v>217</v>
      </c>
      <c r="I166">
        <v>11</v>
      </c>
      <c r="J166">
        <v>73</v>
      </c>
      <c r="K166">
        <v>18</v>
      </c>
      <c r="L166">
        <v>17157</v>
      </c>
      <c r="M166">
        <v>292</v>
      </c>
      <c r="N166">
        <v>1.7019292417089233E-2</v>
      </c>
      <c r="O166">
        <v>41</v>
      </c>
      <c r="P166">
        <v>0.1404109589041096</v>
      </c>
      <c r="Q166">
        <v>2.3896951681529406E-3</v>
      </c>
      <c r="R166">
        <v>100</v>
      </c>
      <c r="S166">
        <v>0.34246575342465752</v>
      </c>
      <c r="T166">
        <v>5.8285248003730255E-3</v>
      </c>
      <c r="U166">
        <v>67</v>
      </c>
      <c r="V166">
        <v>0.22945205479452055</v>
      </c>
      <c r="W166">
        <v>3.9051116162499271E-3</v>
      </c>
      <c r="X166">
        <v>84</v>
      </c>
      <c r="Y166">
        <v>0.28767123287671231</v>
      </c>
      <c r="Z166">
        <v>4.8959608323133411E-3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">
      <c r="A167">
        <v>1418.6787268518528</v>
      </c>
      <c r="B167">
        <v>395</v>
      </c>
      <c r="C167">
        <v>27</v>
      </c>
      <c r="D167">
        <v>52</v>
      </c>
      <c r="E167">
        <v>8</v>
      </c>
      <c r="F167">
        <v>0</v>
      </c>
      <c r="G167">
        <v>10</v>
      </c>
      <c r="H167">
        <v>46</v>
      </c>
      <c r="I167">
        <v>3</v>
      </c>
      <c r="J167">
        <v>55</v>
      </c>
      <c r="K167">
        <v>16</v>
      </c>
      <c r="L167">
        <v>1410</v>
      </c>
      <c r="M167">
        <v>2</v>
      </c>
      <c r="N167">
        <v>1.4184397163120568E-3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</v>
      </c>
      <c r="V167">
        <v>1</v>
      </c>
      <c r="W167">
        <v>1.4184397163120568E-3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">
      <c r="A168">
        <v>458.20915509259066</v>
      </c>
      <c r="B168">
        <v>1209</v>
      </c>
      <c r="C168">
        <v>53</v>
      </c>
      <c r="D168">
        <v>131</v>
      </c>
      <c r="E168">
        <v>24</v>
      </c>
      <c r="F168">
        <v>7</v>
      </c>
      <c r="G168">
        <v>21</v>
      </c>
      <c r="H168">
        <v>56</v>
      </c>
      <c r="I168">
        <v>1</v>
      </c>
      <c r="J168">
        <v>286</v>
      </c>
      <c r="K168">
        <v>70</v>
      </c>
      <c r="L168">
        <v>3608</v>
      </c>
      <c r="M168">
        <v>6</v>
      </c>
      <c r="N168">
        <v>1.6629711751662971E-3</v>
      </c>
      <c r="O168">
        <v>1</v>
      </c>
      <c r="P168">
        <v>0.16666666666666666</v>
      </c>
      <c r="Q168">
        <v>2.7716186252771619E-4</v>
      </c>
      <c r="R168">
        <v>0</v>
      </c>
      <c r="S168">
        <v>0</v>
      </c>
      <c r="T168">
        <v>0</v>
      </c>
      <c r="U168">
        <v>2</v>
      </c>
      <c r="V168">
        <v>0.33333333333333331</v>
      </c>
      <c r="W168">
        <v>5.5432372505543237E-4</v>
      </c>
      <c r="X168">
        <v>3</v>
      </c>
      <c r="Y168">
        <v>0.5</v>
      </c>
      <c r="Z168">
        <v>8.3148558758314856E-4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">
      <c r="A169">
        <v>3435.8150462962949</v>
      </c>
      <c r="B169">
        <v>2932</v>
      </c>
      <c r="C169">
        <v>201</v>
      </c>
      <c r="D169">
        <v>1385</v>
      </c>
      <c r="E169">
        <v>0</v>
      </c>
      <c r="F169">
        <v>412</v>
      </c>
      <c r="G169">
        <v>267</v>
      </c>
      <c r="H169">
        <v>3334</v>
      </c>
      <c r="I169">
        <v>130</v>
      </c>
      <c r="J169">
        <v>2658</v>
      </c>
      <c r="K169">
        <v>398</v>
      </c>
      <c r="L169">
        <v>58366</v>
      </c>
      <c r="M169">
        <v>195</v>
      </c>
      <c r="N169">
        <v>3.3409861905904122E-3</v>
      </c>
      <c r="O169">
        <v>63</v>
      </c>
      <c r="P169">
        <v>0.32307692307692309</v>
      </c>
      <c r="Q169">
        <v>1.0793955384984409E-3</v>
      </c>
      <c r="R169">
        <v>67</v>
      </c>
      <c r="S169">
        <v>0.34358974358974359</v>
      </c>
      <c r="T169">
        <v>1.1479285885618339E-3</v>
      </c>
      <c r="U169">
        <v>29</v>
      </c>
      <c r="V169">
        <v>0.14871794871794872</v>
      </c>
      <c r="W169">
        <v>4.9686461295959982E-4</v>
      </c>
      <c r="X169">
        <v>14</v>
      </c>
      <c r="Y169">
        <v>7.179487179487179E-2</v>
      </c>
      <c r="Z169">
        <v>2.3986567522187575E-4</v>
      </c>
      <c r="AA169">
        <v>8</v>
      </c>
      <c r="AB169">
        <v>4.1025641025641026E-2</v>
      </c>
      <c r="AC169">
        <v>1.3706610012678615E-4</v>
      </c>
      <c r="AD169">
        <v>14</v>
      </c>
      <c r="AE169">
        <v>7.179487179487179E-2</v>
      </c>
      <c r="AF169">
        <v>2.3986567522187575E-4</v>
      </c>
    </row>
    <row r="170" spans="1:32" x14ac:dyDescent="0.2">
      <c r="A170">
        <v>372.76236111111211</v>
      </c>
      <c r="B170">
        <v>457</v>
      </c>
      <c r="C170">
        <v>9</v>
      </c>
      <c r="D170">
        <v>99</v>
      </c>
      <c r="E170">
        <v>0</v>
      </c>
      <c r="F170">
        <v>0</v>
      </c>
      <c r="G170">
        <v>4</v>
      </c>
      <c r="H170">
        <v>6</v>
      </c>
      <c r="I170">
        <v>2</v>
      </c>
      <c r="J170">
        <v>20</v>
      </c>
      <c r="K170">
        <v>13</v>
      </c>
      <c r="L170">
        <v>11592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">
      <c r="A171">
        <v>599.87657407407823</v>
      </c>
      <c r="B171">
        <v>469</v>
      </c>
      <c r="C171">
        <v>30</v>
      </c>
      <c r="D171">
        <v>129</v>
      </c>
      <c r="E171">
        <v>4</v>
      </c>
      <c r="F171">
        <v>0</v>
      </c>
      <c r="G171">
        <v>4</v>
      </c>
      <c r="H171">
        <v>6</v>
      </c>
      <c r="I171">
        <v>0</v>
      </c>
      <c r="J171">
        <v>72</v>
      </c>
      <c r="K171">
        <v>24</v>
      </c>
      <c r="L171">
        <v>3061</v>
      </c>
      <c r="M171">
        <v>102</v>
      </c>
      <c r="N171">
        <v>3.3322443645867367E-2</v>
      </c>
      <c r="O171">
        <v>23</v>
      </c>
      <c r="P171">
        <v>0.22549019607843138</v>
      </c>
      <c r="Q171">
        <v>7.5138843515191117E-3</v>
      </c>
      <c r="R171">
        <v>30</v>
      </c>
      <c r="S171">
        <v>0.29411764705882354</v>
      </c>
      <c r="T171">
        <v>9.800718719372754E-3</v>
      </c>
      <c r="U171">
        <v>1</v>
      </c>
      <c r="V171">
        <v>9.8039215686274508E-3</v>
      </c>
      <c r="W171">
        <v>3.2669062397909179E-4</v>
      </c>
      <c r="X171">
        <v>46</v>
      </c>
      <c r="Y171">
        <v>0.45098039215686275</v>
      </c>
      <c r="Z171">
        <v>1.5027768703038223E-2</v>
      </c>
      <c r="AA171">
        <v>2</v>
      </c>
      <c r="AB171">
        <v>1.9607843137254902E-2</v>
      </c>
      <c r="AC171">
        <v>6.5338124795818358E-4</v>
      </c>
      <c r="AD171">
        <v>0</v>
      </c>
      <c r="AE171">
        <v>0</v>
      </c>
      <c r="AF171">
        <v>0</v>
      </c>
    </row>
    <row r="172" spans="1:32" x14ac:dyDescent="0.2">
      <c r="A172">
        <v>1333.3464351851799</v>
      </c>
      <c r="B172">
        <v>678</v>
      </c>
      <c r="C172">
        <v>36</v>
      </c>
      <c r="D172">
        <v>112</v>
      </c>
      <c r="E172">
        <v>5</v>
      </c>
      <c r="F172">
        <v>0</v>
      </c>
      <c r="G172">
        <v>6</v>
      </c>
      <c r="H172">
        <v>6</v>
      </c>
      <c r="I172">
        <v>0</v>
      </c>
      <c r="J172">
        <v>48</v>
      </c>
      <c r="K172">
        <v>10</v>
      </c>
      <c r="L172">
        <v>1921</v>
      </c>
      <c r="M172">
        <v>29</v>
      </c>
      <c r="N172">
        <v>1.5096304008328995E-2</v>
      </c>
      <c r="O172">
        <v>2</v>
      </c>
      <c r="P172">
        <v>6.8965517241379309E-2</v>
      </c>
      <c r="Q172">
        <v>1.0411244143675169E-3</v>
      </c>
      <c r="R172">
        <v>1</v>
      </c>
      <c r="S172">
        <v>3.4482758620689655E-2</v>
      </c>
      <c r="T172">
        <v>5.2056220718375845E-4</v>
      </c>
      <c r="U172">
        <v>3</v>
      </c>
      <c r="V172">
        <v>0.10344827586206896</v>
      </c>
      <c r="W172">
        <v>1.5616866215512754E-3</v>
      </c>
      <c r="X172">
        <v>16</v>
      </c>
      <c r="Y172">
        <v>0.55172413793103448</v>
      </c>
      <c r="Z172">
        <v>8.3289953149401352E-3</v>
      </c>
      <c r="AA172">
        <v>7</v>
      </c>
      <c r="AB172">
        <v>0.2413793103448276</v>
      </c>
      <c r="AC172">
        <v>3.6439354502863092E-3</v>
      </c>
      <c r="AD172">
        <v>0</v>
      </c>
      <c r="AE172">
        <v>0</v>
      </c>
      <c r="AF172">
        <v>0</v>
      </c>
    </row>
    <row r="173" spans="1:32" x14ac:dyDescent="0.2">
      <c r="A173">
        <v>1013.9442245370374</v>
      </c>
      <c r="B173">
        <v>2965</v>
      </c>
      <c r="C173">
        <v>122</v>
      </c>
      <c r="D173">
        <v>565</v>
      </c>
      <c r="E173">
        <v>1</v>
      </c>
      <c r="F173">
        <v>0</v>
      </c>
      <c r="G173">
        <v>7</v>
      </c>
      <c r="H173">
        <v>11</v>
      </c>
      <c r="I173">
        <v>1</v>
      </c>
      <c r="J173">
        <v>189</v>
      </c>
      <c r="K173">
        <v>41</v>
      </c>
      <c r="L173">
        <v>2129</v>
      </c>
      <c r="M173">
        <v>10</v>
      </c>
      <c r="N173">
        <v>4.6970408642555191E-3</v>
      </c>
      <c r="O173">
        <v>0</v>
      </c>
      <c r="P173">
        <v>0</v>
      </c>
      <c r="Q173">
        <v>0</v>
      </c>
      <c r="R173">
        <v>10</v>
      </c>
      <c r="S173">
        <v>1</v>
      </c>
      <c r="T173">
        <v>4.6970408642555191E-3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">
      <c r="A174">
        <v>2153.0168287037013</v>
      </c>
      <c r="B174">
        <v>1061</v>
      </c>
      <c r="C174">
        <v>42</v>
      </c>
      <c r="D174">
        <v>56</v>
      </c>
      <c r="E174">
        <v>4</v>
      </c>
      <c r="F174">
        <v>20</v>
      </c>
      <c r="G174">
        <v>20</v>
      </c>
      <c r="H174">
        <v>134</v>
      </c>
      <c r="I174">
        <v>12</v>
      </c>
      <c r="J174">
        <v>56</v>
      </c>
      <c r="K174">
        <v>25</v>
      </c>
      <c r="L174">
        <v>3560</v>
      </c>
      <c r="M174">
        <v>36</v>
      </c>
      <c r="N174">
        <v>1.0112359550561797E-2</v>
      </c>
      <c r="O174">
        <v>10</v>
      </c>
      <c r="P174">
        <v>0.27777777777777779</v>
      </c>
      <c r="Q174">
        <v>2.8089887640449437E-3</v>
      </c>
      <c r="R174">
        <v>10</v>
      </c>
      <c r="S174">
        <v>0.27777777777777779</v>
      </c>
      <c r="T174">
        <v>2.8089887640449437E-3</v>
      </c>
      <c r="U174">
        <v>4</v>
      </c>
      <c r="V174">
        <v>0.1111111111111111</v>
      </c>
      <c r="W174">
        <v>1.1235955056179776E-3</v>
      </c>
      <c r="X174">
        <v>10</v>
      </c>
      <c r="Y174">
        <v>0.27777777777777779</v>
      </c>
      <c r="Z174">
        <v>2.8089887640449437E-3</v>
      </c>
      <c r="AA174">
        <v>0</v>
      </c>
      <c r="AB174">
        <v>0</v>
      </c>
      <c r="AC174">
        <v>0</v>
      </c>
      <c r="AD174">
        <v>2</v>
      </c>
      <c r="AE174">
        <v>5.5555555555555552E-2</v>
      </c>
      <c r="AF174">
        <v>5.6179775280898881E-4</v>
      </c>
    </row>
    <row r="175" spans="1:32" x14ac:dyDescent="0.2">
      <c r="A175">
        <v>1864.6781018518523</v>
      </c>
      <c r="B175">
        <v>3522</v>
      </c>
      <c r="C175">
        <v>160</v>
      </c>
      <c r="D175">
        <v>960</v>
      </c>
      <c r="E175">
        <v>44</v>
      </c>
      <c r="F175">
        <v>19</v>
      </c>
      <c r="G175">
        <v>297</v>
      </c>
      <c r="H175">
        <v>3559</v>
      </c>
      <c r="I175">
        <v>135</v>
      </c>
      <c r="J175">
        <v>3055</v>
      </c>
      <c r="K175">
        <v>880</v>
      </c>
      <c r="L175">
        <v>77895</v>
      </c>
      <c r="M175">
        <v>926</v>
      </c>
      <c r="N175">
        <v>1.1887797676359202E-2</v>
      </c>
      <c r="O175">
        <v>233</v>
      </c>
      <c r="P175">
        <v>0.25161987041036715</v>
      </c>
      <c r="Q175">
        <v>2.9912061107901663E-3</v>
      </c>
      <c r="R175">
        <v>288</v>
      </c>
      <c r="S175">
        <v>0.31101511879049676</v>
      </c>
      <c r="T175">
        <v>3.6972848064702486E-3</v>
      </c>
      <c r="U175">
        <v>203</v>
      </c>
      <c r="V175">
        <v>0.21922246220302377</v>
      </c>
      <c r="W175">
        <v>2.6060722767828489E-3</v>
      </c>
      <c r="X175">
        <v>144</v>
      </c>
      <c r="Y175">
        <v>0.15550755939524838</v>
      </c>
      <c r="Z175">
        <v>1.8486424032351243E-3</v>
      </c>
      <c r="AA175">
        <v>0</v>
      </c>
      <c r="AB175">
        <v>0</v>
      </c>
      <c r="AC175">
        <v>0</v>
      </c>
      <c r="AD175">
        <v>58</v>
      </c>
      <c r="AE175">
        <v>6.2634989200863925E-2</v>
      </c>
      <c r="AF175">
        <v>7.4459207908081392E-4</v>
      </c>
    </row>
    <row r="176" spans="1:32" x14ac:dyDescent="0.2">
      <c r="A176">
        <v>1630.3711805555577</v>
      </c>
      <c r="B176">
        <v>1102</v>
      </c>
      <c r="C176">
        <v>50</v>
      </c>
      <c r="D176">
        <v>538</v>
      </c>
      <c r="E176">
        <v>2</v>
      </c>
      <c r="F176">
        <v>29</v>
      </c>
      <c r="G176">
        <v>131</v>
      </c>
      <c r="H176">
        <v>2312</v>
      </c>
      <c r="I176">
        <v>76</v>
      </c>
      <c r="J176">
        <v>1068</v>
      </c>
      <c r="K176">
        <v>114</v>
      </c>
      <c r="L176">
        <v>14984</v>
      </c>
      <c r="M176">
        <v>127</v>
      </c>
      <c r="N176">
        <v>8.475707421249333E-3</v>
      </c>
      <c r="O176">
        <v>0</v>
      </c>
      <c r="P176">
        <v>0</v>
      </c>
      <c r="Q176">
        <v>0</v>
      </c>
      <c r="R176">
        <v>49</v>
      </c>
      <c r="S176">
        <v>0.38582677165354329</v>
      </c>
      <c r="T176">
        <v>3.2701548318206089E-3</v>
      </c>
      <c r="U176">
        <v>3</v>
      </c>
      <c r="V176">
        <v>2.3622047244094488E-2</v>
      </c>
      <c r="W176">
        <v>2.0021356113187399E-4</v>
      </c>
      <c r="X176">
        <v>14</v>
      </c>
      <c r="Y176">
        <v>0.11023622047244094</v>
      </c>
      <c r="Z176">
        <v>9.3432995194874533E-4</v>
      </c>
      <c r="AA176">
        <v>2</v>
      </c>
      <c r="AB176">
        <v>1.5748031496062992E-2</v>
      </c>
      <c r="AC176">
        <v>1.3347570742124932E-4</v>
      </c>
      <c r="AD176">
        <v>59</v>
      </c>
      <c r="AE176">
        <v>0.46456692913385828</v>
      </c>
      <c r="AF176">
        <v>3.9375333689268552E-3</v>
      </c>
    </row>
    <row r="177" spans="1:32" x14ac:dyDescent="0.2">
      <c r="A177">
        <v>2277.6881250000006</v>
      </c>
      <c r="B177">
        <v>658</v>
      </c>
      <c r="C177">
        <v>76</v>
      </c>
      <c r="D177">
        <v>157</v>
      </c>
      <c r="E177">
        <v>38</v>
      </c>
      <c r="F177">
        <v>6</v>
      </c>
      <c r="G177">
        <v>53</v>
      </c>
      <c r="H177">
        <v>516</v>
      </c>
      <c r="I177">
        <v>12</v>
      </c>
      <c r="J177">
        <v>252</v>
      </c>
      <c r="K177">
        <v>64</v>
      </c>
      <c r="L177">
        <v>9049</v>
      </c>
      <c r="M177">
        <v>156</v>
      </c>
      <c r="N177">
        <v>1.7239473975024865E-2</v>
      </c>
      <c r="O177">
        <v>91</v>
      </c>
      <c r="P177">
        <v>0.58333333333333337</v>
      </c>
      <c r="Q177">
        <v>1.0056359818764505E-2</v>
      </c>
      <c r="R177">
        <v>35</v>
      </c>
      <c r="S177">
        <v>0.22435897435897437</v>
      </c>
      <c r="T177">
        <v>3.8678306995248092E-3</v>
      </c>
      <c r="U177">
        <v>15</v>
      </c>
      <c r="V177">
        <v>9.6153846153846159E-2</v>
      </c>
      <c r="W177">
        <v>1.6576417283677754E-3</v>
      </c>
      <c r="X177">
        <v>9</v>
      </c>
      <c r="Y177">
        <v>5.7692307692307696E-2</v>
      </c>
      <c r="Z177">
        <v>9.9458503702066527E-4</v>
      </c>
      <c r="AA177">
        <v>0</v>
      </c>
      <c r="AB177">
        <v>0</v>
      </c>
      <c r="AC177">
        <v>0</v>
      </c>
      <c r="AD177">
        <v>6</v>
      </c>
      <c r="AE177">
        <v>3.8461538461538464E-2</v>
      </c>
      <c r="AF177">
        <v>6.6305669134711018E-4</v>
      </c>
    </row>
    <row r="178" spans="1:32" x14ac:dyDescent="0.2">
      <c r="A178">
        <v>2535.4688310185229</v>
      </c>
      <c r="B178">
        <v>3305</v>
      </c>
      <c r="C178">
        <v>175</v>
      </c>
      <c r="D178">
        <v>277</v>
      </c>
      <c r="E178">
        <v>0</v>
      </c>
      <c r="F178">
        <v>174</v>
      </c>
      <c r="G178">
        <v>37</v>
      </c>
      <c r="H178">
        <v>2189</v>
      </c>
      <c r="I178">
        <v>20</v>
      </c>
      <c r="J178">
        <v>828</v>
      </c>
      <c r="K178">
        <v>62</v>
      </c>
      <c r="L178">
        <v>44346</v>
      </c>
      <c r="M178">
        <v>1</v>
      </c>
      <c r="N178">
        <v>2.2549948135119289E-5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2.2549948135119289E-5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">
      <c r="A179">
        <v>3437.9250694444418</v>
      </c>
      <c r="B179">
        <v>2074</v>
      </c>
      <c r="C179">
        <v>137</v>
      </c>
      <c r="D179">
        <v>566</v>
      </c>
      <c r="E179">
        <v>34</v>
      </c>
      <c r="F179">
        <v>74</v>
      </c>
      <c r="G179">
        <v>208</v>
      </c>
      <c r="H179">
        <v>1526</v>
      </c>
      <c r="I179">
        <v>7</v>
      </c>
      <c r="J179">
        <v>1060</v>
      </c>
      <c r="K179">
        <v>173</v>
      </c>
      <c r="L179">
        <v>17056</v>
      </c>
      <c r="M179">
        <v>283</v>
      </c>
      <c r="N179">
        <v>1.6592401500938086E-2</v>
      </c>
      <c r="O179">
        <v>50</v>
      </c>
      <c r="P179">
        <v>0.17667844522968199</v>
      </c>
      <c r="Q179">
        <v>2.9315196998123826E-3</v>
      </c>
      <c r="R179">
        <v>147</v>
      </c>
      <c r="S179">
        <v>0.51943462897526504</v>
      </c>
      <c r="T179">
        <v>8.6186679174484054E-3</v>
      </c>
      <c r="U179">
        <v>46</v>
      </c>
      <c r="V179">
        <v>0.16254416961130741</v>
      </c>
      <c r="W179">
        <v>2.6969981238273923E-3</v>
      </c>
      <c r="X179">
        <v>35</v>
      </c>
      <c r="Y179">
        <v>0.12367491166077739</v>
      </c>
      <c r="Z179">
        <v>2.0520637898686681E-3</v>
      </c>
      <c r="AA179">
        <v>1</v>
      </c>
      <c r="AB179">
        <v>3.5335689045936395E-3</v>
      </c>
      <c r="AC179">
        <v>5.8630393996247655E-5</v>
      </c>
      <c r="AD179">
        <v>4</v>
      </c>
      <c r="AE179">
        <v>1.4134275618374558E-2</v>
      </c>
      <c r="AF179">
        <v>2.3452157598499062E-4</v>
      </c>
    </row>
    <row r="180" spans="1:32" x14ac:dyDescent="0.2">
      <c r="A180">
        <v>2655.2477777777822</v>
      </c>
      <c r="B180">
        <v>443</v>
      </c>
      <c r="C180">
        <v>23</v>
      </c>
      <c r="D180">
        <v>44</v>
      </c>
      <c r="E180">
        <v>0</v>
      </c>
      <c r="F180">
        <v>5</v>
      </c>
      <c r="G180">
        <v>13</v>
      </c>
      <c r="H180">
        <v>20</v>
      </c>
      <c r="I180">
        <v>2</v>
      </c>
      <c r="J180">
        <v>334</v>
      </c>
      <c r="K180">
        <v>19</v>
      </c>
      <c r="L180">
        <v>4712</v>
      </c>
      <c r="M180">
        <v>70</v>
      </c>
      <c r="N180">
        <v>1.4855687606112054E-2</v>
      </c>
      <c r="O180">
        <v>11</v>
      </c>
      <c r="P180">
        <v>0.15714285714285714</v>
      </c>
      <c r="Q180">
        <v>2.3344651952461799E-3</v>
      </c>
      <c r="R180">
        <v>14</v>
      </c>
      <c r="S180">
        <v>0.2</v>
      </c>
      <c r="T180">
        <v>2.9711375212224107E-3</v>
      </c>
      <c r="U180">
        <v>21</v>
      </c>
      <c r="V180">
        <v>0.3</v>
      </c>
      <c r="W180">
        <v>4.4567062818336167E-3</v>
      </c>
      <c r="X180">
        <v>4</v>
      </c>
      <c r="Y180">
        <v>5.7142857142857141E-2</v>
      </c>
      <c r="Z180">
        <v>8.4889643463497452E-4</v>
      </c>
      <c r="AA180">
        <v>0</v>
      </c>
      <c r="AB180">
        <v>0</v>
      </c>
      <c r="AC180">
        <v>0</v>
      </c>
      <c r="AD180">
        <v>20</v>
      </c>
      <c r="AE180">
        <v>0.2857142857142857</v>
      </c>
      <c r="AF180">
        <v>4.2444821731748728E-3</v>
      </c>
    </row>
    <row r="181" spans="1:32" x14ac:dyDescent="0.2">
      <c r="A181">
        <v>737.1934953703676</v>
      </c>
      <c r="B181">
        <v>1559</v>
      </c>
      <c r="C181">
        <v>84</v>
      </c>
      <c r="D181">
        <v>624</v>
      </c>
      <c r="E181">
        <v>50</v>
      </c>
      <c r="F181">
        <v>6</v>
      </c>
      <c r="G181">
        <v>80</v>
      </c>
      <c r="H181">
        <v>1966</v>
      </c>
      <c r="I181">
        <v>36</v>
      </c>
      <c r="J181">
        <v>1226</v>
      </c>
      <c r="K181">
        <v>322</v>
      </c>
      <c r="L181">
        <v>50042</v>
      </c>
      <c r="M181">
        <v>21</v>
      </c>
      <c r="N181">
        <v>4.1964749610327325E-4</v>
      </c>
      <c r="O181">
        <v>3</v>
      </c>
      <c r="P181">
        <v>0.14285714285714285</v>
      </c>
      <c r="Q181">
        <v>5.9949642300467605E-5</v>
      </c>
      <c r="R181">
        <v>15</v>
      </c>
      <c r="S181">
        <v>0.7142857142857143</v>
      </c>
      <c r="T181">
        <v>2.9974821150233801E-4</v>
      </c>
      <c r="U181">
        <v>1</v>
      </c>
      <c r="V181">
        <v>4.7619047619047616E-2</v>
      </c>
      <c r="W181">
        <v>1.998321410015587E-5</v>
      </c>
      <c r="X181">
        <v>2</v>
      </c>
      <c r="Y181">
        <v>9.5238095238095233E-2</v>
      </c>
      <c r="Z181">
        <v>3.9966428200311739E-5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">
      <c r="A182">
        <v>2536.1646412037007</v>
      </c>
      <c r="B182">
        <v>1242</v>
      </c>
      <c r="C182">
        <v>135</v>
      </c>
      <c r="D182">
        <v>452</v>
      </c>
      <c r="E182">
        <v>33</v>
      </c>
      <c r="F182">
        <v>44</v>
      </c>
      <c r="G182">
        <v>165</v>
      </c>
      <c r="H182">
        <v>4651</v>
      </c>
      <c r="I182">
        <v>22</v>
      </c>
      <c r="J182">
        <v>2064</v>
      </c>
      <c r="K182">
        <v>327</v>
      </c>
      <c r="L182">
        <v>14777</v>
      </c>
      <c r="M182">
        <v>94</v>
      </c>
      <c r="N182">
        <v>6.361237057589497E-3</v>
      </c>
      <c r="O182">
        <v>36</v>
      </c>
      <c r="P182">
        <v>0.38297872340425532</v>
      </c>
      <c r="Q182">
        <v>2.4362184475874671E-3</v>
      </c>
      <c r="R182">
        <v>19</v>
      </c>
      <c r="S182">
        <v>0.20212765957446807</v>
      </c>
      <c r="T182">
        <v>1.2857819584489408E-3</v>
      </c>
      <c r="U182">
        <v>10</v>
      </c>
      <c r="V182">
        <v>0.10638297872340426</v>
      </c>
      <c r="W182">
        <v>6.7672734655207416E-4</v>
      </c>
      <c r="X182">
        <v>29</v>
      </c>
      <c r="Y182">
        <v>0.30851063829787234</v>
      </c>
      <c r="Z182">
        <v>1.9625093050010152E-3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">
      <c r="A183">
        <v>1735.7262268518534</v>
      </c>
      <c r="B183">
        <v>2776</v>
      </c>
      <c r="C183">
        <v>213</v>
      </c>
      <c r="D183">
        <v>1088</v>
      </c>
      <c r="E183">
        <v>0</v>
      </c>
      <c r="F183">
        <v>14</v>
      </c>
      <c r="G183">
        <v>13</v>
      </c>
      <c r="H183">
        <v>37</v>
      </c>
      <c r="I183">
        <v>4</v>
      </c>
      <c r="J183">
        <v>180</v>
      </c>
      <c r="K183">
        <v>90</v>
      </c>
      <c r="L183">
        <v>1291</v>
      </c>
      <c r="M183">
        <v>8</v>
      </c>
      <c r="N183">
        <v>6.1967467079783118E-3</v>
      </c>
      <c r="O183">
        <v>0</v>
      </c>
      <c r="P183">
        <v>0</v>
      </c>
      <c r="Q183">
        <v>0</v>
      </c>
      <c r="R183">
        <v>5</v>
      </c>
      <c r="S183">
        <v>0.625</v>
      </c>
      <c r="T183">
        <v>3.8729666924864447E-3</v>
      </c>
      <c r="U183">
        <v>0</v>
      </c>
      <c r="V183">
        <v>0</v>
      </c>
      <c r="W183">
        <v>0</v>
      </c>
      <c r="X183">
        <v>3</v>
      </c>
      <c r="Y183">
        <v>0.375</v>
      </c>
      <c r="Z183">
        <v>2.3237800154918666E-3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">
      <c r="A184">
        <v>1820.659432870365</v>
      </c>
      <c r="B184">
        <v>2211</v>
      </c>
      <c r="C184">
        <v>248</v>
      </c>
      <c r="D184">
        <v>582</v>
      </c>
      <c r="E184">
        <v>17</v>
      </c>
      <c r="F184">
        <v>42</v>
      </c>
      <c r="G184">
        <v>78</v>
      </c>
      <c r="H184">
        <v>336</v>
      </c>
      <c r="I184">
        <v>8</v>
      </c>
      <c r="J184">
        <v>745</v>
      </c>
      <c r="K184">
        <v>131</v>
      </c>
      <c r="L184">
        <v>8196</v>
      </c>
      <c r="M184">
        <v>37</v>
      </c>
      <c r="N184">
        <v>4.5143972669594926E-3</v>
      </c>
      <c r="O184">
        <v>1</v>
      </c>
      <c r="P184">
        <v>2.7027027027027029E-2</v>
      </c>
      <c r="Q184">
        <v>1.2201073694485115E-4</v>
      </c>
      <c r="R184">
        <v>15</v>
      </c>
      <c r="S184">
        <v>0.40540540540540543</v>
      </c>
      <c r="T184">
        <v>1.8301610541727673E-3</v>
      </c>
      <c r="U184">
        <v>6</v>
      </c>
      <c r="V184">
        <v>0.16216216216216217</v>
      </c>
      <c r="W184">
        <v>7.320644216691069E-4</v>
      </c>
      <c r="X184">
        <v>15</v>
      </c>
      <c r="Y184">
        <v>0.40540540540540543</v>
      </c>
      <c r="Z184">
        <v>1.8301610541727673E-3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">
      <c r="A185">
        <v>1298.4199189814753</v>
      </c>
      <c r="B185">
        <v>1587</v>
      </c>
      <c r="C185">
        <v>59</v>
      </c>
      <c r="D185">
        <v>339</v>
      </c>
      <c r="E185">
        <v>76</v>
      </c>
      <c r="F185">
        <v>4</v>
      </c>
      <c r="G185">
        <v>58</v>
      </c>
      <c r="H185">
        <v>787</v>
      </c>
      <c r="I185">
        <v>1</v>
      </c>
      <c r="J185">
        <v>682</v>
      </c>
      <c r="K185">
        <v>79</v>
      </c>
      <c r="L185">
        <v>10168</v>
      </c>
      <c r="M185">
        <v>129</v>
      </c>
      <c r="N185">
        <v>1.2686860739575138E-2</v>
      </c>
      <c r="O185">
        <v>82</v>
      </c>
      <c r="P185">
        <v>0.63565891472868219</v>
      </c>
      <c r="Q185">
        <v>8.0645161290322578E-3</v>
      </c>
      <c r="R185">
        <v>38</v>
      </c>
      <c r="S185">
        <v>0.29457364341085274</v>
      </c>
      <c r="T185">
        <v>3.737214791502754E-3</v>
      </c>
      <c r="U185">
        <v>3</v>
      </c>
      <c r="V185">
        <v>2.3255813953488372E-2</v>
      </c>
      <c r="W185">
        <v>2.9504327301337529E-4</v>
      </c>
      <c r="X185">
        <v>3</v>
      </c>
      <c r="Y185">
        <v>2.3255813953488372E-2</v>
      </c>
      <c r="Z185">
        <v>2.9504327301337529E-4</v>
      </c>
      <c r="AA185">
        <v>3</v>
      </c>
      <c r="AB185">
        <v>2.3255813953488372E-2</v>
      </c>
      <c r="AC185">
        <v>2.9504327301337529E-4</v>
      </c>
      <c r="AD185">
        <v>0</v>
      </c>
      <c r="AE185">
        <v>0</v>
      </c>
      <c r="AF185">
        <v>0</v>
      </c>
    </row>
    <row r="186" spans="1:32" x14ac:dyDescent="0.2">
      <c r="A186">
        <v>1477.9723958333343</v>
      </c>
      <c r="B186">
        <v>546</v>
      </c>
      <c r="C186">
        <v>52</v>
      </c>
      <c r="D186">
        <v>104</v>
      </c>
      <c r="E186">
        <v>25</v>
      </c>
      <c r="F186">
        <v>0</v>
      </c>
      <c r="G186">
        <v>8</v>
      </c>
      <c r="H186">
        <v>634</v>
      </c>
      <c r="I186">
        <v>19</v>
      </c>
      <c r="J186">
        <v>87</v>
      </c>
      <c r="K186">
        <v>2</v>
      </c>
      <c r="L186">
        <v>26002</v>
      </c>
      <c r="M186">
        <v>82</v>
      </c>
      <c r="N186">
        <v>3.1536035689562342E-3</v>
      </c>
      <c r="O186">
        <v>0</v>
      </c>
      <c r="P186">
        <v>0</v>
      </c>
      <c r="Q186">
        <v>0</v>
      </c>
      <c r="R186">
        <v>3</v>
      </c>
      <c r="S186">
        <v>3.6585365853658534E-2</v>
      </c>
      <c r="T186">
        <v>1.153757403276671E-4</v>
      </c>
      <c r="U186">
        <v>19</v>
      </c>
      <c r="V186">
        <v>0.23170731707317074</v>
      </c>
      <c r="W186">
        <v>7.3071302207522503E-4</v>
      </c>
      <c r="X186">
        <v>56</v>
      </c>
      <c r="Y186">
        <v>0.68292682926829273</v>
      </c>
      <c r="Z186">
        <v>2.1536804861164525E-3</v>
      </c>
      <c r="AA186">
        <v>0</v>
      </c>
      <c r="AB186">
        <v>0</v>
      </c>
      <c r="AC186">
        <v>0</v>
      </c>
      <c r="AD186">
        <v>4</v>
      </c>
      <c r="AE186">
        <v>4.878048780487805E-2</v>
      </c>
      <c r="AF186">
        <v>1.5383432043688947E-4</v>
      </c>
    </row>
    <row r="187" spans="1:32" x14ac:dyDescent="0.2">
      <c r="A187">
        <v>733.71394675926422</v>
      </c>
      <c r="B187">
        <v>344</v>
      </c>
      <c r="C187">
        <v>25</v>
      </c>
      <c r="D187">
        <v>107</v>
      </c>
      <c r="E187">
        <v>1</v>
      </c>
      <c r="F187">
        <v>2</v>
      </c>
      <c r="G187">
        <v>16</v>
      </c>
      <c r="H187">
        <v>77</v>
      </c>
      <c r="I187">
        <v>6</v>
      </c>
      <c r="J187">
        <v>51</v>
      </c>
      <c r="K187">
        <v>4</v>
      </c>
      <c r="L187">
        <v>35498</v>
      </c>
      <c r="M187">
        <v>308</v>
      </c>
      <c r="N187">
        <v>8.6765451574736599E-3</v>
      </c>
      <c r="O187">
        <v>42</v>
      </c>
      <c r="P187">
        <v>0.13636363636363635</v>
      </c>
      <c r="Q187">
        <v>1.1831652487464081E-3</v>
      </c>
      <c r="R187">
        <v>255</v>
      </c>
      <c r="S187">
        <v>0.82792207792207795</v>
      </c>
      <c r="T187">
        <v>7.183503295960336E-3</v>
      </c>
      <c r="U187">
        <v>8</v>
      </c>
      <c r="V187">
        <v>2.5974025974025976E-2</v>
      </c>
      <c r="W187">
        <v>2.2536480928503014E-4</v>
      </c>
      <c r="X187">
        <v>1</v>
      </c>
      <c r="Y187">
        <v>3.246753246753247E-3</v>
      </c>
      <c r="Z187">
        <v>2.8170601160628767E-5</v>
      </c>
      <c r="AA187">
        <v>0</v>
      </c>
      <c r="AB187">
        <v>0</v>
      </c>
      <c r="AC187">
        <v>0</v>
      </c>
      <c r="AD187">
        <v>2</v>
      </c>
      <c r="AE187">
        <v>6.4935064935064939E-3</v>
      </c>
      <c r="AF187">
        <v>5.6341202321257534E-5</v>
      </c>
    </row>
    <row r="188" spans="1:32" x14ac:dyDescent="0.2">
      <c r="A188">
        <v>2792.5685300925979</v>
      </c>
      <c r="B188">
        <v>3704</v>
      </c>
      <c r="C188">
        <v>99</v>
      </c>
      <c r="D188">
        <v>643</v>
      </c>
      <c r="E188">
        <v>0</v>
      </c>
      <c r="F188">
        <v>6</v>
      </c>
      <c r="G188">
        <v>59</v>
      </c>
      <c r="H188">
        <v>898</v>
      </c>
      <c r="I188">
        <v>3</v>
      </c>
      <c r="J188">
        <v>159</v>
      </c>
      <c r="K188">
        <v>5</v>
      </c>
      <c r="L188">
        <v>771</v>
      </c>
      <c r="M188">
        <v>5</v>
      </c>
      <c r="N188">
        <v>6.4850843060959796E-3</v>
      </c>
      <c r="O188">
        <v>0</v>
      </c>
      <c r="P188">
        <v>0</v>
      </c>
      <c r="Q188">
        <v>0</v>
      </c>
      <c r="R188">
        <v>1</v>
      </c>
      <c r="S188">
        <v>0.2</v>
      </c>
      <c r="T188">
        <v>1.2970168612191958E-3</v>
      </c>
      <c r="U188">
        <v>4</v>
      </c>
      <c r="V188">
        <v>0.8</v>
      </c>
      <c r="W188">
        <v>5.1880674448767832E-3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">
      <c r="A189">
        <v>1616.9940393518482</v>
      </c>
      <c r="B189">
        <v>326</v>
      </c>
      <c r="C189">
        <v>21</v>
      </c>
      <c r="D189">
        <v>37</v>
      </c>
      <c r="E189">
        <v>0</v>
      </c>
      <c r="F189">
        <v>1</v>
      </c>
      <c r="G189">
        <v>16</v>
      </c>
      <c r="H189">
        <v>84</v>
      </c>
      <c r="I189">
        <v>1</v>
      </c>
      <c r="J189">
        <v>47</v>
      </c>
      <c r="K189">
        <v>6</v>
      </c>
      <c r="L189">
        <v>930</v>
      </c>
      <c r="M189">
        <v>27</v>
      </c>
      <c r="N189">
        <v>2.903225806451613E-2</v>
      </c>
      <c r="O189">
        <v>0</v>
      </c>
      <c r="P189">
        <v>0</v>
      </c>
      <c r="Q189">
        <v>0</v>
      </c>
      <c r="R189">
        <v>27</v>
      </c>
      <c r="S189">
        <v>1</v>
      </c>
      <c r="T189">
        <v>2.903225806451613E-2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">
      <c r="A190">
        <v>793.47349537036644</v>
      </c>
      <c r="B190">
        <v>476</v>
      </c>
      <c r="C190">
        <v>31</v>
      </c>
      <c r="D190">
        <v>223</v>
      </c>
      <c r="E190">
        <v>0</v>
      </c>
      <c r="F190">
        <v>0</v>
      </c>
      <c r="G190">
        <v>3</v>
      </c>
      <c r="H190">
        <v>12</v>
      </c>
      <c r="I190">
        <v>2</v>
      </c>
      <c r="J190">
        <v>18</v>
      </c>
      <c r="K190">
        <v>7</v>
      </c>
      <c r="L190">
        <v>924</v>
      </c>
      <c r="M190">
        <v>8</v>
      </c>
      <c r="N190">
        <v>8.658008658008658E-3</v>
      </c>
      <c r="O190">
        <v>2</v>
      </c>
      <c r="P190">
        <v>0.25</v>
      </c>
      <c r="Q190">
        <v>2.1645021645021645E-3</v>
      </c>
      <c r="R190">
        <v>4</v>
      </c>
      <c r="S190">
        <v>0.5</v>
      </c>
      <c r="T190">
        <v>4.329004329004329E-3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</v>
      </c>
      <c r="AE190">
        <v>0.25</v>
      </c>
      <c r="AF190">
        <v>2.1645021645021645E-3</v>
      </c>
    </row>
    <row r="191" spans="1:32" x14ac:dyDescent="0.2">
      <c r="A191">
        <v>3304.8369328703702</v>
      </c>
      <c r="B191">
        <v>8352</v>
      </c>
      <c r="C191">
        <v>342</v>
      </c>
      <c r="D191">
        <v>1710</v>
      </c>
      <c r="E191">
        <v>0</v>
      </c>
      <c r="F191">
        <v>55</v>
      </c>
      <c r="G191">
        <v>77</v>
      </c>
      <c r="H191">
        <v>205</v>
      </c>
      <c r="I191">
        <v>21</v>
      </c>
      <c r="J191">
        <v>587</v>
      </c>
      <c r="K191">
        <v>139</v>
      </c>
      <c r="L191">
        <v>2988</v>
      </c>
      <c r="M191">
        <v>131</v>
      </c>
      <c r="N191">
        <v>4.3842034805890225E-2</v>
      </c>
      <c r="O191">
        <v>31</v>
      </c>
      <c r="P191">
        <v>0.23664122137404581</v>
      </c>
      <c r="Q191">
        <v>1.0374832663989291E-2</v>
      </c>
      <c r="R191">
        <v>53</v>
      </c>
      <c r="S191">
        <v>0.40458015267175573</v>
      </c>
      <c r="T191">
        <v>1.7737617135207495E-2</v>
      </c>
      <c r="U191">
        <v>10</v>
      </c>
      <c r="V191">
        <v>7.6335877862595422E-2</v>
      </c>
      <c r="W191">
        <v>3.3467202141900937E-3</v>
      </c>
      <c r="X191">
        <v>26</v>
      </c>
      <c r="Y191">
        <v>0.19847328244274809</v>
      </c>
      <c r="Z191">
        <v>8.7014725568942443E-3</v>
      </c>
      <c r="AA191">
        <v>0</v>
      </c>
      <c r="AB191">
        <v>0</v>
      </c>
      <c r="AC191">
        <v>0</v>
      </c>
      <c r="AD191">
        <v>11</v>
      </c>
      <c r="AE191">
        <v>8.3969465648854963E-2</v>
      </c>
      <c r="AF191">
        <v>3.6813922356091029E-3</v>
      </c>
    </row>
    <row r="192" spans="1:32" x14ac:dyDescent="0.2">
      <c r="A192">
        <v>1533.4977893518517</v>
      </c>
      <c r="B192">
        <v>375</v>
      </c>
      <c r="C192">
        <v>23</v>
      </c>
      <c r="D192">
        <v>29</v>
      </c>
      <c r="E192">
        <v>1</v>
      </c>
      <c r="F192">
        <v>0</v>
      </c>
      <c r="G192">
        <v>8</v>
      </c>
      <c r="H192">
        <v>6</v>
      </c>
      <c r="I192">
        <v>0</v>
      </c>
      <c r="J192">
        <v>8</v>
      </c>
      <c r="K192">
        <v>5</v>
      </c>
      <c r="L192">
        <v>2095</v>
      </c>
      <c r="M192">
        <v>16</v>
      </c>
      <c r="N192">
        <v>7.6372315035799524E-3</v>
      </c>
      <c r="O192">
        <v>3</v>
      </c>
      <c r="P192">
        <v>0.1875</v>
      </c>
      <c r="Q192">
        <v>1.431980906921241E-3</v>
      </c>
      <c r="R192">
        <v>0</v>
      </c>
      <c r="S192">
        <v>0</v>
      </c>
      <c r="T192">
        <v>0</v>
      </c>
      <c r="U192">
        <v>3</v>
      </c>
      <c r="V192">
        <v>0.1875</v>
      </c>
      <c r="W192">
        <v>1.431980906921241E-3</v>
      </c>
      <c r="X192">
        <v>8</v>
      </c>
      <c r="Y192">
        <v>0.5</v>
      </c>
      <c r="Z192">
        <v>3.8186157517899762E-3</v>
      </c>
      <c r="AA192">
        <v>1</v>
      </c>
      <c r="AB192">
        <v>6.25E-2</v>
      </c>
      <c r="AC192">
        <v>4.7732696897374703E-4</v>
      </c>
      <c r="AD192">
        <v>1</v>
      </c>
      <c r="AE192">
        <v>6.25E-2</v>
      </c>
      <c r="AF192">
        <v>4.7732696897374703E-4</v>
      </c>
    </row>
    <row r="193" spans="1:32" x14ac:dyDescent="0.2">
      <c r="A193">
        <v>3090.4655555555582</v>
      </c>
      <c r="B193">
        <v>375</v>
      </c>
      <c r="C193">
        <v>19</v>
      </c>
      <c r="D193">
        <v>58</v>
      </c>
      <c r="E193">
        <v>17</v>
      </c>
      <c r="F193">
        <v>1</v>
      </c>
      <c r="G193">
        <v>21</v>
      </c>
      <c r="H193">
        <v>69</v>
      </c>
      <c r="I193">
        <v>2</v>
      </c>
      <c r="J193">
        <v>48</v>
      </c>
      <c r="K193">
        <v>21</v>
      </c>
      <c r="L193">
        <v>580</v>
      </c>
      <c r="M193">
        <v>1</v>
      </c>
      <c r="N193">
        <v>1.7241379310344827E-3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1.7241379310344827E-3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">
      <c r="A194">
        <v>1300.0551620370388</v>
      </c>
      <c r="B194">
        <v>2840</v>
      </c>
      <c r="C194">
        <v>282</v>
      </c>
      <c r="D194">
        <v>740</v>
      </c>
      <c r="E194">
        <v>0</v>
      </c>
      <c r="F194">
        <v>5</v>
      </c>
      <c r="G194">
        <v>20</v>
      </c>
      <c r="H194">
        <v>192</v>
      </c>
      <c r="I194">
        <v>5</v>
      </c>
      <c r="J194">
        <v>228</v>
      </c>
      <c r="K194">
        <v>36</v>
      </c>
      <c r="L194">
        <v>1059</v>
      </c>
      <c r="M194">
        <v>31</v>
      </c>
      <c r="N194">
        <v>2.9272898961284231E-2</v>
      </c>
      <c r="O194">
        <v>5</v>
      </c>
      <c r="P194">
        <v>0.16129032258064516</v>
      </c>
      <c r="Q194">
        <v>4.721435316336166E-3</v>
      </c>
      <c r="R194">
        <v>12</v>
      </c>
      <c r="S194">
        <v>0.38709677419354838</v>
      </c>
      <c r="T194">
        <v>1.1331444759206799E-2</v>
      </c>
      <c r="U194">
        <v>6</v>
      </c>
      <c r="V194">
        <v>0.19354838709677419</v>
      </c>
      <c r="W194">
        <v>5.6657223796033997E-3</v>
      </c>
      <c r="X194">
        <v>8</v>
      </c>
      <c r="Y194">
        <v>0.25806451612903225</v>
      </c>
      <c r="Z194">
        <v>7.5542965061378663E-3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">
      <c r="A195">
        <v>945.97119212962571</v>
      </c>
      <c r="B195">
        <v>788</v>
      </c>
      <c r="C195">
        <v>35</v>
      </c>
      <c r="D195">
        <v>178</v>
      </c>
      <c r="E195">
        <v>25</v>
      </c>
      <c r="F195">
        <v>1</v>
      </c>
      <c r="G195">
        <v>51</v>
      </c>
      <c r="H195">
        <v>410</v>
      </c>
      <c r="I195">
        <v>15</v>
      </c>
      <c r="J195">
        <v>411</v>
      </c>
      <c r="K195">
        <v>154</v>
      </c>
      <c r="L195">
        <v>23662</v>
      </c>
      <c r="M195">
        <v>158</v>
      </c>
      <c r="N195">
        <v>6.6773730031273772E-3</v>
      </c>
      <c r="O195">
        <v>0</v>
      </c>
      <c r="P195">
        <v>0</v>
      </c>
      <c r="Q195">
        <v>0</v>
      </c>
      <c r="R195">
        <v>105</v>
      </c>
      <c r="S195">
        <v>0.66455696202531644</v>
      </c>
      <c r="T195">
        <v>4.4374947172681938E-3</v>
      </c>
      <c r="U195">
        <v>1</v>
      </c>
      <c r="V195">
        <v>6.3291139240506328E-3</v>
      </c>
      <c r="W195">
        <v>4.2261854450173275E-5</v>
      </c>
      <c r="X195">
        <v>52</v>
      </c>
      <c r="Y195">
        <v>0.32911392405063289</v>
      </c>
      <c r="Z195">
        <v>2.1976164314090104E-3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">
      <c r="A196">
        <v>277.06062499999825</v>
      </c>
      <c r="B196">
        <v>543</v>
      </c>
      <c r="C196">
        <v>32</v>
      </c>
      <c r="D196">
        <v>130</v>
      </c>
      <c r="E196">
        <v>0</v>
      </c>
      <c r="F196">
        <v>0</v>
      </c>
      <c r="G196">
        <v>2</v>
      </c>
      <c r="H196">
        <v>2</v>
      </c>
      <c r="I196">
        <v>0</v>
      </c>
      <c r="J196">
        <v>69</v>
      </c>
      <c r="K196">
        <v>19</v>
      </c>
      <c r="L196">
        <v>3327</v>
      </c>
      <c r="M196">
        <v>8</v>
      </c>
      <c r="N196">
        <v>2.4045686804929365E-3</v>
      </c>
      <c r="O196">
        <v>0</v>
      </c>
      <c r="P196">
        <v>0</v>
      </c>
      <c r="Q196">
        <v>0</v>
      </c>
      <c r="R196">
        <v>5</v>
      </c>
      <c r="S196">
        <v>0.625</v>
      </c>
      <c r="T196">
        <v>1.5028554253080854E-3</v>
      </c>
      <c r="U196">
        <v>1</v>
      </c>
      <c r="V196">
        <v>0.125</v>
      </c>
      <c r="W196">
        <v>3.0057108506161706E-4</v>
      </c>
      <c r="X196">
        <v>2</v>
      </c>
      <c r="Y196">
        <v>0.25</v>
      </c>
      <c r="Z196">
        <v>6.0114217012323412E-4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">
      <c r="A197">
        <v>1404.4289930555606</v>
      </c>
      <c r="B197">
        <v>4411</v>
      </c>
      <c r="C197">
        <v>156</v>
      </c>
      <c r="D197">
        <v>936</v>
      </c>
      <c r="E197">
        <v>0</v>
      </c>
      <c r="F197">
        <v>6</v>
      </c>
      <c r="G197">
        <v>114</v>
      </c>
      <c r="H197">
        <v>610</v>
      </c>
      <c r="I197">
        <v>8</v>
      </c>
      <c r="J197">
        <v>155</v>
      </c>
      <c r="K197">
        <v>49</v>
      </c>
      <c r="L197">
        <v>399</v>
      </c>
      <c r="M197">
        <v>6</v>
      </c>
      <c r="N197">
        <v>1.5037593984962405E-2</v>
      </c>
      <c r="O197">
        <v>0</v>
      </c>
      <c r="P197">
        <v>0</v>
      </c>
      <c r="Q197">
        <v>0</v>
      </c>
      <c r="R197">
        <v>3</v>
      </c>
      <c r="S197">
        <v>0.5</v>
      </c>
      <c r="T197">
        <v>7.5187969924812026E-3</v>
      </c>
      <c r="U197">
        <v>0</v>
      </c>
      <c r="V197">
        <v>0</v>
      </c>
      <c r="W197">
        <v>0</v>
      </c>
      <c r="X197">
        <v>3</v>
      </c>
      <c r="Y197">
        <v>0.5</v>
      </c>
      <c r="Z197">
        <v>7.5187969924812026E-3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">
      <c r="A198">
        <v>2289.885393518518</v>
      </c>
      <c r="B198">
        <v>3302</v>
      </c>
      <c r="C198">
        <v>111</v>
      </c>
      <c r="D198">
        <v>1134</v>
      </c>
      <c r="E198">
        <v>46</v>
      </c>
      <c r="F198">
        <v>16</v>
      </c>
      <c r="G198">
        <v>83</v>
      </c>
      <c r="H198">
        <v>954</v>
      </c>
      <c r="I198">
        <v>19</v>
      </c>
      <c r="J198">
        <v>904</v>
      </c>
      <c r="K198">
        <v>169</v>
      </c>
      <c r="L198">
        <v>18310</v>
      </c>
      <c r="M198">
        <v>2</v>
      </c>
      <c r="N198">
        <v>1.0922992900054615E-4</v>
      </c>
      <c r="O198">
        <v>0</v>
      </c>
      <c r="P198">
        <v>0</v>
      </c>
      <c r="Q198">
        <v>0</v>
      </c>
      <c r="R198">
        <v>2</v>
      </c>
      <c r="S198">
        <v>1</v>
      </c>
      <c r="T198">
        <v>1.0922992900054615E-4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">
      <c r="A199">
        <v>265.54005787037022</v>
      </c>
      <c r="B199">
        <v>1033</v>
      </c>
      <c r="C199">
        <v>66</v>
      </c>
      <c r="D199">
        <v>137</v>
      </c>
      <c r="E199">
        <v>0</v>
      </c>
      <c r="F199">
        <v>0</v>
      </c>
      <c r="G199">
        <v>8</v>
      </c>
      <c r="H199">
        <v>19</v>
      </c>
      <c r="I199">
        <v>7</v>
      </c>
      <c r="J199">
        <v>43</v>
      </c>
      <c r="K199">
        <v>9</v>
      </c>
      <c r="L199">
        <v>1738</v>
      </c>
      <c r="M199">
        <v>53</v>
      </c>
      <c r="N199">
        <v>3.0494821634062141E-2</v>
      </c>
      <c r="O199">
        <v>0</v>
      </c>
      <c r="P199">
        <v>0</v>
      </c>
      <c r="Q199">
        <v>0</v>
      </c>
      <c r="R199">
        <v>45</v>
      </c>
      <c r="S199">
        <v>0.84905660377358494</v>
      </c>
      <c r="T199">
        <v>2.5891829689298044E-2</v>
      </c>
      <c r="U199">
        <v>7</v>
      </c>
      <c r="V199">
        <v>0.13207547169811321</v>
      </c>
      <c r="W199">
        <v>4.0276179516685849E-3</v>
      </c>
      <c r="X199">
        <v>1</v>
      </c>
      <c r="Y199">
        <v>1.8867924528301886E-2</v>
      </c>
      <c r="Z199">
        <v>5.7537399309551208E-4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">
      <c r="A200">
        <v>342.23157407407416</v>
      </c>
      <c r="B200">
        <v>423</v>
      </c>
      <c r="C200">
        <v>16</v>
      </c>
      <c r="D200">
        <v>60</v>
      </c>
      <c r="E200">
        <v>0</v>
      </c>
      <c r="F200">
        <v>0</v>
      </c>
      <c r="G200">
        <v>2</v>
      </c>
      <c r="H200">
        <v>2</v>
      </c>
      <c r="I200">
        <v>1</v>
      </c>
      <c r="J200">
        <v>13</v>
      </c>
      <c r="K200">
        <v>0</v>
      </c>
      <c r="L200">
        <v>106</v>
      </c>
      <c r="M200">
        <v>1</v>
      </c>
      <c r="N200">
        <v>9.433962264150943E-3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9.433962264150943E-3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">
      <c r="A201">
        <v>501.38407407407067</v>
      </c>
      <c r="B201">
        <v>372</v>
      </c>
      <c r="C201">
        <v>11</v>
      </c>
      <c r="D201">
        <v>89</v>
      </c>
      <c r="E201">
        <v>3</v>
      </c>
      <c r="F201">
        <v>0</v>
      </c>
      <c r="G201">
        <v>3</v>
      </c>
      <c r="H201">
        <v>22</v>
      </c>
      <c r="I201">
        <v>11</v>
      </c>
      <c r="J201">
        <v>47</v>
      </c>
      <c r="K201">
        <v>38</v>
      </c>
      <c r="L201">
        <v>9547</v>
      </c>
      <c r="M201">
        <v>4</v>
      </c>
      <c r="N201">
        <v>4.1897978422541111E-4</v>
      </c>
      <c r="O201">
        <v>0</v>
      </c>
      <c r="P201">
        <v>0</v>
      </c>
      <c r="Q201">
        <v>0</v>
      </c>
      <c r="R201">
        <v>2</v>
      </c>
      <c r="S201">
        <v>0.5</v>
      </c>
      <c r="T201">
        <v>2.0948989211270555E-4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</v>
      </c>
      <c r="AE201">
        <v>0.5</v>
      </c>
      <c r="AF201">
        <v>2.0948989211270555E-4</v>
      </c>
    </row>
    <row r="202" spans="1:32" x14ac:dyDescent="0.2">
      <c r="A202">
        <v>1074.4228703703702</v>
      </c>
      <c r="B202">
        <v>3097</v>
      </c>
      <c r="C202">
        <v>64</v>
      </c>
      <c r="D202">
        <v>324</v>
      </c>
      <c r="E202">
        <v>96</v>
      </c>
      <c r="F202">
        <v>387</v>
      </c>
      <c r="G202">
        <v>116</v>
      </c>
      <c r="H202">
        <v>1152</v>
      </c>
      <c r="I202">
        <v>23</v>
      </c>
      <c r="J202">
        <v>2771</v>
      </c>
      <c r="K202">
        <v>541</v>
      </c>
      <c r="L202">
        <v>96606</v>
      </c>
      <c r="M202">
        <v>452</v>
      </c>
      <c r="N202">
        <v>4.678798418317703E-3</v>
      </c>
      <c r="O202">
        <v>61</v>
      </c>
      <c r="P202">
        <v>0.13495575221238937</v>
      </c>
      <c r="Q202">
        <v>6.314307599942033E-4</v>
      </c>
      <c r="R202">
        <v>268</v>
      </c>
      <c r="S202">
        <v>0.59292035398230092</v>
      </c>
      <c r="T202">
        <v>2.7741548144007617E-3</v>
      </c>
      <c r="U202">
        <v>77</v>
      </c>
      <c r="V202">
        <v>0.17035398230088494</v>
      </c>
      <c r="W202">
        <v>7.9705194294350248E-4</v>
      </c>
      <c r="X202">
        <v>32</v>
      </c>
      <c r="Y202">
        <v>7.0796460176991149E-2</v>
      </c>
      <c r="Z202">
        <v>3.312423658985984E-4</v>
      </c>
      <c r="AA202">
        <v>9</v>
      </c>
      <c r="AB202">
        <v>1.9911504424778761E-2</v>
      </c>
      <c r="AC202">
        <v>9.3161915408980806E-5</v>
      </c>
      <c r="AD202">
        <v>5</v>
      </c>
      <c r="AE202">
        <v>1.1061946902654867E-2</v>
      </c>
      <c r="AF202">
        <v>5.1756619671656006E-5</v>
      </c>
    </row>
    <row r="203" spans="1:32" x14ac:dyDescent="0.2">
      <c r="A203">
        <v>1492.8563888888893</v>
      </c>
      <c r="B203">
        <v>622</v>
      </c>
      <c r="C203">
        <v>20</v>
      </c>
      <c r="D203">
        <v>56</v>
      </c>
      <c r="E203">
        <v>0</v>
      </c>
      <c r="F203">
        <v>0</v>
      </c>
      <c r="G203">
        <v>13</v>
      </c>
      <c r="H203">
        <v>62</v>
      </c>
      <c r="I203">
        <v>7</v>
      </c>
      <c r="J203">
        <v>159</v>
      </c>
      <c r="K203">
        <v>73</v>
      </c>
      <c r="L203">
        <v>4416</v>
      </c>
      <c r="M203">
        <v>27</v>
      </c>
      <c r="N203">
        <v>6.114130434782609E-3</v>
      </c>
      <c r="O203">
        <v>0</v>
      </c>
      <c r="P203">
        <v>0</v>
      </c>
      <c r="Q203">
        <v>0</v>
      </c>
      <c r="R203">
        <v>12</v>
      </c>
      <c r="S203">
        <v>0.44444444444444442</v>
      </c>
      <c r="T203">
        <v>2.717391304347826E-3</v>
      </c>
      <c r="U203">
        <v>4</v>
      </c>
      <c r="V203">
        <v>0.14814814814814814</v>
      </c>
      <c r="W203">
        <v>9.0579710144927537E-4</v>
      </c>
      <c r="X203">
        <v>11</v>
      </c>
      <c r="Y203">
        <v>0.40740740740740738</v>
      </c>
      <c r="Z203">
        <v>2.490942028985507E-3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">
      <c r="A204">
        <v>1200.7508217592549</v>
      </c>
      <c r="B204">
        <v>1972</v>
      </c>
      <c r="C204">
        <v>71</v>
      </c>
      <c r="D204">
        <v>194</v>
      </c>
      <c r="E204">
        <v>0</v>
      </c>
      <c r="F204">
        <v>4</v>
      </c>
      <c r="G204">
        <v>4</v>
      </c>
      <c r="H204">
        <v>23</v>
      </c>
      <c r="I204">
        <v>8</v>
      </c>
      <c r="J204">
        <v>20</v>
      </c>
      <c r="K204">
        <v>15</v>
      </c>
      <c r="L204">
        <v>19441</v>
      </c>
      <c r="M204">
        <v>72</v>
      </c>
      <c r="N204">
        <v>3.7035131937657529E-3</v>
      </c>
      <c r="O204">
        <v>0</v>
      </c>
      <c r="P204">
        <v>0</v>
      </c>
      <c r="Q204">
        <v>0</v>
      </c>
      <c r="R204">
        <v>56</v>
      </c>
      <c r="S204">
        <v>0.77777777777777779</v>
      </c>
      <c r="T204">
        <v>2.8805102618178076E-3</v>
      </c>
      <c r="U204">
        <v>8</v>
      </c>
      <c r="V204">
        <v>0.1111111111111111</v>
      </c>
      <c r="W204">
        <v>4.1150146597397256E-4</v>
      </c>
      <c r="X204">
        <v>1</v>
      </c>
      <c r="Y204">
        <v>1.3888888888888888E-2</v>
      </c>
      <c r="Z204">
        <v>5.143768324674657E-5</v>
      </c>
      <c r="AA204">
        <v>0</v>
      </c>
      <c r="AB204">
        <v>0</v>
      </c>
      <c r="AC204">
        <v>0</v>
      </c>
      <c r="AD204">
        <v>7</v>
      </c>
      <c r="AE204">
        <v>9.7222222222222224E-2</v>
      </c>
      <c r="AF204">
        <v>3.6006378272722595E-4</v>
      </c>
    </row>
    <row r="205" spans="1:32" x14ac:dyDescent="0.2">
      <c r="A205">
        <v>1109.2714930555594</v>
      </c>
      <c r="B205">
        <v>2252</v>
      </c>
      <c r="C205">
        <v>365</v>
      </c>
      <c r="D205">
        <v>888</v>
      </c>
      <c r="E205">
        <v>19</v>
      </c>
      <c r="F205">
        <v>126</v>
      </c>
      <c r="G205">
        <v>23</v>
      </c>
      <c r="H205">
        <v>270</v>
      </c>
      <c r="I205">
        <v>12</v>
      </c>
      <c r="J205">
        <v>578</v>
      </c>
      <c r="K205">
        <v>19</v>
      </c>
      <c r="L205">
        <v>107368</v>
      </c>
      <c r="M205">
        <v>905</v>
      </c>
      <c r="N205">
        <v>8.4289546233514649E-3</v>
      </c>
      <c r="O205">
        <v>294</v>
      </c>
      <c r="P205">
        <v>0.32486187845303865</v>
      </c>
      <c r="Q205">
        <v>2.7382460323373816E-3</v>
      </c>
      <c r="R205">
        <v>177</v>
      </c>
      <c r="S205">
        <v>0.19558011049723756</v>
      </c>
      <c r="T205">
        <v>1.6485358766112808E-3</v>
      </c>
      <c r="U205">
        <v>351</v>
      </c>
      <c r="V205">
        <v>0.38784530386740329</v>
      </c>
      <c r="W205">
        <v>3.2691304671783029E-3</v>
      </c>
      <c r="X205">
        <v>56</v>
      </c>
      <c r="Y205">
        <v>6.1878453038674036E-2</v>
      </c>
      <c r="Z205">
        <v>5.21570672826168E-4</v>
      </c>
      <c r="AA205">
        <v>17</v>
      </c>
      <c r="AB205">
        <v>1.8784530386740331E-2</v>
      </c>
      <c r="AC205">
        <v>1.5833395425080099E-4</v>
      </c>
      <c r="AD205">
        <v>10</v>
      </c>
      <c r="AE205">
        <v>1.1049723756906077E-2</v>
      </c>
      <c r="AF205">
        <v>9.3137620147529994E-5</v>
      </c>
    </row>
    <row r="206" spans="1:32" x14ac:dyDescent="0.2">
      <c r="A206">
        <v>1455.1583912037022</v>
      </c>
      <c r="B206">
        <v>478</v>
      </c>
      <c r="C206">
        <v>13</v>
      </c>
      <c r="D206">
        <v>127</v>
      </c>
      <c r="E206">
        <v>0</v>
      </c>
      <c r="F206">
        <v>0</v>
      </c>
      <c r="G206">
        <v>4</v>
      </c>
      <c r="H206">
        <v>10</v>
      </c>
      <c r="I206">
        <v>2</v>
      </c>
      <c r="J206">
        <v>29</v>
      </c>
      <c r="K206">
        <v>16</v>
      </c>
      <c r="L206">
        <v>688</v>
      </c>
      <c r="M206">
        <v>11</v>
      </c>
      <c r="N206">
        <v>1.5988372093023256E-2</v>
      </c>
      <c r="O206">
        <v>7</v>
      </c>
      <c r="P206">
        <v>0.63636363636363635</v>
      </c>
      <c r="Q206">
        <v>1.0174418604651164E-2</v>
      </c>
      <c r="R206">
        <v>3</v>
      </c>
      <c r="S206">
        <v>0.27272727272727271</v>
      </c>
      <c r="T206">
        <v>4.3604651162790697E-3</v>
      </c>
      <c r="U206">
        <v>0</v>
      </c>
      <c r="V206">
        <v>0</v>
      </c>
      <c r="W206">
        <v>0</v>
      </c>
      <c r="X206">
        <v>1</v>
      </c>
      <c r="Y206">
        <v>9.0909090909090912E-2</v>
      </c>
      <c r="Z206">
        <v>1.4534883720930232E-3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">
      <c r="A207">
        <v>2286.0828356481506</v>
      </c>
      <c r="B207">
        <v>8173</v>
      </c>
      <c r="C207">
        <v>242</v>
      </c>
      <c r="D207">
        <v>1230</v>
      </c>
      <c r="E207">
        <v>0</v>
      </c>
      <c r="F207">
        <v>106</v>
      </c>
      <c r="G207">
        <v>425</v>
      </c>
      <c r="H207">
        <v>3821</v>
      </c>
      <c r="I207">
        <v>86</v>
      </c>
      <c r="J207">
        <v>3616</v>
      </c>
      <c r="K207">
        <v>646</v>
      </c>
      <c r="L207">
        <v>60265</v>
      </c>
      <c r="M207">
        <v>40</v>
      </c>
      <c r="N207">
        <v>6.6373516966730271E-4</v>
      </c>
      <c r="O207">
        <v>0</v>
      </c>
      <c r="P207">
        <v>0</v>
      </c>
      <c r="Q207">
        <v>0</v>
      </c>
      <c r="R207">
        <v>6</v>
      </c>
      <c r="S207">
        <v>0.15</v>
      </c>
      <c r="T207">
        <v>9.9560275450095406E-5</v>
      </c>
      <c r="U207">
        <v>33</v>
      </c>
      <c r="V207">
        <v>0.82499999999999996</v>
      </c>
      <c r="W207">
        <v>5.4758151497552479E-4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2.5000000000000001E-2</v>
      </c>
      <c r="AF207">
        <v>1.6593379241682568E-5</v>
      </c>
    </row>
    <row r="208" spans="1:32" x14ac:dyDescent="0.2">
      <c r="A208">
        <v>2200.3362384259235</v>
      </c>
      <c r="B208">
        <v>735</v>
      </c>
      <c r="C208">
        <v>55</v>
      </c>
      <c r="D208">
        <v>196</v>
      </c>
      <c r="E208">
        <v>40</v>
      </c>
      <c r="F208">
        <v>43</v>
      </c>
      <c r="G208">
        <v>95</v>
      </c>
      <c r="H208">
        <v>1359</v>
      </c>
      <c r="I208">
        <v>14</v>
      </c>
      <c r="J208">
        <v>2205</v>
      </c>
      <c r="K208">
        <v>339</v>
      </c>
      <c r="L208">
        <v>29178</v>
      </c>
      <c r="M208">
        <v>910</v>
      </c>
      <c r="N208">
        <v>3.1187881280416753E-2</v>
      </c>
      <c r="O208">
        <v>526</v>
      </c>
      <c r="P208">
        <v>0.57802197802197797</v>
      </c>
      <c r="Q208">
        <v>1.8027280828021113E-2</v>
      </c>
      <c r="R208">
        <v>182</v>
      </c>
      <c r="S208">
        <v>0.2</v>
      </c>
      <c r="T208">
        <v>6.2375762560833506E-3</v>
      </c>
      <c r="U208">
        <v>123</v>
      </c>
      <c r="V208">
        <v>0.13516483516483516</v>
      </c>
      <c r="W208">
        <v>4.2155048324079786E-3</v>
      </c>
      <c r="X208">
        <v>53</v>
      </c>
      <c r="Y208">
        <v>5.8241758241758243E-2</v>
      </c>
      <c r="Z208">
        <v>1.8164370416066901E-3</v>
      </c>
      <c r="AA208">
        <v>21</v>
      </c>
      <c r="AB208">
        <v>2.3076923076923078E-2</v>
      </c>
      <c r="AC208">
        <v>7.1972033724038663E-4</v>
      </c>
      <c r="AD208">
        <v>5</v>
      </c>
      <c r="AE208">
        <v>5.4945054945054949E-3</v>
      </c>
      <c r="AF208">
        <v>1.7136198505723489E-4</v>
      </c>
    </row>
    <row r="209" spans="1:32" x14ac:dyDescent="0.2">
      <c r="A209">
        <v>1954.9771990740701</v>
      </c>
      <c r="B209">
        <v>508</v>
      </c>
      <c r="C209">
        <v>201</v>
      </c>
      <c r="D209">
        <v>840</v>
      </c>
      <c r="E209">
        <v>19</v>
      </c>
      <c r="F209">
        <v>33</v>
      </c>
      <c r="G209">
        <v>424</v>
      </c>
      <c r="H209">
        <v>8682</v>
      </c>
      <c r="I209">
        <v>194</v>
      </c>
      <c r="J209">
        <v>396</v>
      </c>
      <c r="K209">
        <v>38</v>
      </c>
      <c r="L209">
        <v>111163</v>
      </c>
      <c r="M209">
        <v>1536</v>
      </c>
      <c r="N209">
        <v>1.3817547205455052E-2</v>
      </c>
      <c r="O209">
        <v>688</v>
      </c>
      <c r="P209">
        <v>0.44791666666666669</v>
      </c>
      <c r="Q209">
        <v>6.1891096857767426E-3</v>
      </c>
      <c r="R209">
        <v>112</v>
      </c>
      <c r="S209">
        <v>7.2916666666666671E-2</v>
      </c>
      <c r="T209">
        <v>1.0075294837310976E-3</v>
      </c>
      <c r="U209">
        <v>468</v>
      </c>
      <c r="V209">
        <v>0.3046875</v>
      </c>
      <c r="W209">
        <v>4.2100339141620865E-3</v>
      </c>
      <c r="X209">
        <v>179</v>
      </c>
      <c r="Y209">
        <v>0.11653645833333333</v>
      </c>
      <c r="Z209">
        <v>1.6102480141773792E-3</v>
      </c>
      <c r="AA209">
        <v>1</v>
      </c>
      <c r="AB209">
        <v>6.5104166666666663E-4</v>
      </c>
      <c r="AC209">
        <v>8.9957989618847999E-6</v>
      </c>
      <c r="AD209">
        <v>88</v>
      </c>
      <c r="AE209">
        <v>5.7291666666666664E-2</v>
      </c>
      <c r="AF209">
        <v>7.9163030864586243E-4</v>
      </c>
    </row>
    <row r="210" spans="1:32" x14ac:dyDescent="0.2">
      <c r="A210">
        <v>4137.9953472222187</v>
      </c>
      <c r="B210">
        <v>1014</v>
      </c>
      <c r="C210">
        <v>32</v>
      </c>
      <c r="D210">
        <v>103</v>
      </c>
      <c r="E210">
        <v>0</v>
      </c>
      <c r="F210">
        <v>0</v>
      </c>
      <c r="G210">
        <v>41</v>
      </c>
      <c r="H210">
        <v>85</v>
      </c>
      <c r="I210">
        <v>4</v>
      </c>
      <c r="J210">
        <v>518</v>
      </c>
      <c r="K210">
        <v>65</v>
      </c>
      <c r="L210">
        <v>17809</v>
      </c>
      <c r="M210">
        <v>187</v>
      </c>
      <c r="N210">
        <v>1.0500308832612723E-2</v>
      </c>
      <c r="O210">
        <v>135</v>
      </c>
      <c r="P210">
        <v>0.72192513368983957</v>
      </c>
      <c r="Q210">
        <v>7.580436857768544E-3</v>
      </c>
      <c r="R210">
        <v>28</v>
      </c>
      <c r="S210">
        <v>0.1497326203208556</v>
      </c>
      <c r="T210">
        <v>1.5722387556853276E-3</v>
      </c>
      <c r="U210">
        <v>12</v>
      </c>
      <c r="V210">
        <v>6.4171122994652413E-2</v>
      </c>
      <c r="W210">
        <v>6.7381660957942615E-4</v>
      </c>
      <c r="X210">
        <v>12</v>
      </c>
      <c r="Y210">
        <v>6.4171122994652413E-2</v>
      </c>
      <c r="Z210">
        <v>6.7381660957942615E-4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">
      <c r="A211">
        <v>1470.0164236111086</v>
      </c>
      <c r="B211">
        <v>3244</v>
      </c>
      <c r="C211">
        <v>84</v>
      </c>
      <c r="D211">
        <v>490</v>
      </c>
      <c r="E211">
        <v>91</v>
      </c>
      <c r="F211">
        <v>11</v>
      </c>
      <c r="G211">
        <v>187</v>
      </c>
      <c r="H211">
        <v>2075</v>
      </c>
      <c r="I211">
        <v>8</v>
      </c>
      <c r="J211">
        <v>1259</v>
      </c>
      <c r="K211">
        <v>207</v>
      </c>
      <c r="L211">
        <v>20538</v>
      </c>
      <c r="M211">
        <v>534</v>
      </c>
      <c r="N211">
        <v>2.6000584282792873E-2</v>
      </c>
      <c r="O211">
        <v>377</v>
      </c>
      <c r="P211">
        <v>0.70599250936329583</v>
      </c>
      <c r="Q211">
        <v>1.835621774272081E-2</v>
      </c>
      <c r="R211">
        <v>75</v>
      </c>
      <c r="S211">
        <v>0.1404494382022472</v>
      </c>
      <c r="T211">
        <v>3.651767455448437E-3</v>
      </c>
      <c r="U211">
        <v>16</v>
      </c>
      <c r="V211">
        <v>2.9962546816479401E-2</v>
      </c>
      <c r="W211">
        <v>7.7904372382899987E-4</v>
      </c>
      <c r="X211">
        <v>59</v>
      </c>
      <c r="Y211">
        <v>0.1104868913857678</v>
      </c>
      <c r="Z211">
        <v>2.8727237316194371E-3</v>
      </c>
      <c r="AA211">
        <v>0</v>
      </c>
      <c r="AB211">
        <v>0</v>
      </c>
      <c r="AC211">
        <v>0</v>
      </c>
      <c r="AD211">
        <v>7</v>
      </c>
      <c r="AE211">
        <v>1.3108614232209739E-2</v>
      </c>
      <c r="AF211">
        <v>3.4083162917518747E-4</v>
      </c>
    </row>
    <row r="212" spans="1:32" x14ac:dyDescent="0.2">
      <c r="A212">
        <v>1480.2553472222207</v>
      </c>
      <c r="B212">
        <v>407</v>
      </c>
      <c r="C212">
        <v>28</v>
      </c>
      <c r="D212">
        <v>43</v>
      </c>
      <c r="E212">
        <v>0</v>
      </c>
      <c r="F212">
        <v>0</v>
      </c>
      <c r="G212">
        <v>11</v>
      </c>
      <c r="H212">
        <v>87</v>
      </c>
      <c r="I212">
        <v>5</v>
      </c>
      <c r="J212">
        <v>147</v>
      </c>
      <c r="K212">
        <v>76</v>
      </c>
      <c r="L212">
        <v>5684</v>
      </c>
      <c r="M212">
        <v>19</v>
      </c>
      <c r="N212">
        <v>3.3427163969035889E-3</v>
      </c>
      <c r="O212">
        <v>0</v>
      </c>
      <c r="P212">
        <v>0</v>
      </c>
      <c r="Q212">
        <v>0</v>
      </c>
      <c r="R212">
        <v>9</v>
      </c>
      <c r="S212">
        <v>0.47368421052631576</v>
      </c>
      <c r="T212">
        <v>1.5833919774806474E-3</v>
      </c>
      <c r="U212">
        <v>9</v>
      </c>
      <c r="V212">
        <v>0.47368421052631576</v>
      </c>
      <c r="W212">
        <v>1.5833919774806474E-3</v>
      </c>
      <c r="X212">
        <v>1</v>
      </c>
      <c r="Y212">
        <v>5.2631578947368418E-2</v>
      </c>
      <c r="Z212">
        <v>1.7593244194229416E-4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">
      <c r="A213">
        <v>1211.6370833333349</v>
      </c>
      <c r="B213">
        <v>334</v>
      </c>
      <c r="C213">
        <v>9</v>
      </c>
      <c r="D213">
        <v>28</v>
      </c>
      <c r="E213">
        <v>0</v>
      </c>
      <c r="F213">
        <v>10</v>
      </c>
      <c r="G213">
        <v>5</v>
      </c>
      <c r="H213">
        <v>118</v>
      </c>
      <c r="I213">
        <v>1</v>
      </c>
      <c r="J213">
        <v>176</v>
      </c>
      <c r="K213">
        <v>27</v>
      </c>
      <c r="L213">
        <v>14161</v>
      </c>
      <c r="M213">
        <v>31</v>
      </c>
      <c r="N213">
        <v>2.1891109384930443E-3</v>
      </c>
      <c r="O213">
        <v>1</v>
      </c>
      <c r="P213">
        <v>3.2258064516129031E-2</v>
      </c>
      <c r="Q213">
        <v>7.0616481886872395E-5</v>
      </c>
      <c r="R213">
        <v>19</v>
      </c>
      <c r="S213">
        <v>0.61290322580645162</v>
      </c>
      <c r="T213">
        <v>1.3417131558505755E-3</v>
      </c>
      <c r="U213">
        <v>9</v>
      </c>
      <c r="V213">
        <v>0.29032258064516131</v>
      </c>
      <c r="W213">
        <v>6.355483369818516E-4</v>
      </c>
      <c r="X213">
        <v>2</v>
      </c>
      <c r="Y213">
        <v>6.4516129032258063E-2</v>
      </c>
      <c r="Z213">
        <v>1.4123296377374479E-4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">
      <c r="A214">
        <v>598.99475694444845</v>
      </c>
      <c r="B214">
        <v>453</v>
      </c>
      <c r="C214">
        <v>22</v>
      </c>
      <c r="D214">
        <v>154</v>
      </c>
      <c r="E214">
        <v>4</v>
      </c>
      <c r="F214">
        <v>6</v>
      </c>
      <c r="G214">
        <v>11</v>
      </c>
      <c r="H214">
        <v>4</v>
      </c>
      <c r="I214">
        <v>1</v>
      </c>
      <c r="J214">
        <v>159</v>
      </c>
      <c r="K214">
        <v>85</v>
      </c>
      <c r="L214">
        <v>12069</v>
      </c>
      <c r="M214">
        <v>53</v>
      </c>
      <c r="N214">
        <v>4.3914160245256441E-3</v>
      </c>
      <c r="O214">
        <v>1</v>
      </c>
      <c r="P214">
        <v>1.8867924528301886E-2</v>
      </c>
      <c r="Q214">
        <v>8.2856906123125366E-5</v>
      </c>
      <c r="R214">
        <v>40</v>
      </c>
      <c r="S214">
        <v>0.75471698113207553</v>
      </c>
      <c r="T214">
        <v>3.3142762449250144E-3</v>
      </c>
      <c r="U214">
        <v>8</v>
      </c>
      <c r="V214">
        <v>0.15094339622641509</v>
      </c>
      <c r="W214">
        <v>6.6285524898500293E-4</v>
      </c>
      <c r="X214">
        <v>4</v>
      </c>
      <c r="Y214">
        <v>7.5471698113207544E-2</v>
      </c>
      <c r="Z214">
        <v>3.3142762449250146E-4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">
      <c r="A215">
        <v>681.58947916667239</v>
      </c>
      <c r="B215">
        <v>981</v>
      </c>
      <c r="C215">
        <v>47</v>
      </c>
      <c r="D215">
        <v>274</v>
      </c>
      <c r="E215">
        <v>89</v>
      </c>
      <c r="F215">
        <v>1</v>
      </c>
      <c r="G215">
        <v>19</v>
      </c>
      <c r="H215">
        <v>167</v>
      </c>
      <c r="I215">
        <v>2</v>
      </c>
      <c r="J215">
        <v>366</v>
      </c>
      <c r="K215">
        <v>28</v>
      </c>
      <c r="L215">
        <v>1314</v>
      </c>
      <c r="M215">
        <v>25</v>
      </c>
      <c r="N215">
        <v>1.9025875190258751E-2</v>
      </c>
      <c r="O215">
        <v>0</v>
      </c>
      <c r="P215">
        <v>0</v>
      </c>
      <c r="Q215">
        <v>0</v>
      </c>
      <c r="R215">
        <v>10</v>
      </c>
      <c r="S215">
        <v>0.4</v>
      </c>
      <c r="T215">
        <v>7.6103500761035003E-3</v>
      </c>
      <c r="U215">
        <v>2</v>
      </c>
      <c r="V215">
        <v>0.08</v>
      </c>
      <c r="W215">
        <v>1.5220700152207001E-3</v>
      </c>
      <c r="X215">
        <v>12</v>
      </c>
      <c r="Y215">
        <v>0.48</v>
      </c>
      <c r="Z215">
        <v>9.1324200913242004E-3</v>
      </c>
      <c r="AA215">
        <v>1</v>
      </c>
      <c r="AB215">
        <v>0.04</v>
      </c>
      <c r="AC215">
        <v>7.6103500761035003E-4</v>
      </c>
      <c r="AD215">
        <v>0</v>
      </c>
      <c r="AE215">
        <v>0</v>
      </c>
      <c r="AF215">
        <v>0</v>
      </c>
    </row>
    <row r="216" spans="1:32" x14ac:dyDescent="0.2">
      <c r="A216">
        <v>1273.0374305555597</v>
      </c>
      <c r="B216">
        <v>1072</v>
      </c>
      <c r="C216">
        <v>58</v>
      </c>
      <c r="D216">
        <v>123</v>
      </c>
      <c r="E216">
        <v>9</v>
      </c>
      <c r="F216">
        <v>3</v>
      </c>
      <c r="G216">
        <v>22</v>
      </c>
      <c r="H216">
        <v>231</v>
      </c>
      <c r="I216">
        <v>4</v>
      </c>
      <c r="J216">
        <v>279</v>
      </c>
      <c r="K216">
        <v>113</v>
      </c>
      <c r="L216">
        <v>7514</v>
      </c>
      <c r="M216">
        <v>58</v>
      </c>
      <c r="N216">
        <v>7.7189246739419745E-3</v>
      </c>
      <c r="O216">
        <v>22</v>
      </c>
      <c r="P216">
        <v>0.37931034482758619</v>
      </c>
      <c r="Q216">
        <v>2.9278679797710939E-3</v>
      </c>
      <c r="R216">
        <v>27</v>
      </c>
      <c r="S216">
        <v>0.46551724137931033</v>
      </c>
      <c r="T216">
        <v>3.5932925206281609E-3</v>
      </c>
      <c r="U216">
        <v>1</v>
      </c>
      <c r="V216">
        <v>1.7241379310344827E-2</v>
      </c>
      <c r="W216">
        <v>1.3308490817141337E-4</v>
      </c>
      <c r="X216">
        <v>8</v>
      </c>
      <c r="Y216">
        <v>0.13793103448275862</v>
      </c>
      <c r="Z216">
        <v>1.064679265371307E-3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">
      <c r="A217">
        <v>2370.335474537038</v>
      </c>
      <c r="B217">
        <v>9497</v>
      </c>
      <c r="C217">
        <v>140</v>
      </c>
      <c r="D217">
        <v>423</v>
      </c>
      <c r="E217">
        <v>0</v>
      </c>
      <c r="F217">
        <v>15</v>
      </c>
      <c r="G217">
        <v>135</v>
      </c>
      <c r="H217">
        <v>671</v>
      </c>
      <c r="I217">
        <v>3</v>
      </c>
      <c r="J217">
        <v>586</v>
      </c>
      <c r="K217">
        <v>122</v>
      </c>
      <c r="L217">
        <v>5538</v>
      </c>
      <c r="M217">
        <v>63</v>
      </c>
      <c r="N217">
        <v>1.1375947995666305E-2</v>
      </c>
      <c r="O217">
        <v>46</v>
      </c>
      <c r="P217">
        <v>0.73015873015873012</v>
      </c>
      <c r="Q217">
        <v>8.3062477428674612E-3</v>
      </c>
      <c r="R217">
        <v>4</v>
      </c>
      <c r="S217">
        <v>6.3492063492063489E-2</v>
      </c>
      <c r="T217">
        <v>7.2228241242325753E-4</v>
      </c>
      <c r="U217">
        <v>1</v>
      </c>
      <c r="V217">
        <v>1.5873015873015872E-2</v>
      </c>
      <c r="W217">
        <v>1.8057060310581438E-4</v>
      </c>
      <c r="X217">
        <v>12</v>
      </c>
      <c r="Y217">
        <v>0.19047619047619047</v>
      </c>
      <c r="Z217">
        <v>2.1668472372697724E-3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">
      <c r="A218">
        <v>1815.5009606481544</v>
      </c>
      <c r="B218">
        <v>2288</v>
      </c>
      <c r="C218">
        <v>101</v>
      </c>
      <c r="D218">
        <v>460</v>
      </c>
      <c r="E218">
        <v>2</v>
      </c>
      <c r="F218">
        <v>99664</v>
      </c>
      <c r="G218">
        <v>172</v>
      </c>
      <c r="H218">
        <v>7882</v>
      </c>
      <c r="I218">
        <v>5</v>
      </c>
      <c r="J218">
        <v>0</v>
      </c>
      <c r="K218">
        <v>0</v>
      </c>
      <c r="L218">
        <v>19817</v>
      </c>
      <c r="M218">
        <v>426</v>
      </c>
      <c r="N218">
        <v>2.1496694757026796E-2</v>
      </c>
      <c r="O218">
        <v>67</v>
      </c>
      <c r="P218">
        <v>0.15727699530516431</v>
      </c>
      <c r="Q218">
        <v>3.3809355603774535E-3</v>
      </c>
      <c r="R218">
        <v>272</v>
      </c>
      <c r="S218">
        <v>0.63849765258215962</v>
      </c>
      <c r="T218">
        <v>1.3725589140636827E-2</v>
      </c>
      <c r="U218">
        <v>29</v>
      </c>
      <c r="V218">
        <v>6.8075117370892016E-2</v>
      </c>
      <c r="W218">
        <v>1.4633900186708383E-3</v>
      </c>
      <c r="X218">
        <v>45</v>
      </c>
      <c r="Y218">
        <v>0.10563380281690141</v>
      </c>
      <c r="Z218">
        <v>2.2707776151788869E-3</v>
      </c>
      <c r="AA218">
        <v>0</v>
      </c>
      <c r="AB218">
        <v>0</v>
      </c>
      <c r="AC218">
        <v>0</v>
      </c>
      <c r="AD218">
        <v>13</v>
      </c>
      <c r="AE218">
        <v>3.0516431924882629E-2</v>
      </c>
      <c r="AF218">
        <v>6.5600242216278957E-4</v>
      </c>
    </row>
    <row r="219" spans="1:32" x14ac:dyDescent="0.2">
      <c r="A219">
        <v>2875.2262152777766</v>
      </c>
      <c r="B219">
        <v>436</v>
      </c>
      <c r="C219">
        <v>37</v>
      </c>
      <c r="D219">
        <v>55</v>
      </c>
      <c r="E219">
        <v>4</v>
      </c>
      <c r="F219">
        <v>2</v>
      </c>
      <c r="G219">
        <v>26</v>
      </c>
      <c r="H219">
        <v>134</v>
      </c>
      <c r="I219">
        <v>0</v>
      </c>
      <c r="J219">
        <v>177</v>
      </c>
      <c r="K219">
        <v>1</v>
      </c>
      <c r="L219">
        <v>5145</v>
      </c>
      <c r="M219">
        <v>10</v>
      </c>
      <c r="N219">
        <v>1.9436345966958211E-3</v>
      </c>
      <c r="O219">
        <v>2</v>
      </c>
      <c r="P219">
        <v>0.2</v>
      </c>
      <c r="Q219">
        <v>3.8872691933916425E-4</v>
      </c>
      <c r="R219">
        <v>3</v>
      </c>
      <c r="S219">
        <v>0.3</v>
      </c>
      <c r="T219">
        <v>5.8309037900874635E-4</v>
      </c>
      <c r="U219">
        <v>3</v>
      </c>
      <c r="V219">
        <v>0.3</v>
      </c>
      <c r="W219">
        <v>5.8309037900874635E-4</v>
      </c>
      <c r="X219">
        <v>2</v>
      </c>
      <c r="Y219">
        <v>0.2</v>
      </c>
      <c r="Z219">
        <v>3.8872691933916425E-4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">
      <c r="A220">
        <v>2023.072604166664</v>
      </c>
      <c r="B220">
        <v>2860</v>
      </c>
      <c r="C220">
        <v>159</v>
      </c>
      <c r="D220">
        <v>913</v>
      </c>
      <c r="E220">
        <v>14</v>
      </c>
      <c r="F220">
        <v>10</v>
      </c>
      <c r="G220">
        <v>102</v>
      </c>
      <c r="H220">
        <v>1264</v>
      </c>
      <c r="I220">
        <v>32</v>
      </c>
      <c r="J220">
        <v>1202</v>
      </c>
      <c r="K220">
        <v>329</v>
      </c>
      <c r="L220">
        <v>44380</v>
      </c>
      <c r="M220">
        <v>340</v>
      </c>
      <c r="N220">
        <v>7.6611086074808476E-3</v>
      </c>
      <c r="O220">
        <v>0</v>
      </c>
      <c r="P220">
        <v>0</v>
      </c>
      <c r="Q220">
        <v>0</v>
      </c>
      <c r="R220">
        <v>241</v>
      </c>
      <c r="S220">
        <v>0.70882352941176474</v>
      </c>
      <c r="T220">
        <v>5.4303740423614242E-3</v>
      </c>
      <c r="U220">
        <v>97</v>
      </c>
      <c r="V220">
        <v>0.28529411764705881</v>
      </c>
      <c r="W220">
        <v>2.1856692203695359E-3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</v>
      </c>
      <c r="AE220">
        <v>5.8823529411764705E-3</v>
      </c>
      <c r="AF220">
        <v>4.5065344749887339E-5</v>
      </c>
    </row>
    <row r="221" spans="1:32" x14ac:dyDescent="0.2">
      <c r="A221">
        <v>1233.2227199074114</v>
      </c>
      <c r="B221">
        <v>639</v>
      </c>
      <c r="C221">
        <v>59</v>
      </c>
      <c r="D221">
        <v>114</v>
      </c>
      <c r="E221">
        <v>1</v>
      </c>
      <c r="F221">
        <v>1</v>
      </c>
      <c r="G221">
        <v>6</v>
      </c>
      <c r="H221">
        <v>9</v>
      </c>
      <c r="I221">
        <v>1</v>
      </c>
      <c r="J221">
        <v>59</v>
      </c>
      <c r="K221">
        <v>31</v>
      </c>
      <c r="L221">
        <v>11567</v>
      </c>
      <c r="M221">
        <v>266</v>
      </c>
      <c r="N221">
        <v>2.2996455433560992E-2</v>
      </c>
      <c r="O221">
        <v>97</v>
      </c>
      <c r="P221">
        <v>0.36466165413533835</v>
      </c>
      <c r="Q221">
        <v>8.3859254776519412E-3</v>
      </c>
      <c r="R221">
        <v>117</v>
      </c>
      <c r="S221">
        <v>0.43984962406015038</v>
      </c>
      <c r="T221">
        <v>1.0114982277167804E-2</v>
      </c>
      <c r="U221">
        <v>28</v>
      </c>
      <c r="V221">
        <v>0.10526315789473684</v>
      </c>
      <c r="W221">
        <v>2.4206795193222096E-3</v>
      </c>
      <c r="X221">
        <v>23</v>
      </c>
      <c r="Y221">
        <v>8.646616541353383E-2</v>
      </c>
      <c r="Z221">
        <v>1.9884153194432439E-3</v>
      </c>
      <c r="AA221">
        <v>0</v>
      </c>
      <c r="AB221">
        <v>0</v>
      </c>
      <c r="AC221">
        <v>0</v>
      </c>
      <c r="AD221">
        <v>1</v>
      </c>
      <c r="AE221">
        <v>3.7593984962406013E-3</v>
      </c>
      <c r="AF221">
        <v>8.6452839975793204E-5</v>
      </c>
    </row>
    <row r="222" spans="1:32" x14ac:dyDescent="0.2">
      <c r="A222">
        <v>1442.1582060185174</v>
      </c>
      <c r="B222">
        <v>362</v>
      </c>
      <c r="C222">
        <v>33</v>
      </c>
      <c r="D222">
        <v>76</v>
      </c>
      <c r="E222">
        <v>0</v>
      </c>
      <c r="F222">
        <v>0</v>
      </c>
      <c r="G222">
        <v>18</v>
      </c>
      <c r="H222">
        <v>43</v>
      </c>
      <c r="I222">
        <v>11</v>
      </c>
      <c r="J222">
        <v>10</v>
      </c>
      <c r="K222">
        <v>2</v>
      </c>
      <c r="L222">
        <v>48883</v>
      </c>
      <c r="M222">
        <v>508</v>
      </c>
      <c r="N222">
        <v>1.039216087392345E-2</v>
      </c>
      <c r="O222">
        <v>101</v>
      </c>
      <c r="P222">
        <v>0.19881889763779528</v>
      </c>
      <c r="Q222">
        <v>2.0661579690280873E-3</v>
      </c>
      <c r="R222">
        <v>373</v>
      </c>
      <c r="S222">
        <v>0.73425196850393704</v>
      </c>
      <c r="T222">
        <v>7.6304645786878875E-3</v>
      </c>
      <c r="U222">
        <v>18</v>
      </c>
      <c r="V222">
        <v>3.5433070866141732E-2</v>
      </c>
      <c r="W222">
        <v>3.6822617269807501E-4</v>
      </c>
      <c r="X222">
        <v>15</v>
      </c>
      <c r="Y222">
        <v>2.952755905511811E-2</v>
      </c>
      <c r="Z222">
        <v>3.0685514391506251E-4</v>
      </c>
      <c r="AA222">
        <v>0</v>
      </c>
      <c r="AB222">
        <v>0</v>
      </c>
      <c r="AC222">
        <v>0</v>
      </c>
      <c r="AD222">
        <v>1</v>
      </c>
      <c r="AE222">
        <v>1.968503937007874E-3</v>
      </c>
      <c r="AF222">
        <v>2.0457009594337498E-5</v>
      </c>
    </row>
    <row r="223" spans="1:32" x14ac:dyDescent="0.2">
      <c r="A223">
        <v>631.27798611111211</v>
      </c>
      <c r="B223">
        <v>1161</v>
      </c>
      <c r="C223">
        <v>44</v>
      </c>
      <c r="D223">
        <v>170</v>
      </c>
      <c r="E223">
        <v>21</v>
      </c>
      <c r="F223">
        <v>5</v>
      </c>
      <c r="G223">
        <v>106</v>
      </c>
      <c r="H223">
        <v>400</v>
      </c>
      <c r="I223">
        <v>3</v>
      </c>
      <c r="J223">
        <v>348</v>
      </c>
      <c r="K223">
        <v>35</v>
      </c>
      <c r="L223">
        <v>11790</v>
      </c>
      <c r="M223">
        <v>272</v>
      </c>
      <c r="N223">
        <v>2.3070398642917728E-2</v>
      </c>
      <c r="O223">
        <v>2</v>
      </c>
      <c r="P223">
        <v>7.3529411764705881E-3</v>
      </c>
      <c r="Q223">
        <v>1.6963528413910093E-4</v>
      </c>
      <c r="R223">
        <v>178</v>
      </c>
      <c r="S223">
        <v>0.65441176470588236</v>
      </c>
      <c r="T223">
        <v>1.5097540288379983E-2</v>
      </c>
      <c r="U223">
        <v>50</v>
      </c>
      <c r="V223">
        <v>0.18382352941176472</v>
      </c>
      <c r="W223">
        <v>4.2408821034775231E-3</v>
      </c>
      <c r="X223">
        <v>42</v>
      </c>
      <c r="Y223">
        <v>0.15441176470588236</v>
      </c>
      <c r="Z223">
        <v>3.5623409669211198E-3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">
      <c r="A224">
        <v>511.5180555555562</v>
      </c>
      <c r="B224">
        <v>1594</v>
      </c>
      <c r="C224">
        <v>57</v>
      </c>
      <c r="D224">
        <v>304</v>
      </c>
      <c r="E224">
        <v>7</v>
      </c>
      <c r="F224">
        <v>17</v>
      </c>
      <c r="G224">
        <v>45</v>
      </c>
      <c r="H224">
        <v>414</v>
      </c>
      <c r="I224">
        <v>7</v>
      </c>
      <c r="J224">
        <v>540</v>
      </c>
      <c r="K224">
        <v>74</v>
      </c>
      <c r="L224">
        <v>7733</v>
      </c>
      <c r="M224">
        <v>117</v>
      </c>
      <c r="N224">
        <v>1.5129962498383552E-2</v>
      </c>
      <c r="O224">
        <v>13</v>
      </c>
      <c r="P224">
        <v>0.1111111111111111</v>
      </c>
      <c r="Q224">
        <v>1.681106944264839E-3</v>
      </c>
      <c r="R224">
        <v>61</v>
      </c>
      <c r="S224">
        <v>0.5213675213675214</v>
      </c>
      <c r="T224">
        <v>7.8882710461657835E-3</v>
      </c>
      <c r="U224">
        <v>31</v>
      </c>
      <c r="V224">
        <v>0.26495726495726496</v>
      </c>
      <c r="W224">
        <v>4.0087934824776933E-3</v>
      </c>
      <c r="X224">
        <v>12</v>
      </c>
      <c r="Y224">
        <v>0.10256410256410256</v>
      </c>
      <c r="Z224">
        <v>1.5517910254752359E-3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">
      <c r="A225">
        <v>2813.1538657407364</v>
      </c>
      <c r="B225">
        <v>6108</v>
      </c>
      <c r="C225">
        <v>278</v>
      </c>
      <c r="D225">
        <v>806</v>
      </c>
      <c r="E225">
        <v>66</v>
      </c>
      <c r="F225">
        <v>112</v>
      </c>
      <c r="G225">
        <v>169</v>
      </c>
      <c r="H225">
        <v>2469</v>
      </c>
      <c r="I225">
        <v>0</v>
      </c>
      <c r="J225">
        <v>2653</v>
      </c>
      <c r="K225">
        <v>4</v>
      </c>
      <c r="L225">
        <v>7156</v>
      </c>
      <c r="M225">
        <v>27</v>
      </c>
      <c r="N225">
        <v>3.7730575740637226E-3</v>
      </c>
      <c r="O225">
        <v>1</v>
      </c>
      <c r="P225">
        <v>3.7037037037037035E-2</v>
      </c>
      <c r="Q225">
        <v>1.3974287311347122E-4</v>
      </c>
      <c r="R225">
        <v>22</v>
      </c>
      <c r="S225">
        <v>0.81481481481481477</v>
      </c>
      <c r="T225">
        <v>3.0743432084963667E-3</v>
      </c>
      <c r="U225">
        <v>2</v>
      </c>
      <c r="V225">
        <v>7.407407407407407E-2</v>
      </c>
      <c r="W225">
        <v>2.7948574622694243E-4</v>
      </c>
      <c r="X225">
        <v>2</v>
      </c>
      <c r="Y225">
        <v>7.407407407407407E-2</v>
      </c>
      <c r="Z225">
        <v>2.7948574622694243E-4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">
      <c r="A226">
        <v>679.57556712962833</v>
      </c>
      <c r="B226">
        <v>1398</v>
      </c>
      <c r="C226">
        <v>63</v>
      </c>
      <c r="D226">
        <v>285</v>
      </c>
      <c r="E226">
        <v>4</v>
      </c>
      <c r="F226">
        <v>8</v>
      </c>
      <c r="G226">
        <v>15</v>
      </c>
      <c r="H226">
        <v>186</v>
      </c>
      <c r="I226">
        <v>2</v>
      </c>
      <c r="J226">
        <v>71</v>
      </c>
      <c r="K226">
        <v>2</v>
      </c>
      <c r="L226">
        <v>22725</v>
      </c>
      <c r="M226">
        <v>786</v>
      </c>
      <c r="N226">
        <v>3.4587458745874586E-2</v>
      </c>
      <c r="O226">
        <v>126</v>
      </c>
      <c r="P226">
        <v>0.16030534351145037</v>
      </c>
      <c r="Q226">
        <v>5.5445544554455443E-3</v>
      </c>
      <c r="R226">
        <v>573</v>
      </c>
      <c r="S226">
        <v>0.72900763358778631</v>
      </c>
      <c r="T226">
        <v>2.5214521452145214E-2</v>
      </c>
      <c r="U226">
        <v>49</v>
      </c>
      <c r="V226">
        <v>6.2340966921119595E-2</v>
      </c>
      <c r="W226">
        <v>2.1562156215621563E-3</v>
      </c>
      <c r="X226">
        <v>38</v>
      </c>
      <c r="Y226">
        <v>4.8346055979643768E-2</v>
      </c>
      <c r="Z226">
        <v>1.6721672167216721E-3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">
      <c r="A227">
        <v>1331.7037847222236</v>
      </c>
      <c r="B227">
        <v>565</v>
      </c>
      <c r="C227">
        <v>42</v>
      </c>
      <c r="D227">
        <v>173</v>
      </c>
      <c r="E227">
        <v>0</v>
      </c>
      <c r="F227">
        <v>16</v>
      </c>
      <c r="G227">
        <v>24</v>
      </c>
      <c r="H227">
        <v>150</v>
      </c>
      <c r="I227">
        <v>11</v>
      </c>
      <c r="J227">
        <v>162</v>
      </c>
      <c r="K227">
        <v>56</v>
      </c>
      <c r="L227">
        <v>8940</v>
      </c>
      <c r="M227">
        <v>43</v>
      </c>
      <c r="N227">
        <v>4.8098434004474272E-3</v>
      </c>
      <c r="O227">
        <v>13</v>
      </c>
      <c r="P227">
        <v>0.30232558139534882</v>
      </c>
      <c r="Q227">
        <v>1.4541387024608501E-3</v>
      </c>
      <c r="R227">
        <v>11</v>
      </c>
      <c r="S227">
        <v>0.2558139534883721</v>
      </c>
      <c r="T227">
        <v>1.2304250559284117E-3</v>
      </c>
      <c r="U227">
        <v>5</v>
      </c>
      <c r="V227">
        <v>0.11627906976744186</v>
      </c>
      <c r="W227">
        <v>5.5928411633109618E-4</v>
      </c>
      <c r="X227">
        <v>7</v>
      </c>
      <c r="Y227">
        <v>0.16279069767441862</v>
      </c>
      <c r="Z227">
        <v>7.8299776286353472E-4</v>
      </c>
      <c r="AA227">
        <v>5</v>
      </c>
      <c r="AB227">
        <v>0.11627906976744186</v>
      </c>
      <c r="AC227">
        <v>5.5928411633109618E-4</v>
      </c>
      <c r="AD227">
        <v>2</v>
      </c>
      <c r="AE227">
        <v>4.6511627906976744E-2</v>
      </c>
      <c r="AF227">
        <v>2.2371364653243848E-4</v>
      </c>
    </row>
    <row r="228" spans="1:32" x14ac:dyDescent="0.2">
      <c r="A228">
        <v>1895.6601273148117</v>
      </c>
      <c r="B228">
        <v>561</v>
      </c>
      <c r="C228">
        <v>18</v>
      </c>
      <c r="D228">
        <v>42</v>
      </c>
      <c r="E228">
        <v>0</v>
      </c>
      <c r="F228">
        <v>6</v>
      </c>
      <c r="G228">
        <v>22</v>
      </c>
      <c r="H228">
        <v>147</v>
      </c>
      <c r="I228">
        <v>2</v>
      </c>
      <c r="J228">
        <v>123</v>
      </c>
      <c r="K228">
        <v>6</v>
      </c>
      <c r="L228">
        <v>338</v>
      </c>
      <c r="M228">
        <v>3</v>
      </c>
      <c r="N228">
        <v>8.8757396449704144E-3</v>
      </c>
      <c r="O228">
        <v>2</v>
      </c>
      <c r="P228">
        <v>0.66666666666666663</v>
      </c>
      <c r="Q228">
        <v>5.9171597633136093E-3</v>
      </c>
      <c r="R228">
        <v>1</v>
      </c>
      <c r="S228">
        <v>0.33333333333333331</v>
      </c>
      <c r="T228">
        <v>2.9585798816568047E-3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">
      <c r="A229">
        <v>2722.7651273148149</v>
      </c>
      <c r="B229">
        <v>436</v>
      </c>
      <c r="C229">
        <v>78</v>
      </c>
      <c r="D229">
        <v>412</v>
      </c>
      <c r="E229">
        <v>0</v>
      </c>
      <c r="F229">
        <v>7</v>
      </c>
      <c r="G229">
        <v>64</v>
      </c>
      <c r="H229">
        <v>366</v>
      </c>
      <c r="I229">
        <v>6</v>
      </c>
      <c r="J229">
        <v>135</v>
      </c>
      <c r="K229">
        <v>36</v>
      </c>
      <c r="L229">
        <v>11780</v>
      </c>
      <c r="M229">
        <v>29</v>
      </c>
      <c r="N229">
        <v>2.4617996604414261E-3</v>
      </c>
      <c r="O229">
        <v>16</v>
      </c>
      <c r="P229">
        <v>0.55172413793103448</v>
      </c>
      <c r="Q229">
        <v>1.3582342954159593E-3</v>
      </c>
      <c r="R229">
        <v>4</v>
      </c>
      <c r="S229">
        <v>0.13793103448275862</v>
      </c>
      <c r="T229">
        <v>3.3955857385398983E-4</v>
      </c>
      <c r="U229">
        <v>7</v>
      </c>
      <c r="V229">
        <v>0.2413793103448276</v>
      </c>
      <c r="W229">
        <v>5.9422750424448212E-4</v>
      </c>
      <c r="X229">
        <v>2</v>
      </c>
      <c r="Y229">
        <v>6.8965517241379309E-2</v>
      </c>
      <c r="Z229">
        <v>1.6977928692699492E-4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">
      <c r="A230">
        <v>3565.766770833332</v>
      </c>
      <c r="B230">
        <v>2078</v>
      </c>
      <c r="C230">
        <v>65</v>
      </c>
      <c r="D230">
        <v>295</v>
      </c>
      <c r="E230">
        <v>12</v>
      </c>
      <c r="F230">
        <v>59</v>
      </c>
      <c r="G230">
        <v>29</v>
      </c>
      <c r="H230">
        <v>231</v>
      </c>
      <c r="I230">
        <v>20</v>
      </c>
      <c r="J230">
        <v>797</v>
      </c>
      <c r="K230">
        <v>93</v>
      </c>
      <c r="L230">
        <v>5804</v>
      </c>
      <c r="M230">
        <v>207</v>
      </c>
      <c r="N230">
        <v>3.5665058580289455E-2</v>
      </c>
      <c r="O230">
        <v>106</v>
      </c>
      <c r="P230">
        <v>0.51207729468599039</v>
      </c>
      <c r="Q230">
        <v>1.826326671261199E-2</v>
      </c>
      <c r="R230">
        <v>59</v>
      </c>
      <c r="S230">
        <v>0.28502415458937197</v>
      </c>
      <c r="T230">
        <v>1.0165403170227429E-2</v>
      </c>
      <c r="U230">
        <v>19</v>
      </c>
      <c r="V230">
        <v>9.1787439613526575E-2</v>
      </c>
      <c r="W230">
        <v>3.2736044107512059E-3</v>
      </c>
      <c r="X230">
        <v>17</v>
      </c>
      <c r="Y230">
        <v>8.2125603864734303E-2</v>
      </c>
      <c r="Z230">
        <v>2.9290144727773951E-3</v>
      </c>
      <c r="AA230">
        <v>0</v>
      </c>
      <c r="AB230">
        <v>0</v>
      </c>
      <c r="AC230">
        <v>0</v>
      </c>
      <c r="AD230">
        <v>6</v>
      </c>
      <c r="AE230">
        <v>2.8985507246376812E-2</v>
      </c>
      <c r="AF230">
        <v>1.0337698139214334E-3</v>
      </c>
    </row>
    <row r="231" spans="1:32" x14ac:dyDescent="0.2">
      <c r="A231">
        <v>654.37315972222132</v>
      </c>
      <c r="B231">
        <v>779</v>
      </c>
      <c r="C231">
        <v>88</v>
      </c>
      <c r="D231">
        <v>168</v>
      </c>
      <c r="E231">
        <v>56</v>
      </c>
      <c r="F231">
        <v>9</v>
      </c>
      <c r="G231">
        <v>20</v>
      </c>
      <c r="H231">
        <v>51</v>
      </c>
      <c r="I231">
        <v>1</v>
      </c>
      <c r="J231">
        <v>804</v>
      </c>
      <c r="K231">
        <v>17</v>
      </c>
      <c r="L231">
        <v>6799</v>
      </c>
      <c r="M231">
        <v>8</v>
      </c>
      <c r="N231">
        <v>1.1766436240623621E-3</v>
      </c>
      <c r="O231">
        <v>0</v>
      </c>
      <c r="P231">
        <v>0</v>
      </c>
      <c r="Q231">
        <v>0</v>
      </c>
      <c r="R231">
        <v>8</v>
      </c>
      <c r="S231">
        <v>1</v>
      </c>
      <c r="T231">
        <v>1.1766436240623621E-3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">
      <c r="A232">
        <v>4291.296446759261</v>
      </c>
      <c r="B232">
        <v>432</v>
      </c>
      <c r="C232">
        <v>53</v>
      </c>
      <c r="D232">
        <v>179</v>
      </c>
      <c r="E232">
        <v>13</v>
      </c>
      <c r="F232">
        <v>3495</v>
      </c>
      <c r="G232">
        <v>131</v>
      </c>
      <c r="H232">
        <v>29419</v>
      </c>
      <c r="I232">
        <v>192</v>
      </c>
      <c r="J232">
        <v>81</v>
      </c>
      <c r="K232">
        <v>13</v>
      </c>
      <c r="L232">
        <v>288884</v>
      </c>
      <c r="M232">
        <v>855</v>
      </c>
      <c r="N232">
        <v>2.9596654712618214E-3</v>
      </c>
      <c r="O232">
        <v>72</v>
      </c>
      <c r="P232">
        <v>8.4210526315789472E-2</v>
      </c>
      <c r="Q232">
        <v>2.4923498705362707E-4</v>
      </c>
      <c r="R232">
        <v>297</v>
      </c>
      <c r="S232">
        <v>0.3473684210526316</v>
      </c>
      <c r="T232">
        <v>1.0280943215962117E-3</v>
      </c>
      <c r="U232">
        <v>123</v>
      </c>
      <c r="V232">
        <v>0.14385964912280702</v>
      </c>
      <c r="W232">
        <v>4.257764362166129E-4</v>
      </c>
      <c r="X232">
        <v>295</v>
      </c>
      <c r="Y232">
        <v>0.34502923976608185</v>
      </c>
      <c r="Z232">
        <v>1.0211711275113886E-3</v>
      </c>
      <c r="AA232">
        <v>0</v>
      </c>
      <c r="AB232">
        <v>0</v>
      </c>
      <c r="AC232">
        <v>0</v>
      </c>
      <c r="AD232">
        <v>68</v>
      </c>
      <c r="AE232">
        <v>7.9532163742690065E-2</v>
      </c>
      <c r="AF232">
        <v>2.3538859888398112E-4</v>
      </c>
    </row>
    <row r="233" spans="1:32" x14ac:dyDescent="0.2">
      <c r="A233">
        <v>1932.5550115740698</v>
      </c>
      <c r="B233">
        <v>493</v>
      </c>
      <c r="C233">
        <v>39</v>
      </c>
      <c r="D233">
        <v>128</v>
      </c>
      <c r="E233">
        <v>0</v>
      </c>
      <c r="F233">
        <v>0</v>
      </c>
      <c r="G233">
        <v>20</v>
      </c>
      <c r="H233">
        <v>145</v>
      </c>
      <c r="I233">
        <v>3</v>
      </c>
      <c r="J233">
        <v>179</v>
      </c>
      <c r="K233">
        <v>48</v>
      </c>
      <c r="L233">
        <v>17546</v>
      </c>
      <c r="M233">
        <v>699</v>
      </c>
      <c r="N233">
        <v>3.9838139746950871E-2</v>
      </c>
      <c r="O233">
        <v>355</v>
      </c>
      <c r="P233">
        <v>0.50786838340486407</v>
      </c>
      <c r="Q233">
        <v>2.0232531631141002E-2</v>
      </c>
      <c r="R233">
        <v>164</v>
      </c>
      <c r="S233">
        <v>0.23462088698140202</v>
      </c>
      <c r="T233">
        <v>9.3468596831186596E-3</v>
      </c>
      <c r="U233">
        <v>145</v>
      </c>
      <c r="V233">
        <v>0.20743919885550788</v>
      </c>
      <c r="W233">
        <v>8.2639917930012532E-3</v>
      </c>
      <c r="X233">
        <v>31</v>
      </c>
      <c r="Y233">
        <v>4.4349070100143065E-2</v>
      </c>
      <c r="Z233">
        <v>1.7667844522968198E-3</v>
      </c>
      <c r="AA233">
        <v>4</v>
      </c>
      <c r="AB233">
        <v>5.7224606580829757E-3</v>
      </c>
      <c r="AC233">
        <v>2.2797218739313804E-4</v>
      </c>
      <c r="AD233">
        <v>0</v>
      </c>
      <c r="AE233">
        <v>0</v>
      </c>
      <c r="AF233">
        <v>0</v>
      </c>
    </row>
    <row r="234" spans="1:32" x14ac:dyDescent="0.2">
      <c r="A234">
        <v>3064.5519907407433</v>
      </c>
      <c r="B234">
        <v>2078</v>
      </c>
      <c r="C234">
        <v>67</v>
      </c>
      <c r="D234">
        <v>596</v>
      </c>
      <c r="E234">
        <v>0</v>
      </c>
      <c r="F234">
        <v>13</v>
      </c>
      <c r="G234">
        <v>154</v>
      </c>
      <c r="H234">
        <v>520</v>
      </c>
      <c r="I234">
        <v>25</v>
      </c>
      <c r="J234">
        <v>741</v>
      </c>
      <c r="K234">
        <v>79</v>
      </c>
      <c r="L234">
        <v>4113</v>
      </c>
      <c r="M234">
        <v>8</v>
      </c>
      <c r="N234">
        <v>1.9450522732798443E-3</v>
      </c>
      <c r="O234">
        <v>4</v>
      </c>
      <c r="P234">
        <v>0.5</v>
      </c>
      <c r="Q234">
        <v>9.7252613663992217E-4</v>
      </c>
      <c r="R234">
        <v>0</v>
      </c>
      <c r="S234">
        <v>0</v>
      </c>
      <c r="T234">
        <v>0</v>
      </c>
      <c r="U234">
        <v>1</v>
      </c>
      <c r="V234">
        <v>0.125</v>
      </c>
      <c r="W234">
        <v>2.4313153415998054E-4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3</v>
      </c>
      <c r="AE234">
        <v>0.375</v>
      </c>
      <c r="AF234">
        <v>7.2939460247994166E-4</v>
      </c>
    </row>
    <row r="235" spans="1:32" x14ac:dyDescent="0.2">
      <c r="A235">
        <v>3774.0187847222187</v>
      </c>
      <c r="B235">
        <v>4843</v>
      </c>
      <c r="C235">
        <v>284</v>
      </c>
      <c r="D235">
        <v>1730</v>
      </c>
      <c r="E235">
        <v>3</v>
      </c>
      <c r="F235">
        <v>410</v>
      </c>
      <c r="G235">
        <v>252</v>
      </c>
      <c r="H235">
        <v>2338</v>
      </c>
      <c r="I235">
        <v>13</v>
      </c>
      <c r="J235">
        <v>1341</v>
      </c>
      <c r="K235">
        <v>105</v>
      </c>
      <c r="L235">
        <v>31334</v>
      </c>
      <c r="M235">
        <v>143</v>
      </c>
      <c r="N235">
        <v>4.5637326865385847E-3</v>
      </c>
      <c r="O235">
        <v>1</v>
      </c>
      <c r="P235">
        <v>6.993006993006993E-3</v>
      </c>
      <c r="Q235">
        <v>3.1914214591178912E-5</v>
      </c>
      <c r="R235">
        <v>48</v>
      </c>
      <c r="S235">
        <v>0.33566433566433568</v>
      </c>
      <c r="T235">
        <v>1.5318823003765878E-3</v>
      </c>
      <c r="U235">
        <v>29</v>
      </c>
      <c r="V235">
        <v>0.20279720279720279</v>
      </c>
      <c r="W235">
        <v>9.2551222314418843E-4</v>
      </c>
      <c r="X235">
        <v>62</v>
      </c>
      <c r="Y235">
        <v>0.43356643356643354</v>
      </c>
      <c r="Z235">
        <v>1.9786813046530926E-3</v>
      </c>
      <c r="AA235">
        <v>0</v>
      </c>
      <c r="AB235">
        <v>0</v>
      </c>
      <c r="AC235">
        <v>0</v>
      </c>
      <c r="AD235">
        <v>3</v>
      </c>
      <c r="AE235">
        <v>2.097902097902098E-2</v>
      </c>
      <c r="AF235">
        <v>9.5742643773536737E-5</v>
      </c>
    </row>
    <row r="236" spans="1:32" x14ac:dyDescent="0.2">
      <c r="A236">
        <v>2130.3175925925971</v>
      </c>
      <c r="B236">
        <v>666</v>
      </c>
      <c r="C236">
        <v>47</v>
      </c>
      <c r="D236">
        <v>161</v>
      </c>
      <c r="E236">
        <v>31</v>
      </c>
      <c r="F236">
        <v>23</v>
      </c>
      <c r="G236">
        <v>59</v>
      </c>
      <c r="H236">
        <v>183</v>
      </c>
      <c r="I236">
        <v>2</v>
      </c>
      <c r="J236">
        <v>376</v>
      </c>
      <c r="K236">
        <v>92</v>
      </c>
      <c r="L236">
        <v>3660</v>
      </c>
      <c r="M236">
        <v>4</v>
      </c>
      <c r="N236">
        <v>1.092896174863388E-3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4</v>
      </c>
      <c r="V236">
        <v>1</v>
      </c>
      <c r="W236">
        <v>1.092896174863388E-3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">
      <c r="A237">
        <v>3498.7065046296266</v>
      </c>
      <c r="B237">
        <v>507</v>
      </c>
      <c r="C237">
        <v>18</v>
      </c>
      <c r="D237">
        <v>134</v>
      </c>
      <c r="E237">
        <v>0</v>
      </c>
      <c r="F237">
        <v>7</v>
      </c>
      <c r="G237">
        <v>75</v>
      </c>
      <c r="H237">
        <v>246</v>
      </c>
      <c r="I237">
        <v>7</v>
      </c>
      <c r="J237">
        <v>364</v>
      </c>
      <c r="K237">
        <v>40</v>
      </c>
      <c r="L237">
        <v>4145</v>
      </c>
      <c r="M237">
        <v>3</v>
      </c>
      <c r="N237">
        <v>7.2376357056694817E-4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0.33333333333333331</v>
      </c>
      <c r="Z237">
        <v>2.4125452352231604E-4</v>
      </c>
      <c r="AA237">
        <v>1</v>
      </c>
      <c r="AB237">
        <v>0.33333333333333331</v>
      </c>
      <c r="AC237">
        <v>2.4125452352231604E-4</v>
      </c>
      <c r="AD237">
        <v>1</v>
      </c>
      <c r="AE237">
        <v>0.33333333333333331</v>
      </c>
      <c r="AF237">
        <v>2.4125452352231604E-4</v>
      </c>
    </row>
    <row r="238" spans="1:32" x14ac:dyDescent="0.2">
      <c r="A238">
        <v>1947.2296759259261</v>
      </c>
      <c r="B238">
        <v>584</v>
      </c>
      <c r="C238">
        <v>12</v>
      </c>
      <c r="D238">
        <v>60</v>
      </c>
      <c r="E238">
        <v>0</v>
      </c>
      <c r="F238">
        <v>0</v>
      </c>
      <c r="G238">
        <v>17</v>
      </c>
      <c r="H238">
        <v>26</v>
      </c>
      <c r="I238">
        <v>0</v>
      </c>
      <c r="J238">
        <v>61</v>
      </c>
      <c r="K238">
        <v>12</v>
      </c>
      <c r="L238">
        <v>165</v>
      </c>
      <c r="M238">
        <v>3</v>
      </c>
      <c r="N238">
        <v>1.8181818181818181E-2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</v>
      </c>
      <c r="Y238">
        <v>1</v>
      </c>
      <c r="Z238">
        <v>1.8181818181818181E-2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">
      <c r="A239">
        <v>175.38392361110891</v>
      </c>
      <c r="B239">
        <v>517</v>
      </c>
      <c r="C239">
        <v>13</v>
      </c>
      <c r="D239">
        <v>197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21</v>
      </c>
      <c r="K239">
        <v>13</v>
      </c>
      <c r="L239">
        <v>31319</v>
      </c>
      <c r="M239">
        <v>119</v>
      </c>
      <c r="N239">
        <v>3.7996104601040904E-3</v>
      </c>
      <c r="O239">
        <v>0</v>
      </c>
      <c r="P239">
        <v>0</v>
      </c>
      <c r="Q239">
        <v>0</v>
      </c>
      <c r="R239">
        <v>111</v>
      </c>
      <c r="S239">
        <v>0.9327731092436975</v>
      </c>
      <c r="T239">
        <v>3.5441744627861681E-3</v>
      </c>
      <c r="U239">
        <v>2</v>
      </c>
      <c r="V239">
        <v>1.680672268907563E-2</v>
      </c>
      <c r="W239">
        <v>6.3858999329480506E-5</v>
      </c>
      <c r="X239">
        <v>6</v>
      </c>
      <c r="Y239">
        <v>5.0420168067226892E-2</v>
      </c>
      <c r="Z239">
        <v>1.9157699798844153E-4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">
      <c r="A240">
        <v>1138.0635648148163</v>
      </c>
      <c r="B240">
        <v>4659</v>
      </c>
      <c r="C240">
        <v>162</v>
      </c>
      <c r="D240">
        <v>1053</v>
      </c>
      <c r="E240">
        <v>10</v>
      </c>
      <c r="F240">
        <v>17</v>
      </c>
      <c r="G240">
        <v>110</v>
      </c>
      <c r="H240">
        <v>898</v>
      </c>
      <c r="I240">
        <v>13</v>
      </c>
      <c r="J240">
        <v>750</v>
      </c>
      <c r="K240">
        <v>370</v>
      </c>
      <c r="L240">
        <v>52946</v>
      </c>
      <c r="M240">
        <v>425</v>
      </c>
      <c r="N240">
        <v>8.0270464246590869E-3</v>
      </c>
      <c r="O240">
        <v>16</v>
      </c>
      <c r="P240">
        <v>3.7647058823529408E-2</v>
      </c>
      <c r="Q240">
        <v>3.021946889283421E-4</v>
      </c>
      <c r="R240">
        <v>318</v>
      </c>
      <c r="S240">
        <v>0.74823529411764711</v>
      </c>
      <c r="T240">
        <v>6.006119442450799E-3</v>
      </c>
      <c r="U240">
        <v>88</v>
      </c>
      <c r="V240">
        <v>0.20705882352941177</v>
      </c>
      <c r="W240">
        <v>1.6620707891058814E-3</v>
      </c>
      <c r="X240">
        <v>2</v>
      </c>
      <c r="Y240">
        <v>4.7058823529411761E-3</v>
      </c>
      <c r="Z240">
        <v>3.7774336116042762E-5</v>
      </c>
      <c r="AA240">
        <v>0</v>
      </c>
      <c r="AB240">
        <v>0</v>
      </c>
      <c r="AC240">
        <v>0</v>
      </c>
      <c r="AD240">
        <v>1</v>
      </c>
      <c r="AE240">
        <v>2.352941176470588E-3</v>
      </c>
      <c r="AF240">
        <v>1.8887168058021381E-5</v>
      </c>
    </row>
    <row r="241" spans="1:32" x14ac:dyDescent="0.2">
      <c r="A241">
        <v>1959.5018055555556</v>
      </c>
      <c r="B241">
        <v>1119</v>
      </c>
      <c r="C241">
        <v>64</v>
      </c>
      <c r="D241">
        <v>111</v>
      </c>
      <c r="E241">
        <v>0</v>
      </c>
      <c r="F241">
        <v>17</v>
      </c>
      <c r="G241">
        <v>11</v>
      </c>
      <c r="H241">
        <v>94</v>
      </c>
      <c r="I241">
        <v>2</v>
      </c>
      <c r="J241">
        <v>96</v>
      </c>
      <c r="K241">
        <v>26</v>
      </c>
      <c r="L241">
        <v>9222</v>
      </c>
      <c r="M241">
        <v>36</v>
      </c>
      <c r="N241">
        <v>3.9037085230969422E-3</v>
      </c>
      <c r="O241">
        <v>19</v>
      </c>
      <c r="P241">
        <v>0.52777777777777779</v>
      </c>
      <c r="Q241">
        <v>2.0602906094122752E-3</v>
      </c>
      <c r="R241">
        <v>14</v>
      </c>
      <c r="S241">
        <v>0.3888888888888889</v>
      </c>
      <c r="T241">
        <v>1.5181088700932553E-3</v>
      </c>
      <c r="U241">
        <v>2</v>
      </c>
      <c r="V241">
        <v>5.5555555555555552E-2</v>
      </c>
      <c r="W241">
        <v>2.1687269572760788E-4</v>
      </c>
      <c r="X241">
        <v>1</v>
      </c>
      <c r="Y241">
        <v>2.7777777777777776E-2</v>
      </c>
      <c r="Z241">
        <v>1.0843634786380394E-4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">
      <c r="A242">
        <v>2581.5659259259264</v>
      </c>
      <c r="B242">
        <v>655</v>
      </c>
      <c r="C242">
        <v>25</v>
      </c>
      <c r="D242">
        <v>139</v>
      </c>
      <c r="E242">
        <v>9</v>
      </c>
      <c r="F242">
        <v>236</v>
      </c>
      <c r="G242">
        <v>24</v>
      </c>
      <c r="H242">
        <v>435</v>
      </c>
      <c r="I242">
        <v>7</v>
      </c>
      <c r="J242">
        <v>401</v>
      </c>
      <c r="K242">
        <v>38</v>
      </c>
      <c r="L242">
        <v>6328</v>
      </c>
      <c r="M242">
        <v>67</v>
      </c>
      <c r="N242">
        <v>1.0587863463969659E-2</v>
      </c>
      <c r="O242">
        <v>13</v>
      </c>
      <c r="P242">
        <v>0.19402985074626866</v>
      </c>
      <c r="Q242">
        <v>2.0543615676359038E-3</v>
      </c>
      <c r="R242">
        <v>16</v>
      </c>
      <c r="S242">
        <v>0.23880597014925373</v>
      </c>
      <c r="T242">
        <v>2.5284450063211127E-3</v>
      </c>
      <c r="U242">
        <v>15</v>
      </c>
      <c r="V242">
        <v>0.22388059701492538</v>
      </c>
      <c r="W242">
        <v>2.3704171934260431E-3</v>
      </c>
      <c r="X242">
        <v>11</v>
      </c>
      <c r="Y242">
        <v>0.16417910447761194</v>
      </c>
      <c r="Z242">
        <v>1.7383059418457649E-3</v>
      </c>
      <c r="AA242">
        <v>0</v>
      </c>
      <c r="AB242">
        <v>0</v>
      </c>
      <c r="AC242">
        <v>0</v>
      </c>
      <c r="AD242">
        <v>12</v>
      </c>
      <c r="AE242">
        <v>0.17910447761194029</v>
      </c>
      <c r="AF242">
        <v>1.8963337547408343E-3</v>
      </c>
    </row>
    <row r="243" spans="1:32" x14ac:dyDescent="0.2">
      <c r="A243">
        <v>2357.0123726851816</v>
      </c>
      <c r="B243">
        <v>553</v>
      </c>
      <c r="C243">
        <v>32</v>
      </c>
      <c r="D243">
        <v>81</v>
      </c>
      <c r="E243">
        <v>24</v>
      </c>
      <c r="F243">
        <v>7</v>
      </c>
      <c r="G243">
        <v>6</v>
      </c>
      <c r="H243">
        <v>21</v>
      </c>
      <c r="I243">
        <v>2</v>
      </c>
      <c r="J243">
        <v>52</v>
      </c>
      <c r="K243">
        <v>4</v>
      </c>
      <c r="L243">
        <v>18246</v>
      </c>
      <c r="M243">
        <v>83</v>
      </c>
      <c r="N243">
        <v>4.5489422339142823E-3</v>
      </c>
      <c r="O243">
        <v>29</v>
      </c>
      <c r="P243">
        <v>0.3493975903614458</v>
      </c>
      <c r="Q243">
        <v>1.5893894552230627E-3</v>
      </c>
      <c r="R243">
        <v>5</v>
      </c>
      <c r="S243">
        <v>6.0240963855421686E-2</v>
      </c>
      <c r="T243">
        <v>2.7403266469363147E-4</v>
      </c>
      <c r="U243">
        <v>3</v>
      </c>
      <c r="V243">
        <v>3.614457831325301E-2</v>
      </c>
      <c r="W243">
        <v>1.6441959881617889E-4</v>
      </c>
      <c r="X243">
        <v>45</v>
      </c>
      <c r="Y243">
        <v>0.54216867469879515</v>
      </c>
      <c r="Z243">
        <v>2.4662939822426835E-3</v>
      </c>
      <c r="AA243">
        <v>0</v>
      </c>
      <c r="AB243">
        <v>0</v>
      </c>
      <c r="AC243">
        <v>0</v>
      </c>
      <c r="AD243">
        <v>1</v>
      </c>
      <c r="AE243">
        <v>1.2048192771084338E-2</v>
      </c>
      <c r="AF243">
        <v>5.4806532938726295E-5</v>
      </c>
    </row>
    <row r="244" spans="1:32" x14ac:dyDescent="0.2">
      <c r="A244">
        <v>1065.8881944444438</v>
      </c>
      <c r="B244">
        <v>4596</v>
      </c>
      <c r="C244">
        <v>105</v>
      </c>
      <c r="D244">
        <v>944</v>
      </c>
      <c r="E244">
        <v>13</v>
      </c>
      <c r="F244">
        <v>14</v>
      </c>
      <c r="G244">
        <v>56</v>
      </c>
      <c r="H244">
        <v>417</v>
      </c>
      <c r="I244">
        <v>11</v>
      </c>
      <c r="J244">
        <v>862</v>
      </c>
      <c r="K244">
        <v>117</v>
      </c>
      <c r="L244">
        <v>4074</v>
      </c>
      <c r="M244">
        <v>1</v>
      </c>
      <c r="N244">
        <v>2.4545900834560628E-4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2.4545900834560628E-4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">
      <c r="A245">
        <v>2914.2060648148181</v>
      </c>
      <c r="B245">
        <v>2882</v>
      </c>
      <c r="C245">
        <v>193</v>
      </c>
      <c r="D245">
        <v>834</v>
      </c>
      <c r="E245">
        <v>0</v>
      </c>
      <c r="F245">
        <v>14</v>
      </c>
      <c r="G245">
        <v>116</v>
      </c>
      <c r="H245">
        <v>457</v>
      </c>
      <c r="I245">
        <v>11</v>
      </c>
      <c r="J245">
        <v>646</v>
      </c>
      <c r="K245">
        <v>179</v>
      </c>
      <c r="L245">
        <v>4866</v>
      </c>
      <c r="M245">
        <v>105</v>
      </c>
      <c r="N245">
        <v>2.1578298397040691E-2</v>
      </c>
      <c r="O245">
        <v>55</v>
      </c>
      <c r="P245">
        <v>0.52380952380952384</v>
      </c>
      <c r="Q245">
        <v>1.1302918207973694E-2</v>
      </c>
      <c r="R245">
        <v>25</v>
      </c>
      <c r="S245">
        <v>0.23809523809523808</v>
      </c>
      <c r="T245">
        <v>5.1376900945334977E-3</v>
      </c>
      <c r="U245">
        <v>18</v>
      </c>
      <c r="V245">
        <v>0.17142857142857143</v>
      </c>
      <c r="W245">
        <v>3.6991368680641184E-3</v>
      </c>
      <c r="X245">
        <v>6</v>
      </c>
      <c r="Y245">
        <v>5.7142857142857141E-2</v>
      </c>
      <c r="Z245">
        <v>1.2330456226880395E-3</v>
      </c>
      <c r="AA245">
        <v>0</v>
      </c>
      <c r="AB245">
        <v>0</v>
      </c>
      <c r="AC245">
        <v>0</v>
      </c>
      <c r="AD245">
        <v>1</v>
      </c>
      <c r="AE245">
        <v>9.5238095238095247E-3</v>
      </c>
      <c r="AF245">
        <v>2.055076037813399E-4</v>
      </c>
    </row>
    <row r="246" spans="1:32" x14ac:dyDescent="0.2">
      <c r="A246">
        <v>2677.6495138888858</v>
      </c>
      <c r="B246">
        <v>22299</v>
      </c>
      <c r="C246">
        <v>694</v>
      </c>
      <c r="D246">
        <v>3533</v>
      </c>
      <c r="E246">
        <v>149</v>
      </c>
      <c r="F246">
        <v>105</v>
      </c>
      <c r="G246">
        <v>375</v>
      </c>
      <c r="H246">
        <v>2792</v>
      </c>
      <c r="I246">
        <v>77</v>
      </c>
      <c r="J246">
        <v>5383</v>
      </c>
      <c r="K246">
        <v>439</v>
      </c>
      <c r="L246">
        <v>16458</v>
      </c>
      <c r="M246">
        <v>98</v>
      </c>
      <c r="N246">
        <v>5.9545509782476611E-3</v>
      </c>
      <c r="O246">
        <v>15</v>
      </c>
      <c r="P246">
        <v>0.15306122448979592</v>
      </c>
      <c r="Q246">
        <v>9.1141086401749912E-4</v>
      </c>
      <c r="R246">
        <v>25</v>
      </c>
      <c r="S246">
        <v>0.25510204081632654</v>
      </c>
      <c r="T246">
        <v>1.5190181066958319E-3</v>
      </c>
      <c r="U246">
        <v>40</v>
      </c>
      <c r="V246">
        <v>0.40816326530612246</v>
      </c>
      <c r="W246">
        <v>2.430428970713331E-3</v>
      </c>
      <c r="X246">
        <v>18</v>
      </c>
      <c r="Y246">
        <v>0.18367346938775511</v>
      </c>
      <c r="Z246">
        <v>1.0936930368209989E-3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">
      <c r="A247">
        <v>2876.9420023148123</v>
      </c>
      <c r="B247">
        <v>5196</v>
      </c>
      <c r="C247">
        <v>189</v>
      </c>
      <c r="D247">
        <v>1369</v>
      </c>
      <c r="E247">
        <v>73</v>
      </c>
      <c r="F247">
        <v>54</v>
      </c>
      <c r="G247">
        <v>359</v>
      </c>
      <c r="H247">
        <v>1420</v>
      </c>
      <c r="I247">
        <v>81</v>
      </c>
      <c r="J247">
        <v>1384</v>
      </c>
      <c r="K247">
        <v>321</v>
      </c>
      <c r="L247">
        <v>15264</v>
      </c>
      <c r="M247">
        <v>38</v>
      </c>
      <c r="N247">
        <v>2.489517819706499E-3</v>
      </c>
      <c r="O247">
        <v>36</v>
      </c>
      <c r="P247">
        <v>0.94736842105263153</v>
      </c>
      <c r="Q247">
        <v>2.3584905660377358E-3</v>
      </c>
      <c r="R247">
        <v>1</v>
      </c>
      <c r="S247">
        <v>2.6315789473684209E-2</v>
      </c>
      <c r="T247">
        <v>6.5513626834381555E-5</v>
      </c>
      <c r="U247">
        <v>1</v>
      </c>
      <c r="V247">
        <v>2.6315789473684209E-2</v>
      </c>
      <c r="W247">
        <v>6.5513626834381555E-5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">
      <c r="A248">
        <v>1774.1990856481425</v>
      </c>
      <c r="B248">
        <v>1153</v>
      </c>
      <c r="C248">
        <v>85</v>
      </c>
      <c r="D248">
        <v>537</v>
      </c>
      <c r="E248">
        <v>0</v>
      </c>
      <c r="F248">
        <v>0</v>
      </c>
      <c r="G248">
        <v>7</v>
      </c>
      <c r="H248">
        <v>17</v>
      </c>
      <c r="I248">
        <v>2</v>
      </c>
      <c r="J248">
        <v>69</v>
      </c>
      <c r="K248">
        <v>3</v>
      </c>
      <c r="L248">
        <v>7108</v>
      </c>
      <c r="M248">
        <v>7</v>
      </c>
      <c r="N248">
        <v>9.8480585256049513E-4</v>
      </c>
      <c r="O248">
        <v>0</v>
      </c>
      <c r="P248">
        <v>0</v>
      </c>
      <c r="Q248">
        <v>0</v>
      </c>
      <c r="R248">
        <v>2</v>
      </c>
      <c r="S248">
        <v>0.2857142857142857</v>
      </c>
      <c r="T248">
        <v>2.8137310073157008E-4</v>
      </c>
      <c r="U248">
        <v>2</v>
      </c>
      <c r="V248">
        <v>0.2857142857142857</v>
      </c>
      <c r="W248">
        <v>2.8137310073157008E-4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</v>
      </c>
      <c r="AE248">
        <v>0.42857142857142855</v>
      </c>
      <c r="AF248">
        <v>4.2205965109735509E-4</v>
      </c>
    </row>
    <row r="249" spans="1:32" x14ac:dyDescent="0.2">
      <c r="A249">
        <v>2266.9762268518534</v>
      </c>
      <c r="B249">
        <v>20927</v>
      </c>
      <c r="C249">
        <v>1636</v>
      </c>
      <c r="D249">
        <v>6106</v>
      </c>
      <c r="E249">
        <v>0</v>
      </c>
      <c r="F249">
        <v>1</v>
      </c>
      <c r="G249">
        <v>12</v>
      </c>
      <c r="H249">
        <v>50</v>
      </c>
      <c r="I249">
        <v>11</v>
      </c>
      <c r="J249">
        <v>30</v>
      </c>
      <c r="K249">
        <v>9</v>
      </c>
      <c r="L249">
        <v>3730</v>
      </c>
      <c r="M249">
        <v>8</v>
      </c>
      <c r="N249">
        <v>2.1447721179624667E-3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8</v>
      </c>
      <c r="V249">
        <v>1</v>
      </c>
      <c r="W249">
        <v>2.1447721179624667E-3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">
      <c r="A250">
        <v>1811.5480092592552</v>
      </c>
      <c r="B250">
        <v>7024</v>
      </c>
      <c r="C250">
        <v>126</v>
      </c>
      <c r="D250">
        <v>367</v>
      </c>
      <c r="E250">
        <v>5</v>
      </c>
      <c r="F250">
        <v>3</v>
      </c>
      <c r="G250">
        <v>28</v>
      </c>
      <c r="H250">
        <v>88</v>
      </c>
      <c r="I250">
        <v>11</v>
      </c>
      <c r="J250">
        <v>99</v>
      </c>
      <c r="K250">
        <v>39</v>
      </c>
      <c r="L250">
        <v>39313</v>
      </c>
      <c r="M250">
        <v>190</v>
      </c>
      <c r="N250">
        <v>4.8330068933940427E-3</v>
      </c>
      <c r="O250">
        <v>13</v>
      </c>
      <c r="P250">
        <v>6.8421052631578952E-2</v>
      </c>
      <c r="Q250">
        <v>3.3067941902169767E-4</v>
      </c>
      <c r="R250">
        <v>50</v>
      </c>
      <c r="S250">
        <v>0.26315789473684209</v>
      </c>
      <c r="T250">
        <v>1.2718439193142217E-3</v>
      </c>
      <c r="U250">
        <v>64</v>
      </c>
      <c r="V250">
        <v>0.33684210526315789</v>
      </c>
      <c r="W250">
        <v>1.6279602167222039E-3</v>
      </c>
      <c r="X250">
        <v>63</v>
      </c>
      <c r="Y250">
        <v>0.33157894736842103</v>
      </c>
      <c r="Z250">
        <v>1.6025233383359194E-3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">
      <c r="A251">
        <v>2054.052650462967</v>
      </c>
      <c r="B251">
        <v>4724</v>
      </c>
      <c r="C251">
        <v>110</v>
      </c>
      <c r="D251">
        <v>251</v>
      </c>
      <c r="E251">
        <v>8</v>
      </c>
      <c r="F251">
        <v>12</v>
      </c>
      <c r="G251">
        <v>8</v>
      </c>
      <c r="H251">
        <v>31</v>
      </c>
      <c r="I251">
        <v>6</v>
      </c>
      <c r="J251">
        <v>91</v>
      </c>
      <c r="K251">
        <v>30</v>
      </c>
      <c r="L251">
        <v>1481</v>
      </c>
      <c r="M251">
        <v>4</v>
      </c>
      <c r="N251">
        <v>2.7008777852802163E-3</v>
      </c>
      <c r="O251">
        <v>3</v>
      </c>
      <c r="P251">
        <v>0.75</v>
      </c>
      <c r="Q251">
        <v>2.0256583389601621E-3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0.25</v>
      </c>
      <c r="Z251">
        <v>6.7521944632005406E-4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">
      <c r="A252">
        <v>3283.1779513888832</v>
      </c>
      <c r="B252">
        <v>2657</v>
      </c>
      <c r="C252">
        <v>273</v>
      </c>
      <c r="D252">
        <v>541</v>
      </c>
      <c r="E252">
        <v>4</v>
      </c>
      <c r="F252">
        <v>6</v>
      </c>
      <c r="G252">
        <v>22</v>
      </c>
      <c r="H252">
        <v>30</v>
      </c>
      <c r="I252">
        <v>0</v>
      </c>
      <c r="J252">
        <v>60</v>
      </c>
      <c r="K252">
        <v>0</v>
      </c>
      <c r="L252">
        <v>16051</v>
      </c>
      <c r="M252">
        <v>265</v>
      </c>
      <c r="N252">
        <v>1.6509874774157374E-2</v>
      </c>
      <c r="O252">
        <v>93</v>
      </c>
      <c r="P252">
        <v>0.35094339622641507</v>
      </c>
      <c r="Q252">
        <v>5.7940315245156061E-3</v>
      </c>
      <c r="R252">
        <v>43</v>
      </c>
      <c r="S252">
        <v>0.16226415094339622</v>
      </c>
      <c r="T252">
        <v>2.6789608124104416E-3</v>
      </c>
      <c r="U252">
        <v>80</v>
      </c>
      <c r="V252">
        <v>0.30188679245283018</v>
      </c>
      <c r="W252">
        <v>4.9841131393682635E-3</v>
      </c>
      <c r="X252">
        <v>34</v>
      </c>
      <c r="Y252">
        <v>0.12830188679245283</v>
      </c>
      <c r="Z252">
        <v>2.118248084231512E-3</v>
      </c>
      <c r="AA252">
        <v>1</v>
      </c>
      <c r="AB252">
        <v>3.7735849056603774E-3</v>
      </c>
      <c r="AC252">
        <v>6.2301414242103292E-5</v>
      </c>
      <c r="AD252">
        <v>14</v>
      </c>
      <c r="AE252">
        <v>5.2830188679245285E-2</v>
      </c>
      <c r="AF252">
        <v>8.7221979938944616E-4</v>
      </c>
    </row>
    <row r="253" spans="1:32" x14ac:dyDescent="0.2">
      <c r="A253">
        <v>993.19758101851767</v>
      </c>
      <c r="B253">
        <v>332</v>
      </c>
      <c r="C253">
        <v>27</v>
      </c>
      <c r="D253">
        <v>47</v>
      </c>
      <c r="E253">
        <v>0</v>
      </c>
      <c r="F253">
        <v>1</v>
      </c>
      <c r="G253">
        <v>6</v>
      </c>
      <c r="H253">
        <v>119</v>
      </c>
      <c r="I253">
        <v>24</v>
      </c>
      <c r="J253">
        <v>11</v>
      </c>
      <c r="K253">
        <v>5</v>
      </c>
      <c r="L253">
        <v>7747</v>
      </c>
      <c r="M253">
        <v>592</v>
      </c>
      <c r="N253">
        <v>7.6416677423518778E-2</v>
      </c>
      <c r="O253">
        <v>359</v>
      </c>
      <c r="P253">
        <v>0.60641891891891897</v>
      </c>
      <c r="Q253">
        <v>4.6340518910546018E-2</v>
      </c>
      <c r="R253">
        <v>2</v>
      </c>
      <c r="S253">
        <v>3.3783783783783786E-3</v>
      </c>
      <c r="T253">
        <v>2.5816445075513099E-4</v>
      </c>
      <c r="U253">
        <v>4</v>
      </c>
      <c r="V253">
        <v>6.7567567567567571E-3</v>
      </c>
      <c r="W253">
        <v>5.1632890151026198E-4</v>
      </c>
      <c r="X253">
        <v>77</v>
      </c>
      <c r="Y253">
        <v>0.13006756756756757</v>
      </c>
      <c r="Z253">
        <v>9.9393313540725448E-3</v>
      </c>
      <c r="AA253">
        <v>0</v>
      </c>
      <c r="AB253">
        <v>0</v>
      </c>
      <c r="AC253">
        <v>0</v>
      </c>
      <c r="AD253">
        <v>150</v>
      </c>
      <c r="AE253">
        <v>0.2533783783783784</v>
      </c>
      <c r="AF253">
        <v>1.9362333806634827E-2</v>
      </c>
    </row>
    <row r="254" spans="1:32" x14ac:dyDescent="0.2">
      <c r="A254">
        <v>2706.8546180555568</v>
      </c>
      <c r="B254">
        <v>3260</v>
      </c>
      <c r="C254">
        <v>164</v>
      </c>
      <c r="D254">
        <v>980</v>
      </c>
      <c r="E254">
        <v>4</v>
      </c>
      <c r="F254">
        <v>18</v>
      </c>
      <c r="G254">
        <v>121</v>
      </c>
      <c r="H254">
        <v>594</v>
      </c>
      <c r="I254">
        <v>26</v>
      </c>
      <c r="J254">
        <v>1013</v>
      </c>
      <c r="K254">
        <v>80</v>
      </c>
      <c r="L254">
        <v>18763</v>
      </c>
      <c r="M254">
        <v>255</v>
      </c>
      <c r="N254">
        <v>1.3590577199808133E-2</v>
      </c>
      <c r="O254">
        <v>36</v>
      </c>
      <c r="P254">
        <v>0.14117647058823529</v>
      </c>
      <c r="Q254">
        <v>1.9186697223258541E-3</v>
      </c>
      <c r="R254">
        <v>59</v>
      </c>
      <c r="S254">
        <v>0.23137254901960785</v>
      </c>
      <c r="T254">
        <v>3.1444864893673719E-3</v>
      </c>
      <c r="U254">
        <v>35</v>
      </c>
      <c r="V254">
        <v>0.13725490196078433</v>
      </c>
      <c r="W254">
        <v>1.8653733411501359E-3</v>
      </c>
      <c r="X254">
        <v>113</v>
      </c>
      <c r="Y254">
        <v>0.44313725490196076</v>
      </c>
      <c r="Z254">
        <v>6.022491072856153E-3</v>
      </c>
      <c r="AA254">
        <v>0</v>
      </c>
      <c r="AB254">
        <v>0</v>
      </c>
      <c r="AC254">
        <v>0</v>
      </c>
      <c r="AD254">
        <v>12</v>
      </c>
      <c r="AE254">
        <v>4.7058823529411764E-2</v>
      </c>
      <c r="AF254">
        <v>6.3955657410861807E-4</v>
      </c>
    </row>
    <row r="255" spans="1:32" x14ac:dyDescent="0.2">
      <c r="A255">
        <v>1689.4093518518494</v>
      </c>
      <c r="B255">
        <v>683</v>
      </c>
      <c r="C255">
        <v>104</v>
      </c>
      <c r="D255">
        <v>157</v>
      </c>
      <c r="E255">
        <v>12</v>
      </c>
      <c r="F255">
        <v>2</v>
      </c>
      <c r="G255">
        <v>17</v>
      </c>
      <c r="H255">
        <v>202</v>
      </c>
      <c r="I255">
        <v>1</v>
      </c>
      <c r="J255">
        <v>122</v>
      </c>
      <c r="K255">
        <v>5</v>
      </c>
      <c r="L255">
        <v>13803</v>
      </c>
      <c r="M255">
        <v>427</v>
      </c>
      <c r="N255">
        <v>3.0935303919437804E-2</v>
      </c>
      <c r="O255">
        <v>38</v>
      </c>
      <c r="P255">
        <v>8.899297423887588E-2</v>
      </c>
      <c r="Q255">
        <v>2.7530247047743246E-3</v>
      </c>
      <c r="R255">
        <v>277</v>
      </c>
      <c r="S255">
        <v>0.64871194379391106</v>
      </c>
      <c r="T255">
        <v>2.0068101137433892E-2</v>
      </c>
      <c r="U255">
        <v>38</v>
      </c>
      <c r="V255">
        <v>8.899297423887588E-2</v>
      </c>
      <c r="W255">
        <v>2.7530247047743246E-3</v>
      </c>
      <c r="X255">
        <v>13</v>
      </c>
      <c r="Y255">
        <v>3.0444964871194378E-2</v>
      </c>
      <c r="Z255">
        <v>9.4182424110700574E-4</v>
      </c>
      <c r="AA255">
        <v>0</v>
      </c>
      <c r="AB255">
        <v>0</v>
      </c>
      <c r="AC255">
        <v>0</v>
      </c>
      <c r="AD255">
        <v>61</v>
      </c>
      <c r="AE255">
        <v>0.14285714285714285</v>
      </c>
      <c r="AF255">
        <v>4.4193291313482574E-3</v>
      </c>
    </row>
    <row r="256" spans="1:32" x14ac:dyDescent="0.2">
      <c r="A256">
        <v>1813.6634143518531</v>
      </c>
      <c r="B256">
        <v>1128</v>
      </c>
      <c r="C256">
        <v>85</v>
      </c>
      <c r="D256">
        <v>171</v>
      </c>
      <c r="E256">
        <v>12</v>
      </c>
      <c r="F256">
        <v>0</v>
      </c>
      <c r="G256">
        <v>16</v>
      </c>
      <c r="H256">
        <v>62</v>
      </c>
      <c r="I256">
        <v>3</v>
      </c>
      <c r="J256">
        <v>91</v>
      </c>
      <c r="K256">
        <v>33</v>
      </c>
      <c r="L256">
        <v>3963</v>
      </c>
      <c r="M256">
        <v>21</v>
      </c>
      <c r="N256">
        <v>5.2990158970476911E-3</v>
      </c>
      <c r="O256">
        <v>2</v>
      </c>
      <c r="P256">
        <v>9.5238095238095233E-2</v>
      </c>
      <c r="Q256">
        <v>5.0466818067120868E-4</v>
      </c>
      <c r="R256">
        <v>18</v>
      </c>
      <c r="S256">
        <v>0.8571428571428571</v>
      </c>
      <c r="T256">
        <v>4.5420136260408781E-3</v>
      </c>
      <c r="U256">
        <v>0</v>
      </c>
      <c r="V256">
        <v>0</v>
      </c>
      <c r="W256">
        <v>0</v>
      </c>
      <c r="X256">
        <v>1</v>
      </c>
      <c r="Y256">
        <v>4.7619047619047616E-2</v>
      </c>
      <c r="Z256">
        <v>2.5233409033560434E-4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">
      <c r="A257">
        <v>1140.1688425925895</v>
      </c>
      <c r="B257">
        <v>759</v>
      </c>
      <c r="C257">
        <v>81</v>
      </c>
      <c r="D257">
        <v>196</v>
      </c>
      <c r="E257">
        <v>46</v>
      </c>
      <c r="F257">
        <v>3</v>
      </c>
      <c r="G257">
        <v>12</v>
      </c>
      <c r="H257">
        <v>1006</v>
      </c>
      <c r="I257">
        <v>1</v>
      </c>
      <c r="J257">
        <v>630</v>
      </c>
      <c r="K257">
        <v>38</v>
      </c>
      <c r="L257">
        <v>3299</v>
      </c>
      <c r="M257">
        <v>106</v>
      </c>
      <c r="N257">
        <v>3.2130948772355263E-2</v>
      </c>
      <c r="O257">
        <v>23</v>
      </c>
      <c r="P257">
        <v>0.21698113207547171</v>
      </c>
      <c r="Q257">
        <v>6.971809639284632E-3</v>
      </c>
      <c r="R257">
        <v>51</v>
      </c>
      <c r="S257">
        <v>0.48113207547169812</v>
      </c>
      <c r="T257">
        <v>1.5459230069718097E-2</v>
      </c>
      <c r="U257">
        <v>2</v>
      </c>
      <c r="V257">
        <v>1.8867924528301886E-2</v>
      </c>
      <c r="W257">
        <v>6.062443164595332E-4</v>
      </c>
      <c r="X257">
        <v>19</v>
      </c>
      <c r="Y257">
        <v>0.17924528301886791</v>
      </c>
      <c r="Z257">
        <v>5.7593210063655656E-3</v>
      </c>
      <c r="AA257">
        <v>0</v>
      </c>
      <c r="AB257">
        <v>0</v>
      </c>
      <c r="AC257">
        <v>0</v>
      </c>
      <c r="AD257">
        <v>11</v>
      </c>
      <c r="AE257">
        <v>0.10377358490566038</v>
      </c>
      <c r="AF257">
        <v>3.3343437405274324E-3</v>
      </c>
    </row>
    <row r="258" spans="1:32" x14ac:dyDescent="0.2">
      <c r="A258">
        <v>2359.93618055556</v>
      </c>
      <c r="B258">
        <v>852</v>
      </c>
      <c r="C258">
        <v>43</v>
      </c>
      <c r="D258">
        <v>194</v>
      </c>
      <c r="E258">
        <v>0</v>
      </c>
      <c r="F258">
        <v>0</v>
      </c>
      <c r="G258">
        <v>13</v>
      </c>
      <c r="H258">
        <v>23</v>
      </c>
      <c r="I258">
        <v>1</v>
      </c>
      <c r="J258">
        <v>28</v>
      </c>
      <c r="K258">
        <v>2</v>
      </c>
      <c r="L258">
        <v>4969</v>
      </c>
      <c r="M258">
        <v>29</v>
      </c>
      <c r="N258">
        <v>5.8361843429261418E-3</v>
      </c>
      <c r="O258">
        <v>10</v>
      </c>
      <c r="P258">
        <v>0.34482758620689657</v>
      </c>
      <c r="Q258">
        <v>2.012477359629704E-3</v>
      </c>
      <c r="R258">
        <v>0</v>
      </c>
      <c r="S258">
        <v>0</v>
      </c>
      <c r="T258">
        <v>0</v>
      </c>
      <c r="U258">
        <v>11</v>
      </c>
      <c r="V258">
        <v>0.37931034482758619</v>
      </c>
      <c r="W258">
        <v>2.2137250955926746E-3</v>
      </c>
      <c r="X258">
        <v>8</v>
      </c>
      <c r="Y258">
        <v>0.27586206896551724</v>
      </c>
      <c r="Z258">
        <v>1.6099818877037633E-3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">
      <c r="A259">
        <v>2702.8293402777781</v>
      </c>
      <c r="B259">
        <v>773</v>
      </c>
      <c r="C259">
        <v>54</v>
      </c>
      <c r="D259">
        <v>52</v>
      </c>
      <c r="E259">
        <v>0</v>
      </c>
      <c r="F259">
        <v>52</v>
      </c>
      <c r="G259">
        <v>38</v>
      </c>
      <c r="H259">
        <v>26</v>
      </c>
      <c r="I259">
        <v>0</v>
      </c>
      <c r="J259">
        <v>0</v>
      </c>
      <c r="K259">
        <v>0</v>
      </c>
      <c r="L259">
        <v>32932</v>
      </c>
      <c r="M259">
        <v>168</v>
      </c>
      <c r="N259">
        <v>5.1014211101664039E-3</v>
      </c>
      <c r="O259">
        <v>2</v>
      </c>
      <c r="P259">
        <v>1.1904761904761904E-2</v>
      </c>
      <c r="Q259">
        <v>6.0731203692457187E-5</v>
      </c>
      <c r="R259">
        <v>36</v>
      </c>
      <c r="S259">
        <v>0.21428571428571427</v>
      </c>
      <c r="T259">
        <v>1.0931616664642293E-3</v>
      </c>
      <c r="U259">
        <v>65</v>
      </c>
      <c r="V259">
        <v>0.38690476190476192</v>
      </c>
      <c r="W259">
        <v>1.9737641200048583E-3</v>
      </c>
      <c r="X259">
        <v>16</v>
      </c>
      <c r="Y259">
        <v>9.5238095238095233E-2</v>
      </c>
      <c r="Z259">
        <v>4.8584962953965749E-4</v>
      </c>
      <c r="AA259">
        <v>0</v>
      </c>
      <c r="AB259">
        <v>0</v>
      </c>
      <c r="AC259">
        <v>0</v>
      </c>
      <c r="AD259">
        <v>49</v>
      </c>
      <c r="AE259">
        <v>0.29166666666666669</v>
      </c>
      <c r="AF259">
        <v>1.4879144904652011E-3</v>
      </c>
    </row>
    <row r="260" spans="1:32" x14ac:dyDescent="0.2">
      <c r="A260">
        <v>2295.6456018518511</v>
      </c>
      <c r="B260">
        <v>339</v>
      </c>
      <c r="C260">
        <v>51</v>
      </c>
      <c r="D260">
        <v>61</v>
      </c>
      <c r="E260">
        <v>0</v>
      </c>
      <c r="F260">
        <v>1</v>
      </c>
      <c r="G260">
        <v>24</v>
      </c>
      <c r="H260">
        <v>233</v>
      </c>
      <c r="I260">
        <v>12</v>
      </c>
      <c r="J260">
        <v>150</v>
      </c>
      <c r="K260">
        <v>55</v>
      </c>
      <c r="L260">
        <v>7472</v>
      </c>
      <c r="M260">
        <v>53</v>
      </c>
      <c r="N260">
        <v>7.0931477516059955E-3</v>
      </c>
      <c r="O260">
        <v>45</v>
      </c>
      <c r="P260">
        <v>0.84905660377358494</v>
      </c>
      <c r="Q260">
        <v>6.0224839400428269E-3</v>
      </c>
      <c r="R260">
        <v>6</v>
      </c>
      <c r="S260">
        <v>0.11320754716981132</v>
      </c>
      <c r="T260">
        <v>8.0299785867237686E-4</v>
      </c>
      <c r="U260">
        <v>2</v>
      </c>
      <c r="V260">
        <v>3.7735849056603772E-2</v>
      </c>
      <c r="W260">
        <v>2.6766595289079231E-4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">
      <c r="A261">
        <v>1144.390335648146</v>
      </c>
      <c r="B261">
        <v>370</v>
      </c>
      <c r="C261">
        <v>42</v>
      </c>
      <c r="D261">
        <v>69</v>
      </c>
      <c r="E261">
        <v>0</v>
      </c>
      <c r="F261">
        <v>1</v>
      </c>
      <c r="G261">
        <v>13</v>
      </c>
      <c r="H261">
        <v>54</v>
      </c>
      <c r="I261">
        <v>3</v>
      </c>
      <c r="J261">
        <v>53</v>
      </c>
      <c r="K261">
        <v>32</v>
      </c>
      <c r="L261">
        <v>3617</v>
      </c>
      <c r="M261">
        <v>32</v>
      </c>
      <c r="N261">
        <v>8.8471108653580318E-3</v>
      </c>
      <c r="O261">
        <v>0</v>
      </c>
      <c r="P261">
        <v>0</v>
      </c>
      <c r="Q261">
        <v>0</v>
      </c>
      <c r="R261">
        <v>14</v>
      </c>
      <c r="S261">
        <v>0.4375</v>
      </c>
      <c r="T261">
        <v>3.8706110035941388E-3</v>
      </c>
      <c r="U261">
        <v>8</v>
      </c>
      <c r="V261">
        <v>0.25</v>
      </c>
      <c r="W261">
        <v>2.211777716339508E-3</v>
      </c>
      <c r="X261">
        <v>10</v>
      </c>
      <c r="Y261">
        <v>0.3125</v>
      </c>
      <c r="Z261">
        <v>2.764722145424385E-3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">
      <c r="A262">
        <v>1439.3225115740788</v>
      </c>
      <c r="B262">
        <v>1499</v>
      </c>
      <c r="C262">
        <v>107</v>
      </c>
      <c r="D262">
        <v>223</v>
      </c>
      <c r="E262">
        <v>9</v>
      </c>
      <c r="F262">
        <v>1</v>
      </c>
      <c r="G262">
        <v>6</v>
      </c>
      <c r="H262">
        <v>19</v>
      </c>
      <c r="I262">
        <v>3</v>
      </c>
      <c r="J262">
        <v>46</v>
      </c>
      <c r="K262">
        <v>11</v>
      </c>
      <c r="L262">
        <v>4975</v>
      </c>
      <c r="M262">
        <v>242</v>
      </c>
      <c r="N262">
        <v>4.8643216080402008E-2</v>
      </c>
      <c r="O262">
        <v>191</v>
      </c>
      <c r="P262">
        <v>0.78925619834710747</v>
      </c>
      <c r="Q262">
        <v>3.8391959798994978E-2</v>
      </c>
      <c r="R262">
        <v>19</v>
      </c>
      <c r="S262">
        <v>7.8512396694214878E-2</v>
      </c>
      <c r="T262">
        <v>3.8190954773869349E-3</v>
      </c>
      <c r="U262">
        <v>20</v>
      </c>
      <c r="V262">
        <v>8.2644628099173556E-2</v>
      </c>
      <c r="W262">
        <v>4.0201005025125632E-3</v>
      </c>
      <c r="X262">
        <v>4</v>
      </c>
      <c r="Y262">
        <v>1.6528925619834711E-2</v>
      </c>
      <c r="Z262">
        <v>8.0402010050251258E-4</v>
      </c>
      <c r="AA262">
        <v>7</v>
      </c>
      <c r="AB262">
        <v>2.8925619834710745E-2</v>
      </c>
      <c r="AC262">
        <v>1.407035175879397E-3</v>
      </c>
      <c r="AD262">
        <v>1</v>
      </c>
      <c r="AE262">
        <v>4.1322314049586778E-3</v>
      </c>
      <c r="AF262">
        <v>2.0100502512562814E-4</v>
      </c>
    </row>
    <row r="263" spans="1:32" x14ac:dyDescent="0.2">
      <c r="A263">
        <v>1254.1419907407399</v>
      </c>
      <c r="B263">
        <v>389</v>
      </c>
      <c r="C263">
        <v>45</v>
      </c>
      <c r="D263">
        <v>153</v>
      </c>
      <c r="E263">
        <v>0</v>
      </c>
      <c r="F263">
        <v>24</v>
      </c>
      <c r="G263">
        <v>20</v>
      </c>
      <c r="H263">
        <v>130</v>
      </c>
      <c r="I263">
        <v>5</v>
      </c>
      <c r="J263">
        <v>113</v>
      </c>
      <c r="K263">
        <v>20</v>
      </c>
      <c r="L263">
        <v>4265</v>
      </c>
      <c r="M263">
        <v>28</v>
      </c>
      <c r="N263">
        <v>6.5650644783118405E-3</v>
      </c>
      <c r="O263">
        <v>16</v>
      </c>
      <c r="P263">
        <v>0.5714285714285714</v>
      </c>
      <c r="Q263">
        <v>3.7514654161781946E-3</v>
      </c>
      <c r="R263">
        <v>9</v>
      </c>
      <c r="S263">
        <v>0.32142857142857145</v>
      </c>
      <c r="T263">
        <v>2.1101992966002345E-3</v>
      </c>
      <c r="U263">
        <v>3</v>
      </c>
      <c r="V263">
        <v>0.10714285714285714</v>
      </c>
      <c r="W263">
        <v>7.0339976553341146E-4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">
      <c r="A264">
        <v>313.85375000000204</v>
      </c>
      <c r="B264">
        <v>2118</v>
      </c>
      <c r="C264">
        <v>49</v>
      </c>
      <c r="D264">
        <v>198</v>
      </c>
      <c r="E264">
        <v>0</v>
      </c>
      <c r="F264">
        <v>0</v>
      </c>
      <c r="G264">
        <v>7</v>
      </c>
      <c r="H264">
        <v>17</v>
      </c>
      <c r="I264">
        <v>0</v>
      </c>
      <c r="J264">
        <v>28</v>
      </c>
      <c r="K264">
        <v>3</v>
      </c>
      <c r="L264">
        <v>218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">
      <c r="A265">
        <v>101.72619212963036</v>
      </c>
      <c r="B265">
        <v>1184</v>
      </c>
      <c r="C265">
        <v>27</v>
      </c>
      <c r="D265">
        <v>44</v>
      </c>
      <c r="E265">
        <v>1</v>
      </c>
      <c r="F265">
        <v>0</v>
      </c>
      <c r="G265">
        <v>2</v>
      </c>
      <c r="H265">
        <v>2</v>
      </c>
      <c r="I265">
        <v>0</v>
      </c>
      <c r="J265">
        <v>4</v>
      </c>
      <c r="K265">
        <v>0</v>
      </c>
      <c r="L265">
        <v>595</v>
      </c>
      <c r="M265">
        <v>28</v>
      </c>
      <c r="N265">
        <v>4.7058823529411764E-2</v>
      </c>
      <c r="O265">
        <v>24</v>
      </c>
      <c r="P265">
        <v>0.8571428571428571</v>
      </c>
      <c r="Q265">
        <v>4.0336134453781515E-2</v>
      </c>
      <c r="R265">
        <v>4</v>
      </c>
      <c r="S265">
        <v>0.14285714285714285</v>
      </c>
      <c r="T265">
        <v>6.7226890756302525E-3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">
      <c r="A266">
        <v>636.45785879629693</v>
      </c>
      <c r="B266">
        <v>3016</v>
      </c>
      <c r="C266">
        <v>144</v>
      </c>
      <c r="D266">
        <v>493</v>
      </c>
      <c r="E266">
        <v>0</v>
      </c>
      <c r="F266">
        <v>12</v>
      </c>
      <c r="G266">
        <v>23</v>
      </c>
      <c r="H266">
        <v>122</v>
      </c>
      <c r="I266">
        <v>22</v>
      </c>
      <c r="J266">
        <v>134</v>
      </c>
      <c r="K266">
        <v>19</v>
      </c>
      <c r="L266">
        <v>1060</v>
      </c>
      <c r="M266">
        <v>47</v>
      </c>
      <c r="N266">
        <v>4.4339622641509431E-2</v>
      </c>
      <c r="O266">
        <v>1</v>
      </c>
      <c r="P266">
        <v>2.1276595744680851E-2</v>
      </c>
      <c r="Q266">
        <v>9.4339622641509435E-4</v>
      </c>
      <c r="R266">
        <v>42</v>
      </c>
      <c r="S266">
        <v>0.8936170212765957</v>
      </c>
      <c r="T266">
        <v>3.962264150943396E-2</v>
      </c>
      <c r="U266">
        <v>1</v>
      </c>
      <c r="V266">
        <v>2.1276595744680851E-2</v>
      </c>
      <c r="W266">
        <v>9.4339622641509435E-4</v>
      </c>
      <c r="X266">
        <v>3</v>
      </c>
      <c r="Y266">
        <v>6.3829787234042548E-2</v>
      </c>
      <c r="Z266">
        <v>2.8301886792452828E-3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">
      <c r="A267">
        <v>2914.1766087962969</v>
      </c>
      <c r="B267">
        <v>778</v>
      </c>
      <c r="C267">
        <v>186</v>
      </c>
      <c r="D267">
        <v>796</v>
      </c>
      <c r="E267">
        <v>8</v>
      </c>
      <c r="F267">
        <v>120</v>
      </c>
      <c r="G267">
        <v>248</v>
      </c>
      <c r="H267">
        <v>5896</v>
      </c>
      <c r="I267">
        <v>69</v>
      </c>
      <c r="J267">
        <v>0</v>
      </c>
      <c r="K267">
        <v>0</v>
      </c>
      <c r="L267">
        <v>6973</v>
      </c>
      <c r="M267">
        <v>42</v>
      </c>
      <c r="N267">
        <v>6.0232324680912089E-3</v>
      </c>
      <c r="O267">
        <v>7</v>
      </c>
      <c r="P267">
        <v>0.16666666666666666</v>
      </c>
      <c r="Q267">
        <v>1.0038720780152016E-3</v>
      </c>
      <c r="R267">
        <v>18</v>
      </c>
      <c r="S267">
        <v>0.42857142857142855</v>
      </c>
      <c r="T267">
        <v>2.5813853434676608E-3</v>
      </c>
      <c r="U267">
        <v>8</v>
      </c>
      <c r="V267">
        <v>0.19047619047619047</v>
      </c>
      <c r="W267">
        <v>1.1472823748745161E-3</v>
      </c>
      <c r="X267">
        <v>5</v>
      </c>
      <c r="Y267">
        <v>0.11904761904761904</v>
      </c>
      <c r="Z267">
        <v>7.1705148429657248E-4</v>
      </c>
      <c r="AA267">
        <v>2</v>
      </c>
      <c r="AB267">
        <v>4.7619047619047616E-2</v>
      </c>
      <c r="AC267">
        <v>2.8682059371862902E-4</v>
      </c>
      <c r="AD267">
        <v>2</v>
      </c>
      <c r="AE267">
        <v>4.7619047619047616E-2</v>
      </c>
      <c r="AF267">
        <v>2.8682059371862902E-4</v>
      </c>
    </row>
    <row r="268" spans="1:32" x14ac:dyDescent="0.2">
      <c r="A268">
        <v>2869.8956365740742</v>
      </c>
      <c r="B268">
        <v>5498</v>
      </c>
      <c r="C268">
        <v>417</v>
      </c>
      <c r="D268">
        <v>2636</v>
      </c>
      <c r="E268">
        <v>4</v>
      </c>
      <c r="F268">
        <v>2815</v>
      </c>
      <c r="G268">
        <v>553</v>
      </c>
      <c r="H268">
        <v>27098</v>
      </c>
      <c r="I268">
        <v>265</v>
      </c>
      <c r="J268">
        <v>0</v>
      </c>
      <c r="K268">
        <v>0</v>
      </c>
      <c r="L268">
        <v>283875</v>
      </c>
      <c r="M268">
        <v>1834</v>
      </c>
      <c r="N268">
        <v>6.4605900484368123E-3</v>
      </c>
      <c r="O268">
        <v>188</v>
      </c>
      <c r="P268">
        <v>0.1025081788440567</v>
      </c>
      <c r="Q268">
        <v>6.6226332012329372E-4</v>
      </c>
      <c r="R268">
        <v>755</v>
      </c>
      <c r="S268">
        <v>0.41166848418756818</v>
      </c>
      <c r="T268">
        <v>2.6596213121972698E-3</v>
      </c>
      <c r="U268">
        <v>345</v>
      </c>
      <c r="V268">
        <v>0.18811341330425299</v>
      </c>
      <c r="W268">
        <v>1.2153236459709379E-3</v>
      </c>
      <c r="X268">
        <v>249</v>
      </c>
      <c r="Y268">
        <v>0.13576881134133043</v>
      </c>
      <c r="Z268">
        <v>8.7714663143989428E-4</v>
      </c>
      <c r="AA268">
        <v>12</v>
      </c>
      <c r="AB268">
        <v>6.5430752453653216E-3</v>
      </c>
      <c r="AC268">
        <v>4.2272126816380447E-5</v>
      </c>
      <c r="AD268">
        <v>285</v>
      </c>
      <c r="AE268">
        <v>0.15539803707742639</v>
      </c>
      <c r="AF268">
        <v>1.0039630118890356E-3</v>
      </c>
    </row>
    <row r="269" spans="1:32" x14ac:dyDescent="0.2">
      <c r="A269">
        <v>939.46320601851767</v>
      </c>
      <c r="B269">
        <v>352</v>
      </c>
      <c r="C269">
        <v>34</v>
      </c>
      <c r="D269">
        <v>60</v>
      </c>
      <c r="E269">
        <v>0</v>
      </c>
      <c r="F269">
        <v>0</v>
      </c>
      <c r="G269">
        <v>7</v>
      </c>
      <c r="H269">
        <v>30</v>
      </c>
      <c r="I269">
        <v>0</v>
      </c>
      <c r="J269">
        <v>91</v>
      </c>
      <c r="K269">
        <v>24</v>
      </c>
      <c r="L269">
        <v>1552</v>
      </c>
      <c r="M269">
        <v>56</v>
      </c>
      <c r="N269">
        <v>3.608247422680412E-2</v>
      </c>
      <c r="O269">
        <v>9</v>
      </c>
      <c r="P269">
        <v>0.16071428571428573</v>
      </c>
      <c r="Q269">
        <v>5.7989690721649487E-3</v>
      </c>
      <c r="R269">
        <v>26</v>
      </c>
      <c r="S269">
        <v>0.4642857142857143</v>
      </c>
      <c r="T269">
        <v>1.6752577319587628E-2</v>
      </c>
      <c r="U269">
        <v>7</v>
      </c>
      <c r="V269">
        <v>0.125</v>
      </c>
      <c r="W269">
        <v>4.5103092783505151E-3</v>
      </c>
      <c r="X269">
        <v>9</v>
      </c>
      <c r="Y269">
        <v>0.16071428571428573</v>
      </c>
      <c r="Z269">
        <v>5.7989690721649487E-3</v>
      </c>
      <c r="AA269">
        <v>5</v>
      </c>
      <c r="AB269">
        <v>8.9285714285714288E-2</v>
      </c>
      <c r="AC269">
        <v>3.2216494845360823E-3</v>
      </c>
      <c r="AD269">
        <v>0</v>
      </c>
      <c r="AE269">
        <v>0</v>
      </c>
      <c r="AF269">
        <v>0</v>
      </c>
    </row>
    <row r="270" spans="1:32" x14ac:dyDescent="0.2">
      <c r="A270">
        <v>753.53258101851679</v>
      </c>
      <c r="B270">
        <v>455</v>
      </c>
      <c r="C270">
        <v>41</v>
      </c>
      <c r="D270">
        <v>55</v>
      </c>
      <c r="E270">
        <v>17</v>
      </c>
      <c r="F270">
        <v>0</v>
      </c>
      <c r="G270">
        <v>14</v>
      </c>
      <c r="H270">
        <v>37</v>
      </c>
      <c r="I270">
        <v>1</v>
      </c>
      <c r="J270">
        <v>113</v>
      </c>
      <c r="K270">
        <v>19</v>
      </c>
      <c r="L270">
        <v>1884</v>
      </c>
      <c r="M270">
        <v>53</v>
      </c>
      <c r="N270">
        <v>2.8131634819532909E-2</v>
      </c>
      <c r="O270">
        <v>50</v>
      </c>
      <c r="P270">
        <v>0.94339622641509435</v>
      </c>
      <c r="Q270">
        <v>2.6539278131634821E-2</v>
      </c>
      <c r="R270">
        <v>0</v>
      </c>
      <c r="S270">
        <v>0</v>
      </c>
      <c r="T270">
        <v>0</v>
      </c>
      <c r="U270">
        <v>3</v>
      </c>
      <c r="V270">
        <v>5.6603773584905662E-2</v>
      </c>
      <c r="W270">
        <v>1.5923566878980893E-3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">
      <c r="A271">
        <v>1303.6221180555513</v>
      </c>
      <c r="B271">
        <v>709</v>
      </c>
      <c r="C271">
        <v>48</v>
      </c>
      <c r="D271">
        <v>197</v>
      </c>
      <c r="E271">
        <v>5</v>
      </c>
      <c r="F271">
        <v>0</v>
      </c>
      <c r="G271">
        <v>4</v>
      </c>
      <c r="H271">
        <v>7</v>
      </c>
      <c r="I271">
        <v>0</v>
      </c>
      <c r="J271">
        <v>1036</v>
      </c>
      <c r="K271">
        <v>323</v>
      </c>
      <c r="L271">
        <v>3634</v>
      </c>
      <c r="M271">
        <v>269</v>
      </c>
      <c r="N271">
        <v>7.4023115024766092E-2</v>
      </c>
      <c r="O271">
        <v>47</v>
      </c>
      <c r="P271">
        <v>0.17472118959107807</v>
      </c>
      <c r="Q271">
        <v>1.2933406714364337E-2</v>
      </c>
      <c r="R271">
        <v>111</v>
      </c>
      <c r="S271">
        <v>0.41263940520446096</v>
      </c>
      <c r="T271">
        <v>3.054485415520088E-2</v>
      </c>
      <c r="U271">
        <v>53</v>
      </c>
      <c r="V271">
        <v>0.19702602230483271</v>
      </c>
      <c r="W271">
        <v>1.4584479911942764E-2</v>
      </c>
      <c r="X271">
        <v>32</v>
      </c>
      <c r="Y271">
        <v>0.11895910780669144</v>
      </c>
      <c r="Z271">
        <v>8.8057237204182716E-3</v>
      </c>
      <c r="AA271">
        <v>1</v>
      </c>
      <c r="AB271">
        <v>3.7174721189591076E-3</v>
      </c>
      <c r="AC271">
        <v>2.7517886626307099E-4</v>
      </c>
      <c r="AD271">
        <v>25</v>
      </c>
      <c r="AE271">
        <v>9.2936802973977689E-2</v>
      </c>
      <c r="AF271">
        <v>6.8794716565767746E-3</v>
      </c>
    </row>
    <row r="272" spans="1:32" x14ac:dyDescent="0.2">
      <c r="A272">
        <v>2788.2923148148184</v>
      </c>
      <c r="B272">
        <v>2808</v>
      </c>
      <c r="C272">
        <v>341</v>
      </c>
      <c r="D272">
        <v>601</v>
      </c>
      <c r="E272">
        <v>100</v>
      </c>
      <c r="F272">
        <v>6</v>
      </c>
      <c r="G272">
        <v>120</v>
      </c>
      <c r="H272">
        <v>722</v>
      </c>
      <c r="I272">
        <v>20</v>
      </c>
      <c r="J272">
        <v>872</v>
      </c>
      <c r="K272">
        <v>140</v>
      </c>
      <c r="L272">
        <v>12407</v>
      </c>
      <c r="M272">
        <v>399</v>
      </c>
      <c r="N272">
        <v>3.2159264931087291E-2</v>
      </c>
      <c r="O272">
        <v>226</v>
      </c>
      <c r="P272">
        <v>0.5664160401002506</v>
      </c>
      <c r="Q272">
        <v>1.8215523494801322E-2</v>
      </c>
      <c r="R272">
        <v>112</v>
      </c>
      <c r="S272">
        <v>0.2807017543859649</v>
      </c>
      <c r="T272">
        <v>9.0271620859192388E-3</v>
      </c>
      <c r="U272">
        <v>20</v>
      </c>
      <c r="V272">
        <v>5.0125313283208017E-2</v>
      </c>
      <c r="W272">
        <v>1.6119932296284356E-3</v>
      </c>
      <c r="X272">
        <v>35</v>
      </c>
      <c r="Y272">
        <v>8.771929824561403E-2</v>
      </c>
      <c r="Z272">
        <v>2.8209881518497623E-3</v>
      </c>
      <c r="AA272">
        <v>6</v>
      </c>
      <c r="AB272">
        <v>1.5037593984962405E-2</v>
      </c>
      <c r="AC272">
        <v>4.8359796888853066E-4</v>
      </c>
      <c r="AD272">
        <v>0</v>
      </c>
      <c r="AE272">
        <v>0</v>
      </c>
      <c r="AF272">
        <v>0</v>
      </c>
    </row>
    <row r="273" spans="1:32" x14ac:dyDescent="0.2">
      <c r="A273">
        <v>2897.9250462962955</v>
      </c>
      <c r="B273">
        <v>3154</v>
      </c>
      <c r="C273">
        <v>342</v>
      </c>
      <c r="D273">
        <v>958</v>
      </c>
      <c r="E273">
        <v>7</v>
      </c>
      <c r="F273">
        <v>55</v>
      </c>
      <c r="G273">
        <v>160</v>
      </c>
      <c r="H273">
        <v>716</v>
      </c>
      <c r="I273">
        <v>11</v>
      </c>
      <c r="J273">
        <v>851</v>
      </c>
      <c r="K273">
        <v>60</v>
      </c>
      <c r="L273">
        <v>9846</v>
      </c>
      <c r="M273">
        <v>20</v>
      </c>
      <c r="N273">
        <v>2.0312817387771686E-3</v>
      </c>
      <c r="O273">
        <v>5</v>
      </c>
      <c r="P273">
        <v>0.25</v>
      </c>
      <c r="Q273">
        <v>5.0782043469429214E-4</v>
      </c>
      <c r="R273">
        <v>4</v>
      </c>
      <c r="S273">
        <v>0.2</v>
      </c>
      <c r="T273">
        <v>4.0625634775543368E-4</v>
      </c>
      <c r="U273">
        <v>11</v>
      </c>
      <c r="V273">
        <v>0.55000000000000004</v>
      </c>
      <c r="W273">
        <v>1.1172049563274427E-3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">
      <c r="A274">
        <v>1955.7940624999974</v>
      </c>
      <c r="B274">
        <v>1362</v>
      </c>
      <c r="C274">
        <v>306</v>
      </c>
      <c r="D274">
        <v>211</v>
      </c>
      <c r="E274">
        <v>38</v>
      </c>
      <c r="F274">
        <v>14</v>
      </c>
      <c r="G274">
        <v>47</v>
      </c>
      <c r="H274">
        <v>590</v>
      </c>
      <c r="I274">
        <v>7</v>
      </c>
      <c r="J274">
        <v>643</v>
      </c>
      <c r="K274">
        <v>61</v>
      </c>
      <c r="L274">
        <v>23396</v>
      </c>
      <c r="M274">
        <v>443</v>
      </c>
      <c r="N274">
        <v>1.893486065994187E-2</v>
      </c>
      <c r="O274">
        <v>83</v>
      </c>
      <c r="P274">
        <v>0.18735891647855529</v>
      </c>
      <c r="Q274">
        <v>3.5476149769191317E-3</v>
      </c>
      <c r="R274">
        <v>260</v>
      </c>
      <c r="S274">
        <v>0.58690744920993232</v>
      </c>
      <c r="T274">
        <v>1.1113010771071978E-2</v>
      </c>
      <c r="U274">
        <v>36</v>
      </c>
      <c r="V274">
        <v>8.1264108352144468E-2</v>
      </c>
      <c r="W274">
        <v>1.5387245683022739E-3</v>
      </c>
      <c r="X274">
        <v>22</v>
      </c>
      <c r="Y274">
        <v>4.9661399548532728E-2</v>
      </c>
      <c r="Z274">
        <v>9.4033168062916737E-4</v>
      </c>
      <c r="AA274">
        <v>1</v>
      </c>
      <c r="AB274">
        <v>2.257336343115124E-3</v>
      </c>
      <c r="AC274">
        <v>4.2742349119507607E-5</v>
      </c>
      <c r="AD274">
        <v>41</v>
      </c>
      <c r="AE274">
        <v>9.2550790067720087E-2</v>
      </c>
      <c r="AF274">
        <v>1.752436313899812E-3</v>
      </c>
    </row>
    <row r="275" spans="1:32" x14ac:dyDescent="0.2">
      <c r="A275">
        <v>277.63063657407474</v>
      </c>
      <c r="B275">
        <v>4238</v>
      </c>
      <c r="C275">
        <v>139</v>
      </c>
      <c r="D275">
        <v>293</v>
      </c>
      <c r="E275">
        <v>1</v>
      </c>
      <c r="F275">
        <v>4</v>
      </c>
      <c r="G275">
        <v>18</v>
      </c>
      <c r="H275">
        <v>117</v>
      </c>
      <c r="I275">
        <v>7</v>
      </c>
      <c r="J275">
        <v>81</v>
      </c>
      <c r="K275">
        <v>9</v>
      </c>
      <c r="L275">
        <v>2279</v>
      </c>
      <c r="M275">
        <v>25</v>
      </c>
      <c r="N275">
        <v>1.0969723562966213E-2</v>
      </c>
      <c r="O275">
        <v>0</v>
      </c>
      <c r="P275">
        <v>0</v>
      </c>
      <c r="Q275">
        <v>0</v>
      </c>
      <c r="R275">
        <v>19</v>
      </c>
      <c r="S275">
        <v>0.76</v>
      </c>
      <c r="T275">
        <v>8.3369899078543225E-3</v>
      </c>
      <c r="U275">
        <v>4</v>
      </c>
      <c r="V275">
        <v>0.16</v>
      </c>
      <c r="W275">
        <v>1.7551557700745941E-3</v>
      </c>
      <c r="X275">
        <v>2</v>
      </c>
      <c r="Y275">
        <v>0.08</v>
      </c>
      <c r="Z275">
        <v>8.7757788503729707E-4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">
      <c r="A276">
        <v>107.50807870370772</v>
      </c>
      <c r="B276">
        <v>598</v>
      </c>
      <c r="C276">
        <v>38</v>
      </c>
      <c r="D276">
        <v>56</v>
      </c>
      <c r="E276">
        <v>0</v>
      </c>
      <c r="F276">
        <v>4</v>
      </c>
      <c r="G276">
        <v>13</v>
      </c>
      <c r="H276">
        <v>157</v>
      </c>
      <c r="I276">
        <v>3</v>
      </c>
      <c r="J276">
        <v>63</v>
      </c>
      <c r="K276">
        <v>12</v>
      </c>
      <c r="L276">
        <v>6912</v>
      </c>
      <c r="M276">
        <v>14</v>
      </c>
      <c r="N276">
        <v>2.0254629629629629E-3</v>
      </c>
      <c r="O276">
        <v>1</v>
      </c>
      <c r="P276">
        <v>7.1428571428571425E-2</v>
      </c>
      <c r="Q276">
        <v>1.4467592592592592E-4</v>
      </c>
      <c r="R276">
        <v>8</v>
      </c>
      <c r="S276">
        <v>0.5714285714285714</v>
      </c>
      <c r="T276">
        <v>1.1574074074074073E-3</v>
      </c>
      <c r="U276">
        <v>3</v>
      </c>
      <c r="V276">
        <v>0.21428571428571427</v>
      </c>
      <c r="W276">
        <v>4.3402777777777775E-4</v>
      </c>
      <c r="X276">
        <v>2</v>
      </c>
      <c r="Y276">
        <v>0.14285714285714285</v>
      </c>
      <c r="Z276">
        <v>2.8935185185185184E-4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">
      <c r="A277">
        <v>1602.9225694444394</v>
      </c>
      <c r="B277">
        <v>829</v>
      </c>
      <c r="C277">
        <v>34</v>
      </c>
      <c r="D277">
        <v>119</v>
      </c>
      <c r="E277">
        <v>7</v>
      </c>
      <c r="F277">
        <v>0</v>
      </c>
      <c r="G277">
        <v>7</v>
      </c>
      <c r="H277">
        <v>22</v>
      </c>
      <c r="I277">
        <v>4</v>
      </c>
      <c r="J277">
        <v>72</v>
      </c>
      <c r="K277">
        <v>16</v>
      </c>
      <c r="L277">
        <v>4549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">
      <c r="A278">
        <v>1210.1698379629597</v>
      </c>
      <c r="B278">
        <v>367</v>
      </c>
      <c r="C278">
        <v>22</v>
      </c>
      <c r="D278">
        <v>63</v>
      </c>
      <c r="E278">
        <v>0</v>
      </c>
      <c r="F278">
        <v>0</v>
      </c>
      <c r="G278">
        <v>3</v>
      </c>
      <c r="H278">
        <v>2</v>
      </c>
      <c r="I278">
        <v>0</v>
      </c>
      <c r="J278">
        <v>1</v>
      </c>
      <c r="K278">
        <v>0</v>
      </c>
      <c r="L278">
        <v>376</v>
      </c>
      <c r="M278">
        <v>8</v>
      </c>
      <c r="N278">
        <v>2.1276595744680851E-2</v>
      </c>
      <c r="O278">
        <v>0</v>
      </c>
      <c r="P278">
        <v>0</v>
      </c>
      <c r="Q278">
        <v>0</v>
      </c>
      <c r="R278">
        <v>8</v>
      </c>
      <c r="S278">
        <v>1</v>
      </c>
      <c r="T278">
        <v>2.1276595744680851E-2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">
      <c r="A279">
        <v>533.99724537036673</v>
      </c>
      <c r="B279">
        <v>866</v>
      </c>
      <c r="C279">
        <v>33</v>
      </c>
      <c r="D279">
        <v>133</v>
      </c>
      <c r="E279">
        <v>0</v>
      </c>
      <c r="F279">
        <v>10</v>
      </c>
      <c r="G279">
        <v>24</v>
      </c>
      <c r="H279">
        <v>643</v>
      </c>
      <c r="I279">
        <v>11</v>
      </c>
      <c r="J279">
        <v>864</v>
      </c>
      <c r="K279">
        <v>159</v>
      </c>
      <c r="L279">
        <v>5260</v>
      </c>
      <c r="M279">
        <v>92</v>
      </c>
      <c r="N279">
        <v>1.7490494296577948E-2</v>
      </c>
      <c r="O279">
        <v>53</v>
      </c>
      <c r="P279">
        <v>0.57608695652173914</v>
      </c>
      <c r="Q279">
        <v>1.0076045627376426E-2</v>
      </c>
      <c r="R279">
        <v>9</v>
      </c>
      <c r="S279">
        <v>9.7826086956521743E-2</v>
      </c>
      <c r="T279">
        <v>1.7110266159695818E-3</v>
      </c>
      <c r="U279">
        <v>7</v>
      </c>
      <c r="V279">
        <v>7.6086956521739135E-2</v>
      </c>
      <c r="W279">
        <v>1.3307984790874524E-3</v>
      </c>
      <c r="X279">
        <v>23</v>
      </c>
      <c r="Y279">
        <v>0.25</v>
      </c>
      <c r="Z279">
        <v>4.3726235741444871E-3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">
      <c r="A280">
        <v>1862.9029861111121</v>
      </c>
      <c r="B280">
        <v>458</v>
      </c>
      <c r="C280">
        <v>115</v>
      </c>
      <c r="D280">
        <v>253</v>
      </c>
      <c r="E280">
        <v>0</v>
      </c>
      <c r="F280">
        <v>0</v>
      </c>
      <c r="G280">
        <v>2</v>
      </c>
      <c r="H280">
        <v>11</v>
      </c>
      <c r="I280">
        <v>0</v>
      </c>
      <c r="J280">
        <v>4</v>
      </c>
      <c r="K280">
        <v>1</v>
      </c>
      <c r="L280">
        <v>4438</v>
      </c>
      <c r="M280">
        <v>223</v>
      </c>
      <c r="N280">
        <v>5.0247859396124382E-2</v>
      </c>
      <c r="O280">
        <v>8</v>
      </c>
      <c r="P280">
        <v>3.5874439461883408E-2</v>
      </c>
      <c r="Q280">
        <v>1.8026137899954935E-3</v>
      </c>
      <c r="R280">
        <v>116</v>
      </c>
      <c r="S280">
        <v>0.52017937219730936</v>
      </c>
      <c r="T280">
        <v>2.6137899954934655E-2</v>
      </c>
      <c r="U280">
        <v>33</v>
      </c>
      <c r="V280">
        <v>0.14798206278026907</v>
      </c>
      <c r="W280">
        <v>7.4357818837314108E-3</v>
      </c>
      <c r="X280">
        <v>66</v>
      </c>
      <c r="Y280">
        <v>0.29596412556053814</v>
      </c>
      <c r="Z280">
        <v>1.4871563767462822E-2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">
      <c r="A281">
        <v>1394.7801620370374</v>
      </c>
      <c r="B281">
        <v>2093</v>
      </c>
      <c r="C281">
        <v>168</v>
      </c>
      <c r="D281">
        <v>604</v>
      </c>
      <c r="E281">
        <v>0</v>
      </c>
      <c r="F281">
        <v>21</v>
      </c>
      <c r="G281">
        <v>61</v>
      </c>
      <c r="H281">
        <v>92</v>
      </c>
      <c r="I281">
        <v>11</v>
      </c>
      <c r="J281">
        <v>487</v>
      </c>
      <c r="K281">
        <v>124</v>
      </c>
      <c r="L281">
        <v>42554</v>
      </c>
      <c r="M281">
        <v>306</v>
      </c>
      <c r="N281">
        <v>7.1908633735959021E-3</v>
      </c>
      <c r="O281">
        <v>56</v>
      </c>
      <c r="P281">
        <v>0.18300653594771241</v>
      </c>
      <c r="Q281">
        <v>1.3159749964750669E-3</v>
      </c>
      <c r="R281">
        <v>146</v>
      </c>
      <c r="S281">
        <v>0.47712418300653597</v>
      </c>
      <c r="T281">
        <v>3.4309348122385673E-3</v>
      </c>
      <c r="U281">
        <v>80</v>
      </c>
      <c r="V281">
        <v>0.26143790849673204</v>
      </c>
      <c r="W281">
        <v>1.8799642806786672E-3</v>
      </c>
      <c r="X281">
        <v>11</v>
      </c>
      <c r="Y281">
        <v>3.5947712418300651E-2</v>
      </c>
      <c r="Z281">
        <v>2.5849508859331674E-4</v>
      </c>
      <c r="AA281">
        <v>0</v>
      </c>
      <c r="AB281">
        <v>0</v>
      </c>
      <c r="AC281">
        <v>0</v>
      </c>
      <c r="AD281">
        <v>13</v>
      </c>
      <c r="AE281">
        <v>4.2483660130718956E-2</v>
      </c>
      <c r="AF281">
        <v>3.0549419561028341E-4</v>
      </c>
    </row>
    <row r="282" spans="1:32" x14ac:dyDescent="0.2">
      <c r="A282">
        <v>1736.9082986111098</v>
      </c>
      <c r="B282">
        <v>2183</v>
      </c>
      <c r="C282">
        <v>87</v>
      </c>
      <c r="D282">
        <v>445</v>
      </c>
      <c r="E282">
        <v>6</v>
      </c>
      <c r="F282">
        <v>0</v>
      </c>
      <c r="G282">
        <v>9</v>
      </c>
      <c r="H282">
        <v>32</v>
      </c>
      <c r="I282">
        <v>10</v>
      </c>
      <c r="J282">
        <v>59</v>
      </c>
      <c r="K282">
        <v>11</v>
      </c>
      <c r="L282">
        <v>2459</v>
      </c>
      <c r="M282">
        <v>58</v>
      </c>
      <c r="N282">
        <v>2.3586823912159414E-2</v>
      </c>
      <c r="O282">
        <v>15</v>
      </c>
      <c r="P282">
        <v>0.25862068965517243</v>
      </c>
      <c r="Q282">
        <v>6.1000406669377795E-3</v>
      </c>
      <c r="R282">
        <v>25</v>
      </c>
      <c r="S282">
        <v>0.43103448275862066</v>
      </c>
      <c r="T282">
        <v>1.0166734444896299E-2</v>
      </c>
      <c r="U282">
        <v>7</v>
      </c>
      <c r="V282">
        <v>0.1206896551724138</v>
      </c>
      <c r="W282">
        <v>2.8466856445709637E-3</v>
      </c>
      <c r="X282">
        <v>10</v>
      </c>
      <c r="Y282">
        <v>0.17241379310344829</v>
      </c>
      <c r="Z282">
        <v>4.0666937779585193E-3</v>
      </c>
      <c r="AA282">
        <v>1</v>
      </c>
      <c r="AB282">
        <v>1.7241379310344827E-2</v>
      </c>
      <c r="AC282">
        <v>4.0666937779585197E-4</v>
      </c>
      <c r="AD282">
        <v>0</v>
      </c>
      <c r="AE282">
        <v>0</v>
      </c>
      <c r="AF282">
        <v>0</v>
      </c>
    </row>
    <row r="283" spans="1:32" x14ac:dyDescent="0.2">
      <c r="A283">
        <v>2392.153958333336</v>
      </c>
      <c r="B283">
        <v>2219</v>
      </c>
      <c r="C283">
        <v>131</v>
      </c>
      <c r="D283">
        <v>483</v>
      </c>
      <c r="E283">
        <v>11</v>
      </c>
      <c r="F283">
        <v>0</v>
      </c>
      <c r="G283">
        <v>17</v>
      </c>
      <c r="H283">
        <v>28</v>
      </c>
      <c r="I283">
        <v>1</v>
      </c>
      <c r="J283">
        <v>116</v>
      </c>
      <c r="K283">
        <v>8</v>
      </c>
      <c r="L283">
        <v>5285</v>
      </c>
      <c r="M283">
        <v>134</v>
      </c>
      <c r="N283">
        <v>2.5354777672658469E-2</v>
      </c>
      <c r="O283">
        <v>24</v>
      </c>
      <c r="P283">
        <v>0.17910447761194029</v>
      </c>
      <c r="Q283">
        <v>4.5411542100283822E-3</v>
      </c>
      <c r="R283">
        <v>26</v>
      </c>
      <c r="S283">
        <v>0.19402985074626866</v>
      </c>
      <c r="T283">
        <v>4.9195837275307474E-3</v>
      </c>
      <c r="U283">
        <v>76</v>
      </c>
      <c r="V283">
        <v>0.56716417910447758</v>
      </c>
      <c r="W283">
        <v>1.4380321665089877E-2</v>
      </c>
      <c r="X283">
        <v>7</v>
      </c>
      <c r="Y283">
        <v>5.2238805970149252E-2</v>
      </c>
      <c r="Z283">
        <v>1.3245033112582781E-3</v>
      </c>
      <c r="AA283">
        <v>1</v>
      </c>
      <c r="AB283">
        <v>7.462686567164179E-3</v>
      </c>
      <c r="AC283">
        <v>1.8921475875118259E-4</v>
      </c>
      <c r="AD283">
        <v>0</v>
      </c>
      <c r="AE283">
        <v>0</v>
      </c>
      <c r="AF283">
        <v>0</v>
      </c>
    </row>
    <row r="284" spans="1:32" x14ac:dyDescent="0.2">
      <c r="A284">
        <v>143.02856481481285</v>
      </c>
      <c r="B284">
        <v>833</v>
      </c>
      <c r="C284">
        <v>43</v>
      </c>
      <c r="D284">
        <v>199</v>
      </c>
      <c r="E284">
        <v>0</v>
      </c>
      <c r="F284">
        <v>2</v>
      </c>
      <c r="G284">
        <v>21</v>
      </c>
      <c r="H284">
        <v>42</v>
      </c>
      <c r="I284">
        <v>5</v>
      </c>
      <c r="J284">
        <v>157</v>
      </c>
      <c r="K284">
        <v>72</v>
      </c>
      <c r="L284">
        <v>1530</v>
      </c>
      <c r="M284">
        <v>80</v>
      </c>
      <c r="N284">
        <v>5.2287581699346407E-2</v>
      </c>
      <c r="O284">
        <v>10</v>
      </c>
      <c r="P284">
        <v>0.125</v>
      </c>
      <c r="Q284">
        <v>6.5359477124183009E-3</v>
      </c>
      <c r="R284">
        <v>13</v>
      </c>
      <c r="S284">
        <v>0.16250000000000001</v>
      </c>
      <c r="T284">
        <v>8.4967320261437902E-3</v>
      </c>
      <c r="U284">
        <v>45</v>
      </c>
      <c r="V284">
        <v>0.5625</v>
      </c>
      <c r="W284">
        <v>2.9411764705882353E-2</v>
      </c>
      <c r="X284">
        <v>10</v>
      </c>
      <c r="Y284">
        <v>0.125</v>
      </c>
      <c r="Z284">
        <v>6.5359477124183009E-3</v>
      </c>
      <c r="AA284">
        <v>0</v>
      </c>
      <c r="AB284">
        <v>0</v>
      </c>
      <c r="AC284">
        <v>0</v>
      </c>
      <c r="AD284">
        <v>2</v>
      </c>
      <c r="AE284">
        <v>2.5000000000000001E-2</v>
      </c>
      <c r="AF284">
        <v>1.30718954248366E-3</v>
      </c>
    </row>
    <row r="285" spans="1:32" x14ac:dyDescent="0.2">
      <c r="A285">
        <v>2124.2587615740704</v>
      </c>
      <c r="B285">
        <v>1226</v>
      </c>
      <c r="C285">
        <v>54</v>
      </c>
      <c r="D285">
        <v>164</v>
      </c>
      <c r="E285">
        <v>40</v>
      </c>
      <c r="F285">
        <v>18</v>
      </c>
      <c r="G285">
        <v>46</v>
      </c>
      <c r="H285">
        <v>2199</v>
      </c>
      <c r="I285">
        <v>35</v>
      </c>
      <c r="J285">
        <v>1045</v>
      </c>
      <c r="K285">
        <v>198</v>
      </c>
      <c r="L285">
        <v>30552</v>
      </c>
      <c r="M285">
        <v>1018</v>
      </c>
      <c r="N285">
        <v>3.3320240900759364E-2</v>
      </c>
      <c r="O285">
        <v>398</v>
      </c>
      <c r="P285">
        <v>0.39096267190569745</v>
      </c>
      <c r="Q285">
        <v>1.3026970411102384E-2</v>
      </c>
      <c r="R285">
        <v>178</v>
      </c>
      <c r="S285">
        <v>0.17485265225933203</v>
      </c>
      <c r="T285">
        <v>5.8261324954176482E-3</v>
      </c>
      <c r="U285">
        <v>141</v>
      </c>
      <c r="V285">
        <v>0.13850687622789784</v>
      </c>
      <c r="W285">
        <v>4.6150824823252157E-3</v>
      </c>
      <c r="X285">
        <v>293</v>
      </c>
      <c r="Y285">
        <v>0.28781925343811393</v>
      </c>
      <c r="Z285">
        <v>9.5902068604346684E-3</v>
      </c>
      <c r="AA285">
        <v>1</v>
      </c>
      <c r="AB285">
        <v>9.8231827111984276E-4</v>
      </c>
      <c r="AC285">
        <v>3.2731081434930612E-5</v>
      </c>
      <c r="AD285">
        <v>7</v>
      </c>
      <c r="AE285">
        <v>6.8762278978389E-3</v>
      </c>
      <c r="AF285">
        <v>2.2911757004451426E-4</v>
      </c>
    </row>
    <row r="286" spans="1:32" x14ac:dyDescent="0.2">
      <c r="A286">
        <v>2141.906712962962</v>
      </c>
      <c r="B286">
        <v>2149</v>
      </c>
      <c r="C286">
        <v>93</v>
      </c>
      <c r="D286">
        <v>335</v>
      </c>
      <c r="E286">
        <v>0</v>
      </c>
      <c r="F286">
        <v>26</v>
      </c>
      <c r="G286">
        <v>32</v>
      </c>
      <c r="H286">
        <v>143</v>
      </c>
      <c r="I286">
        <v>6</v>
      </c>
      <c r="J286">
        <v>87</v>
      </c>
      <c r="K286">
        <v>27</v>
      </c>
      <c r="L286">
        <v>2878</v>
      </c>
      <c r="M286">
        <v>12</v>
      </c>
      <c r="N286">
        <v>4.1695621959694229E-3</v>
      </c>
      <c r="O286">
        <v>0</v>
      </c>
      <c r="P286">
        <v>0</v>
      </c>
      <c r="Q286">
        <v>0</v>
      </c>
      <c r="R286">
        <v>8</v>
      </c>
      <c r="S286">
        <v>0.66666666666666663</v>
      </c>
      <c r="T286">
        <v>2.7797081306462821E-3</v>
      </c>
      <c r="U286">
        <v>1</v>
      </c>
      <c r="V286">
        <v>8.3333333333333329E-2</v>
      </c>
      <c r="W286">
        <v>3.4746351633078526E-4</v>
      </c>
      <c r="X286">
        <v>3</v>
      </c>
      <c r="Y286">
        <v>0.25</v>
      </c>
      <c r="Z286">
        <v>1.0423905489923557E-3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">
      <c r="A287">
        <v>3244.4165162037025</v>
      </c>
      <c r="B287">
        <v>2463</v>
      </c>
      <c r="C287">
        <v>68</v>
      </c>
      <c r="D287">
        <v>515</v>
      </c>
      <c r="E287">
        <v>0</v>
      </c>
      <c r="F287">
        <v>19</v>
      </c>
      <c r="G287">
        <v>168</v>
      </c>
      <c r="H287">
        <v>779</v>
      </c>
      <c r="I287">
        <v>16</v>
      </c>
      <c r="J287">
        <v>731</v>
      </c>
      <c r="K287">
        <v>78</v>
      </c>
      <c r="L287">
        <v>11011</v>
      </c>
      <c r="M287">
        <v>460</v>
      </c>
      <c r="N287">
        <v>4.1776405412769051E-2</v>
      </c>
      <c r="O287">
        <v>199</v>
      </c>
      <c r="P287">
        <v>0.43260869565217391</v>
      </c>
      <c r="Q287">
        <v>1.8072836254654435E-2</v>
      </c>
      <c r="R287">
        <v>128</v>
      </c>
      <c r="S287">
        <v>0.27826086956521739</v>
      </c>
      <c r="T287">
        <v>1.162473889746617E-2</v>
      </c>
      <c r="U287">
        <v>40</v>
      </c>
      <c r="V287">
        <v>8.6956521739130432E-2</v>
      </c>
      <c r="W287">
        <v>3.6327309054581783E-3</v>
      </c>
      <c r="X287">
        <v>43</v>
      </c>
      <c r="Y287">
        <v>9.3478260869565219E-2</v>
      </c>
      <c r="Z287">
        <v>3.9051857233675415E-3</v>
      </c>
      <c r="AA287">
        <v>0</v>
      </c>
      <c r="AB287">
        <v>0</v>
      </c>
      <c r="AC287">
        <v>0</v>
      </c>
      <c r="AD287">
        <v>50</v>
      </c>
      <c r="AE287">
        <v>0.10869565217391304</v>
      </c>
      <c r="AF287">
        <v>4.5409136318227223E-3</v>
      </c>
    </row>
    <row r="288" spans="1:32" x14ac:dyDescent="0.2">
      <c r="A288">
        <v>1213.1041203703717</v>
      </c>
      <c r="B288">
        <v>3635</v>
      </c>
      <c r="C288">
        <v>172</v>
      </c>
      <c r="D288">
        <v>1100</v>
      </c>
      <c r="E288">
        <v>34</v>
      </c>
      <c r="F288">
        <v>38</v>
      </c>
      <c r="G288">
        <v>107</v>
      </c>
      <c r="H288">
        <v>1881</v>
      </c>
      <c r="I288">
        <v>29</v>
      </c>
      <c r="J288">
        <v>1258</v>
      </c>
      <c r="K288">
        <v>139</v>
      </c>
      <c r="L288">
        <v>54109</v>
      </c>
      <c r="M288">
        <v>886</v>
      </c>
      <c r="N288">
        <v>1.6374355467667117E-2</v>
      </c>
      <c r="O288">
        <v>84</v>
      </c>
      <c r="P288">
        <v>9.480812641083522E-2</v>
      </c>
      <c r="Q288">
        <v>1.5524219630745346E-3</v>
      </c>
      <c r="R288">
        <v>566</v>
      </c>
      <c r="S288">
        <v>0.63882618510158018</v>
      </c>
      <c r="T288">
        <v>1.0460367036906984E-2</v>
      </c>
      <c r="U288">
        <v>188</v>
      </c>
      <c r="V288">
        <v>0.21218961625282168</v>
      </c>
      <c r="W288">
        <v>3.4744682030715779E-3</v>
      </c>
      <c r="X288">
        <v>48</v>
      </c>
      <c r="Y288">
        <v>5.4176072234762979E-2</v>
      </c>
      <c r="Z288">
        <v>8.8709826461401983E-4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">
      <c r="A289">
        <v>888.31318287036993</v>
      </c>
      <c r="B289">
        <v>524</v>
      </c>
      <c r="C289">
        <v>20</v>
      </c>
      <c r="D289">
        <v>107</v>
      </c>
      <c r="E289">
        <v>100</v>
      </c>
      <c r="F289">
        <v>3</v>
      </c>
      <c r="G289">
        <v>38</v>
      </c>
      <c r="H289">
        <v>629</v>
      </c>
      <c r="I289">
        <v>14</v>
      </c>
      <c r="J289">
        <v>415</v>
      </c>
      <c r="K289">
        <v>94</v>
      </c>
      <c r="L289">
        <v>17780</v>
      </c>
      <c r="M289">
        <v>27</v>
      </c>
      <c r="N289">
        <v>1.5185601799775029E-3</v>
      </c>
      <c r="O289">
        <v>0</v>
      </c>
      <c r="P289">
        <v>0</v>
      </c>
      <c r="Q289">
        <v>0</v>
      </c>
      <c r="R289">
        <v>4</v>
      </c>
      <c r="S289">
        <v>0.14814814814814814</v>
      </c>
      <c r="T289">
        <v>2.2497187851518559E-4</v>
      </c>
      <c r="U289">
        <v>21</v>
      </c>
      <c r="V289">
        <v>0.77777777777777779</v>
      </c>
      <c r="W289">
        <v>1.1811023622047244E-3</v>
      </c>
      <c r="X289">
        <v>2</v>
      </c>
      <c r="Y289">
        <v>7.407407407407407E-2</v>
      </c>
      <c r="Z289">
        <v>1.124859392575928E-4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">
      <c r="A290">
        <v>1134.3137268518549</v>
      </c>
      <c r="B290">
        <v>432</v>
      </c>
      <c r="C290">
        <v>28</v>
      </c>
      <c r="D290">
        <v>115</v>
      </c>
      <c r="E290">
        <v>13</v>
      </c>
      <c r="F290">
        <v>19</v>
      </c>
      <c r="G290">
        <v>64</v>
      </c>
      <c r="H290">
        <v>1372</v>
      </c>
      <c r="I290">
        <v>27</v>
      </c>
      <c r="J290">
        <v>736</v>
      </c>
      <c r="K290">
        <v>232</v>
      </c>
      <c r="L290">
        <v>29076</v>
      </c>
      <c r="M290">
        <v>594</v>
      </c>
      <c r="N290">
        <v>2.042921997523731E-2</v>
      </c>
      <c r="O290">
        <v>286</v>
      </c>
      <c r="P290">
        <v>0.48148148148148145</v>
      </c>
      <c r="Q290">
        <v>9.8362910991883334E-3</v>
      </c>
      <c r="R290">
        <v>167</v>
      </c>
      <c r="S290">
        <v>0.28114478114478114</v>
      </c>
      <c r="T290">
        <v>5.7435685788966842E-3</v>
      </c>
      <c r="U290">
        <v>83</v>
      </c>
      <c r="V290">
        <v>0.13973063973063973</v>
      </c>
      <c r="W290">
        <v>2.854587976337873E-3</v>
      </c>
      <c r="X290">
        <v>31</v>
      </c>
      <c r="Y290">
        <v>5.2188552188552187E-2</v>
      </c>
      <c r="Z290">
        <v>1.0661714128490851E-3</v>
      </c>
      <c r="AA290">
        <v>0</v>
      </c>
      <c r="AB290">
        <v>0</v>
      </c>
      <c r="AC290">
        <v>0</v>
      </c>
      <c r="AD290">
        <v>27</v>
      </c>
      <c r="AE290">
        <v>4.5454545454545456E-2</v>
      </c>
      <c r="AF290">
        <v>9.2860090796533228E-4</v>
      </c>
    </row>
    <row r="291" spans="1:32" x14ac:dyDescent="0.2">
      <c r="A291">
        <v>1820.448784722219</v>
      </c>
      <c r="B291">
        <v>1855</v>
      </c>
      <c r="C291">
        <v>83</v>
      </c>
      <c r="D291">
        <v>603</v>
      </c>
      <c r="E291">
        <v>13</v>
      </c>
      <c r="F291">
        <v>19</v>
      </c>
      <c r="G291">
        <v>150</v>
      </c>
      <c r="H291">
        <v>1059</v>
      </c>
      <c r="I291">
        <v>20</v>
      </c>
      <c r="J291">
        <v>874</v>
      </c>
      <c r="K291">
        <v>168</v>
      </c>
      <c r="L291">
        <v>19455</v>
      </c>
      <c r="M291">
        <v>27</v>
      </c>
      <c r="N291">
        <v>1.3878180416345412E-3</v>
      </c>
      <c r="O291">
        <v>8</v>
      </c>
      <c r="P291">
        <v>0.29629629629629628</v>
      </c>
      <c r="Q291">
        <v>4.1120534566949372E-4</v>
      </c>
      <c r="R291">
        <v>3</v>
      </c>
      <c r="S291">
        <v>0.1111111111111111</v>
      </c>
      <c r="T291">
        <v>1.5420200462606013E-4</v>
      </c>
      <c r="U291">
        <v>16</v>
      </c>
      <c r="V291">
        <v>0.59259259259259256</v>
      </c>
      <c r="W291">
        <v>8.2241069133898745E-4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">
      <c r="A292">
        <v>1347.5671759259276</v>
      </c>
      <c r="B292">
        <v>339</v>
      </c>
      <c r="C292">
        <v>53</v>
      </c>
      <c r="D292">
        <v>94</v>
      </c>
      <c r="E292">
        <v>0</v>
      </c>
      <c r="F292">
        <v>0</v>
      </c>
      <c r="G292">
        <v>4</v>
      </c>
      <c r="H292">
        <v>7</v>
      </c>
      <c r="I292">
        <v>4</v>
      </c>
      <c r="J292">
        <v>9</v>
      </c>
      <c r="K292">
        <v>2</v>
      </c>
      <c r="L292">
        <v>452</v>
      </c>
      <c r="M292">
        <v>9</v>
      </c>
      <c r="N292">
        <v>1.9911504424778761E-2</v>
      </c>
      <c r="O292">
        <v>0</v>
      </c>
      <c r="P292">
        <v>0</v>
      </c>
      <c r="Q292">
        <v>0</v>
      </c>
      <c r="R292">
        <v>7</v>
      </c>
      <c r="S292">
        <v>0.77777777777777779</v>
      </c>
      <c r="T292">
        <v>1.5486725663716814E-2</v>
      </c>
      <c r="U292">
        <v>2</v>
      </c>
      <c r="V292">
        <v>0.22222222222222221</v>
      </c>
      <c r="W292">
        <v>4.4247787610619468E-3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">
      <c r="A293">
        <v>2286.4216319444458</v>
      </c>
      <c r="B293">
        <v>1248</v>
      </c>
      <c r="C293">
        <v>36</v>
      </c>
      <c r="D293">
        <v>80</v>
      </c>
      <c r="E293">
        <v>0</v>
      </c>
      <c r="F293">
        <v>0</v>
      </c>
      <c r="G293">
        <v>16</v>
      </c>
      <c r="H293">
        <v>135</v>
      </c>
      <c r="I293">
        <v>1</v>
      </c>
      <c r="J293">
        <v>305</v>
      </c>
      <c r="K293">
        <v>15</v>
      </c>
      <c r="L293">
        <v>11705</v>
      </c>
      <c r="M293">
        <v>18</v>
      </c>
      <c r="N293">
        <v>1.5378043571123452E-3</v>
      </c>
      <c r="O293">
        <v>9</v>
      </c>
      <c r="P293">
        <v>0.5</v>
      </c>
      <c r="Q293">
        <v>7.6890217855617258E-4</v>
      </c>
      <c r="R293">
        <v>5</v>
      </c>
      <c r="S293">
        <v>0.27777777777777779</v>
      </c>
      <c r="T293">
        <v>4.2716787697565144E-4</v>
      </c>
      <c r="U293">
        <v>2</v>
      </c>
      <c r="V293">
        <v>0.1111111111111111</v>
      </c>
      <c r="W293">
        <v>1.7086715079026057E-4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</v>
      </c>
      <c r="AE293">
        <v>0.1111111111111111</v>
      </c>
      <c r="AF293">
        <v>1.7086715079026057E-4</v>
      </c>
    </row>
    <row r="294" spans="1:32" x14ac:dyDescent="0.2">
      <c r="A294">
        <v>397.95261574074539</v>
      </c>
      <c r="B294">
        <v>717</v>
      </c>
      <c r="C294">
        <v>70</v>
      </c>
      <c r="D294">
        <v>71</v>
      </c>
      <c r="E294">
        <v>0</v>
      </c>
      <c r="F294">
        <v>0</v>
      </c>
      <c r="G294">
        <v>3</v>
      </c>
      <c r="H294">
        <v>1</v>
      </c>
      <c r="I294">
        <v>0</v>
      </c>
      <c r="J294">
        <v>22</v>
      </c>
      <c r="K294">
        <v>1</v>
      </c>
      <c r="L294">
        <v>7225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">
      <c r="A295">
        <v>1061.1631828703757</v>
      </c>
      <c r="B295">
        <v>2044</v>
      </c>
      <c r="C295">
        <v>96</v>
      </c>
      <c r="D295">
        <v>292</v>
      </c>
      <c r="E295">
        <v>0</v>
      </c>
      <c r="F295">
        <v>3</v>
      </c>
      <c r="G295">
        <v>4</v>
      </c>
      <c r="H295">
        <v>14</v>
      </c>
      <c r="I295">
        <v>2</v>
      </c>
      <c r="J295">
        <v>28</v>
      </c>
      <c r="K295">
        <v>10</v>
      </c>
      <c r="L295">
        <v>1668</v>
      </c>
      <c r="M295">
        <v>111</v>
      </c>
      <c r="N295">
        <v>6.654676258992806E-2</v>
      </c>
      <c r="O295">
        <v>20</v>
      </c>
      <c r="P295">
        <v>0.18018018018018017</v>
      </c>
      <c r="Q295">
        <v>1.1990407673860911E-2</v>
      </c>
      <c r="R295">
        <v>78</v>
      </c>
      <c r="S295">
        <v>0.70270270270270274</v>
      </c>
      <c r="T295">
        <v>4.6762589928057555E-2</v>
      </c>
      <c r="U295">
        <v>3</v>
      </c>
      <c r="V295">
        <v>2.7027027027027029E-2</v>
      </c>
      <c r="W295">
        <v>1.7985611510791368E-3</v>
      </c>
      <c r="X295">
        <v>3</v>
      </c>
      <c r="Y295">
        <v>2.7027027027027029E-2</v>
      </c>
      <c r="Z295">
        <v>1.7985611510791368E-3</v>
      </c>
      <c r="AA295">
        <v>7</v>
      </c>
      <c r="AB295">
        <v>6.3063063063063057E-2</v>
      </c>
      <c r="AC295">
        <v>4.1966426858513189E-3</v>
      </c>
      <c r="AD295">
        <v>0</v>
      </c>
      <c r="AE295">
        <v>0</v>
      </c>
      <c r="AF295">
        <v>0</v>
      </c>
    </row>
    <row r="296" spans="1:32" x14ac:dyDescent="0.2">
      <c r="A296">
        <v>2074.3498958333294</v>
      </c>
      <c r="B296">
        <v>714</v>
      </c>
      <c r="C296">
        <v>39</v>
      </c>
      <c r="D296">
        <v>361</v>
      </c>
      <c r="E296">
        <v>23</v>
      </c>
      <c r="F296">
        <v>80</v>
      </c>
      <c r="G296">
        <v>136</v>
      </c>
      <c r="H296">
        <v>455</v>
      </c>
      <c r="I296">
        <v>26</v>
      </c>
      <c r="J296">
        <v>952</v>
      </c>
      <c r="K296">
        <v>151</v>
      </c>
      <c r="L296">
        <v>21181</v>
      </c>
      <c r="M296">
        <v>666</v>
      </c>
      <c r="N296">
        <v>3.1443274632925733E-2</v>
      </c>
      <c r="O296">
        <v>322</v>
      </c>
      <c r="P296">
        <v>0.48348348348348347</v>
      </c>
      <c r="Q296">
        <v>1.5202303951654785E-2</v>
      </c>
      <c r="R296">
        <v>170</v>
      </c>
      <c r="S296">
        <v>0.25525525525525528</v>
      </c>
      <c r="T296">
        <v>8.0260610924885508E-3</v>
      </c>
      <c r="U296">
        <v>114</v>
      </c>
      <c r="V296">
        <v>0.17117117117117117</v>
      </c>
      <c r="W296">
        <v>5.3821821443746755E-3</v>
      </c>
      <c r="X296">
        <v>56</v>
      </c>
      <c r="Y296">
        <v>8.408408408408409E-2</v>
      </c>
      <c r="Z296">
        <v>2.6438789481138757E-3</v>
      </c>
      <c r="AA296">
        <v>3</v>
      </c>
      <c r="AB296">
        <v>4.5045045045045045E-3</v>
      </c>
      <c r="AC296">
        <v>1.4163637222038618E-4</v>
      </c>
      <c r="AD296">
        <v>1</v>
      </c>
      <c r="AE296">
        <v>1.5015015015015015E-3</v>
      </c>
      <c r="AF296">
        <v>4.7212124073462063E-5</v>
      </c>
    </row>
    <row r="297" spans="1:32" x14ac:dyDescent="0.2">
      <c r="A297">
        <v>2781.0104050925947</v>
      </c>
      <c r="B297">
        <v>1612</v>
      </c>
      <c r="C297">
        <v>152</v>
      </c>
      <c r="D297">
        <v>368</v>
      </c>
      <c r="E297">
        <v>55</v>
      </c>
      <c r="F297">
        <v>122</v>
      </c>
      <c r="G297">
        <v>98</v>
      </c>
      <c r="H297">
        <v>378</v>
      </c>
      <c r="I297">
        <v>1</v>
      </c>
      <c r="J297">
        <v>650</v>
      </c>
      <c r="K297">
        <v>39</v>
      </c>
      <c r="L297">
        <v>24165</v>
      </c>
      <c r="M297">
        <v>267</v>
      </c>
      <c r="N297">
        <v>1.1049037864680323E-2</v>
      </c>
      <c r="O297">
        <v>143</v>
      </c>
      <c r="P297">
        <v>0.53558052434456926</v>
      </c>
      <c r="Q297">
        <v>5.9176494930684876E-3</v>
      </c>
      <c r="R297">
        <v>26</v>
      </c>
      <c r="S297">
        <v>9.7378277153558054E-2</v>
      </c>
      <c r="T297">
        <v>1.0759362714669977E-3</v>
      </c>
      <c r="U297">
        <v>23</v>
      </c>
      <c r="V297">
        <v>8.6142322097378279E-2</v>
      </c>
      <c r="W297">
        <v>9.5178977860542111E-4</v>
      </c>
      <c r="X297">
        <v>25</v>
      </c>
      <c r="Y297">
        <v>9.3632958801498134E-2</v>
      </c>
      <c r="Z297">
        <v>1.0345541071798054E-3</v>
      </c>
      <c r="AA297">
        <v>49</v>
      </c>
      <c r="AB297">
        <v>0.18352059925093633</v>
      </c>
      <c r="AC297">
        <v>2.027726050072419E-3</v>
      </c>
      <c r="AD297">
        <v>1</v>
      </c>
      <c r="AE297">
        <v>3.7453183520599251E-3</v>
      </c>
      <c r="AF297">
        <v>4.1382164287192219E-5</v>
      </c>
    </row>
    <row r="298" spans="1:32" x14ac:dyDescent="0.2">
      <c r="A298">
        <v>274.3691319444406</v>
      </c>
      <c r="B298">
        <v>963</v>
      </c>
      <c r="C298">
        <v>36</v>
      </c>
      <c r="D298">
        <v>56</v>
      </c>
      <c r="E298">
        <v>3</v>
      </c>
      <c r="F298">
        <v>0</v>
      </c>
      <c r="G298">
        <v>32</v>
      </c>
      <c r="H298">
        <v>463</v>
      </c>
      <c r="I298">
        <v>4</v>
      </c>
      <c r="J298">
        <v>12</v>
      </c>
      <c r="K298">
        <v>5</v>
      </c>
      <c r="L298">
        <v>31518</v>
      </c>
      <c r="M298">
        <v>76</v>
      </c>
      <c r="N298">
        <v>2.4113205152611204E-3</v>
      </c>
      <c r="O298">
        <v>14</v>
      </c>
      <c r="P298">
        <v>0.18421052631578946</v>
      </c>
      <c r="Q298">
        <v>4.441906212323117E-4</v>
      </c>
      <c r="R298">
        <v>46</v>
      </c>
      <c r="S298">
        <v>0.60526315789473684</v>
      </c>
      <c r="T298">
        <v>1.4594834697633098E-3</v>
      </c>
      <c r="U298">
        <v>13</v>
      </c>
      <c r="V298">
        <v>0.17105263157894737</v>
      </c>
      <c r="W298">
        <v>4.1246271971571801E-4</v>
      </c>
      <c r="X298">
        <v>2</v>
      </c>
      <c r="Y298">
        <v>2.6315789473684209E-2</v>
      </c>
      <c r="Z298">
        <v>6.3455803033187386E-5</v>
      </c>
      <c r="AA298">
        <v>1</v>
      </c>
      <c r="AB298">
        <v>1.3157894736842105E-2</v>
      </c>
      <c r="AC298">
        <v>3.1727901516593693E-5</v>
      </c>
      <c r="AD298">
        <v>0</v>
      </c>
      <c r="AE298">
        <v>0</v>
      </c>
      <c r="AF298">
        <v>0</v>
      </c>
    </row>
    <row r="299" spans="1:32" x14ac:dyDescent="0.2">
      <c r="A299">
        <v>2596.6481018518534</v>
      </c>
      <c r="B299">
        <v>927</v>
      </c>
      <c r="C299">
        <v>121</v>
      </c>
      <c r="D299">
        <v>697</v>
      </c>
      <c r="E299">
        <v>0</v>
      </c>
      <c r="F299">
        <v>21</v>
      </c>
      <c r="G299">
        <v>273</v>
      </c>
      <c r="H299">
        <v>1570</v>
      </c>
      <c r="I299">
        <v>2</v>
      </c>
      <c r="J299">
        <v>823</v>
      </c>
      <c r="K299">
        <v>53</v>
      </c>
      <c r="L299">
        <v>9241</v>
      </c>
      <c r="M299">
        <v>27</v>
      </c>
      <c r="N299">
        <v>2.9217617141002058E-3</v>
      </c>
      <c r="O299">
        <v>16</v>
      </c>
      <c r="P299">
        <v>0.59259259259259256</v>
      </c>
      <c r="Q299">
        <v>1.7314143490964181E-3</v>
      </c>
      <c r="R299">
        <v>4</v>
      </c>
      <c r="S299">
        <v>0.14814814814814814</v>
      </c>
      <c r="T299">
        <v>4.3285358727410453E-4</v>
      </c>
      <c r="U299">
        <v>0</v>
      </c>
      <c r="V299">
        <v>0</v>
      </c>
      <c r="W299">
        <v>0</v>
      </c>
      <c r="X299">
        <v>7</v>
      </c>
      <c r="Y299">
        <v>0.25925925925925924</v>
      </c>
      <c r="Z299">
        <v>7.5749377772968299E-4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">
      <c r="A300">
        <v>1233.5076736111077</v>
      </c>
      <c r="B300">
        <v>350</v>
      </c>
      <c r="C300">
        <v>28</v>
      </c>
      <c r="D300">
        <v>45</v>
      </c>
      <c r="E300">
        <v>33</v>
      </c>
      <c r="F300">
        <v>1</v>
      </c>
      <c r="G300">
        <v>22</v>
      </c>
      <c r="H300">
        <v>189</v>
      </c>
      <c r="I300">
        <v>7</v>
      </c>
      <c r="J300">
        <v>225</v>
      </c>
      <c r="K300">
        <v>47</v>
      </c>
      <c r="L300">
        <v>2709</v>
      </c>
      <c r="M300">
        <v>55</v>
      </c>
      <c r="N300">
        <v>2.0302694721299374E-2</v>
      </c>
      <c r="O300">
        <v>1</v>
      </c>
      <c r="P300">
        <v>1.8181818181818181E-2</v>
      </c>
      <c r="Q300">
        <v>3.6913990402362494E-4</v>
      </c>
      <c r="R300">
        <v>31</v>
      </c>
      <c r="S300">
        <v>0.5636363636363636</v>
      </c>
      <c r="T300">
        <v>1.1443337024732374E-2</v>
      </c>
      <c r="U300">
        <v>11</v>
      </c>
      <c r="V300">
        <v>0.2</v>
      </c>
      <c r="W300">
        <v>4.0605389442598741E-3</v>
      </c>
      <c r="X300">
        <v>12</v>
      </c>
      <c r="Y300">
        <v>0.21818181818181817</v>
      </c>
      <c r="Z300">
        <v>4.4296788482834993E-3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">
      <c r="A301">
        <v>426.36488425925927</v>
      </c>
      <c r="B301">
        <v>1507</v>
      </c>
      <c r="C301">
        <v>45</v>
      </c>
      <c r="D301">
        <v>270</v>
      </c>
      <c r="E301">
        <v>1</v>
      </c>
      <c r="F301">
        <v>1</v>
      </c>
      <c r="G301">
        <v>32</v>
      </c>
      <c r="H301">
        <v>137</v>
      </c>
      <c r="I301">
        <v>2</v>
      </c>
      <c r="J301">
        <v>201</v>
      </c>
      <c r="K301">
        <v>32</v>
      </c>
      <c r="L301">
        <v>1154</v>
      </c>
      <c r="M301">
        <v>42</v>
      </c>
      <c r="N301">
        <v>3.6395147313691506E-2</v>
      </c>
      <c r="O301">
        <v>10</v>
      </c>
      <c r="P301">
        <v>0.23809523809523808</v>
      </c>
      <c r="Q301">
        <v>8.6655112651646445E-3</v>
      </c>
      <c r="R301">
        <v>29</v>
      </c>
      <c r="S301">
        <v>0.69047619047619047</v>
      </c>
      <c r="T301">
        <v>2.5129982668977469E-2</v>
      </c>
      <c r="U301">
        <v>1</v>
      </c>
      <c r="V301">
        <v>2.3809523809523808E-2</v>
      </c>
      <c r="W301">
        <v>8.6655112651646442E-4</v>
      </c>
      <c r="X301">
        <v>2</v>
      </c>
      <c r="Y301">
        <v>4.7619047619047616E-2</v>
      </c>
      <c r="Z301">
        <v>1.7331022530329288E-3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">
      <c r="A302">
        <v>503.90672453703883</v>
      </c>
      <c r="B302">
        <v>423</v>
      </c>
      <c r="C302">
        <v>24</v>
      </c>
      <c r="D302">
        <v>130</v>
      </c>
      <c r="E302">
        <v>4</v>
      </c>
      <c r="F302">
        <v>0</v>
      </c>
      <c r="G302">
        <v>12</v>
      </c>
      <c r="H302">
        <v>48</v>
      </c>
      <c r="I302">
        <v>2</v>
      </c>
      <c r="J302">
        <v>0</v>
      </c>
      <c r="K302">
        <v>0</v>
      </c>
      <c r="L302">
        <v>2051</v>
      </c>
      <c r="M302">
        <v>15</v>
      </c>
      <c r="N302">
        <v>7.3135056070209653E-3</v>
      </c>
      <c r="O302">
        <v>0</v>
      </c>
      <c r="P302">
        <v>0</v>
      </c>
      <c r="Q302">
        <v>0</v>
      </c>
      <c r="R302">
        <v>12</v>
      </c>
      <c r="S302">
        <v>0.8</v>
      </c>
      <c r="T302">
        <v>5.8508044856167727E-3</v>
      </c>
      <c r="U302">
        <v>3</v>
      </c>
      <c r="V302">
        <v>0.2</v>
      </c>
      <c r="W302">
        <v>1.4627011214041932E-3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">
      <c r="A303">
        <v>568.42418981481751</v>
      </c>
      <c r="B303">
        <v>793</v>
      </c>
      <c r="C303">
        <v>67</v>
      </c>
      <c r="D303">
        <v>80</v>
      </c>
      <c r="E303">
        <v>2</v>
      </c>
      <c r="F303">
        <v>0</v>
      </c>
      <c r="G303">
        <v>3</v>
      </c>
      <c r="H303">
        <v>8</v>
      </c>
      <c r="I303">
        <v>0</v>
      </c>
      <c r="J303">
        <v>19</v>
      </c>
      <c r="K303">
        <v>4</v>
      </c>
      <c r="L303">
        <v>3019</v>
      </c>
      <c r="M303">
        <v>280</v>
      </c>
      <c r="N303">
        <v>9.2745942365021525E-2</v>
      </c>
      <c r="O303">
        <v>211</v>
      </c>
      <c r="P303">
        <v>0.75357142857142856</v>
      </c>
      <c r="Q303">
        <v>6.9890692282212646E-2</v>
      </c>
      <c r="R303">
        <v>14</v>
      </c>
      <c r="S303">
        <v>0.05</v>
      </c>
      <c r="T303">
        <v>4.6372971182510768E-3</v>
      </c>
      <c r="U303">
        <v>15</v>
      </c>
      <c r="V303">
        <v>5.3571428571428568E-2</v>
      </c>
      <c r="W303">
        <v>4.9685326266975822E-3</v>
      </c>
      <c r="X303">
        <v>40</v>
      </c>
      <c r="Y303">
        <v>0.14285714285714285</v>
      </c>
      <c r="Z303">
        <v>1.3249420337860219E-2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">
      <c r="A304">
        <v>1880.1104050925933</v>
      </c>
      <c r="B304">
        <v>543</v>
      </c>
      <c r="C304">
        <v>16</v>
      </c>
      <c r="D304">
        <v>103</v>
      </c>
      <c r="E304">
        <v>12</v>
      </c>
      <c r="F304">
        <v>1</v>
      </c>
      <c r="G304">
        <v>15</v>
      </c>
      <c r="H304">
        <v>83</v>
      </c>
      <c r="I304">
        <v>5</v>
      </c>
      <c r="J304">
        <v>85</v>
      </c>
      <c r="K304">
        <v>22</v>
      </c>
      <c r="L304">
        <v>2657</v>
      </c>
      <c r="M304">
        <v>1</v>
      </c>
      <c r="N304">
        <v>3.7636432066240122E-4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3.7636432066240122E-4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">
      <c r="A305">
        <v>1604.7907638888864</v>
      </c>
      <c r="B305">
        <v>12507</v>
      </c>
      <c r="C305">
        <v>416</v>
      </c>
      <c r="D305">
        <v>3536</v>
      </c>
      <c r="E305">
        <v>10</v>
      </c>
      <c r="F305">
        <v>5</v>
      </c>
      <c r="G305">
        <v>121</v>
      </c>
      <c r="H305">
        <v>288</v>
      </c>
      <c r="I305">
        <v>3</v>
      </c>
      <c r="J305">
        <v>1560</v>
      </c>
      <c r="K305">
        <v>49</v>
      </c>
      <c r="L305">
        <v>3719</v>
      </c>
      <c r="M305">
        <v>20</v>
      </c>
      <c r="N305">
        <v>5.377789728421619E-3</v>
      </c>
      <c r="O305">
        <v>3</v>
      </c>
      <c r="P305">
        <v>0.15</v>
      </c>
      <c r="Q305">
        <v>8.0666845926324286E-4</v>
      </c>
      <c r="R305">
        <v>6</v>
      </c>
      <c r="S305">
        <v>0.3</v>
      </c>
      <c r="T305">
        <v>1.6133369185264857E-3</v>
      </c>
      <c r="U305">
        <v>9</v>
      </c>
      <c r="V305">
        <v>0.45</v>
      </c>
      <c r="W305">
        <v>2.4200053777897286E-3</v>
      </c>
      <c r="X305">
        <v>2</v>
      </c>
      <c r="Y305">
        <v>0.1</v>
      </c>
      <c r="Z305">
        <v>5.377789728421619E-4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">
      <c r="A306">
        <v>573.16091435185081</v>
      </c>
      <c r="B306">
        <v>1230</v>
      </c>
      <c r="C306">
        <v>52</v>
      </c>
      <c r="D306">
        <v>210</v>
      </c>
      <c r="E306">
        <v>5</v>
      </c>
      <c r="F306">
        <v>0</v>
      </c>
      <c r="G306">
        <v>49</v>
      </c>
      <c r="H306">
        <v>671</v>
      </c>
      <c r="I306">
        <v>38</v>
      </c>
      <c r="J306">
        <v>63</v>
      </c>
      <c r="K306">
        <v>13</v>
      </c>
      <c r="L306">
        <v>12563</v>
      </c>
      <c r="M306">
        <v>100</v>
      </c>
      <c r="N306">
        <v>7.9598821937435331E-3</v>
      </c>
      <c r="O306">
        <v>13</v>
      </c>
      <c r="P306">
        <v>0.13</v>
      </c>
      <c r="Q306">
        <v>1.0347846851866593E-3</v>
      </c>
      <c r="R306">
        <v>59</v>
      </c>
      <c r="S306">
        <v>0.59</v>
      </c>
      <c r="T306">
        <v>4.6963304943086846E-3</v>
      </c>
      <c r="U306">
        <v>23</v>
      </c>
      <c r="V306">
        <v>0.23</v>
      </c>
      <c r="W306">
        <v>1.8307729045610125E-3</v>
      </c>
      <c r="X306">
        <v>2</v>
      </c>
      <c r="Y306">
        <v>0.02</v>
      </c>
      <c r="Z306">
        <v>1.5919764387487066E-4</v>
      </c>
      <c r="AA306">
        <v>0</v>
      </c>
      <c r="AB306">
        <v>0</v>
      </c>
      <c r="AC306">
        <v>0</v>
      </c>
      <c r="AD306">
        <v>3</v>
      </c>
      <c r="AE306">
        <v>0.03</v>
      </c>
      <c r="AF306">
        <v>2.3879646581230599E-4</v>
      </c>
    </row>
    <row r="307" spans="1:32" x14ac:dyDescent="0.2">
      <c r="A307">
        <v>603.12342592592904</v>
      </c>
      <c r="B307">
        <v>758</v>
      </c>
      <c r="C307">
        <v>32</v>
      </c>
      <c r="D307">
        <v>106</v>
      </c>
      <c r="E307">
        <v>1</v>
      </c>
      <c r="F307">
        <v>0</v>
      </c>
      <c r="G307">
        <v>20</v>
      </c>
      <c r="H307">
        <v>193</v>
      </c>
      <c r="I307">
        <v>17</v>
      </c>
      <c r="J307">
        <v>52</v>
      </c>
      <c r="K307">
        <v>13</v>
      </c>
      <c r="L307">
        <v>15845</v>
      </c>
      <c r="M307">
        <v>116</v>
      </c>
      <c r="N307">
        <v>7.3209214263174503E-3</v>
      </c>
      <c r="O307">
        <v>0</v>
      </c>
      <c r="P307">
        <v>0</v>
      </c>
      <c r="Q307">
        <v>0</v>
      </c>
      <c r="R307">
        <v>101</v>
      </c>
      <c r="S307">
        <v>0.87068965517241381</v>
      </c>
      <c r="T307">
        <v>6.3742505522246763E-3</v>
      </c>
      <c r="U307">
        <v>14</v>
      </c>
      <c r="V307">
        <v>0.1206896551724138</v>
      </c>
      <c r="W307">
        <v>8.8355948248658878E-4</v>
      </c>
      <c r="X307">
        <v>1</v>
      </c>
      <c r="Y307">
        <v>8.6206896551724137E-3</v>
      </c>
      <c r="Z307">
        <v>6.3111391606184911E-5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">
      <c r="A308">
        <v>1081.4620370370394</v>
      </c>
      <c r="B308">
        <v>962</v>
      </c>
      <c r="C308">
        <v>58</v>
      </c>
      <c r="D308">
        <v>180</v>
      </c>
      <c r="E308">
        <v>0</v>
      </c>
      <c r="F308">
        <v>0</v>
      </c>
      <c r="G308">
        <v>7</v>
      </c>
      <c r="H308">
        <v>11</v>
      </c>
      <c r="I308">
        <v>0</v>
      </c>
      <c r="J308">
        <v>66</v>
      </c>
      <c r="K308">
        <v>15</v>
      </c>
      <c r="L308">
        <v>11148</v>
      </c>
      <c r="M308">
        <v>162</v>
      </c>
      <c r="N308">
        <v>1.4531754574811625E-2</v>
      </c>
      <c r="O308">
        <v>17</v>
      </c>
      <c r="P308">
        <v>0.10493827160493827</v>
      </c>
      <c r="Q308">
        <v>1.5249372084678867E-3</v>
      </c>
      <c r="R308">
        <v>117</v>
      </c>
      <c r="S308">
        <v>0.72222222222222221</v>
      </c>
      <c r="T308">
        <v>1.0495156081808395E-2</v>
      </c>
      <c r="U308">
        <v>14</v>
      </c>
      <c r="V308">
        <v>8.6419753086419748E-2</v>
      </c>
      <c r="W308">
        <v>1.2558306422676714E-3</v>
      </c>
      <c r="X308">
        <v>12</v>
      </c>
      <c r="Y308">
        <v>7.407407407407407E-2</v>
      </c>
      <c r="Z308">
        <v>1.076426264800861E-3</v>
      </c>
      <c r="AA308">
        <v>2</v>
      </c>
      <c r="AB308">
        <v>1.2345679012345678E-2</v>
      </c>
      <c r="AC308">
        <v>1.794043774668102E-4</v>
      </c>
      <c r="AD308">
        <v>0</v>
      </c>
      <c r="AE308">
        <v>0</v>
      </c>
      <c r="AF308">
        <v>0</v>
      </c>
    </row>
    <row r="309" spans="1:32" x14ac:dyDescent="0.2">
      <c r="A309">
        <v>1281.377291666664</v>
      </c>
      <c r="B309">
        <v>24276</v>
      </c>
      <c r="C309">
        <v>993</v>
      </c>
      <c r="D309">
        <v>5141</v>
      </c>
      <c r="E309">
        <v>0</v>
      </c>
      <c r="F309">
        <v>12</v>
      </c>
      <c r="G309">
        <v>33</v>
      </c>
      <c r="H309">
        <v>99</v>
      </c>
      <c r="I309">
        <v>25</v>
      </c>
      <c r="J309">
        <v>905</v>
      </c>
      <c r="K309">
        <v>295</v>
      </c>
      <c r="L309">
        <v>8962</v>
      </c>
      <c r="M309">
        <v>175</v>
      </c>
      <c r="N309">
        <v>1.9526891318902031E-2</v>
      </c>
      <c r="O309">
        <v>24</v>
      </c>
      <c r="P309">
        <v>0.13714285714285715</v>
      </c>
      <c r="Q309">
        <v>2.6779736665922785E-3</v>
      </c>
      <c r="R309">
        <v>126</v>
      </c>
      <c r="S309">
        <v>0.72</v>
      </c>
      <c r="T309">
        <v>1.4059361749609462E-2</v>
      </c>
      <c r="U309">
        <v>22</v>
      </c>
      <c r="V309">
        <v>0.12571428571428572</v>
      </c>
      <c r="W309">
        <v>2.4548091943762552E-3</v>
      </c>
      <c r="X309">
        <v>2</v>
      </c>
      <c r="Y309">
        <v>1.1428571428571429E-2</v>
      </c>
      <c r="Z309">
        <v>2.2316447221602321E-4</v>
      </c>
      <c r="AA309">
        <v>1</v>
      </c>
      <c r="AB309">
        <v>5.7142857142857143E-3</v>
      </c>
      <c r="AC309">
        <v>1.115822361080116E-4</v>
      </c>
      <c r="AD309">
        <v>0</v>
      </c>
      <c r="AE309">
        <v>0</v>
      </c>
      <c r="AF309">
        <v>0</v>
      </c>
    </row>
    <row r="310" spans="1:32" x14ac:dyDescent="0.2">
      <c r="A310">
        <v>581.23471064814657</v>
      </c>
      <c r="B310">
        <v>15839</v>
      </c>
      <c r="C310">
        <v>331</v>
      </c>
      <c r="D310">
        <v>3870</v>
      </c>
      <c r="E310">
        <v>8</v>
      </c>
      <c r="F310">
        <v>25</v>
      </c>
      <c r="G310">
        <v>131</v>
      </c>
      <c r="H310">
        <v>339</v>
      </c>
      <c r="I310">
        <v>19</v>
      </c>
      <c r="J310">
        <v>2355</v>
      </c>
      <c r="K310">
        <v>78</v>
      </c>
      <c r="L310">
        <v>28817</v>
      </c>
      <c r="M310">
        <v>253</v>
      </c>
      <c r="N310">
        <v>8.7795398549467326E-3</v>
      </c>
      <c r="O310">
        <v>1</v>
      </c>
      <c r="P310">
        <v>3.952569169960474E-3</v>
      </c>
      <c r="Q310">
        <v>3.4701738557101712E-5</v>
      </c>
      <c r="R310">
        <v>174</v>
      </c>
      <c r="S310">
        <v>0.68774703557312256</v>
      </c>
      <c r="T310">
        <v>6.0381025089356975E-3</v>
      </c>
      <c r="U310">
        <v>64</v>
      </c>
      <c r="V310">
        <v>0.25296442687747034</v>
      </c>
      <c r="W310">
        <v>2.2209112676545096E-3</v>
      </c>
      <c r="X310">
        <v>13</v>
      </c>
      <c r="Y310">
        <v>5.1383399209486168E-2</v>
      </c>
      <c r="Z310">
        <v>4.5112260124232224E-4</v>
      </c>
      <c r="AA310">
        <v>0</v>
      </c>
      <c r="AB310">
        <v>0</v>
      </c>
      <c r="AC310">
        <v>0</v>
      </c>
      <c r="AD310">
        <v>1</v>
      </c>
      <c r="AE310">
        <v>3.952569169960474E-3</v>
      </c>
      <c r="AF310">
        <v>3.4701738557101712E-5</v>
      </c>
    </row>
    <row r="311" spans="1:32" x14ac:dyDescent="0.2">
      <c r="A311">
        <v>317.16064814814308</v>
      </c>
      <c r="B311">
        <v>6617</v>
      </c>
      <c r="C311">
        <v>148</v>
      </c>
      <c r="D311">
        <v>1024</v>
      </c>
      <c r="E311">
        <v>1</v>
      </c>
      <c r="F311">
        <v>1</v>
      </c>
      <c r="G311">
        <v>19</v>
      </c>
      <c r="H311">
        <v>55</v>
      </c>
      <c r="I311">
        <v>4</v>
      </c>
      <c r="J311">
        <v>297</v>
      </c>
      <c r="K311">
        <v>73</v>
      </c>
      <c r="L311">
        <v>2830</v>
      </c>
      <c r="M311">
        <v>1</v>
      </c>
      <c r="N311">
        <v>3.5335689045936394E-4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3.5335689045936394E-4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">
      <c r="A312">
        <v>794.19071759259532</v>
      </c>
      <c r="B312">
        <v>593</v>
      </c>
      <c r="C312">
        <v>37</v>
      </c>
      <c r="D312">
        <v>190</v>
      </c>
      <c r="E312">
        <v>10</v>
      </c>
      <c r="F312">
        <v>11</v>
      </c>
      <c r="G312">
        <v>39</v>
      </c>
      <c r="H312">
        <v>296</v>
      </c>
      <c r="I312">
        <v>13</v>
      </c>
      <c r="J312">
        <v>322</v>
      </c>
      <c r="K312">
        <v>105</v>
      </c>
      <c r="L312">
        <v>13371</v>
      </c>
      <c r="M312">
        <v>127</v>
      </c>
      <c r="N312">
        <v>9.4981676763144125E-3</v>
      </c>
      <c r="O312">
        <v>0</v>
      </c>
      <c r="P312">
        <v>0</v>
      </c>
      <c r="Q312">
        <v>0</v>
      </c>
      <c r="R312">
        <v>112</v>
      </c>
      <c r="S312">
        <v>0.88188976377952755</v>
      </c>
      <c r="T312">
        <v>8.3763368484032607E-3</v>
      </c>
      <c r="U312">
        <v>10</v>
      </c>
      <c r="V312">
        <v>7.874015748031496E-2</v>
      </c>
      <c r="W312">
        <v>7.4788721860743405E-4</v>
      </c>
      <c r="X312">
        <v>5</v>
      </c>
      <c r="Y312">
        <v>3.937007874015748E-2</v>
      </c>
      <c r="Z312">
        <v>3.7394360930371703E-4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">
      <c r="A313">
        <v>1022.5592013888891</v>
      </c>
      <c r="B313">
        <v>2746</v>
      </c>
      <c r="C313">
        <v>104</v>
      </c>
      <c r="D313">
        <v>315</v>
      </c>
      <c r="E313">
        <v>0</v>
      </c>
      <c r="F313">
        <v>8</v>
      </c>
      <c r="G313">
        <v>11</v>
      </c>
      <c r="H313">
        <v>35</v>
      </c>
      <c r="I313">
        <v>14</v>
      </c>
      <c r="J313">
        <v>140</v>
      </c>
      <c r="K313">
        <v>42</v>
      </c>
      <c r="L313">
        <v>1866</v>
      </c>
      <c r="M313">
        <v>7</v>
      </c>
      <c r="N313">
        <v>3.7513397642015005E-3</v>
      </c>
      <c r="O313">
        <v>0</v>
      </c>
      <c r="P313">
        <v>0</v>
      </c>
      <c r="Q313">
        <v>0</v>
      </c>
      <c r="R313">
        <v>2</v>
      </c>
      <c r="S313">
        <v>0.2857142857142857</v>
      </c>
      <c r="T313">
        <v>1.0718113612004287E-3</v>
      </c>
      <c r="U313">
        <v>0</v>
      </c>
      <c r="V313">
        <v>0</v>
      </c>
      <c r="W313">
        <v>0</v>
      </c>
      <c r="X313">
        <v>5</v>
      </c>
      <c r="Y313">
        <v>0.7142857142857143</v>
      </c>
      <c r="Z313">
        <v>2.6795284030010718E-3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">
      <c r="A314">
        <v>897.37936342592729</v>
      </c>
      <c r="B314">
        <v>8272</v>
      </c>
      <c r="C314">
        <v>189</v>
      </c>
      <c r="D314">
        <v>2209</v>
      </c>
      <c r="E314">
        <v>1</v>
      </c>
      <c r="F314">
        <v>75</v>
      </c>
      <c r="G314">
        <v>87</v>
      </c>
      <c r="H314">
        <v>291</v>
      </c>
      <c r="I314">
        <v>36</v>
      </c>
      <c r="J314">
        <v>1010</v>
      </c>
      <c r="K314">
        <v>463</v>
      </c>
      <c r="L314">
        <v>8165</v>
      </c>
      <c r="M314">
        <v>66</v>
      </c>
      <c r="N314">
        <v>8.0832823025107168E-3</v>
      </c>
      <c r="O314">
        <v>0</v>
      </c>
      <c r="P314">
        <v>0</v>
      </c>
      <c r="Q314">
        <v>0</v>
      </c>
      <c r="R314">
        <v>59</v>
      </c>
      <c r="S314">
        <v>0.89393939393939392</v>
      </c>
      <c r="T314">
        <v>7.2259644825474582E-3</v>
      </c>
      <c r="U314">
        <v>5</v>
      </c>
      <c r="V314">
        <v>7.575757575757576E-2</v>
      </c>
      <c r="W314">
        <v>6.1236987140232701E-4</v>
      </c>
      <c r="X314">
        <v>2</v>
      </c>
      <c r="Y314">
        <v>3.0303030303030304E-2</v>
      </c>
      <c r="Z314">
        <v>2.4494794856093078E-4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">
      <c r="A315">
        <v>651.659004629626</v>
      </c>
      <c r="B315">
        <v>379</v>
      </c>
      <c r="C315">
        <v>17</v>
      </c>
      <c r="D315">
        <v>50</v>
      </c>
      <c r="E315">
        <v>5</v>
      </c>
      <c r="F315">
        <v>1</v>
      </c>
      <c r="G315">
        <v>6</v>
      </c>
      <c r="H315">
        <v>32</v>
      </c>
      <c r="I315">
        <v>7</v>
      </c>
      <c r="J315">
        <v>19</v>
      </c>
      <c r="K315">
        <v>1</v>
      </c>
      <c r="L315">
        <v>8029</v>
      </c>
      <c r="M315">
        <v>88</v>
      </c>
      <c r="N315">
        <v>1.0960269024785153E-2</v>
      </c>
      <c r="O315">
        <v>16</v>
      </c>
      <c r="P315">
        <v>0.18181818181818182</v>
      </c>
      <c r="Q315">
        <v>1.9927761863245733E-3</v>
      </c>
      <c r="R315">
        <v>56</v>
      </c>
      <c r="S315">
        <v>0.63636363636363635</v>
      </c>
      <c r="T315">
        <v>6.9747166521360072E-3</v>
      </c>
      <c r="U315">
        <v>15</v>
      </c>
      <c r="V315">
        <v>0.17045454545454544</v>
      </c>
      <c r="W315">
        <v>1.8682276746792876E-3</v>
      </c>
      <c r="X315">
        <v>1</v>
      </c>
      <c r="Y315">
        <v>1.1363636363636364E-2</v>
      </c>
      <c r="Z315">
        <v>1.2454851164528583E-4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">
      <c r="A316">
        <v>982.13328703703883</v>
      </c>
      <c r="B316">
        <v>6153</v>
      </c>
      <c r="C316">
        <v>167</v>
      </c>
      <c r="D316">
        <v>776</v>
      </c>
      <c r="E316">
        <v>9</v>
      </c>
      <c r="F316">
        <v>3</v>
      </c>
      <c r="G316">
        <v>96</v>
      </c>
      <c r="H316">
        <v>1538</v>
      </c>
      <c r="I316">
        <v>81</v>
      </c>
      <c r="J316">
        <v>129</v>
      </c>
      <c r="K316">
        <v>55</v>
      </c>
      <c r="L316">
        <v>35041</v>
      </c>
      <c r="M316">
        <v>19</v>
      </c>
      <c r="N316">
        <v>5.4222196855112587E-4</v>
      </c>
      <c r="O316">
        <v>3</v>
      </c>
      <c r="P316">
        <v>0.15789473684210525</v>
      </c>
      <c r="Q316">
        <v>8.5613995034388294E-5</v>
      </c>
      <c r="R316">
        <v>9</v>
      </c>
      <c r="S316">
        <v>0.47368421052631576</v>
      </c>
      <c r="T316">
        <v>2.5684198510316484E-4</v>
      </c>
      <c r="U316">
        <v>7</v>
      </c>
      <c r="V316">
        <v>0.36842105263157893</v>
      </c>
      <c r="W316">
        <v>1.9976598841357266E-4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">
      <c r="A317">
        <v>584.62855324074189</v>
      </c>
      <c r="B317">
        <v>501</v>
      </c>
      <c r="C317">
        <v>19</v>
      </c>
      <c r="D317">
        <v>56</v>
      </c>
      <c r="E317">
        <v>0</v>
      </c>
      <c r="F317">
        <v>0</v>
      </c>
      <c r="G317">
        <v>6</v>
      </c>
      <c r="H317">
        <v>5</v>
      </c>
      <c r="I317">
        <v>0</v>
      </c>
      <c r="J317">
        <v>19</v>
      </c>
      <c r="K317">
        <v>8</v>
      </c>
      <c r="L317">
        <v>2228</v>
      </c>
      <c r="M317">
        <v>37</v>
      </c>
      <c r="N317">
        <v>1.660682226211849E-2</v>
      </c>
      <c r="O317">
        <v>0</v>
      </c>
      <c r="P317">
        <v>0</v>
      </c>
      <c r="Q317">
        <v>0</v>
      </c>
      <c r="R317">
        <v>30</v>
      </c>
      <c r="S317">
        <v>0.81081081081081086</v>
      </c>
      <c r="T317">
        <v>1.3464991023339317E-2</v>
      </c>
      <c r="U317">
        <v>5</v>
      </c>
      <c r="V317">
        <v>0.13513513513513514</v>
      </c>
      <c r="W317">
        <v>2.244165170556553E-3</v>
      </c>
      <c r="X317">
        <v>2</v>
      </c>
      <c r="Y317">
        <v>5.4054054054054057E-2</v>
      </c>
      <c r="Z317">
        <v>8.9766606822262122E-4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">
      <c r="A318">
        <v>1857.2178124999991</v>
      </c>
      <c r="B318">
        <v>729</v>
      </c>
      <c r="C318">
        <v>66</v>
      </c>
      <c r="D318">
        <v>197</v>
      </c>
      <c r="E318">
        <v>0</v>
      </c>
      <c r="F318">
        <v>0</v>
      </c>
      <c r="G318">
        <v>10</v>
      </c>
      <c r="H318">
        <v>17</v>
      </c>
      <c r="I318">
        <v>2</v>
      </c>
      <c r="J318">
        <v>19</v>
      </c>
      <c r="K318">
        <v>13</v>
      </c>
      <c r="L318">
        <v>129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">
      <c r="A319">
        <v>2021.503622685188</v>
      </c>
      <c r="B319">
        <v>378</v>
      </c>
      <c r="C319">
        <v>55</v>
      </c>
      <c r="D319">
        <v>146</v>
      </c>
      <c r="E319">
        <v>152</v>
      </c>
      <c r="F319">
        <v>14</v>
      </c>
      <c r="G319">
        <v>54</v>
      </c>
      <c r="H319">
        <v>3225</v>
      </c>
      <c r="I319">
        <v>10</v>
      </c>
      <c r="J319">
        <v>594</v>
      </c>
      <c r="K319">
        <v>27</v>
      </c>
      <c r="L319">
        <v>28185</v>
      </c>
      <c r="M319">
        <v>159</v>
      </c>
      <c r="N319">
        <v>5.64129856306546E-3</v>
      </c>
      <c r="O319">
        <v>10</v>
      </c>
      <c r="P319">
        <v>6.2893081761006289E-2</v>
      </c>
      <c r="Q319">
        <v>3.5479865176512329E-4</v>
      </c>
      <c r="R319">
        <v>112</v>
      </c>
      <c r="S319">
        <v>0.70440251572327039</v>
      </c>
      <c r="T319">
        <v>3.9737448997693809E-3</v>
      </c>
      <c r="U319">
        <v>12</v>
      </c>
      <c r="V319">
        <v>7.5471698113207544E-2</v>
      </c>
      <c r="W319">
        <v>4.2575838211814793E-4</v>
      </c>
      <c r="X319">
        <v>25</v>
      </c>
      <c r="Y319">
        <v>0.15723270440251572</v>
      </c>
      <c r="Z319">
        <v>8.8699662941280825E-4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">
      <c r="A320">
        <v>1682.2625462962969</v>
      </c>
      <c r="B320">
        <v>557</v>
      </c>
      <c r="C320">
        <v>45</v>
      </c>
      <c r="D320">
        <v>209</v>
      </c>
      <c r="E320">
        <v>0</v>
      </c>
      <c r="F320">
        <v>22</v>
      </c>
      <c r="G320">
        <v>18</v>
      </c>
      <c r="H320">
        <v>80</v>
      </c>
      <c r="I320">
        <v>12</v>
      </c>
      <c r="J320">
        <v>342</v>
      </c>
      <c r="K320">
        <v>65</v>
      </c>
      <c r="L320">
        <v>6676</v>
      </c>
      <c r="M320">
        <v>99</v>
      </c>
      <c r="N320">
        <v>1.4829239065308569E-2</v>
      </c>
      <c r="O320">
        <v>43</v>
      </c>
      <c r="P320">
        <v>0.43434343434343436</v>
      </c>
      <c r="Q320">
        <v>6.4409826243259439E-3</v>
      </c>
      <c r="R320">
        <v>34</v>
      </c>
      <c r="S320">
        <v>0.34343434343434343</v>
      </c>
      <c r="T320">
        <v>5.092869982025165E-3</v>
      </c>
      <c r="U320">
        <v>7</v>
      </c>
      <c r="V320">
        <v>7.0707070707070704E-2</v>
      </c>
      <c r="W320">
        <v>1.048532055122828E-3</v>
      </c>
      <c r="X320">
        <v>14</v>
      </c>
      <c r="Y320">
        <v>0.14141414141414141</v>
      </c>
      <c r="Z320">
        <v>2.097064110245656E-3</v>
      </c>
      <c r="AA320">
        <v>1</v>
      </c>
      <c r="AB320">
        <v>1.0101010101010102E-2</v>
      </c>
      <c r="AC320">
        <v>1.4979029358897544E-4</v>
      </c>
      <c r="AD320">
        <v>0</v>
      </c>
      <c r="AE320">
        <v>0</v>
      </c>
      <c r="AF320">
        <v>0</v>
      </c>
    </row>
    <row r="321" spans="1:32" x14ac:dyDescent="0.2">
      <c r="A321">
        <v>2088.8047106481463</v>
      </c>
      <c r="B321">
        <v>568</v>
      </c>
      <c r="C321">
        <v>42</v>
      </c>
      <c r="D321">
        <v>107</v>
      </c>
      <c r="E321">
        <v>3</v>
      </c>
      <c r="F321">
        <v>3</v>
      </c>
      <c r="G321">
        <v>5</v>
      </c>
      <c r="H321">
        <v>48</v>
      </c>
      <c r="I321">
        <v>2</v>
      </c>
      <c r="J321">
        <v>38</v>
      </c>
      <c r="K321">
        <v>2</v>
      </c>
      <c r="L321">
        <v>4494</v>
      </c>
      <c r="M321">
        <v>4</v>
      </c>
      <c r="N321">
        <v>8.9007565643079659E-4</v>
      </c>
      <c r="O321">
        <v>1</v>
      </c>
      <c r="P321">
        <v>0.25</v>
      </c>
      <c r="Q321">
        <v>2.2251891410769915E-4</v>
      </c>
      <c r="R321">
        <v>2</v>
      </c>
      <c r="S321">
        <v>0.5</v>
      </c>
      <c r="T321">
        <v>4.450378282153983E-4</v>
      </c>
      <c r="U321">
        <v>1</v>
      </c>
      <c r="V321">
        <v>0.25</v>
      </c>
      <c r="W321">
        <v>2.2251891410769915E-4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">
      <c r="A322">
        <v>2492.4058449074073</v>
      </c>
      <c r="B322">
        <v>431</v>
      </c>
      <c r="C322">
        <v>61</v>
      </c>
      <c r="D322">
        <v>105</v>
      </c>
      <c r="E322">
        <v>0</v>
      </c>
      <c r="F322">
        <v>1</v>
      </c>
      <c r="G322">
        <v>8</v>
      </c>
      <c r="H322">
        <v>31</v>
      </c>
      <c r="I322">
        <v>1</v>
      </c>
      <c r="J322">
        <v>134</v>
      </c>
      <c r="K322">
        <v>6</v>
      </c>
      <c r="L322">
        <v>9873</v>
      </c>
      <c r="M322">
        <v>107</v>
      </c>
      <c r="N322">
        <v>1.0837638002633444E-2</v>
      </c>
      <c r="O322">
        <v>6</v>
      </c>
      <c r="P322">
        <v>5.6074766355140186E-2</v>
      </c>
      <c r="Q322">
        <v>6.0771801883925853E-4</v>
      </c>
      <c r="R322">
        <v>62</v>
      </c>
      <c r="S322">
        <v>0.57943925233644855</v>
      </c>
      <c r="T322">
        <v>6.2797528613390058E-3</v>
      </c>
      <c r="U322">
        <v>19</v>
      </c>
      <c r="V322">
        <v>0.17757009345794392</v>
      </c>
      <c r="W322">
        <v>1.9244403929909856E-3</v>
      </c>
      <c r="X322">
        <v>20</v>
      </c>
      <c r="Y322">
        <v>0.18691588785046728</v>
      </c>
      <c r="Z322">
        <v>2.0257267294641955E-3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">
      <c r="A323">
        <v>850.86606481481431</v>
      </c>
      <c r="B323">
        <v>1676</v>
      </c>
      <c r="C323">
        <v>56</v>
      </c>
      <c r="D323">
        <v>270</v>
      </c>
      <c r="E323">
        <v>34</v>
      </c>
      <c r="F323">
        <v>15</v>
      </c>
      <c r="G323">
        <v>62</v>
      </c>
      <c r="H323">
        <v>1051</v>
      </c>
      <c r="I323">
        <v>5</v>
      </c>
      <c r="J323">
        <v>389</v>
      </c>
      <c r="K323">
        <v>20</v>
      </c>
      <c r="L323">
        <v>5094</v>
      </c>
      <c r="M323">
        <v>10</v>
      </c>
      <c r="N323">
        <v>1.9630938358853552E-3</v>
      </c>
      <c r="O323">
        <v>0</v>
      </c>
      <c r="P323">
        <v>0</v>
      </c>
      <c r="Q323">
        <v>0</v>
      </c>
      <c r="R323">
        <v>2</v>
      </c>
      <c r="S323">
        <v>0.2</v>
      </c>
      <c r="T323">
        <v>3.9261876717707107E-4</v>
      </c>
      <c r="U323">
        <v>2</v>
      </c>
      <c r="V323">
        <v>0.2</v>
      </c>
      <c r="W323">
        <v>3.9261876717707107E-4</v>
      </c>
      <c r="X323">
        <v>3</v>
      </c>
      <c r="Y323">
        <v>0.3</v>
      </c>
      <c r="Z323">
        <v>5.8892815076560655E-4</v>
      </c>
      <c r="AA323">
        <v>0</v>
      </c>
      <c r="AB323">
        <v>0</v>
      </c>
      <c r="AC323">
        <v>0</v>
      </c>
      <c r="AD323">
        <v>3</v>
      </c>
      <c r="AE323">
        <v>0.3</v>
      </c>
      <c r="AF323">
        <v>5.8892815076560655E-4</v>
      </c>
    </row>
    <row r="324" spans="1:32" x14ac:dyDescent="0.2">
      <c r="A324">
        <v>453.08692129629344</v>
      </c>
      <c r="B324">
        <v>489</v>
      </c>
      <c r="C324">
        <v>59</v>
      </c>
      <c r="D324">
        <v>130</v>
      </c>
      <c r="E324">
        <v>2</v>
      </c>
      <c r="F324">
        <v>0</v>
      </c>
      <c r="G324">
        <v>4</v>
      </c>
      <c r="H324">
        <v>85</v>
      </c>
      <c r="I324">
        <v>12</v>
      </c>
      <c r="J324">
        <v>47</v>
      </c>
      <c r="K324">
        <v>18</v>
      </c>
      <c r="L324">
        <v>3458</v>
      </c>
      <c r="M324">
        <v>73</v>
      </c>
      <c r="N324">
        <v>2.1110468478889532E-2</v>
      </c>
      <c r="O324">
        <v>36</v>
      </c>
      <c r="P324">
        <v>0.49315068493150682</v>
      </c>
      <c r="Q324">
        <v>1.0410641989589358E-2</v>
      </c>
      <c r="R324">
        <v>37</v>
      </c>
      <c r="S324">
        <v>0.50684931506849318</v>
      </c>
      <c r="T324">
        <v>1.0699826489300174E-2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">
      <c r="A325">
        <v>805.64361111111066</v>
      </c>
      <c r="B325">
        <v>2937</v>
      </c>
      <c r="C325">
        <v>120</v>
      </c>
      <c r="D325">
        <v>853</v>
      </c>
      <c r="E325">
        <v>26</v>
      </c>
      <c r="F325">
        <v>2</v>
      </c>
      <c r="G325">
        <v>47</v>
      </c>
      <c r="H325">
        <v>1904</v>
      </c>
      <c r="I325">
        <v>1</v>
      </c>
      <c r="J325">
        <v>826</v>
      </c>
      <c r="K325">
        <v>286</v>
      </c>
      <c r="L325">
        <v>69830</v>
      </c>
      <c r="M325">
        <v>1274</v>
      </c>
      <c r="N325">
        <v>1.8244307604181585E-2</v>
      </c>
      <c r="O325">
        <v>506</v>
      </c>
      <c r="P325">
        <v>0.39717425431711145</v>
      </c>
      <c r="Q325">
        <v>7.246169268222827E-3</v>
      </c>
      <c r="R325">
        <v>622</v>
      </c>
      <c r="S325">
        <v>0.48822605965463106</v>
      </c>
      <c r="T325">
        <v>8.907346412716597E-3</v>
      </c>
      <c r="U325">
        <v>74</v>
      </c>
      <c r="V325">
        <v>5.8084772370486655E-2</v>
      </c>
      <c r="W325">
        <v>1.059716454246026E-3</v>
      </c>
      <c r="X325">
        <v>8</v>
      </c>
      <c r="Y325">
        <v>6.2794348508634227E-3</v>
      </c>
      <c r="Z325">
        <v>1.1456394099957039E-4</v>
      </c>
      <c r="AA325">
        <v>2</v>
      </c>
      <c r="AB325">
        <v>1.5698587127158557E-3</v>
      </c>
      <c r="AC325">
        <v>2.8640985249892597E-5</v>
      </c>
      <c r="AD325">
        <v>62</v>
      </c>
      <c r="AE325">
        <v>4.8665620094191522E-2</v>
      </c>
      <c r="AF325">
        <v>8.8787054274667044E-4</v>
      </c>
    </row>
    <row r="326" spans="1:32" x14ac:dyDescent="0.2">
      <c r="A326">
        <v>1135.064687500002</v>
      </c>
      <c r="B326">
        <v>588</v>
      </c>
      <c r="C326">
        <v>11</v>
      </c>
      <c r="D326">
        <v>9</v>
      </c>
      <c r="E326">
        <v>0</v>
      </c>
      <c r="F326">
        <v>0</v>
      </c>
      <c r="G326">
        <v>6</v>
      </c>
      <c r="H326">
        <v>10</v>
      </c>
      <c r="I326">
        <v>0</v>
      </c>
      <c r="J326">
        <v>53</v>
      </c>
      <c r="K326">
        <v>4</v>
      </c>
      <c r="L326">
        <v>1723</v>
      </c>
      <c r="M326">
        <v>36</v>
      </c>
      <c r="N326">
        <v>2.0893789901334881E-2</v>
      </c>
      <c r="O326">
        <v>17</v>
      </c>
      <c r="P326">
        <v>0.47222222222222221</v>
      </c>
      <c r="Q326">
        <v>9.8665118978525819E-3</v>
      </c>
      <c r="R326">
        <v>12</v>
      </c>
      <c r="S326">
        <v>0.33333333333333331</v>
      </c>
      <c r="T326">
        <v>6.9645966337782937E-3</v>
      </c>
      <c r="U326">
        <v>3</v>
      </c>
      <c r="V326">
        <v>8.3333333333333329E-2</v>
      </c>
      <c r="W326">
        <v>1.7411491584445734E-3</v>
      </c>
      <c r="X326">
        <v>4</v>
      </c>
      <c r="Y326">
        <v>0.1111111111111111</v>
      </c>
      <c r="Z326">
        <v>2.3215322112594312E-3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">
      <c r="A327">
        <v>1571.7871874999983</v>
      </c>
      <c r="B327">
        <v>1005</v>
      </c>
      <c r="C327">
        <v>44</v>
      </c>
      <c r="D327">
        <v>260</v>
      </c>
      <c r="E327">
        <v>0</v>
      </c>
      <c r="F327">
        <v>4</v>
      </c>
      <c r="G327">
        <v>27</v>
      </c>
      <c r="H327">
        <v>59</v>
      </c>
      <c r="I327">
        <v>0</v>
      </c>
      <c r="J327">
        <v>148</v>
      </c>
      <c r="K327">
        <v>16</v>
      </c>
      <c r="L327">
        <v>3213</v>
      </c>
      <c r="M327">
        <v>97</v>
      </c>
      <c r="N327">
        <v>3.0189853719265483E-2</v>
      </c>
      <c r="O327">
        <v>17</v>
      </c>
      <c r="P327">
        <v>0.17525773195876287</v>
      </c>
      <c r="Q327">
        <v>5.2910052910052907E-3</v>
      </c>
      <c r="R327">
        <v>36</v>
      </c>
      <c r="S327">
        <v>0.37113402061855671</v>
      </c>
      <c r="T327">
        <v>1.1204481792717087E-2</v>
      </c>
      <c r="U327">
        <v>6</v>
      </c>
      <c r="V327">
        <v>6.1855670103092786E-2</v>
      </c>
      <c r="W327">
        <v>1.8674136321195146E-3</v>
      </c>
      <c r="X327">
        <v>38</v>
      </c>
      <c r="Y327">
        <v>0.39175257731958762</v>
      </c>
      <c r="Z327">
        <v>1.1826953003423592E-2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">
      <c r="A328">
        <v>245.09141203703621</v>
      </c>
      <c r="B328">
        <v>633</v>
      </c>
      <c r="C328">
        <v>44</v>
      </c>
      <c r="D328">
        <v>83</v>
      </c>
      <c r="E328">
        <v>5</v>
      </c>
      <c r="F328">
        <v>0</v>
      </c>
      <c r="G328">
        <v>22</v>
      </c>
      <c r="H328">
        <v>98</v>
      </c>
      <c r="I328">
        <v>3</v>
      </c>
      <c r="J328">
        <v>46</v>
      </c>
      <c r="K328">
        <v>27</v>
      </c>
      <c r="L328">
        <v>20904</v>
      </c>
      <c r="M328">
        <v>17</v>
      </c>
      <c r="N328">
        <v>8.1324148488327592E-4</v>
      </c>
      <c r="O328">
        <v>0</v>
      </c>
      <c r="P328">
        <v>0</v>
      </c>
      <c r="Q328">
        <v>0</v>
      </c>
      <c r="R328">
        <v>8</v>
      </c>
      <c r="S328">
        <v>0.47058823529411764</v>
      </c>
      <c r="T328">
        <v>3.8270187523918868E-4</v>
      </c>
      <c r="U328">
        <v>0</v>
      </c>
      <c r="V328">
        <v>0</v>
      </c>
      <c r="W328">
        <v>0</v>
      </c>
      <c r="X328">
        <v>6</v>
      </c>
      <c r="Y328">
        <v>0.35294117647058826</v>
      </c>
      <c r="Z328">
        <v>2.8702640642939151E-4</v>
      </c>
      <c r="AA328">
        <v>0</v>
      </c>
      <c r="AB328">
        <v>0</v>
      </c>
      <c r="AC328">
        <v>0</v>
      </c>
      <c r="AD328">
        <v>3</v>
      </c>
      <c r="AE328">
        <v>0.17647058823529413</v>
      </c>
      <c r="AF328">
        <v>1.4351320321469576E-4</v>
      </c>
    </row>
    <row r="329" spans="1:32" x14ac:dyDescent="0.2">
      <c r="A329">
        <v>224.99390046296321</v>
      </c>
      <c r="B329">
        <v>361</v>
      </c>
      <c r="C329">
        <v>15</v>
      </c>
      <c r="D329">
        <v>31</v>
      </c>
      <c r="E329">
        <v>0</v>
      </c>
      <c r="F329">
        <v>0</v>
      </c>
      <c r="G329">
        <v>5</v>
      </c>
      <c r="H329">
        <v>5</v>
      </c>
      <c r="I329">
        <v>1</v>
      </c>
      <c r="J329">
        <v>4</v>
      </c>
      <c r="K329">
        <v>2</v>
      </c>
      <c r="L329">
        <v>5833</v>
      </c>
      <c r="M329">
        <v>27</v>
      </c>
      <c r="N329">
        <v>4.6288359334819128E-3</v>
      </c>
      <c r="O329">
        <v>15</v>
      </c>
      <c r="P329">
        <v>0.55555555555555558</v>
      </c>
      <c r="Q329">
        <v>2.5715755186010631E-3</v>
      </c>
      <c r="R329">
        <v>10</v>
      </c>
      <c r="S329">
        <v>0.37037037037037035</v>
      </c>
      <c r="T329">
        <v>1.7143836790673753E-3</v>
      </c>
      <c r="U329">
        <v>2</v>
      </c>
      <c r="V329">
        <v>7.407407407407407E-2</v>
      </c>
      <c r="W329">
        <v>3.4287673581347508E-4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">
      <c r="A330">
        <v>1855.9039699074056</v>
      </c>
      <c r="B330">
        <v>2789</v>
      </c>
      <c r="C330">
        <v>83</v>
      </c>
      <c r="D330">
        <v>547</v>
      </c>
      <c r="E330">
        <v>70</v>
      </c>
      <c r="F330">
        <v>17</v>
      </c>
      <c r="G330">
        <v>128</v>
      </c>
      <c r="H330">
        <v>1386</v>
      </c>
      <c r="I330">
        <v>19</v>
      </c>
      <c r="J330">
        <v>1822</v>
      </c>
      <c r="K330">
        <v>313</v>
      </c>
      <c r="L330">
        <v>39842</v>
      </c>
      <c r="M330">
        <v>225</v>
      </c>
      <c r="N330">
        <v>5.6473068621053163E-3</v>
      </c>
      <c r="O330">
        <v>131</v>
      </c>
      <c r="P330">
        <v>0.5822222222222222</v>
      </c>
      <c r="Q330">
        <v>3.2879875508257618E-3</v>
      </c>
      <c r="R330">
        <v>54</v>
      </c>
      <c r="S330">
        <v>0.24</v>
      </c>
      <c r="T330">
        <v>1.3553536469052758E-3</v>
      </c>
      <c r="U330">
        <v>18</v>
      </c>
      <c r="V330">
        <v>0.08</v>
      </c>
      <c r="W330">
        <v>4.5178454896842529E-4</v>
      </c>
      <c r="X330">
        <v>19</v>
      </c>
      <c r="Y330">
        <v>8.4444444444444447E-2</v>
      </c>
      <c r="Z330">
        <v>4.7688369057778224E-4</v>
      </c>
      <c r="AA330">
        <v>0</v>
      </c>
      <c r="AB330">
        <v>0</v>
      </c>
      <c r="AC330">
        <v>0</v>
      </c>
      <c r="AD330">
        <v>3</v>
      </c>
      <c r="AE330">
        <v>1.3333333333333334E-2</v>
      </c>
      <c r="AF330">
        <v>7.5297424828070882E-5</v>
      </c>
    </row>
    <row r="331" spans="1:32" x14ac:dyDescent="0.2">
      <c r="A331">
        <v>1291.2319907407364</v>
      </c>
      <c r="B331">
        <v>677</v>
      </c>
      <c r="C331">
        <v>37</v>
      </c>
      <c r="D331">
        <v>130</v>
      </c>
      <c r="E331">
        <v>10</v>
      </c>
      <c r="F331">
        <v>0</v>
      </c>
      <c r="G331">
        <v>19</v>
      </c>
      <c r="H331">
        <v>388</v>
      </c>
      <c r="I331">
        <v>10</v>
      </c>
      <c r="J331">
        <v>173</v>
      </c>
      <c r="K331">
        <v>26</v>
      </c>
      <c r="L331">
        <v>20509</v>
      </c>
      <c r="M331">
        <v>277</v>
      </c>
      <c r="N331">
        <v>1.3506265541957189E-2</v>
      </c>
      <c r="O331">
        <v>87</v>
      </c>
      <c r="P331">
        <v>0.3140794223826715</v>
      </c>
      <c r="Q331">
        <v>4.2420400799648931E-3</v>
      </c>
      <c r="R331">
        <v>77</v>
      </c>
      <c r="S331">
        <v>0.27797833935018051</v>
      </c>
      <c r="T331">
        <v>3.7544492661758253E-3</v>
      </c>
      <c r="U331">
        <v>47</v>
      </c>
      <c r="V331">
        <v>0.16967509025270758</v>
      </c>
      <c r="W331">
        <v>2.2916768248086206E-3</v>
      </c>
      <c r="X331">
        <v>62</v>
      </c>
      <c r="Y331">
        <v>0.22382671480144403</v>
      </c>
      <c r="Z331">
        <v>3.0230630454922227E-3</v>
      </c>
      <c r="AA331">
        <v>4</v>
      </c>
      <c r="AB331">
        <v>1.444043321299639E-2</v>
      </c>
      <c r="AC331">
        <v>1.9503632551562728E-4</v>
      </c>
      <c r="AD331">
        <v>0</v>
      </c>
      <c r="AE331">
        <v>0</v>
      </c>
      <c r="AF331">
        <v>0</v>
      </c>
    </row>
    <row r="332" spans="1:32" x14ac:dyDescent="0.2">
      <c r="A332">
        <v>3669.6680902777734</v>
      </c>
      <c r="B332">
        <v>1288</v>
      </c>
      <c r="C332">
        <v>92</v>
      </c>
      <c r="D332">
        <v>456</v>
      </c>
      <c r="E332">
        <v>34</v>
      </c>
      <c r="F332">
        <v>290</v>
      </c>
      <c r="G332">
        <v>284</v>
      </c>
      <c r="H332">
        <v>1528</v>
      </c>
      <c r="I332">
        <v>50</v>
      </c>
      <c r="J332">
        <v>1321</v>
      </c>
      <c r="K332">
        <v>123</v>
      </c>
      <c r="L332">
        <v>54083</v>
      </c>
      <c r="M332">
        <v>1917</v>
      </c>
      <c r="N332">
        <v>3.5445518924615865E-2</v>
      </c>
      <c r="O332">
        <v>1150</v>
      </c>
      <c r="P332">
        <v>0.59989567031820556</v>
      </c>
      <c r="Q332">
        <v>2.1263613335059075E-2</v>
      </c>
      <c r="R332">
        <v>257</v>
      </c>
      <c r="S332">
        <v>0.13406364110589464</v>
      </c>
      <c r="T332">
        <v>4.7519553279218975E-3</v>
      </c>
      <c r="U332">
        <v>188</v>
      </c>
      <c r="V332">
        <v>9.80699008868023E-2</v>
      </c>
      <c r="W332">
        <v>3.4761385278183534E-3</v>
      </c>
      <c r="X332">
        <v>253</v>
      </c>
      <c r="Y332">
        <v>0.13197704747000522</v>
      </c>
      <c r="Z332">
        <v>4.6779949337129971E-3</v>
      </c>
      <c r="AA332">
        <v>58</v>
      </c>
      <c r="AB332">
        <v>3.0255607720396451E-2</v>
      </c>
      <c r="AC332">
        <v>1.0724257160290664E-3</v>
      </c>
      <c r="AD332">
        <v>11</v>
      </c>
      <c r="AE332">
        <v>5.7381324986958788E-3</v>
      </c>
      <c r="AF332">
        <v>2.0339108407447812E-4</v>
      </c>
    </row>
    <row r="333" spans="1:32" x14ac:dyDescent="0.2">
      <c r="A333">
        <v>2406.2648611111072</v>
      </c>
      <c r="B333">
        <v>2614</v>
      </c>
      <c r="C333">
        <v>152</v>
      </c>
      <c r="D333">
        <v>238</v>
      </c>
      <c r="E333">
        <v>0</v>
      </c>
      <c r="F333">
        <v>19</v>
      </c>
      <c r="G333">
        <v>33</v>
      </c>
      <c r="H333">
        <v>282</v>
      </c>
      <c r="I333">
        <v>1</v>
      </c>
      <c r="J333">
        <v>410</v>
      </c>
      <c r="K333">
        <v>75</v>
      </c>
      <c r="L333">
        <v>18559</v>
      </c>
      <c r="M333">
        <v>92</v>
      </c>
      <c r="N333">
        <v>4.9571636402823424E-3</v>
      </c>
      <c r="O333">
        <v>18</v>
      </c>
      <c r="P333">
        <v>0.19565217391304349</v>
      </c>
      <c r="Q333">
        <v>9.6987984266393666E-4</v>
      </c>
      <c r="R333">
        <v>22</v>
      </c>
      <c r="S333">
        <v>0.2391304347826087</v>
      </c>
      <c r="T333">
        <v>1.1854086965892559E-3</v>
      </c>
      <c r="U333">
        <v>32</v>
      </c>
      <c r="V333">
        <v>0.34782608695652173</v>
      </c>
      <c r="W333">
        <v>1.724230831402554E-3</v>
      </c>
      <c r="X333">
        <v>9</v>
      </c>
      <c r="Y333">
        <v>9.7826086956521743E-2</v>
      </c>
      <c r="Z333">
        <v>4.8493992133196833E-4</v>
      </c>
      <c r="AA333">
        <v>0</v>
      </c>
      <c r="AB333">
        <v>0</v>
      </c>
      <c r="AC333">
        <v>0</v>
      </c>
      <c r="AD333">
        <v>11</v>
      </c>
      <c r="AE333">
        <v>0.11956521739130435</v>
      </c>
      <c r="AF333">
        <v>5.9270434829462794E-4</v>
      </c>
    </row>
    <row r="334" spans="1:32" x14ac:dyDescent="0.2">
      <c r="A334">
        <v>1177.011400462965</v>
      </c>
      <c r="B334">
        <v>1733</v>
      </c>
      <c r="C334">
        <v>78</v>
      </c>
      <c r="D334">
        <v>265</v>
      </c>
      <c r="E334">
        <v>0</v>
      </c>
      <c r="F334">
        <v>0</v>
      </c>
      <c r="G334">
        <v>9</v>
      </c>
      <c r="H334">
        <v>55</v>
      </c>
      <c r="I334">
        <v>6</v>
      </c>
      <c r="J334">
        <v>60</v>
      </c>
      <c r="K334">
        <v>33</v>
      </c>
      <c r="L334">
        <v>2185</v>
      </c>
      <c r="M334">
        <v>41</v>
      </c>
      <c r="N334">
        <v>1.8764302059496567E-2</v>
      </c>
      <c r="O334">
        <v>0</v>
      </c>
      <c r="P334">
        <v>0</v>
      </c>
      <c r="Q334">
        <v>0</v>
      </c>
      <c r="R334">
        <v>40</v>
      </c>
      <c r="S334">
        <v>0.97560975609756095</v>
      </c>
      <c r="T334">
        <v>1.8306636155606407E-2</v>
      </c>
      <c r="U334">
        <v>0</v>
      </c>
      <c r="V334">
        <v>0</v>
      </c>
      <c r="W334">
        <v>0</v>
      </c>
      <c r="X334">
        <v>1</v>
      </c>
      <c r="Y334">
        <v>2.4390243902439025E-2</v>
      </c>
      <c r="Z334">
        <v>4.5766590389016021E-4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">
      <c r="A335">
        <v>1078.1904976851802</v>
      </c>
      <c r="B335">
        <v>347</v>
      </c>
      <c r="C335">
        <v>27</v>
      </c>
      <c r="D335">
        <v>80</v>
      </c>
      <c r="E335">
        <v>0</v>
      </c>
      <c r="F335">
        <v>0</v>
      </c>
      <c r="G335">
        <v>3</v>
      </c>
      <c r="H335">
        <v>5</v>
      </c>
      <c r="I335">
        <v>0</v>
      </c>
      <c r="J335">
        <v>12</v>
      </c>
      <c r="K335">
        <v>10</v>
      </c>
      <c r="L335">
        <v>17654</v>
      </c>
      <c r="M335">
        <v>47</v>
      </c>
      <c r="N335">
        <v>2.6622861674408067E-3</v>
      </c>
      <c r="O335">
        <v>0</v>
      </c>
      <c r="P335">
        <v>0</v>
      </c>
      <c r="Q335">
        <v>0</v>
      </c>
      <c r="R335">
        <v>37</v>
      </c>
      <c r="S335">
        <v>0.78723404255319152</v>
      </c>
      <c r="T335">
        <v>2.095842302027869E-3</v>
      </c>
      <c r="U335">
        <v>0</v>
      </c>
      <c r="V335">
        <v>0</v>
      </c>
      <c r="W335">
        <v>0</v>
      </c>
      <c r="X335">
        <v>10</v>
      </c>
      <c r="Y335">
        <v>0.21276595744680851</v>
      </c>
      <c r="Z335">
        <v>5.6644386541293763E-4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">
      <c r="A336">
        <v>1226.8404976851816</v>
      </c>
      <c r="B336">
        <v>372</v>
      </c>
      <c r="C336">
        <v>10</v>
      </c>
      <c r="D336">
        <v>15</v>
      </c>
      <c r="E336">
        <v>10</v>
      </c>
      <c r="F336">
        <v>0</v>
      </c>
      <c r="G336">
        <v>5</v>
      </c>
      <c r="H336">
        <v>113</v>
      </c>
      <c r="I336">
        <v>0</v>
      </c>
      <c r="J336">
        <v>37</v>
      </c>
      <c r="K336">
        <v>18</v>
      </c>
      <c r="L336">
        <v>1043</v>
      </c>
      <c r="M336">
        <v>9</v>
      </c>
      <c r="N336">
        <v>8.6289549376797701E-3</v>
      </c>
      <c r="O336">
        <v>1</v>
      </c>
      <c r="P336">
        <v>0.1111111111111111</v>
      </c>
      <c r="Q336">
        <v>9.5877277085330771E-4</v>
      </c>
      <c r="R336">
        <v>3</v>
      </c>
      <c r="S336">
        <v>0.33333333333333331</v>
      </c>
      <c r="T336">
        <v>2.8763183125599234E-3</v>
      </c>
      <c r="U336">
        <v>5</v>
      </c>
      <c r="V336">
        <v>0.55555555555555558</v>
      </c>
      <c r="W336">
        <v>4.7938638542665392E-3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">
      <c r="A337">
        <v>1322.9045717592599</v>
      </c>
      <c r="B337">
        <v>629</v>
      </c>
      <c r="C337">
        <v>50</v>
      </c>
      <c r="D337">
        <v>227</v>
      </c>
      <c r="E337">
        <v>7</v>
      </c>
      <c r="F337">
        <v>4</v>
      </c>
      <c r="G337">
        <v>44</v>
      </c>
      <c r="H337">
        <v>576</v>
      </c>
      <c r="I337">
        <v>38</v>
      </c>
      <c r="J337">
        <v>464</v>
      </c>
      <c r="K337">
        <v>156</v>
      </c>
      <c r="L337">
        <v>15684</v>
      </c>
      <c r="M337">
        <v>19</v>
      </c>
      <c r="N337">
        <v>1.2114256567202243E-3</v>
      </c>
      <c r="O337">
        <v>4</v>
      </c>
      <c r="P337">
        <v>0.21052631578947367</v>
      </c>
      <c r="Q337">
        <v>2.550369803621525E-4</v>
      </c>
      <c r="R337">
        <v>4</v>
      </c>
      <c r="S337">
        <v>0.21052631578947367</v>
      </c>
      <c r="T337">
        <v>2.550369803621525E-4</v>
      </c>
      <c r="U337">
        <v>8</v>
      </c>
      <c r="V337">
        <v>0.42105263157894735</v>
      </c>
      <c r="W337">
        <v>5.1007396072430501E-4</v>
      </c>
      <c r="X337">
        <v>3</v>
      </c>
      <c r="Y337">
        <v>0.15789473684210525</v>
      </c>
      <c r="Z337">
        <v>1.9127773527161438E-4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">
      <c r="A338">
        <v>359.1998842592584</v>
      </c>
      <c r="B338">
        <v>1103</v>
      </c>
      <c r="C338">
        <v>31</v>
      </c>
      <c r="D338">
        <v>158</v>
      </c>
      <c r="E338">
        <v>10</v>
      </c>
      <c r="F338">
        <v>0</v>
      </c>
      <c r="G338">
        <v>14</v>
      </c>
      <c r="H338">
        <v>99</v>
      </c>
      <c r="I338">
        <v>0</v>
      </c>
      <c r="J338">
        <v>45</v>
      </c>
      <c r="K338">
        <v>8</v>
      </c>
      <c r="L338">
        <v>2642</v>
      </c>
      <c r="M338">
        <v>3</v>
      </c>
      <c r="N338">
        <v>1.1355034065102195E-3</v>
      </c>
      <c r="O338">
        <v>1</v>
      </c>
      <c r="P338">
        <v>0.33333333333333331</v>
      </c>
      <c r="Q338">
        <v>3.7850113550340651E-4</v>
      </c>
      <c r="R338">
        <v>2</v>
      </c>
      <c r="S338">
        <v>0.66666666666666663</v>
      </c>
      <c r="T338">
        <v>7.5700227100681302E-4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">
      <c r="A339">
        <v>1289.1225925925974</v>
      </c>
      <c r="B339">
        <v>963</v>
      </c>
      <c r="C339">
        <v>127</v>
      </c>
      <c r="D339">
        <v>300</v>
      </c>
      <c r="E339">
        <v>6</v>
      </c>
      <c r="F339">
        <v>0</v>
      </c>
      <c r="G339">
        <v>6</v>
      </c>
      <c r="H339">
        <v>12</v>
      </c>
      <c r="I339">
        <v>0</v>
      </c>
      <c r="J339">
        <v>23</v>
      </c>
      <c r="K339">
        <v>2</v>
      </c>
      <c r="L339">
        <v>6422</v>
      </c>
      <c r="M339">
        <v>183</v>
      </c>
      <c r="N339">
        <v>2.8495795702273435E-2</v>
      </c>
      <c r="O339">
        <v>7</v>
      </c>
      <c r="P339">
        <v>3.825136612021858E-2</v>
      </c>
      <c r="Q339">
        <v>1.0900031142946122E-3</v>
      </c>
      <c r="R339">
        <v>111</v>
      </c>
      <c r="S339">
        <v>0.60655737704918034</v>
      </c>
      <c r="T339">
        <v>1.7284335098100279E-2</v>
      </c>
      <c r="U339">
        <v>19</v>
      </c>
      <c r="V339">
        <v>0.10382513661202186</v>
      </c>
      <c r="W339">
        <v>2.9585798816568047E-3</v>
      </c>
      <c r="X339">
        <v>9</v>
      </c>
      <c r="Y339">
        <v>4.9180327868852458E-2</v>
      </c>
      <c r="Z339">
        <v>1.4014325755216444E-3</v>
      </c>
      <c r="AA339">
        <v>0</v>
      </c>
      <c r="AB339">
        <v>0</v>
      </c>
      <c r="AC339">
        <v>0</v>
      </c>
      <c r="AD339">
        <v>37</v>
      </c>
      <c r="AE339">
        <v>0.20218579234972678</v>
      </c>
      <c r="AF339">
        <v>5.7614450327000931E-3</v>
      </c>
    </row>
    <row r="340" spans="1:32" x14ac:dyDescent="0.2">
      <c r="A340">
        <v>1512.3689236111095</v>
      </c>
      <c r="B340">
        <v>1182</v>
      </c>
      <c r="C340">
        <v>80</v>
      </c>
      <c r="D340">
        <v>253</v>
      </c>
      <c r="E340">
        <v>63</v>
      </c>
      <c r="F340">
        <v>33</v>
      </c>
      <c r="G340">
        <v>77</v>
      </c>
      <c r="H340">
        <v>2356</v>
      </c>
      <c r="I340">
        <v>2</v>
      </c>
      <c r="J340">
        <v>1454</v>
      </c>
      <c r="K340">
        <v>19</v>
      </c>
      <c r="L340">
        <v>37522</v>
      </c>
      <c r="M340">
        <v>644</v>
      </c>
      <c r="N340">
        <v>1.7163264218325248E-2</v>
      </c>
      <c r="O340">
        <v>256</v>
      </c>
      <c r="P340">
        <v>0.39751552795031053</v>
      </c>
      <c r="Q340">
        <v>6.8226640370982359E-3</v>
      </c>
      <c r="R340">
        <v>140</v>
      </c>
      <c r="S340">
        <v>0.21739130434782608</v>
      </c>
      <c r="T340">
        <v>3.7311443952880974E-3</v>
      </c>
      <c r="U340">
        <v>96</v>
      </c>
      <c r="V340">
        <v>0.14906832298136646</v>
      </c>
      <c r="W340">
        <v>2.5584990139118384E-3</v>
      </c>
      <c r="X340">
        <v>52</v>
      </c>
      <c r="Y340">
        <v>8.0745341614906832E-2</v>
      </c>
      <c r="Z340">
        <v>1.3858536325355791E-3</v>
      </c>
      <c r="AA340">
        <v>0</v>
      </c>
      <c r="AB340">
        <v>0</v>
      </c>
      <c r="AC340">
        <v>0</v>
      </c>
      <c r="AD340">
        <v>100</v>
      </c>
      <c r="AE340">
        <v>0.15527950310559005</v>
      </c>
      <c r="AF340">
        <v>2.6651031394914985E-3</v>
      </c>
    </row>
    <row r="341" spans="1:32" x14ac:dyDescent="0.2">
      <c r="A341">
        <v>1233.0565393518482</v>
      </c>
      <c r="B341">
        <v>1330</v>
      </c>
      <c r="C341">
        <v>12</v>
      </c>
      <c r="D341">
        <v>39</v>
      </c>
      <c r="E341">
        <v>1</v>
      </c>
      <c r="F341">
        <v>0</v>
      </c>
      <c r="G341">
        <v>99</v>
      </c>
      <c r="H341">
        <v>24</v>
      </c>
      <c r="I341">
        <v>5</v>
      </c>
      <c r="J341">
        <v>0</v>
      </c>
      <c r="K341">
        <v>0</v>
      </c>
      <c r="L341">
        <v>20821</v>
      </c>
      <c r="M341">
        <v>17</v>
      </c>
      <c r="N341">
        <v>8.1648335814802362E-4</v>
      </c>
      <c r="O341">
        <v>0</v>
      </c>
      <c r="P341">
        <v>0</v>
      </c>
      <c r="Q341">
        <v>0</v>
      </c>
      <c r="R341">
        <v>14</v>
      </c>
      <c r="S341">
        <v>0.82352941176470584</v>
      </c>
      <c r="T341">
        <v>6.7239805965131356E-4</v>
      </c>
      <c r="U341">
        <v>1</v>
      </c>
      <c r="V341">
        <v>5.8823529411764705E-2</v>
      </c>
      <c r="W341">
        <v>4.8028432832236681E-5</v>
      </c>
      <c r="X341">
        <v>2</v>
      </c>
      <c r="Y341">
        <v>0.11764705882352941</v>
      </c>
      <c r="Z341">
        <v>9.6056865664473362E-5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">
      <c r="A342">
        <v>2162.5696643518531</v>
      </c>
      <c r="B342">
        <v>2652</v>
      </c>
      <c r="C342">
        <v>51</v>
      </c>
      <c r="D342">
        <v>1724</v>
      </c>
      <c r="E342">
        <v>37</v>
      </c>
      <c r="F342">
        <v>27</v>
      </c>
      <c r="G342">
        <v>199</v>
      </c>
      <c r="H342">
        <v>4437</v>
      </c>
      <c r="I342">
        <v>41</v>
      </c>
      <c r="J342">
        <v>3417</v>
      </c>
      <c r="K342">
        <v>128</v>
      </c>
      <c r="L342">
        <v>32439</v>
      </c>
      <c r="M342">
        <v>122</v>
      </c>
      <c r="N342">
        <v>3.7609050833872807E-3</v>
      </c>
      <c r="O342">
        <v>0</v>
      </c>
      <c r="P342">
        <v>0</v>
      </c>
      <c r="Q342">
        <v>0</v>
      </c>
      <c r="R342">
        <v>52</v>
      </c>
      <c r="S342">
        <v>0.42622950819672129</v>
      </c>
      <c r="T342">
        <v>1.6030087240667098E-3</v>
      </c>
      <c r="U342">
        <v>30</v>
      </c>
      <c r="V342">
        <v>0.24590163934426229</v>
      </c>
      <c r="W342">
        <v>9.248127254231018E-4</v>
      </c>
      <c r="X342">
        <v>13</v>
      </c>
      <c r="Y342">
        <v>0.10655737704918032</v>
      </c>
      <c r="Z342">
        <v>4.0075218101667744E-4</v>
      </c>
      <c r="AA342">
        <v>0</v>
      </c>
      <c r="AB342">
        <v>0</v>
      </c>
      <c r="AC342">
        <v>0</v>
      </c>
      <c r="AD342">
        <v>27</v>
      </c>
      <c r="AE342">
        <v>0.22131147540983606</v>
      </c>
      <c r="AF342">
        <v>8.3233145288079164E-4</v>
      </c>
    </row>
    <row r="343" spans="1:32" x14ac:dyDescent="0.2">
      <c r="A343">
        <v>1137.5321990740704</v>
      </c>
      <c r="B343">
        <v>755</v>
      </c>
      <c r="C343">
        <v>30</v>
      </c>
      <c r="D343">
        <v>117</v>
      </c>
      <c r="E343">
        <v>0</v>
      </c>
      <c r="F343">
        <v>0</v>
      </c>
      <c r="G343">
        <v>13</v>
      </c>
      <c r="H343">
        <v>26</v>
      </c>
      <c r="I343">
        <v>1</v>
      </c>
      <c r="J343">
        <v>40</v>
      </c>
      <c r="K343">
        <v>3</v>
      </c>
      <c r="L343">
        <v>3337</v>
      </c>
      <c r="M343">
        <v>137</v>
      </c>
      <c r="N343">
        <v>4.1054839676356009E-2</v>
      </c>
      <c r="O343">
        <v>69</v>
      </c>
      <c r="P343">
        <v>0.5036496350364964</v>
      </c>
      <c r="Q343">
        <v>2.0677255019478574E-2</v>
      </c>
      <c r="R343">
        <v>24</v>
      </c>
      <c r="S343">
        <v>0.17518248175182483</v>
      </c>
      <c r="T343">
        <v>7.19208870242733E-3</v>
      </c>
      <c r="U343">
        <v>28</v>
      </c>
      <c r="V343">
        <v>0.20437956204379562</v>
      </c>
      <c r="W343">
        <v>8.3907701528318848E-3</v>
      </c>
      <c r="X343">
        <v>16</v>
      </c>
      <c r="Y343">
        <v>0.11678832116788321</v>
      </c>
      <c r="Z343">
        <v>4.7947258016182203E-3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">
      <c r="A344">
        <v>2991.68100694444</v>
      </c>
      <c r="B344">
        <v>1357</v>
      </c>
      <c r="C344">
        <v>40</v>
      </c>
      <c r="D344">
        <v>124</v>
      </c>
      <c r="E344">
        <v>19</v>
      </c>
      <c r="F344">
        <v>6</v>
      </c>
      <c r="G344">
        <v>17</v>
      </c>
      <c r="H344">
        <v>64</v>
      </c>
      <c r="I344">
        <v>0</v>
      </c>
      <c r="J344">
        <v>242</v>
      </c>
      <c r="K344">
        <v>5</v>
      </c>
      <c r="L344">
        <v>6029</v>
      </c>
      <c r="M344">
        <v>57</v>
      </c>
      <c r="N344">
        <v>9.4543041963841435E-3</v>
      </c>
      <c r="O344">
        <v>14</v>
      </c>
      <c r="P344">
        <v>0.24561403508771928</v>
      </c>
      <c r="Q344">
        <v>2.3221098026206667E-3</v>
      </c>
      <c r="R344">
        <v>4</v>
      </c>
      <c r="S344">
        <v>7.0175438596491224E-2</v>
      </c>
      <c r="T344">
        <v>6.6345994360590482E-4</v>
      </c>
      <c r="U344">
        <v>11</v>
      </c>
      <c r="V344">
        <v>0.19298245614035087</v>
      </c>
      <c r="W344">
        <v>1.8245148449162383E-3</v>
      </c>
      <c r="X344">
        <v>9</v>
      </c>
      <c r="Y344">
        <v>0.15789473684210525</v>
      </c>
      <c r="Z344">
        <v>1.4927848731132857E-3</v>
      </c>
      <c r="AA344">
        <v>19</v>
      </c>
      <c r="AB344">
        <v>0.33333333333333331</v>
      </c>
      <c r="AC344">
        <v>3.1514347321280477E-3</v>
      </c>
      <c r="AD344">
        <v>0</v>
      </c>
      <c r="AE344">
        <v>0</v>
      </c>
      <c r="AF344">
        <v>0</v>
      </c>
    </row>
    <row r="345" spans="1:32" x14ac:dyDescent="0.2">
      <c r="A345">
        <v>3375.1690509259279</v>
      </c>
      <c r="B345">
        <v>3034</v>
      </c>
      <c r="C345">
        <v>155</v>
      </c>
      <c r="D345">
        <v>571</v>
      </c>
      <c r="E345">
        <v>27</v>
      </c>
      <c r="F345">
        <v>82</v>
      </c>
      <c r="G345">
        <v>172</v>
      </c>
      <c r="H345">
        <v>3218</v>
      </c>
      <c r="I345">
        <v>13</v>
      </c>
      <c r="J345">
        <v>2613</v>
      </c>
      <c r="K345">
        <v>360</v>
      </c>
      <c r="L345">
        <v>18364</v>
      </c>
      <c r="M345">
        <v>159</v>
      </c>
      <c r="N345">
        <v>8.6582443912001737E-3</v>
      </c>
      <c r="O345">
        <v>31</v>
      </c>
      <c r="P345">
        <v>0.19496855345911951</v>
      </c>
      <c r="Q345">
        <v>1.6880853844478327E-3</v>
      </c>
      <c r="R345">
        <v>60</v>
      </c>
      <c r="S345">
        <v>0.37735849056603776</v>
      </c>
      <c r="T345">
        <v>3.2672620344151599E-3</v>
      </c>
      <c r="U345">
        <v>9</v>
      </c>
      <c r="V345">
        <v>5.6603773584905662E-2</v>
      </c>
      <c r="W345">
        <v>4.9008930516227401E-4</v>
      </c>
      <c r="X345">
        <v>59</v>
      </c>
      <c r="Y345">
        <v>0.37106918238993708</v>
      </c>
      <c r="Z345">
        <v>3.2128076671749076E-3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">
      <c r="A346">
        <v>3248.506377314814</v>
      </c>
      <c r="B346">
        <v>524</v>
      </c>
      <c r="C346">
        <v>54</v>
      </c>
      <c r="D346">
        <v>232</v>
      </c>
      <c r="E346">
        <v>0</v>
      </c>
      <c r="F346">
        <v>45</v>
      </c>
      <c r="G346">
        <v>138</v>
      </c>
      <c r="H346">
        <v>5706</v>
      </c>
      <c r="I346">
        <v>34</v>
      </c>
      <c r="J346">
        <v>0</v>
      </c>
      <c r="K346">
        <v>0</v>
      </c>
      <c r="L346">
        <v>128111</v>
      </c>
      <c r="M346">
        <v>1968</v>
      </c>
      <c r="N346">
        <v>1.5361678544387289E-2</v>
      </c>
      <c r="O346">
        <v>906</v>
      </c>
      <c r="P346">
        <v>0.46036585365853661</v>
      </c>
      <c r="Q346">
        <v>7.0719922567148803E-3</v>
      </c>
      <c r="R346">
        <v>416</v>
      </c>
      <c r="S346">
        <v>0.21138211382113822</v>
      </c>
      <c r="T346">
        <v>3.2471840825534109E-3</v>
      </c>
      <c r="U346">
        <v>189</v>
      </c>
      <c r="V346">
        <v>9.6036585365853661E-2</v>
      </c>
      <c r="W346">
        <v>1.4752831528908525E-3</v>
      </c>
      <c r="X346">
        <v>400</v>
      </c>
      <c r="Y346">
        <v>0.2032520325203252</v>
      </c>
      <c r="Z346">
        <v>3.1222923870705874E-3</v>
      </c>
      <c r="AA346">
        <v>42</v>
      </c>
      <c r="AB346">
        <v>2.1341463414634148E-2</v>
      </c>
      <c r="AC346">
        <v>3.2784070064241163E-4</v>
      </c>
      <c r="AD346">
        <v>15</v>
      </c>
      <c r="AE346">
        <v>7.621951219512195E-3</v>
      </c>
      <c r="AF346">
        <v>1.1708596451514703E-4</v>
      </c>
    </row>
    <row r="347" spans="1:32" x14ac:dyDescent="0.2">
      <c r="A347">
        <v>2239.3338425925976</v>
      </c>
      <c r="B347">
        <v>879</v>
      </c>
      <c r="C347">
        <v>91</v>
      </c>
      <c r="D347">
        <v>489</v>
      </c>
      <c r="E347">
        <v>0</v>
      </c>
      <c r="F347">
        <v>43</v>
      </c>
      <c r="G347">
        <v>81</v>
      </c>
      <c r="H347">
        <v>465</v>
      </c>
      <c r="I347">
        <v>18</v>
      </c>
      <c r="J347">
        <v>735</v>
      </c>
      <c r="K347">
        <v>364</v>
      </c>
      <c r="L347">
        <v>213828</v>
      </c>
      <c r="M347">
        <v>301</v>
      </c>
      <c r="N347">
        <v>1.4076734571711843E-3</v>
      </c>
      <c r="O347">
        <v>68</v>
      </c>
      <c r="P347">
        <v>0.22591362126245848</v>
      </c>
      <c r="Q347">
        <v>3.1801260826458649E-4</v>
      </c>
      <c r="R347">
        <v>161</v>
      </c>
      <c r="S347">
        <v>0.53488372093023251</v>
      </c>
      <c r="T347">
        <v>7.5294161662644741E-4</v>
      </c>
      <c r="U347">
        <v>47</v>
      </c>
      <c r="V347">
        <v>0.15614617940199335</v>
      </c>
      <c r="W347">
        <v>2.1980283218287595E-4</v>
      </c>
      <c r="X347">
        <v>11</v>
      </c>
      <c r="Y347">
        <v>3.6544850498338874E-2</v>
      </c>
      <c r="Z347">
        <v>5.1443216042800757E-5</v>
      </c>
      <c r="AA347">
        <v>0</v>
      </c>
      <c r="AB347">
        <v>0</v>
      </c>
      <c r="AC347">
        <v>0</v>
      </c>
      <c r="AD347">
        <v>14</v>
      </c>
      <c r="AE347">
        <v>4.6511627906976744E-2</v>
      </c>
      <c r="AF347">
        <v>6.547318405447369E-5</v>
      </c>
    </row>
    <row r="348" spans="1:32" x14ac:dyDescent="0.2">
      <c r="A348">
        <v>1422.1621874999983</v>
      </c>
      <c r="B348">
        <v>7519</v>
      </c>
      <c r="C348">
        <v>425</v>
      </c>
      <c r="D348">
        <v>1734</v>
      </c>
      <c r="E348">
        <v>40</v>
      </c>
      <c r="F348">
        <v>54</v>
      </c>
      <c r="G348">
        <v>123</v>
      </c>
      <c r="H348">
        <v>2856</v>
      </c>
      <c r="I348">
        <v>11</v>
      </c>
      <c r="J348">
        <v>1828</v>
      </c>
      <c r="K348">
        <v>70</v>
      </c>
      <c r="L348">
        <v>25690</v>
      </c>
      <c r="M348">
        <v>409</v>
      </c>
      <c r="N348">
        <v>1.5920591669910472E-2</v>
      </c>
      <c r="O348">
        <v>89</v>
      </c>
      <c r="P348">
        <v>0.2176039119804401</v>
      </c>
      <c r="Q348">
        <v>3.4643830284157261E-3</v>
      </c>
      <c r="R348">
        <v>198</v>
      </c>
      <c r="S348">
        <v>0.4841075794621027</v>
      </c>
      <c r="T348">
        <v>7.7072790969248735E-3</v>
      </c>
      <c r="U348">
        <v>88</v>
      </c>
      <c r="V348">
        <v>0.21515892420537897</v>
      </c>
      <c r="W348">
        <v>3.4254573764110549E-3</v>
      </c>
      <c r="X348">
        <v>12</v>
      </c>
      <c r="Y348">
        <v>2.9339853300733496E-2</v>
      </c>
      <c r="Z348">
        <v>4.6710782405605291E-4</v>
      </c>
      <c r="AA348">
        <v>3</v>
      </c>
      <c r="AB348">
        <v>7.3349633251833741E-3</v>
      </c>
      <c r="AC348">
        <v>1.1677695601401323E-4</v>
      </c>
      <c r="AD348">
        <v>19</v>
      </c>
      <c r="AE348">
        <v>4.6454767726161368E-2</v>
      </c>
      <c r="AF348">
        <v>7.3958738808875047E-4</v>
      </c>
    </row>
    <row r="349" spans="1:32" x14ac:dyDescent="0.2">
      <c r="A349">
        <v>1967.8143287037092</v>
      </c>
      <c r="B349">
        <v>1245</v>
      </c>
      <c r="C349">
        <v>62</v>
      </c>
      <c r="D349">
        <v>308</v>
      </c>
      <c r="E349">
        <v>0</v>
      </c>
      <c r="F349">
        <v>8</v>
      </c>
      <c r="G349">
        <v>11</v>
      </c>
      <c r="H349">
        <v>35</v>
      </c>
      <c r="I349">
        <v>1</v>
      </c>
      <c r="J349">
        <v>119</v>
      </c>
      <c r="K349">
        <v>19</v>
      </c>
      <c r="L349">
        <v>3371</v>
      </c>
      <c r="M349">
        <v>32</v>
      </c>
      <c r="N349">
        <v>9.4927321269652927E-3</v>
      </c>
      <c r="O349">
        <v>3</v>
      </c>
      <c r="P349">
        <v>9.375E-2</v>
      </c>
      <c r="Q349">
        <v>8.8994363690299619E-4</v>
      </c>
      <c r="R349">
        <v>17</v>
      </c>
      <c r="S349">
        <v>0.53125</v>
      </c>
      <c r="T349">
        <v>5.0430139424503112E-3</v>
      </c>
      <c r="U349">
        <v>3</v>
      </c>
      <c r="V349">
        <v>9.375E-2</v>
      </c>
      <c r="W349">
        <v>8.8994363690299619E-4</v>
      </c>
      <c r="X349">
        <v>3</v>
      </c>
      <c r="Y349">
        <v>9.375E-2</v>
      </c>
      <c r="Z349">
        <v>8.8994363690299619E-4</v>
      </c>
      <c r="AA349">
        <v>4</v>
      </c>
      <c r="AB349">
        <v>0.125</v>
      </c>
      <c r="AC349">
        <v>1.1865915158706616E-3</v>
      </c>
      <c r="AD349">
        <v>2</v>
      </c>
      <c r="AE349">
        <v>6.25E-2</v>
      </c>
      <c r="AF349">
        <v>5.9329575793533079E-4</v>
      </c>
    </row>
    <row r="350" spans="1:32" x14ac:dyDescent="0.2">
      <c r="A350">
        <v>491.48494212963124</v>
      </c>
      <c r="B350">
        <v>553</v>
      </c>
      <c r="C350">
        <v>23</v>
      </c>
      <c r="D350">
        <v>54</v>
      </c>
      <c r="E350">
        <v>7</v>
      </c>
      <c r="F350">
        <v>0</v>
      </c>
      <c r="G350">
        <v>6</v>
      </c>
      <c r="H350">
        <v>17</v>
      </c>
      <c r="I350">
        <v>0</v>
      </c>
      <c r="J350">
        <v>26</v>
      </c>
      <c r="K350">
        <v>1</v>
      </c>
      <c r="L350">
        <v>1797</v>
      </c>
      <c r="M350">
        <v>57</v>
      </c>
      <c r="N350">
        <v>3.1719532554257093E-2</v>
      </c>
      <c r="O350">
        <v>8</v>
      </c>
      <c r="P350">
        <v>0.14035087719298245</v>
      </c>
      <c r="Q350">
        <v>4.4518642181413468E-3</v>
      </c>
      <c r="R350">
        <v>24</v>
      </c>
      <c r="S350">
        <v>0.42105263157894735</v>
      </c>
      <c r="T350">
        <v>1.335559265442404E-2</v>
      </c>
      <c r="U350">
        <v>11</v>
      </c>
      <c r="V350">
        <v>0.19298245614035087</v>
      </c>
      <c r="W350">
        <v>6.1213132999443521E-3</v>
      </c>
      <c r="X350">
        <v>4</v>
      </c>
      <c r="Y350">
        <v>7.0175438596491224E-2</v>
      </c>
      <c r="Z350">
        <v>2.2259321090706734E-3</v>
      </c>
      <c r="AA350">
        <v>10</v>
      </c>
      <c r="AB350">
        <v>0.17543859649122806</v>
      </c>
      <c r="AC350">
        <v>5.5648302726766831E-3</v>
      </c>
      <c r="AD350">
        <v>0</v>
      </c>
      <c r="AE350">
        <v>0</v>
      </c>
      <c r="AF350">
        <v>0</v>
      </c>
    </row>
    <row r="351" spans="1:32" x14ac:dyDescent="0.2">
      <c r="A351">
        <v>3330.1916319444426</v>
      </c>
      <c r="B351">
        <v>2489</v>
      </c>
      <c r="C351">
        <v>167</v>
      </c>
      <c r="D351">
        <v>607</v>
      </c>
      <c r="E351">
        <v>6</v>
      </c>
      <c r="F351">
        <v>3</v>
      </c>
      <c r="G351">
        <v>25</v>
      </c>
      <c r="H351">
        <v>110</v>
      </c>
      <c r="I351">
        <v>6</v>
      </c>
      <c r="J351">
        <v>281</v>
      </c>
      <c r="K351">
        <v>23</v>
      </c>
      <c r="L351">
        <v>12344</v>
      </c>
      <c r="M351">
        <v>10</v>
      </c>
      <c r="N351">
        <v>8.101101749837978E-4</v>
      </c>
      <c r="O351">
        <v>2</v>
      </c>
      <c r="P351">
        <v>0.2</v>
      </c>
      <c r="Q351">
        <v>1.6202203499675956E-4</v>
      </c>
      <c r="R351">
        <v>6</v>
      </c>
      <c r="S351">
        <v>0.6</v>
      </c>
      <c r="T351">
        <v>4.8606610499027868E-4</v>
      </c>
      <c r="U351">
        <v>0</v>
      </c>
      <c r="V351">
        <v>0</v>
      </c>
      <c r="W351">
        <v>0</v>
      </c>
      <c r="X351">
        <v>2</v>
      </c>
      <c r="Y351">
        <v>0.2</v>
      </c>
      <c r="Z351">
        <v>1.6202203499675956E-4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">
      <c r="A352">
        <v>2841.012430555551</v>
      </c>
      <c r="B352">
        <v>690</v>
      </c>
      <c r="C352">
        <v>36</v>
      </c>
      <c r="D352">
        <v>37</v>
      </c>
      <c r="E352">
        <v>0</v>
      </c>
      <c r="F352">
        <v>0</v>
      </c>
      <c r="G352">
        <v>10</v>
      </c>
      <c r="H352">
        <v>32</v>
      </c>
      <c r="I352">
        <v>0</v>
      </c>
      <c r="J352">
        <v>0</v>
      </c>
      <c r="K352">
        <v>0</v>
      </c>
      <c r="L352">
        <v>2769</v>
      </c>
      <c r="M352">
        <v>48</v>
      </c>
      <c r="N352">
        <v>1.7334777898158179E-2</v>
      </c>
      <c r="O352">
        <v>5</v>
      </c>
      <c r="P352">
        <v>0.10416666666666667</v>
      </c>
      <c r="Q352">
        <v>1.8057060310581437E-3</v>
      </c>
      <c r="R352">
        <v>14</v>
      </c>
      <c r="S352">
        <v>0.29166666666666669</v>
      </c>
      <c r="T352">
        <v>5.055976886962802E-3</v>
      </c>
      <c r="U352">
        <v>2</v>
      </c>
      <c r="V352">
        <v>4.1666666666666664E-2</v>
      </c>
      <c r="W352">
        <v>7.2228241242325753E-4</v>
      </c>
      <c r="X352">
        <v>23</v>
      </c>
      <c r="Y352">
        <v>0.47916666666666669</v>
      </c>
      <c r="Z352">
        <v>8.3062477428674612E-3</v>
      </c>
      <c r="AA352">
        <v>0</v>
      </c>
      <c r="AB352">
        <v>0</v>
      </c>
      <c r="AC352">
        <v>0</v>
      </c>
      <c r="AD352">
        <v>4</v>
      </c>
      <c r="AE352">
        <v>8.3333333333333329E-2</v>
      </c>
      <c r="AF352">
        <v>1.4445648248465151E-3</v>
      </c>
    </row>
    <row r="353" spans="1:32" x14ac:dyDescent="0.2">
      <c r="A353">
        <v>1725.4253009259264</v>
      </c>
      <c r="B353">
        <v>382</v>
      </c>
      <c r="C353">
        <v>44</v>
      </c>
      <c r="D353">
        <v>127</v>
      </c>
      <c r="E353">
        <v>11</v>
      </c>
      <c r="F353">
        <v>2</v>
      </c>
      <c r="G353">
        <v>27</v>
      </c>
      <c r="H353">
        <v>109</v>
      </c>
      <c r="I353">
        <v>0</v>
      </c>
      <c r="J353">
        <v>93</v>
      </c>
      <c r="K353">
        <v>0</v>
      </c>
      <c r="L353">
        <v>1902</v>
      </c>
      <c r="M353">
        <v>28</v>
      </c>
      <c r="N353">
        <v>1.4721345951629864E-2</v>
      </c>
      <c r="O353">
        <v>23</v>
      </c>
      <c r="P353">
        <v>0.8214285714285714</v>
      </c>
      <c r="Q353">
        <v>1.2092534174553101E-2</v>
      </c>
      <c r="R353">
        <v>3</v>
      </c>
      <c r="S353">
        <v>0.10714285714285714</v>
      </c>
      <c r="T353">
        <v>1.5772870662460567E-3</v>
      </c>
      <c r="U353">
        <v>1</v>
      </c>
      <c r="V353">
        <v>3.5714285714285712E-2</v>
      </c>
      <c r="W353">
        <v>5.2576235541535224E-4</v>
      </c>
      <c r="X353">
        <v>1</v>
      </c>
      <c r="Y353">
        <v>3.5714285714285712E-2</v>
      </c>
      <c r="Z353">
        <v>5.2576235541535224E-4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">
      <c r="A354">
        <v>2236.4622800925936</v>
      </c>
      <c r="B354">
        <v>817</v>
      </c>
      <c r="C354">
        <v>68</v>
      </c>
      <c r="D354">
        <v>596</v>
      </c>
      <c r="E354">
        <v>0</v>
      </c>
      <c r="F354">
        <v>434</v>
      </c>
      <c r="G354">
        <v>260</v>
      </c>
      <c r="H354">
        <v>7862</v>
      </c>
      <c r="I354">
        <v>147</v>
      </c>
      <c r="J354">
        <v>3921</v>
      </c>
      <c r="K354">
        <v>1471</v>
      </c>
      <c r="L354">
        <v>209016</v>
      </c>
      <c r="M354">
        <v>2491</v>
      </c>
      <c r="N354">
        <v>1.1917747923603934E-2</v>
      </c>
      <c r="O354">
        <v>883</v>
      </c>
      <c r="P354">
        <v>0.35447611401043755</v>
      </c>
      <c r="Q354">
        <v>4.2245569717150842E-3</v>
      </c>
      <c r="R354">
        <v>389</v>
      </c>
      <c r="S354">
        <v>0.15616218386190284</v>
      </c>
      <c r="T354">
        <v>1.8611015424656486E-3</v>
      </c>
      <c r="U354">
        <v>374</v>
      </c>
      <c r="V354">
        <v>0.15014050582095545</v>
      </c>
      <c r="W354">
        <v>1.7893367014965361E-3</v>
      </c>
      <c r="X354">
        <v>249</v>
      </c>
      <c r="Y354">
        <v>9.9959855479727022E-2</v>
      </c>
      <c r="Z354">
        <v>1.1912963600872661E-3</v>
      </c>
      <c r="AA354">
        <v>8</v>
      </c>
      <c r="AB354">
        <v>3.2115616218386192E-3</v>
      </c>
      <c r="AC354">
        <v>3.8274581850193284E-5</v>
      </c>
      <c r="AD354">
        <v>588</v>
      </c>
      <c r="AE354">
        <v>0.2360497792051385</v>
      </c>
      <c r="AF354">
        <v>2.8131817659892066E-3</v>
      </c>
    </row>
    <row r="355" spans="1:32" x14ac:dyDescent="0.2">
      <c r="A355">
        <v>2901.5215162037057</v>
      </c>
      <c r="B355">
        <v>7734</v>
      </c>
      <c r="C355">
        <v>290</v>
      </c>
      <c r="D355">
        <v>1242</v>
      </c>
      <c r="E355">
        <v>49</v>
      </c>
      <c r="F355">
        <v>28</v>
      </c>
      <c r="G355">
        <v>151</v>
      </c>
      <c r="H355">
        <v>1081</v>
      </c>
      <c r="I355">
        <v>30</v>
      </c>
      <c r="J355">
        <v>773</v>
      </c>
      <c r="K355">
        <v>90</v>
      </c>
      <c r="L355">
        <v>38515</v>
      </c>
      <c r="M355">
        <v>340</v>
      </c>
      <c r="N355">
        <v>8.8277294560560812E-3</v>
      </c>
      <c r="O355">
        <v>54</v>
      </c>
      <c r="P355">
        <v>0.1588235294117647</v>
      </c>
      <c r="Q355">
        <v>1.4020511489030248E-3</v>
      </c>
      <c r="R355">
        <v>49</v>
      </c>
      <c r="S355">
        <v>0.14411764705882352</v>
      </c>
      <c r="T355">
        <v>1.2722315980786705E-3</v>
      </c>
      <c r="U355">
        <v>33</v>
      </c>
      <c r="V355">
        <v>9.7058823529411767E-2</v>
      </c>
      <c r="W355">
        <v>8.5680903544073741E-4</v>
      </c>
      <c r="X355">
        <v>184</v>
      </c>
      <c r="Y355">
        <v>0.54117647058823526</v>
      </c>
      <c r="Z355">
        <v>4.7773594703362328E-3</v>
      </c>
      <c r="AA355">
        <v>5</v>
      </c>
      <c r="AB355">
        <v>1.4705882352941176E-2</v>
      </c>
      <c r="AC355">
        <v>1.2981955082435416E-4</v>
      </c>
      <c r="AD355">
        <v>15</v>
      </c>
      <c r="AE355">
        <v>4.4117647058823532E-2</v>
      </c>
      <c r="AF355">
        <v>3.8945865247306242E-4</v>
      </c>
    </row>
    <row r="356" spans="1:32" x14ac:dyDescent="0.2">
      <c r="A356">
        <v>1947.9902546296362</v>
      </c>
      <c r="B356">
        <v>379</v>
      </c>
      <c r="C356">
        <v>52</v>
      </c>
      <c r="D356">
        <v>10</v>
      </c>
      <c r="E356">
        <v>58</v>
      </c>
      <c r="F356">
        <v>12</v>
      </c>
      <c r="G356">
        <v>14</v>
      </c>
      <c r="H356">
        <v>583</v>
      </c>
      <c r="I356">
        <v>2</v>
      </c>
      <c r="J356">
        <v>114</v>
      </c>
      <c r="K356">
        <v>23</v>
      </c>
      <c r="L356">
        <v>7781</v>
      </c>
      <c r="M356">
        <v>55</v>
      </c>
      <c r="N356">
        <v>7.0685001927772778E-3</v>
      </c>
      <c r="O356">
        <v>5</v>
      </c>
      <c r="P356">
        <v>9.0909090909090912E-2</v>
      </c>
      <c r="Q356">
        <v>6.4259092661611615E-4</v>
      </c>
      <c r="R356">
        <v>34</v>
      </c>
      <c r="S356">
        <v>0.61818181818181817</v>
      </c>
      <c r="T356">
        <v>4.3696183009895896E-3</v>
      </c>
      <c r="U356">
        <v>11</v>
      </c>
      <c r="V356">
        <v>0.2</v>
      </c>
      <c r="W356">
        <v>1.4137000385554556E-3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5</v>
      </c>
      <c r="AE356">
        <v>9.0909090909090912E-2</v>
      </c>
      <c r="AF356">
        <v>6.4259092661611615E-4</v>
      </c>
    </row>
    <row r="357" spans="1:32" x14ac:dyDescent="0.2">
      <c r="A357">
        <v>1896.7077893518508</v>
      </c>
      <c r="B357">
        <v>600</v>
      </c>
      <c r="C357">
        <v>16</v>
      </c>
      <c r="D357">
        <v>58</v>
      </c>
      <c r="E357">
        <v>2</v>
      </c>
      <c r="F357">
        <v>0</v>
      </c>
      <c r="G357">
        <v>12</v>
      </c>
      <c r="H357">
        <v>18</v>
      </c>
      <c r="I357">
        <v>3</v>
      </c>
      <c r="J357">
        <v>40</v>
      </c>
      <c r="K357">
        <v>15</v>
      </c>
      <c r="L357">
        <v>1113</v>
      </c>
      <c r="M357">
        <v>7</v>
      </c>
      <c r="N357">
        <v>6.2893081761006293E-3</v>
      </c>
      <c r="O357">
        <v>3</v>
      </c>
      <c r="P357">
        <v>0.42857142857142855</v>
      </c>
      <c r="Q357">
        <v>2.6954177897574125E-3</v>
      </c>
      <c r="R357">
        <v>1</v>
      </c>
      <c r="S357">
        <v>0.14285714285714285</v>
      </c>
      <c r="T357">
        <v>8.9847259658580418E-4</v>
      </c>
      <c r="U357">
        <v>3</v>
      </c>
      <c r="V357">
        <v>0.42857142857142855</v>
      </c>
      <c r="W357">
        <v>2.6954177897574125E-3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">
      <c r="A358">
        <v>294.26790509259445</v>
      </c>
      <c r="B358">
        <v>370</v>
      </c>
      <c r="C358">
        <v>29</v>
      </c>
      <c r="D358">
        <v>846</v>
      </c>
      <c r="E358">
        <v>0</v>
      </c>
      <c r="F358">
        <v>4</v>
      </c>
      <c r="G358">
        <v>7</v>
      </c>
      <c r="H358">
        <v>142</v>
      </c>
      <c r="I358">
        <v>0</v>
      </c>
      <c r="J358">
        <v>90</v>
      </c>
      <c r="K358">
        <v>14</v>
      </c>
      <c r="L358">
        <v>2084</v>
      </c>
      <c r="M358">
        <v>171</v>
      </c>
      <c r="N358">
        <v>8.2053742802303264E-2</v>
      </c>
      <c r="O358">
        <v>0</v>
      </c>
      <c r="P358">
        <v>0</v>
      </c>
      <c r="Q358">
        <v>0</v>
      </c>
      <c r="R358">
        <v>161</v>
      </c>
      <c r="S358">
        <v>0.94152046783625731</v>
      </c>
      <c r="T358">
        <v>7.7255278310940492E-2</v>
      </c>
      <c r="U358">
        <v>7</v>
      </c>
      <c r="V358">
        <v>4.0935672514619881E-2</v>
      </c>
      <c r="W358">
        <v>3.3589251439539347E-3</v>
      </c>
      <c r="X358">
        <v>2</v>
      </c>
      <c r="Y358">
        <v>1.1695906432748537E-2</v>
      </c>
      <c r="Z358">
        <v>9.5969289827255275E-4</v>
      </c>
      <c r="AA358">
        <v>1</v>
      </c>
      <c r="AB358">
        <v>5.8479532163742687E-3</v>
      </c>
      <c r="AC358">
        <v>4.7984644913627637E-4</v>
      </c>
      <c r="AD358">
        <v>0</v>
      </c>
      <c r="AE358">
        <v>0</v>
      </c>
      <c r="AF358">
        <v>0</v>
      </c>
    </row>
    <row r="359" spans="1:32" x14ac:dyDescent="0.2">
      <c r="A359">
        <v>3319.3853240740791</v>
      </c>
      <c r="B359">
        <v>3266</v>
      </c>
      <c r="C359">
        <v>350</v>
      </c>
      <c r="D359">
        <v>1140</v>
      </c>
      <c r="E359">
        <v>0</v>
      </c>
      <c r="F359">
        <v>4</v>
      </c>
      <c r="G359">
        <v>8</v>
      </c>
      <c r="H359">
        <v>47</v>
      </c>
      <c r="I359">
        <v>11</v>
      </c>
      <c r="J359">
        <v>115</v>
      </c>
      <c r="K359">
        <v>34</v>
      </c>
      <c r="L359">
        <v>17397</v>
      </c>
      <c r="M359">
        <v>120</v>
      </c>
      <c r="N359">
        <v>6.8977409898258318E-3</v>
      </c>
      <c r="O359">
        <v>4</v>
      </c>
      <c r="P359">
        <v>3.3333333333333333E-2</v>
      </c>
      <c r="Q359">
        <v>2.2992469966086107E-4</v>
      </c>
      <c r="R359">
        <v>82</v>
      </c>
      <c r="S359">
        <v>0.68333333333333335</v>
      </c>
      <c r="T359">
        <v>4.7134563430476515E-3</v>
      </c>
      <c r="U359">
        <v>7</v>
      </c>
      <c r="V359">
        <v>5.8333333333333334E-2</v>
      </c>
      <c r="W359">
        <v>4.0236822440650689E-4</v>
      </c>
      <c r="X359">
        <v>23</v>
      </c>
      <c r="Y359">
        <v>0.19166666666666668</v>
      </c>
      <c r="Z359">
        <v>1.3220670230499512E-3</v>
      </c>
      <c r="AA359">
        <v>2</v>
      </c>
      <c r="AB359">
        <v>1.6666666666666666E-2</v>
      </c>
      <c r="AC359">
        <v>1.1496234983043054E-4</v>
      </c>
      <c r="AD359">
        <v>2</v>
      </c>
      <c r="AE359">
        <v>1.6666666666666666E-2</v>
      </c>
      <c r="AF359">
        <v>1.1496234983043054E-4</v>
      </c>
    </row>
    <row r="360" spans="1:32" x14ac:dyDescent="0.2">
      <c r="A360">
        <v>1719.4157986111168</v>
      </c>
      <c r="B360">
        <v>2915</v>
      </c>
      <c r="C360">
        <v>111</v>
      </c>
      <c r="D360">
        <v>475</v>
      </c>
      <c r="E360">
        <v>0</v>
      </c>
      <c r="F360">
        <v>20</v>
      </c>
      <c r="G360">
        <v>52</v>
      </c>
      <c r="H360">
        <v>260</v>
      </c>
      <c r="I360">
        <v>2</v>
      </c>
      <c r="J360">
        <v>432</v>
      </c>
      <c r="K360">
        <v>3</v>
      </c>
      <c r="L360">
        <v>3233</v>
      </c>
      <c r="M360">
        <v>17</v>
      </c>
      <c r="N360">
        <v>5.2582740488710178E-3</v>
      </c>
      <c r="O360">
        <v>1</v>
      </c>
      <c r="P360">
        <v>5.8823529411764705E-2</v>
      </c>
      <c r="Q360">
        <v>3.0931023816888341E-4</v>
      </c>
      <c r="R360">
        <v>1</v>
      </c>
      <c r="S360">
        <v>5.8823529411764705E-2</v>
      </c>
      <c r="T360">
        <v>3.0931023816888341E-4</v>
      </c>
      <c r="U360">
        <v>14</v>
      </c>
      <c r="V360">
        <v>0.82352941176470584</v>
      </c>
      <c r="W360">
        <v>4.3303433343643673E-3</v>
      </c>
      <c r="X360">
        <v>1</v>
      </c>
      <c r="Y360">
        <v>5.8823529411764705E-2</v>
      </c>
      <c r="Z360">
        <v>3.0931023816888341E-4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">
      <c r="A361">
        <v>1378.1728472222239</v>
      </c>
      <c r="B361">
        <v>2379</v>
      </c>
      <c r="C361">
        <v>118</v>
      </c>
      <c r="D361">
        <v>506</v>
      </c>
      <c r="E361">
        <v>10</v>
      </c>
      <c r="F361">
        <v>11</v>
      </c>
      <c r="G361">
        <v>7</v>
      </c>
      <c r="H361">
        <v>29</v>
      </c>
      <c r="I361">
        <v>1</v>
      </c>
      <c r="J361">
        <v>161</v>
      </c>
      <c r="K361">
        <v>47</v>
      </c>
      <c r="L361">
        <v>2243</v>
      </c>
      <c r="M361">
        <v>24</v>
      </c>
      <c r="N361">
        <v>1.069995541685243E-2</v>
      </c>
      <c r="O361">
        <v>18</v>
      </c>
      <c r="P361">
        <v>0.75</v>
      </c>
      <c r="Q361">
        <v>8.024966562639322E-3</v>
      </c>
      <c r="R361">
        <v>4</v>
      </c>
      <c r="S361">
        <v>0.16666666666666666</v>
      </c>
      <c r="T361">
        <v>1.7833259028087382E-3</v>
      </c>
      <c r="U361">
        <v>0</v>
      </c>
      <c r="V361">
        <v>0</v>
      </c>
      <c r="W361">
        <v>0</v>
      </c>
      <c r="X361">
        <v>2</v>
      </c>
      <c r="Y361">
        <v>8.3333333333333329E-2</v>
      </c>
      <c r="Z361">
        <v>8.9166295140436912E-4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">
      <c r="A362">
        <v>2719.5433796296275</v>
      </c>
      <c r="B362">
        <v>18534</v>
      </c>
      <c r="C362">
        <v>594</v>
      </c>
      <c r="D362">
        <v>3030</v>
      </c>
      <c r="E362">
        <v>95</v>
      </c>
      <c r="F362">
        <v>165</v>
      </c>
      <c r="G362">
        <v>348</v>
      </c>
      <c r="H362">
        <v>3387</v>
      </c>
      <c r="I362">
        <v>180</v>
      </c>
      <c r="J362">
        <v>2073</v>
      </c>
      <c r="K362">
        <v>432</v>
      </c>
      <c r="L362">
        <v>19251</v>
      </c>
      <c r="M362">
        <v>176</v>
      </c>
      <c r="N362">
        <v>9.1423822139109663E-3</v>
      </c>
      <c r="O362">
        <v>53</v>
      </c>
      <c r="P362">
        <v>0.30113636363636365</v>
      </c>
      <c r="Q362">
        <v>2.7531037348709157E-3</v>
      </c>
      <c r="R362">
        <v>51</v>
      </c>
      <c r="S362">
        <v>0.28977272727272729</v>
      </c>
      <c r="T362">
        <v>2.649213027894655E-3</v>
      </c>
      <c r="U362">
        <v>16</v>
      </c>
      <c r="V362">
        <v>9.0909090909090912E-2</v>
      </c>
      <c r="W362">
        <v>8.3112565581008782E-4</v>
      </c>
      <c r="X362">
        <v>20</v>
      </c>
      <c r="Y362">
        <v>0.11363636363636363</v>
      </c>
      <c r="Z362">
        <v>1.0389070697626097E-3</v>
      </c>
      <c r="AA362">
        <v>0</v>
      </c>
      <c r="AB362">
        <v>0</v>
      </c>
      <c r="AC362">
        <v>0</v>
      </c>
      <c r="AD362">
        <v>36</v>
      </c>
      <c r="AE362">
        <v>0.20454545454545456</v>
      </c>
      <c r="AF362">
        <v>1.8700327255726976E-3</v>
      </c>
    </row>
    <row r="363" spans="1:32" x14ac:dyDescent="0.2">
      <c r="A363">
        <v>2251.2137962962952</v>
      </c>
      <c r="B363">
        <v>607</v>
      </c>
      <c r="C363">
        <v>39</v>
      </c>
      <c r="D363">
        <v>39</v>
      </c>
      <c r="E363">
        <v>0</v>
      </c>
      <c r="F363">
        <v>11</v>
      </c>
      <c r="G363">
        <v>31</v>
      </c>
      <c r="H363">
        <v>194</v>
      </c>
      <c r="I363">
        <v>34</v>
      </c>
      <c r="J363">
        <v>48</v>
      </c>
      <c r="K363">
        <v>18</v>
      </c>
      <c r="L363">
        <v>4834</v>
      </c>
      <c r="M363">
        <v>39</v>
      </c>
      <c r="N363">
        <v>8.0678527099710389E-3</v>
      </c>
      <c r="O363">
        <v>9</v>
      </c>
      <c r="P363">
        <v>0.23076923076923078</v>
      </c>
      <c r="Q363">
        <v>1.8618121638394704E-3</v>
      </c>
      <c r="R363">
        <v>18</v>
      </c>
      <c r="S363">
        <v>0.46153846153846156</v>
      </c>
      <c r="T363">
        <v>3.7236243276789409E-3</v>
      </c>
      <c r="U363">
        <v>3</v>
      </c>
      <c r="V363">
        <v>7.6923076923076927E-2</v>
      </c>
      <c r="W363">
        <v>6.2060405461315685E-4</v>
      </c>
      <c r="X363">
        <v>6</v>
      </c>
      <c r="Y363">
        <v>0.15384615384615385</v>
      </c>
      <c r="Z363">
        <v>1.2412081092263137E-3</v>
      </c>
      <c r="AA363">
        <v>0</v>
      </c>
      <c r="AB363">
        <v>0</v>
      </c>
      <c r="AC363">
        <v>0</v>
      </c>
      <c r="AD363">
        <v>3</v>
      </c>
      <c r="AE363">
        <v>7.6923076923076927E-2</v>
      </c>
      <c r="AF363">
        <v>6.2060405461315685E-4</v>
      </c>
    </row>
    <row r="364" spans="1:32" x14ac:dyDescent="0.2">
      <c r="A364">
        <v>3874.2092939814829</v>
      </c>
      <c r="B364">
        <v>27726</v>
      </c>
      <c r="C364">
        <v>666</v>
      </c>
      <c r="D364">
        <v>3010</v>
      </c>
      <c r="E364">
        <v>70</v>
      </c>
      <c r="F364">
        <v>719</v>
      </c>
      <c r="G364">
        <v>500</v>
      </c>
      <c r="H364">
        <v>20457</v>
      </c>
      <c r="I364">
        <v>97</v>
      </c>
      <c r="J364">
        <v>4431</v>
      </c>
      <c r="K364">
        <v>206</v>
      </c>
      <c r="L364">
        <v>180031</v>
      </c>
      <c r="M364">
        <v>728</v>
      </c>
      <c r="N364">
        <v>4.0437480211741308E-3</v>
      </c>
      <c r="O364">
        <v>90</v>
      </c>
      <c r="P364">
        <v>0.12362637362637363</v>
      </c>
      <c r="Q364">
        <v>4.999139037165822E-4</v>
      </c>
      <c r="R364">
        <v>320</v>
      </c>
      <c r="S364">
        <v>0.43956043956043955</v>
      </c>
      <c r="T364">
        <v>1.7774716576589586E-3</v>
      </c>
      <c r="U364">
        <v>129</v>
      </c>
      <c r="V364">
        <v>0.17719780219780221</v>
      </c>
      <c r="W364">
        <v>7.1654326199376776E-4</v>
      </c>
      <c r="X364">
        <v>119</v>
      </c>
      <c r="Y364">
        <v>0.16346153846153846</v>
      </c>
      <c r="Z364">
        <v>6.6099727269192533E-4</v>
      </c>
      <c r="AA364">
        <v>0</v>
      </c>
      <c r="AB364">
        <v>0</v>
      </c>
      <c r="AC364">
        <v>0</v>
      </c>
      <c r="AD364">
        <v>70</v>
      </c>
      <c r="AE364">
        <v>9.6153846153846159E-2</v>
      </c>
      <c r="AF364">
        <v>3.8882192511289723E-4</v>
      </c>
    </row>
    <row r="365" spans="1:32" x14ac:dyDescent="0.2">
      <c r="A365">
        <v>1249.4125115740753</v>
      </c>
      <c r="B365">
        <v>351</v>
      </c>
      <c r="C365">
        <v>13</v>
      </c>
      <c r="D365">
        <v>49</v>
      </c>
      <c r="E365">
        <v>0</v>
      </c>
      <c r="F365">
        <v>0</v>
      </c>
      <c r="G365">
        <v>13</v>
      </c>
      <c r="H365">
        <v>26</v>
      </c>
      <c r="I365">
        <v>12</v>
      </c>
      <c r="J365">
        <v>20</v>
      </c>
      <c r="K365">
        <v>9</v>
      </c>
      <c r="L365">
        <v>149</v>
      </c>
      <c r="M365">
        <v>8</v>
      </c>
      <c r="N365">
        <v>5.3691275167785234E-2</v>
      </c>
      <c r="O365">
        <v>3</v>
      </c>
      <c r="P365">
        <v>0.375</v>
      </c>
      <c r="Q365">
        <v>2.0134228187919462E-2</v>
      </c>
      <c r="R365">
        <v>2</v>
      </c>
      <c r="S365">
        <v>0.25</v>
      </c>
      <c r="T365">
        <v>1.3422818791946308E-2</v>
      </c>
      <c r="U365">
        <v>1</v>
      </c>
      <c r="V365">
        <v>0.125</v>
      </c>
      <c r="W365">
        <v>6.7114093959731542E-3</v>
      </c>
      <c r="X365">
        <v>1</v>
      </c>
      <c r="Y365">
        <v>0.125</v>
      </c>
      <c r="Z365">
        <v>6.7114093959731542E-3</v>
      </c>
      <c r="AA365">
        <v>0</v>
      </c>
      <c r="AB365">
        <v>0</v>
      </c>
      <c r="AC365">
        <v>0</v>
      </c>
      <c r="AD365">
        <v>1</v>
      </c>
      <c r="AE365">
        <v>0.125</v>
      </c>
      <c r="AF365">
        <v>6.7114093959731542E-3</v>
      </c>
    </row>
    <row r="366" spans="1:32" x14ac:dyDescent="0.2">
      <c r="A366">
        <v>1597.539525462962</v>
      </c>
      <c r="B366">
        <v>419</v>
      </c>
      <c r="C366">
        <v>33</v>
      </c>
      <c r="D366">
        <v>108</v>
      </c>
      <c r="E366">
        <v>2</v>
      </c>
      <c r="F366">
        <v>0</v>
      </c>
      <c r="G366">
        <v>5</v>
      </c>
      <c r="H366">
        <v>19</v>
      </c>
      <c r="I366">
        <v>0</v>
      </c>
      <c r="J366">
        <v>57</v>
      </c>
      <c r="K366">
        <v>18</v>
      </c>
      <c r="L366">
        <v>1623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">
      <c r="A367">
        <v>620.55916666666599</v>
      </c>
      <c r="B367">
        <v>397</v>
      </c>
      <c r="C367">
        <v>20</v>
      </c>
      <c r="D367">
        <v>75</v>
      </c>
      <c r="E367">
        <v>3</v>
      </c>
      <c r="F367">
        <v>0</v>
      </c>
      <c r="G367">
        <v>6</v>
      </c>
      <c r="H367">
        <v>71</v>
      </c>
      <c r="I367">
        <v>6</v>
      </c>
      <c r="J367">
        <v>83</v>
      </c>
      <c r="K367">
        <v>21</v>
      </c>
      <c r="L367">
        <v>10391</v>
      </c>
      <c r="M367">
        <v>284</v>
      </c>
      <c r="N367">
        <v>2.733134443268213E-2</v>
      </c>
      <c r="O367">
        <v>2</v>
      </c>
      <c r="P367">
        <v>7.0422535211267607E-3</v>
      </c>
      <c r="Q367">
        <v>1.92474256568184E-4</v>
      </c>
      <c r="R367">
        <v>113</v>
      </c>
      <c r="S367">
        <v>0.397887323943662</v>
      </c>
      <c r="T367">
        <v>1.0874795496102397E-2</v>
      </c>
      <c r="U367">
        <v>48</v>
      </c>
      <c r="V367">
        <v>0.16901408450704225</v>
      </c>
      <c r="W367">
        <v>4.6193821576364161E-3</v>
      </c>
      <c r="X367">
        <v>81</v>
      </c>
      <c r="Y367">
        <v>0.28521126760563381</v>
      </c>
      <c r="Z367">
        <v>7.7952073910114526E-3</v>
      </c>
      <c r="AA367">
        <v>0</v>
      </c>
      <c r="AB367">
        <v>0</v>
      </c>
      <c r="AC367">
        <v>0</v>
      </c>
      <c r="AD367">
        <v>40</v>
      </c>
      <c r="AE367">
        <v>0.14084507042253522</v>
      </c>
      <c r="AF367">
        <v>3.8494851313636801E-3</v>
      </c>
    </row>
    <row r="368" spans="1:32" x14ac:dyDescent="0.2">
      <c r="A368">
        <v>1349.5901388888888</v>
      </c>
      <c r="B368">
        <v>1085</v>
      </c>
      <c r="C368">
        <v>28</v>
      </c>
      <c r="D368">
        <v>86</v>
      </c>
      <c r="E368">
        <v>23</v>
      </c>
      <c r="F368">
        <v>4</v>
      </c>
      <c r="G368">
        <v>27</v>
      </c>
      <c r="H368">
        <v>63</v>
      </c>
      <c r="I368">
        <v>1</v>
      </c>
      <c r="J368">
        <v>246</v>
      </c>
      <c r="K368">
        <v>26</v>
      </c>
      <c r="L368">
        <v>3019</v>
      </c>
      <c r="M368">
        <v>104</v>
      </c>
      <c r="N368">
        <v>3.4448492878436571E-2</v>
      </c>
      <c r="O368">
        <v>40</v>
      </c>
      <c r="P368">
        <v>0.38461538461538464</v>
      </c>
      <c r="Q368">
        <v>1.3249420337860219E-2</v>
      </c>
      <c r="R368">
        <v>21</v>
      </c>
      <c r="S368">
        <v>0.20192307692307693</v>
      </c>
      <c r="T368">
        <v>6.9559456773766147E-3</v>
      </c>
      <c r="U368">
        <v>30</v>
      </c>
      <c r="V368">
        <v>0.28846153846153844</v>
      </c>
      <c r="W368">
        <v>9.9370652533951644E-3</v>
      </c>
      <c r="X368">
        <v>13</v>
      </c>
      <c r="Y368">
        <v>0.125</v>
      </c>
      <c r="Z368">
        <v>4.3060616098045713E-3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">
      <c r="A369">
        <v>763.80315972222161</v>
      </c>
      <c r="B369">
        <v>669</v>
      </c>
      <c r="C369">
        <v>51</v>
      </c>
      <c r="D369">
        <v>61</v>
      </c>
      <c r="E369">
        <v>0</v>
      </c>
      <c r="F369">
        <v>0</v>
      </c>
      <c r="G369">
        <v>5</v>
      </c>
      <c r="H369">
        <v>11</v>
      </c>
      <c r="I369">
        <v>3</v>
      </c>
      <c r="J369">
        <v>7</v>
      </c>
      <c r="K369">
        <v>1</v>
      </c>
      <c r="L369">
        <v>1609</v>
      </c>
      <c r="M369">
        <v>16</v>
      </c>
      <c r="N369">
        <v>9.9440646364201361E-3</v>
      </c>
      <c r="O369">
        <v>1</v>
      </c>
      <c r="P369">
        <v>6.25E-2</v>
      </c>
      <c r="Q369">
        <v>6.215040397762585E-4</v>
      </c>
      <c r="R369">
        <v>10</v>
      </c>
      <c r="S369">
        <v>0.625</v>
      </c>
      <c r="T369">
        <v>6.2150403977625857E-3</v>
      </c>
      <c r="U369">
        <v>4</v>
      </c>
      <c r="V369">
        <v>0.25</v>
      </c>
      <c r="W369">
        <v>2.486016159105034E-3</v>
      </c>
      <c r="X369">
        <v>0</v>
      </c>
      <c r="Y369">
        <v>0</v>
      </c>
      <c r="Z369">
        <v>0</v>
      </c>
      <c r="AA369">
        <v>1</v>
      </c>
      <c r="AB369">
        <v>6.25E-2</v>
      </c>
      <c r="AC369">
        <v>6.215040397762585E-4</v>
      </c>
      <c r="AD369">
        <v>0</v>
      </c>
      <c r="AE369">
        <v>0</v>
      </c>
      <c r="AF369">
        <v>0</v>
      </c>
    </row>
    <row r="370" spans="1:32" x14ac:dyDescent="0.2">
      <c r="A370">
        <v>2803.4624768518552</v>
      </c>
      <c r="B370">
        <v>354</v>
      </c>
      <c r="C370">
        <v>36</v>
      </c>
      <c r="D370">
        <v>130</v>
      </c>
      <c r="E370">
        <v>0</v>
      </c>
      <c r="F370">
        <v>270</v>
      </c>
      <c r="G370">
        <v>58</v>
      </c>
      <c r="H370">
        <v>2259</v>
      </c>
      <c r="I370">
        <v>23</v>
      </c>
      <c r="J370">
        <v>1095</v>
      </c>
      <c r="K370">
        <v>334</v>
      </c>
      <c r="L370">
        <v>26747</v>
      </c>
      <c r="M370">
        <v>79</v>
      </c>
      <c r="N370">
        <v>2.953602273152129E-3</v>
      </c>
      <c r="O370">
        <v>8</v>
      </c>
      <c r="P370">
        <v>0.10126582278481013</v>
      </c>
      <c r="Q370">
        <v>2.9909896436983586E-4</v>
      </c>
      <c r="R370">
        <v>23</v>
      </c>
      <c r="S370">
        <v>0.29113924050632911</v>
      </c>
      <c r="T370">
        <v>8.5990952256327809E-4</v>
      </c>
      <c r="U370">
        <v>19</v>
      </c>
      <c r="V370">
        <v>0.24050632911392406</v>
      </c>
      <c r="W370">
        <v>7.1036004037836021E-4</v>
      </c>
      <c r="X370">
        <v>13</v>
      </c>
      <c r="Y370">
        <v>0.16455696202531644</v>
      </c>
      <c r="Z370">
        <v>4.8603581710098329E-4</v>
      </c>
      <c r="AA370">
        <v>0</v>
      </c>
      <c r="AB370">
        <v>0</v>
      </c>
      <c r="AC370">
        <v>0</v>
      </c>
      <c r="AD370">
        <v>16</v>
      </c>
      <c r="AE370">
        <v>0.20253164556962025</v>
      </c>
      <c r="AF370">
        <v>5.9819792873967172E-4</v>
      </c>
    </row>
    <row r="371" spans="1:32" x14ac:dyDescent="0.2">
      <c r="A371">
        <v>1183.9855208333393</v>
      </c>
      <c r="B371">
        <v>1113</v>
      </c>
      <c r="C371">
        <v>87</v>
      </c>
      <c r="D371">
        <v>654</v>
      </c>
      <c r="E371">
        <v>0</v>
      </c>
      <c r="F371">
        <v>0</v>
      </c>
      <c r="G371">
        <v>2</v>
      </c>
      <c r="H371">
        <v>8</v>
      </c>
      <c r="I371">
        <v>5</v>
      </c>
      <c r="J371">
        <v>77</v>
      </c>
      <c r="K371">
        <v>5</v>
      </c>
      <c r="L371">
        <v>5026</v>
      </c>
      <c r="M371">
        <v>41</v>
      </c>
      <c r="N371">
        <v>8.1575805809789102E-3</v>
      </c>
      <c r="O371">
        <v>0</v>
      </c>
      <c r="P371">
        <v>0</v>
      </c>
      <c r="Q371">
        <v>0</v>
      </c>
      <c r="R371">
        <v>12</v>
      </c>
      <c r="S371">
        <v>0.29268292682926828</v>
      </c>
      <c r="T371">
        <v>2.3875845602865102E-3</v>
      </c>
      <c r="U371">
        <v>0</v>
      </c>
      <c r="V371">
        <v>0</v>
      </c>
      <c r="W371">
        <v>0</v>
      </c>
      <c r="X371">
        <v>5</v>
      </c>
      <c r="Y371">
        <v>0.12195121951219512</v>
      </c>
      <c r="Z371">
        <v>9.9482690011937929E-4</v>
      </c>
      <c r="AA371">
        <v>0</v>
      </c>
      <c r="AB371">
        <v>0</v>
      </c>
      <c r="AC371">
        <v>0</v>
      </c>
      <c r="AD371">
        <v>24</v>
      </c>
      <c r="AE371">
        <v>0.58536585365853655</v>
      </c>
      <c r="AF371">
        <v>4.7751691205730204E-3</v>
      </c>
    </row>
    <row r="372" spans="1:32" x14ac:dyDescent="0.2">
      <c r="A372">
        <v>3782.0878125000017</v>
      </c>
      <c r="B372">
        <v>3056</v>
      </c>
      <c r="C372">
        <v>96</v>
      </c>
      <c r="D372">
        <v>671</v>
      </c>
      <c r="E372">
        <v>1</v>
      </c>
      <c r="F372">
        <v>44</v>
      </c>
      <c r="G372">
        <v>192</v>
      </c>
      <c r="H372">
        <v>405</v>
      </c>
      <c r="I372">
        <v>2</v>
      </c>
      <c r="J372">
        <v>742</v>
      </c>
      <c r="K372">
        <v>115</v>
      </c>
      <c r="L372">
        <v>11917</v>
      </c>
      <c r="M372">
        <v>40</v>
      </c>
      <c r="N372">
        <v>3.3565494671477722E-3</v>
      </c>
      <c r="O372">
        <v>12</v>
      </c>
      <c r="P372">
        <v>0.3</v>
      </c>
      <c r="Q372">
        <v>1.0069648401443317E-3</v>
      </c>
      <c r="R372">
        <v>11</v>
      </c>
      <c r="S372">
        <v>0.27500000000000002</v>
      </c>
      <c r="T372">
        <v>9.2305110346563735E-4</v>
      </c>
      <c r="U372">
        <v>8</v>
      </c>
      <c r="V372">
        <v>0.2</v>
      </c>
      <c r="W372">
        <v>6.7130989342955444E-4</v>
      </c>
      <c r="X372">
        <v>9</v>
      </c>
      <c r="Y372">
        <v>0.22500000000000001</v>
      </c>
      <c r="Z372">
        <v>7.5522363010824874E-4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">
      <c r="A373">
        <v>2749.3223032407404</v>
      </c>
      <c r="B373">
        <v>1315</v>
      </c>
      <c r="C373">
        <v>168</v>
      </c>
      <c r="D373">
        <v>333</v>
      </c>
      <c r="E373">
        <v>153</v>
      </c>
      <c r="F373">
        <v>97</v>
      </c>
      <c r="G373">
        <v>29</v>
      </c>
      <c r="H373">
        <v>358</v>
      </c>
      <c r="I373">
        <v>2</v>
      </c>
      <c r="J373">
        <v>2794</v>
      </c>
      <c r="K373">
        <v>189</v>
      </c>
      <c r="L373">
        <v>36003</v>
      </c>
      <c r="M373">
        <v>597</v>
      </c>
      <c r="N373">
        <v>1.6581951504041331E-2</v>
      </c>
      <c r="O373">
        <v>114</v>
      </c>
      <c r="P373">
        <v>0.19095477386934673</v>
      </c>
      <c r="Q373">
        <v>3.1664027997666861E-3</v>
      </c>
      <c r="R373">
        <v>21</v>
      </c>
      <c r="S373">
        <v>3.5175879396984924E-2</v>
      </c>
      <c r="T373">
        <v>5.8328472627281055E-4</v>
      </c>
      <c r="U373">
        <v>87</v>
      </c>
      <c r="V373">
        <v>0.14572864321608039</v>
      </c>
      <c r="W373">
        <v>2.4164652945587867E-3</v>
      </c>
      <c r="X373">
        <v>110</v>
      </c>
      <c r="Y373">
        <v>0.18425460636515914</v>
      </c>
      <c r="Z373">
        <v>3.0553009471432934E-3</v>
      </c>
      <c r="AA373">
        <v>265</v>
      </c>
      <c r="AB373">
        <v>0.44388609715242883</v>
      </c>
      <c r="AC373">
        <v>7.3604977362997526E-3</v>
      </c>
      <c r="AD373">
        <v>0</v>
      </c>
      <c r="AE373">
        <v>0</v>
      </c>
      <c r="AF373">
        <v>0</v>
      </c>
    </row>
    <row r="374" spans="1:32" x14ac:dyDescent="0.2">
      <c r="A374">
        <v>2751.365289351852</v>
      </c>
      <c r="B374">
        <v>481</v>
      </c>
      <c r="C374">
        <v>76</v>
      </c>
      <c r="D374">
        <v>186</v>
      </c>
      <c r="E374">
        <v>152</v>
      </c>
      <c r="F374">
        <v>106</v>
      </c>
      <c r="G374">
        <v>42</v>
      </c>
      <c r="H374">
        <v>387</v>
      </c>
      <c r="I374">
        <v>8</v>
      </c>
      <c r="J374">
        <v>1495</v>
      </c>
      <c r="K374">
        <v>123</v>
      </c>
      <c r="L374">
        <v>33556</v>
      </c>
      <c r="M374">
        <v>728</v>
      </c>
      <c r="N374">
        <v>2.1695076886398854E-2</v>
      </c>
      <c r="O374">
        <v>105</v>
      </c>
      <c r="P374">
        <v>0.14423076923076922</v>
      </c>
      <c r="Q374">
        <v>3.1290976278459887E-3</v>
      </c>
      <c r="R374">
        <v>393</v>
      </c>
      <c r="S374">
        <v>0.5398351648351648</v>
      </c>
      <c r="T374">
        <v>1.1711765407080701E-2</v>
      </c>
      <c r="U374">
        <v>136</v>
      </c>
      <c r="V374">
        <v>0.18681318681318682</v>
      </c>
      <c r="W374">
        <v>4.0529264513052806E-3</v>
      </c>
      <c r="X374">
        <v>78</v>
      </c>
      <c r="Y374">
        <v>0.10714285714285714</v>
      </c>
      <c r="Z374">
        <v>2.3244725235427345E-3</v>
      </c>
      <c r="AA374">
        <v>16</v>
      </c>
      <c r="AB374">
        <v>2.197802197802198E-2</v>
      </c>
      <c r="AC374">
        <v>4.7681487662415065E-4</v>
      </c>
      <c r="AD374">
        <v>0</v>
      </c>
      <c r="AE374">
        <v>0</v>
      </c>
      <c r="AF374">
        <v>0</v>
      </c>
    </row>
    <row r="375" spans="1:32" x14ac:dyDescent="0.2">
      <c r="A375">
        <v>1164.9141550925924</v>
      </c>
      <c r="B375">
        <v>580</v>
      </c>
      <c r="C375">
        <v>65</v>
      </c>
      <c r="D375">
        <v>85</v>
      </c>
      <c r="E375">
        <v>0</v>
      </c>
      <c r="F375">
        <v>0</v>
      </c>
      <c r="G375">
        <v>23</v>
      </c>
      <c r="H375">
        <v>166</v>
      </c>
      <c r="I375">
        <v>7</v>
      </c>
      <c r="J375">
        <v>223</v>
      </c>
      <c r="K375">
        <v>94</v>
      </c>
      <c r="L375">
        <v>3578</v>
      </c>
      <c r="M375">
        <v>26</v>
      </c>
      <c r="N375">
        <v>7.2666294019005035E-3</v>
      </c>
      <c r="O375">
        <v>0</v>
      </c>
      <c r="P375">
        <v>0</v>
      </c>
      <c r="Q375">
        <v>0</v>
      </c>
      <c r="R375">
        <v>4</v>
      </c>
      <c r="S375">
        <v>0.15384615384615385</v>
      </c>
      <c r="T375">
        <v>1.1179429849077697E-3</v>
      </c>
      <c r="U375">
        <v>20</v>
      </c>
      <c r="V375">
        <v>0.76923076923076927</v>
      </c>
      <c r="W375">
        <v>5.5897149245388482E-3</v>
      </c>
      <c r="X375">
        <v>2</v>
      </c>
      <c r="Y375">
        <v>7.6923076923076927E-2</v>
      </c>
      <c r="Z375">
        <v>5.5897149245388487E-4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">
      <c r="A376">
        <v>1966.6046296296263</v>
      </c>
      <c r="B376">
        <v>2973</v>
      </c>
      <c r="C376">
        <v>258</v>
      </c>
      <c r="D376">
        <v>281</v>
      </c>
      <c r="E376">
        <v>37</v>
      </c>
      <c r="F376">
        <v>24</v>
      </c>
      <c r="G376">
        <v>50</v>
      </c>
      <c r="H376">
        <v>3249</v>
      </c>
      <c r="I376">
        <v>7</v>
      </c>
      <c r="J376">
        <v>1958</v>
      </c>
      <c r="K376">
        <v>75</v>
      </c>
      <c r="L376">
        <v>64755</v>
      </c>
      <c r="M376">
        <v>1241</v>
      </c>
      <c r="N376">
        <v>1.916454327851131E-2</v>
      </c>
      <c r="O376">
        <v>481</v>
      </c>
      <c r="P376">
        <v>0.38759065269943593</v>
      </c>
      <c r="Q376">
        <v>7.4279978380047875E-3</v>
      </c>
      <c r="R376">
        <v>361</v>
      </c>
      <c r="S376">
        <v>0.29089443996776793</v>
      </c>
      <c r="T376">
        <v>5.5748590842405995E-3</v>
      </c>
      <c r="U376">
        <v>202</v>
      </c>
      <c r="V376">
        <v>0.16277195809830783</v>
      </c>
      <c r="W376">
        <v>3.11945023550305E-3</v>
      </c>
      <c r="X376">
        <v>148</v>
      </c>
      <c r="Y376">
        <v>0.11925866236905722</v>
      </c>
      <c r="Z376">
        <v>2.2855377963091651E-3</v>
      </c>
      <c r="AA376">
        <v>5</v>
      </c>
      <c r="AB376">
        <v>4.0290088638195E-3</v>
      </c>
      <c r="AC376">
        <v>7.7214114740174498E-5</v>
      </c>
      <c r="AD376">
        <v>44</v>
      </c>
      <c r="AE376">
        <v>3.5455278001611606E-2</v>
      </c>
      <c r="AF376">
        <v>6.7948420971353566E-4</v>
      </c>
    </row>
    <row r="377" spans="1:32" x14ac:dyDescent="0.2">
      <c r="A377">
        <v>2808.0156018518537</v>
      </c>
      <c r="B377">
        <v>741</v>
      </c>
      <c r="C377">
        <v>86</v>
      </c>
      <c r="D377">
        <v>231</v>
      </c>
      <c r="E377">
        <v>0</v>
      </c>
      <c r="F377">
        <v>2</v>
      </c>
      <c r="G377">
        <v>11</v>
      </c>
      <c r="H377">
        <v>17</v>
      </c>
      <c r="I377">
        <v>3</v>
      </c>
      <c r="J377">
        <v>40</v>
      </c>
      <c r="K377">
        <v>22</v>
      </c>
      <c r="L377">
        <v>176505</v>
      </c>
      <c r="M377">
        <v>1057</v>
      </c>
      <c r="N377">
        <v>5.9884989093793375E-3</v>
      </c>
      <c r="O377">
        <v>259</v>
      </c>
      <c r="P377">
        <v>0.24503311258278146</v>
      </c>
      <c r="Q377">
        <v>1.4673805274638112E-3</v>
      </c>
      <c r="R377">
        <v>313</v>
      </c>
      <c r="S377">
        <v>0.29612109744560078</v>
      </c>
      <c r="T377">
        <v>1.7733208690971928E-3</v>
      </c>
      <c r="U377">
        <v>342</v>
      </c>
      <c r="V377">
        <v>0.32355723746452225</v>
      </c>
      <c r="W377">
        <v>1.9376221636780828E-3</v>
      </c>
      <c r="X377">
        <v>112</v>
      </c>
      <c r="Y377">
        <v>0.10596026490066225</v>
      </c>
      <c r="Z377">
        <v>6.3454293079516163E-4</v>
      </c>
      <c r="AA377">
        <v>29</v>
      </c>
      <c r="AB377">
        <v>2.7436140018921477E-2</v>
      </c>
      <c r="AC377">
        <v>1.6430129458089006E-4</v>
      </c>
      <c r="AD377">
        <v>2</v>
      </c>
      <c r="AE377">
        <v>1.8921475875118259E-3</v>
      </c>
      <c r="AF377">
        <v>1.1331123764199314E-5</v>
      </c>
    </row>
    <row r="378" spans="1:32" x14ac:dyDescent="0.2">
      <c r="A378">
        <v>675.47851851851738</v>
      </c>
      <c r="B378">
        <v>2662</v>
      </c>
      <c r="C378">
        <v>101</v>
      </c>
      <c r="D378">
        <v>911</v>
      </c>
      <c r="E378">
        <v>8</v>
      </c>
      <c r="F378">
        <v>3</v>
      </c>
      <c r="G378">
        <v>20</v>
      </c>
      <c r="H378">
        <v>47</v>
      </c>
      <c r="I378">
        <v>0</v>
      </c>
      <c r="J378">
        <v>219</v>
      </c>
      <c r="K378">
        <v>12</v>
      </c>
      <c r="L378">
        <v>4342</v>
      </c>
      <c r="M378">
        <v>28</v>
      </c>
      <c r="N378">
        <v>6.4486411791801011E-3</v>
      </c>
      <c r="O378">
        <v>3</v>
      </c>
      <c r="P378">
        <v>0.10714285714285714</v>
      </c>
      <c r="Q378">
        <v>6.9092584062643945E-4</v>
      </c>
      <c r="R378">
        <v>8</v>
      </c>
      <c r="S378">
        <v>0.2857142857142857</v>
      </c>
      <c r="T378">
        <v>1.8424689083371719E-3</v>
      </c>
      <c r="U378">
        <v>11</v>
      </c>
      <c r="V378">
        <v>0.39285714285714285</v>
      </c>
      <c r="W378">
        <v>2.5333947489636112E-3</v>
      </c>
      <c r="X378">
        <v>6</v>
      </c>
      <c r="Y378">
        <v>0.21428571428571427</v>
      </c>
      <c r="Z378">
        <v>1.3818516812528789E-3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">
      <c r="A379">
        <v>603.3675925925927</v>
      </c>
      <c r="B379">
        <v>1061</v>
      </c>
      <c r="C379">
        <v>50</v>
      </c>
      <c r="D379">
        <v>119</v>
      </c>
      <c r="E379">
        <v>0</v>
      </c>
      <c r="F379">
        <v>0</v>
      </c>
      <c r="G379">
        <v>18</v>
      </c>
      <c r="H379">
        <v>129</v>
      </c>
      <c r="I379">
        <v>5</v>
      </c>
      <c r="J379">
        <v>118</v>
      </c>
      <c r="K379">
        <v>35</v>
      </c>
      <c r="L379">
        <v>2254</v>
      </c>
      <c r="M379">
        <v>36</v>
      </c>
      <c r="N379">
        <v>1.5971606033717833E-2</v>
      </c>
      <c r="O379">
        <v>0</v>
      </c>
      <c r="P379">
        <v>0</v>
      </c>
      <c r="Q379">
        <v>0</v>
      </c>
      <c r="R379">
        <v>22</v>
      </c>
      <c r="S379">
        <v>0.61111111111111116</v>
      </c>
      <c r="T379">
        <v>9.7604259094942331E-3</v>
      </c>
      <c r="U379">
        <v>9</v>
      </c>
      <c r="V379">
        <v>0.25</v>
      </c>
      <c r="W379">
        <v>3.9929015084294583E-3</v>
      </c>
      <c r="X379">
        <v>1</v>
      </c>
      <c r="Y379">
        <v>2.7777777777777776E-2</v>
      </c>
      <c r="Z379">
        <v>4.4365572315882877E-4</v>
      </c>
      <c r="AA379">
        <v>0</v>
      </c>
      <c r="AB379">
        <v>0</v>
      </c>
      <c r="AC379">
        <v>0</v>
      </c>
      <c r="AD379">
        <v>4</v>
      </c>
      <c r="AE379">
        <v>0.1111111111111111</v>
      </c>
      <c r="AF379">
        <v>1.7746228926353151E-3</v>
      </c>
    </row>
    <row r="380" spans="1:32" x14ac:dyDescent="0.2">
      <c r="A380">
        <v>630.24680555555096</v>
      </c>
      <c r="B380">
        <v>851</v>
      </c>
      <c r="C380">
        <v>50</v>
      </c>
      <c r="D380">
        <v>244</v>
      </c>
      <c r="E380">
        <v>0</v>
      </c>
      <c r="F380">
        <v>1</v>
      </c>
      <c r="G380">
        <v>7</v>
      </c>
      <c r="H380">
        <v>7</v>
      </c>
      <c r="I380">
        <v>2</v>
      </c>
      <c r="J380">
        <v>21</v>
      </c>
      <c r="K380">
        <v>12</v>
      </c>
      <c r="L380">
        <v>17586</v>
      </c>
      <c r="M380">
        <v>32</v>
      </c>
      <c r="N380">
        <v>1.8196292505402024E-3</v>
      </c>
      <c r="O380">
        <v>0</v>
      </c>
      <c r="P380">
        <v>0</v>
      </c>
      <c r="Q380">
        <v>0</v>
      </c>
      <c r="R380">
        <v>28</v>
      </c>
      <c r="S380">
        <v>0.875</v>
      </c>
      <c r="T380">
        <v>1.5921755942226771E-3</v>
      </c>
      <c r="U380">
        <v>2</v>
      </c>
      <c r="V380">
        <v>6.25E-2</v>
      </c>
      <c r="W380">
        <v>1.1372682815876265E-4</v>
      </c>
      <c r="X380">
        <v>2</v>
      </c>
      <c r="Y380">
        <v>6.25E-2</v>
      </c>
      <c r="Z380">
        <v>1.1372682815876265E-4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">
      <c r="A381">
        <v>291.22508101851417</v>
      </c>
      <c r="B381">
        <v>334</v>
      </c>
      <c r="C381">
        <v>17</v>
      </c>
      <c r="D381">
        <v>32</v>
      </c>
      <c r="E381">
        <v>6</v>
      </c>
      <c r="F381">
        <v>0</v>
      </c>
      <c r="G381">
        <v>7</v>
      </c>
      <c r="H381">
        <v>78</v>
      </c>
      <c r="I381">
        <v>11</v>
      </c>
      <c r="J381">
        <v>22</v>
      </c>
      <c r="K381">
        <v>10</v>
      </c>
      <c r="L381">
        <v>7111</v>
      </c>
      <c r="M381">
        <v>154</v>
      </c>
      <c r="N381">
        <v>2.1656588384193504E-2</v>
      </c>
      <c r="O381">
        <v>1</v>
      </c>
      <c r="P381">
        <v>6.4935064935064939E-3</v>
      </c>
      <c r="Q381">
        <v>1.4062719729995781E-4</v>
      </c>
      <c r="R381">
        <v>84</v>
      </c>
      <c r="S381">
        <v>0.54545454545454541</v>
      </c>
      <c r="T381">
        <v>1.1812684573196456E-2</v>
      </c>
      <c r="U381">
        <v>2</v>
      </c>
      <c r="V381">
        <v>1.2987012987012988E-2</v>
      </c>
      <c r="W381">
        <v>2.8125439459991561E-4</v>
      </c>
      <c r="X381">
        <v>66</v>
      </c>
      <c r="Y381">
        <v>0.42857142857142855</v>
      </c>
      <c r="Z381">
        <v>9.2813950217972164E-3</v>
      </c>
      <c r="AA381">
        <v>0</v>
      </c>
      <c r="AB381">
        <v>0</v>
      </c>
      <c r="AC381">
        <v>0</v>
      </c>
      <c r="AD381">
        <v>1</v>
      </c>
      <c r="AE381">
        <v>6.4935064935064939E-3</v>
      </c>
      <c r="AF381">
        <v>1.4062719729995781E-4</v>
      </c>
    </row>
    <row r="382" spans="1:32" x14ac:dyDescent="0.2">
      <c r="A382">
        <v>2072.6223032407361</v>
      </c>
      <c r="B382">
        <v>498</v>
      </c>
      <c r="C382">
        <v>64</v>
      </c>
      <c r="D382">
        <v>152</v>
      </c>
      <c r="E382">
        <v>3</v>
      </c>
      <c r="F382">
        <v>1</v>
      </c>
      <c r="G382">
        <v>53</v>
      </c>
      <c r="H382">
        <v>139</v>
      </c>
      <c r="I382">
        <v>15</v>
      </c>
      <c r="J382">
        <v>120</v>
      </c>
      <c r="K382">
        <v>20</v>
      </c>
      <c r="L382">
        <v>18397</v>
      </c>
      <c r="M382">
        <v>183</v>
      </c>
      <c r="N382">
        <v>9.9472740120671848E-3</v>
      </c>
      <c r="O382">
        <v>62</v>
      </c>
      <c r="P382">
        <v>0.33879781420765026</v>
      </c>
      <c r="Q382">
        <v>3.3701146926129262E-3</v>
      </c>
      <c r="R382">
        <v>60</v>
      </c>
      <c r="S382">
        <v>0.32786885245901637</v>
      </c>
      <c r="T382">
        <v>3.2614013154318639E-3</v>
      </c>
      <c r="U382">
        <v>61</v>
      </c>
      <c r="V382">
        <v>0.33333333333333331</v>
      </c>
      <c r="W382">
        <v>3.3157580040223951E-3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">
      <c r="A383">
        <v>1451.9236689814861</v>
      </c>
      <c r="B383">
        <v>847</v>
      </c>
      <c r="C383">
        <v>60</v>
      </c>
      <c r="D383">
        <v>98</v>
      </c>
      <c r="E383">
        <v>1</v>
      </c>
      <c r="F383">
        <v>6</v>
      </c>
      <c r="G383">
        <v>9</v>
      </c>
      <c r="H383">
        <v>7</v>
      </c>
      <c r="I383">
        <v>0</v>
      </c>
      <c r="J383">
        <v>34</v>
      </c>
      <c r="K383">
        <v>3</v>
      </c>
      <c r="L383">
        <v>9328</v>
      </c>
      <c r="M383">
        <v>1</v>
      </c>
      <c r="N383">
        <v>1.072041166380789E-4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1.072041166380789E-4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">
      <c r="A384">
        <v>801.07594907407474</v>
      </c>
      <c r="B384">
        <v>4482</v>
      </c>
      <c r="C384">
        <v>119</v>
      </c>
      <c r="D384">
        <v>406</v>
      </c>
      <c r="E384">
        <v>24</v>
      </c>
      <c r="F384">
        <v>8</v>
      </c>
      <c r="G384">
        <v>38</v>
      </c>
      <c r="H384">
        <v>1793</v>
      </c>
      <c r="I384">
        <v>3</v>
      </c>
      <c r="J384">
        <v>498</v>
      </c>
      <c r="K384">
        <v>163</v>
      </c>
      <c r="L384">
        <v>67548</v>
      </c>
      <c r="M384">
        <v>45</v>
      </c>
      <c r="N384">
        <v>6.6619292947237517E-4</v>
      </c>
      <c r="O384">
        <v>0</v>
      </c>
      <c r="P384">
        <v>0</v>
      </c>
      <c r="Q384">
        <v>0</v>
      </c>
      <c r="R384">
        <v>27</v>
      </c>
      <c r="S384">
        <v>0.6</v>
      </c>
      <c r="T384">
        <v>3.9971575768342515E-4</v>
      </c>
      <c r="U384">
        <v>3</v>
      </c>
      <c r="V384">
        <v>6.6666666666666666E-2</v>
      </c>
      <c r="W384">
        <v>4.4412861964825011E-5</v>
      </c>
      <c r="X384">
        <v>13</v>
      </c>
      <c r="Y384">
        <v>0.28888888888888886</v>
      </c>
      <c r="Z384">
        <v>1.9245573518090838E-4</v>
      </c>
      <c r="AA384">
        <v>0</v>
      </c>
      <c r="AB384">
        <v>0</v>
      </c>
      <c r="AC384">
        <v>0</v>
      </c>
      <c r="AD384">
        <v>2</v>
      </c>
      <c r="AE384">
        <v>4.4444444444444446E-2</v>
      </c>
      <c r="AF384">
        <v>2.9608574643216676E-5</v>
      </c>
    </row>
    <row r="385" spans="1:32" x14ac:dyDescent="0.2">
      <c r="A385">
        <v>1231.7713310185136</v>
      </c>
      <c r="B385">
        <v>2241</v>
      </c>
      <c r="C385">
        <v>163</v>
      </c>
      <c r="D385">
        <v>540</v>
      </c>
      <c r="E385">
        <v>15</v>
      </c>
      <c r="F385">
        <v>2</v>
      </c>
      <c r="G385">
        <v>18</v>
      </c>
      <c r="H385">
        <v>42</v>
      </c>
      <c r="I385">
        <v>1</v>
      </c>
      <c r="J385">
        <v>393</v>
      </c>
      <c r="K385">
        <v>1</v>
      </c>
      <c r="L385">
        <v>19201</v>
      </c>
      <c r="M385">
        <v>114</v>
      </c>
      <c r="N385">
        <v>5.9371907713139938E-3</v>
      </c>
      <c r="O385">
        <v>2</v>
      </c>
      <c r="P385">
        <v>1.7543859649122806E-2</v>
      </c>
      <c r="Q385">
        <v>1.041612416019999E-4</v>
      </c>
      <c r="R385">
        <v>87</v>
      </c>
      <c r="S385">
        <v>0.76315789473684215</v>
      </c>
      <c r="T385">
        <v>4.5310140096869959E-3</v>
      </c>
      <c r="U385">
        <v>20</v>
      </c>
      <c r="V385">
        <v>0.17543859649122806</v>
      </c>
      <c r="W385">
        <v>1.041612416019999E-3</v>
      </c>
      <c r="X385">
        <v>5</v>
      </c>
      <c r="Y385">
        <v>4.3859649122807015E-2</v>
      </c>
      <c r="Z385">
        <v>2.6040310400499974E-4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">
      <c r="A386">
        <v>429.91708333333372</v>
      </c>
      <c r="B386">
        <v>619</v>
      </c>
      <c r="C386">
        <v>33</v>
      </c>
      <c r="D386">
        <v>99</v>
      </c>
      <c r="E386">
        <v>0</v>
      </c>
      <c r="F386">
        <v>12</v>
      </c>
      <c r="G386">
        <v>33</v>
      </c>
      <c r="H386">
        <v>820</v>
      </c>
      <c r="I386">
        <v>19</v>
      </c>
      <c r="J386">
        <v>308</v>
      </c>
      <c r="K386">
        <v>114</v>
      </c>
      <c r="L386">
        <v>10395</v>
      </c>
      <c r="M386">
        <v>151</v>
      </c>
      <c r="N386">
        <v>1.4526214526214526E-2</v>
      </c>
      <c r="O386">
        <v>13</v>
      </c>
      <c r="P386">
        <v>8.6092715231788075E-2</v>
      </c>
      <c r="Q386">
        <v>1.2506012506012505E-3</v>
      </c>
      <c r="R386">
        <v>63</v>
      </c>
      <c r="S386">
        <v>0.41721854304635764</v>
      </c>
      <c r="T386">
        <v>6.0606060606060606E-3</v>
      </c>
      <c r="U386">
        <v>14</v>
      </c>
      <c r="V386">
        <v>9.2715231788079472E-2</v>
      </c>
      <c r="W386">
        <v>1.3468013468013469E-3</v>
      </c>
      <c r="X386">
        <v>61</v>
      </c>
      <c r="Y386">
        <v>0.40397350993377484</v>
      </c>
      <c r="Z386">
        <v>5.8682058682058679E-3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">
      <c r="A387">
        <v>2683.0745833333349</v>
      </c>
      <c r="B387">
        <v>3754</v>
      </c>
      <c r="C387">
        <v>331</v>
      </c>
      <c r="D387">
        <v>641</v>
      </c>
      <c r="E387">
        <v>21</v>
      </c>
      <c r="F387">
        <v>14</v>
      </c>
      <c r="G387">
        <v>40</v>
      </c>
      <c r="H387">
        <v>287</v>
      </c>
      <c r="I387">
        <v>23</v>
      </c>
      <c r="J387">
        <v>633</v>
      </c>
      <c r="K387">
        <v>109</v>
      </c>
      <c r="L387">
        <v>124197</v>
      </c>
      <c r="M387">
        <v>459</v>
      </c>
      <c r="N387">
        <v>3.6957414430300248E-3</v>
      </c>
      <c r="O387">
        <v>94</v>
      </c>
      <c r="P387">
        <v>0.20479302832244009</v>
      </c>
      <c r="Q387">
        <v>7.5686208201486351E-4</v>
      </c>
      <c r="R387">
        <v>173</v>
      </c>
      <c r="S387">
        <v>0.37690631808278868</v>
      </c>
      <c r="T387">
        <v>1.3929482998784189E-3</v>
      </c>
      <c r="U387">
        <v>54</v>
      </c>
      <c r="V387">
        <v>0.11764705882352941</v>
      </c>
      <c r="W387">
        <v>4.3479311094470882E-4</v>
      </c>
      <c r="X387">
        <v>87</v>
      </c>
      <c r="Y387">
        <v>0.18954248366013071</v>
      </c>
      <c r="Z387">
        <v>7.0050001207758639E-4</v>
      </c>
      <c r="AA387">
        <v>3</v>
      </c>
      <c r="AB387">
        <v>6.5359477124183009E-3</v>
      </c>
      <c r="AC387">
        <v>2.4155172830261602E-5</v>
      </c>
      <c r="AD387">
        <v>48</v>
      </c>
      <c r="AE387">
        <v>0.10457516339869281</v>
      </c>
      <c r="AF387">
        <v>3.8648276528418564E-4</v>
      </c>
    </row>
    <row r="388" spans="1:32" x14ac:dyDescent="0.2">
      <c r="A388">
        <v>896.24585648148786</v>
      </c>
      <c r="B388">
        <v>12294</v>
      </c>
      <c r="C388">
        <v>246</v>
      </c>
      <c r="D388">
        <v>1062</v>
      </c>
      <c r="E388">
        <v>5</v>
      </c>
      <c r="F388">
        <v>27</v>
      </c>
      <c r="G388">
        <v>269</v>
      </c>
      <c r="H388">
        <v>3916</v>
      </c>
      <c r="I388">
        <v>134</v>
      </c>
      <c r="J388">
        <v>2186</v>
      </c>
      <c r="K388">
        <v>647</v>
      </c>
      <c r="L388">
        <v>63035</v>
      </c>
      <c r="M388">
        <v>66</v>
      </c>
      <c r="N388">
        <v>1.0470373601967162E-3</v>
      </c>
      <c r="O388">
        <v>0</v>
      </c>
      <c r="P388">
        <v>0</v>
      </c>
      <c r="Q388">
        <v>0</v>
      </c>
      <c r="R388">
        <v>37</v>
      </c>
      <c r="S388">
        <v>0.56060606060606055</v>
      </c>
      <c r="T388">
        <v>5.8697548980724999E-4</v>
      </c>
      <c r="U388">
        <v>25</v>
      </c>
      <c r="V388">
        <v>0.37878787878787878</v>
      </c>
      <c r="W388">
        <v>3.966050606805743E-4</v>
      </c>
      <c r="X388">
        <v>4</v>
      </c>
      <c r="Y388">
        <v>6.0606060606060608E-2</v>
      </c>
      <c r="Z388">
        <v>6.3456809708891892E-5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">
      <c r="A389">
        <v>2362.3718981481506</v>
      </c>
      <c r="B389">
        <v>471</v>
      </c>
      <c r="C389">
        <v>102</v>
      </c>
      <c r="D389">
        <v>178</v>
      </c>
      <c r="E389">
        <v>0</v>
      </c>
      <c r="F389">
        <v>33</v>
      </c>
      <c r="G389">
        <v>43</v>
      </c>
      <c r="H389">
        <v>507</v>
      </c>
      <c r="I389">
        <v>8</v>
      </c>
      <c r="J389">
        <v>271</v>
      </c>
      <c r="K389">
        <v>107</v>
      </c>
      <c r="L389">
        <v>19304</v>
      </c>
      <c r="M389">
        <v>108</v>
      </c>
      <c r="N389">
        <v>5.5946953999171153E-3</v>
      </c>
      <c r="O389">
        <v>9</v>
      </c>
      <c r="P389">
        <v>8.3333333333333329E-2</v>
      </c>
      <c r="Q389">
        <v>4.6622461665975966E-4</v>
      </c>
      <c r="R389">
        <v>63</v>
      </c>
      <c r="S389">
        <v>0.58333333333333337</v>
      </c>
      <c r="T389">
        <v>3.2635723166183172E-3</v>
      </c>
      <c r="U389">
        <v>4</v>
      </c>
      <c r="V389">
        <v>3.7037037037037035E-2</v>
      </c>
      <c r="W389">
        <v>2.0721094073767094E-4</v>
      </c>
      <c r="X389">
        <v>29</v>
      </c>
      <c r="Y389">
        <v>0.26851851851851855</v>
      </c>
      <c r="Z389">
        <v>1.5022793203481144E-3</v>
      </c>
      <c r="AA389">
        <v>0</v>
      </c>
      <c r="AB389">
        <v>0</v>
      </c>
      <c r="AC389">
        <v>0</v>
      </c>
      <c r="AD389">
        <v>3</v>
      </c>
      <c r="AE389">
        <v>2.7777777777777776E-2</v>
      </c>
      <c r="AF389">
        <v>1.5540820555325321E-4</v>
      </c>
    </row>
    <row r="390" spans="1:32" x14ac:dyDescent="0.2">
      <c r="A390">
        <v>1676.0997800925907</v>
      </c>
      <c r="B390">
        <v>471</v>
      </c>
      <c r="C390">
        <v>17</v>
      </c>
      <c r="D390">
        <v>62</v>
      </c>
      <c r="E390">
        <v>5</v>
      </c>
      <c r="F390">
        <v>0</v>
      </c>
      <c r="G390">
        <v>12</v>
      </c>
      <c r="H390">
        <v>70</v>
      </c>
      <c r="I390">
        <v>8</v>
      </c>
      <c r="J390">
        <v>60</v>
      </c>
      <c r="K390">
        <v>30</v>
      </c>
      <c r="L390">
        <v>1023</v>
      </c>
      <c r="M390">
        <v>10</v>
      </c>
      <c r="N390">
        <v>9.7751710654936461E-3</v>
      </c>
      <c r="O390">
        <v>5</v>
      </c>
      <c r="P390">
        <v>0.5</v>
      </c>
      <c r="Q390">
        <v>4.8875855327468231E-3</v>
      </c>
      <c r="R390">
        <v>3</v>
      </c>
      <c r="S390">
        <v>0.3</v>
      </c>
      <c r="T390">
        <v>2.9325513196480938E-3</v>
      </c>
      <c r="U390">
        <v>2</v>
      </c>
      <c r="V390">
        <v>0.2</v>
      </c>
      <c r="W390">
        <v>1.9550342130987292E-3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">
      <c r="A391">
        <v>624.12040509259532</v>
      </c>
      <c r="B391">
        <v>2558</v>
      </c>
      <c r="C391">
        <v>154</v>
      </c>
      <c r="D391">
        <v>317</v>
      </c>
      <c r="E391">
        <v>4</v>
      </c>
      <c r="F391">
        <v>0</v>
      </c>
      <c r="G391">
        <v>28</v>
      </c>
      <c r="H391">
        <v>24</v>
      </c>
      <c r="I391">
        <v>4</v>
      </c>
      <c r="J391">
        <v>23</v>
      </c>
      <c r="K391">
        <v>12</v>
      </c>
      <c r="L391">
        <v>23893</v>
      </c>
      <c r="M391">
        <v>16</v>
      </c>
      <c r="N391">
        <v>6.6965219938894239E-4</v>
      </c>
      <c r="O391">
        <v>0</v>
      </c>
      <c r="P391">
        <v>0</v>
      </c>
      <c r="Q391">
        <v>0</v>
      </c>
      <c r="R391">
        <v>15</v>
      </c>
      <c r="S391">
        <v>0.9375</v>
      </c>
      <c r="T391">
        <v>6.2779893692713347E-4</v>
      </c>
      <c r="U391">
        <v>1</v>
      </c>
      <c r="V391">
        <v>6.25E-2</v>
      </c>
      <c r="W391">
        <v>4.1853262461808899E-5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">
      <c r="A392">
        <v>2485.1597916666651</v>
      </c>
      <c r="B392">
        <v>1551</v>
      </c>
      <c r="C392">
        <v>135</v>
      </c>
      <c r="D392">
        <v>328</v>
      </c>
      <c r="E392">
        <v>22</v>
      </c>
      <c r="F392">
        <v>8</v>
      </c>
      <c r="G392">
        <v>66</v>
      </c>
      <c r="H392">
        <v>977</v>
      </c>
      <c r="I392">
        <v>8</v>
      </c>
      <c r="J392">
        <v>746</v>
      </c>
      <c r="K392">
        <v>149</v>
      </c>
      <c r="L392">
        <v>20765</v>
      </c>
      <c r="M392">
        <v>207</v>
      </c>
      <c r="N392">
        <v>9.9686973272333258E-3</v>
      </c>
      <c r="O392">
        <v>5</v>
      </c>
      <c r="P392">
        <v>2.4154589371980676E-2</v>
      </c>
      <c r="Q392">
        <v>2.4078979051288225E-4</v>
      </c>
      <c r="R392">
        <v>37</v>
      </c>
      <c r="S392">
        <v>0.17874396135265699</v>
      </c>
      <c r="T392">
        <v>1.7818444497953287E-3</v>
      </c>
      <c r="U392">
        <v>61</v>
      </c>
      <c r="V392">
        <v>0.29468599033816423</v>
      </c>
      <c r="W392">
        <v>2.9376354442571637E-3</v>
      </c>
      <c r="X392">
        <v>104</v>
      </c>
      <c r="Y392">
        <v>0.50241545893719808</v>
      </c>
      <c r="Z392">
        <v>5.0084276426679512E-3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">
      <c r="A393">
        <v>2030.4241319444409</v>
      </c>
      <c r="B393">
        <v>467</v>
      </c>
      <c r="C393">
        <v>35</v>
      </c>
      <c r="D393">
        <v>106</v>
      </c>
      <c r="E393">
        <v>21</v>
      </c>
      <c r="F393">
        <v>0</v>
      </c>
      <c r="G393">
        <v>34</v>
      </c>
      <c r="H393">
        <v>489</v>
      </c>
      <c r="I393">
        <v>10</v>
      </c>
      <c r="J393">
        <v>301</v>
      </c>
      <c r="K393">
        <v>100</v>
      </c>
      <c r="L393">
        <v>8436</v>
      </c>
      <c r="M393">
        <v>249</v>
      </c>
      <c r="N393">
        <v>2.9516358463726886E-2</v>
      </c>
      <c r="O393">
        <v>54</v>
      </c>
      <c r="P393">
        <v>0.21686746987951808</v>
      </c>
      <c r="Q393">
        <v>6.4011379800853483E-3</v>
      </c>
      <c r="R393">
        <v>105</v>
      </c>
      <c r="S393">
        <v>0.42168674698795183</v>
      </c>
      <c r="T393">
        <v>1.2446657183499289E-2</v>
      </c>
      <c r="U393">
        <v>23</v>
      </c>
      <c r="V393">
        <v>9.2369477911646583E-2</v>
      </c>
      <c r="W393">
        <v>2.7264106211474632E-3</v>
      </c>
      <c r="X393">
        <v>66</v>
      </c>
      <c r="Y393">
        <v>0.26506024096385544</v>
      </c>
      <c r="Z393">
        <v>7.8236130867709811E-3</v>
      </c>
      <c r="AA393">
        <v>1</v>
      </c>
      <c r="AB393">
        <v>4.0160642570281121E-3</v>
      </c>
      <c r="AC393">
        <v>1.1853959222380275E-4</v>
      </c>
      <c r="AD393">
        <v>0</v>
      </c>
      <c r="AE393">
        <v>0</v>
      </c>
      <c r="AF393">
        <v>0</v>
      </c>
    </row>
    <row r="394" spans="1:32" x14ac:dyDescent="0.2">
      <c r="A394">
        <v>764.7604513888873</v>
      </c>
      <c r="B394">
        <v>535</v>
      </c>
      <c r="C394">
        <v>23</v>
      </c>
      <c r="D394">
        <v>59</v>
      </c>
      <c r="E394">
        <v>0</v>
      </c>
      <c r="F394">
        <v>0</v>
      </c>
      <c r="G394">
        <v>9</v>
      </c>
      <c r="H394">
        <v>30</v>
      </c>
      <c r="I394">
        <v>0</v>
      </c>
      <c r="J394">
        <v>72</v>
      </c>
      <c r="K394">
        <v>27</v>
      </c>
      <c r="L394">
        <v>5706</v>
      </c>
      <c r="M394">
        <v>58</v>
      </c>
      <c r="N394">
        <v>1.0164738871363477E-2</v>
      </c>
      <c r="O394">
        <v>31</v>
      </c>
      <c r="P394">
        <v>0.53448275862068961</v>
      </c>
      <c r="Q394">
        <v>5.432877672625307E-3</v>
      </c>
      <c r="R394">
        <v>11</v>
      </c>
      <c r="S394">
        <v>0.18965517241379309</v>
      </c>
      <c r="T394">
        <v>1.927795303189625E-3</v>
      </c>
      <c r="U394">
        <v>10</v>
      </c>
      <c r="V394">
        <v>0.17241379310344829</v>
      </c>
      <c r="W394">
        <v>1.7525411847178409E-3</v>
      </c>
      <c r="X394">
        <v>6</v>
      </c>
      <c r="Y394">
        <v>0.10344827586206896</v>
      </c>
      <c r="Z394">
        <v>1.0515247108307045E-3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">
      <c r="A395">
        <v>1655.8267476851834</v>
      </c>
      <c r="B395">
        <v>400</v>
      </c>
      <c r="C395">
        <v>49</v>
      </c>
      <c r="D395">
        <v>180</v>
      </c>
      <c r="E395">
        <v>76</v>
      </c>
      <c r="F395">
        <v>19</v>
      </c>
      <c r="G395">
        <v>73</v>
      </c>
      <c r="H395">
        <v>459</v>
      </c>
      <c r="I395">
        <v>7</v>
      </c>
      <c r="J395">
        <v>269</v>
      </c>
      <c r="K395">
        <v>55</v>
      </c>
      <c r="L395">
        <v>11433</v>
      </c>
      <c r="M395">
        <v>24</v>
      </c>
      <c r="N395">
        <v>2.0991865652059826E-3</v>
      </c>
      <c r="O395">
        <v>11</v>
      </c>
      <c r="P395">
        <v>0.45833333333333331</v>
      </c>
      <c r="Q395">
        <v>9.6212717571940876E-4</v>
      </c>
      <c r="R395">
        <v>3</v>
      </c>
      <c r="S395">
        <v>0.125</v>
      </c>
      <c r="T395">
        <v>2.6239832065074782E-4</v>
      </c>
      <c r="U395">
        <v>9</v>
      </c>
      <c r="V395">
        <v>0.375</v>
      </c>
      <c r="W395">
        <v>7.8719496195224351E-4</v>
      </c>
      <c r="X395">
        <v>1</v>
      </c>
      <c r="Y395">
        <v>4.1666666666666664E-2</v>
      </c>
      <c r="Z395">
        <v>8.7466106883582611E-5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">
      <c r="A396">
        <v>1652.0332291666637</v>
      </c>
      <c r="B396">
        <v>1402</v>
      </c>
      <c r="C396">
        <v>105</v>
      </c>
      <c r="D396">
        <v>799</v>
      </c>
      <c r="E396">
        <v>0</v>
      </c>
      <c r="F396">
        <v>13</v>
      </c>
      <c r="G396">
        <v>69</v>
      </c>
      <c r="H396">
        <v>292</v>
      </c>
      <c r="I396">
        <v>4</v>
      </c>
      <c r="J396">
        <v>204</v>
      </c>
      <c r="K396">
        <v>8</v>
      </c>
      <c r="L396">
        <v>12160</v>
      </c>
      <c r="M396">
        <v>248</v>
      </c>
      <c r="N396">
        <v>2.0394736842105264E-2</v>
      </c>
      <c r="O396">
        <v>1</v>
      </c>
      <c r="P396">
        <v>4.0322580645161289E-3</v>
      </c>
      <c r="Q396">
        <v>8.2236842105263156E-5</v>
      </c>
      <c r="R396">
        <v>243</v>
      </c>
      <c r="S396">
        <v>0.97983870967741937</v>
      </c>
      <c r="T396">
        <v>1.9983552631578947E-2</v>
      </c>
      <c r="U396">
        <v>2</v>
      </c>
      <c r="V396">
        <v>8.0645161290322578E-3</v>
      </c>
      <c r="W396">
        <v>1.6447368421052631E-4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</v>
      </c>
      <c r="AE396">
        <v>8.0645161290322578E-3</v>
      </c>
      <c r="AF396">
        <v>1.6447368421052631E-4</v>
      </c>
    </row>
    <row r="397" spans="1:32" x14ac:dyDescent="0.2">
      <c r="A397">
        <v>2229.2129166666637</v>
      </c>
      <c r="B397">
        <v>827</v>
      </c>
      <c r="C397">
        <v>75</v>
      </c>
      <c r="D397">
        <v>598</v>
      </c>
      <c r="E397">
        <v>0</v>
      </c>
      <c r="F397">
        <v>11</v>
      </c>
      <c r="G397">
        <v>109</v>
      </c>
      <c r="H397">
        <v>406</v>
      </c>
      <c r="I397">
        <v>22</v>
      </c>
      <c r="J397">
        <v>226</v>
      </c>
      <c r="K397">
        <v>89</v>
      </c>
      <c r="L397">
        <v>2995</v>
      </c>
      <c r="M397">
        <v>1</v>
      </c>
      <c r="N397">
        <v>3.33889816360601E-4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3.33889816360601E-4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">
      <c r="A398">
        <v>2064.9133796296301</v>
      </c>
      <c r="B398">
        <v>614</v>
      </c>
      <c r="C398">
        <v>76</v>
      </c>
      <c r="D398">
        <v>374</v>
      </c>
      <c r="E398">
        <v>0</v>
      </c>
      <c r="F398">
        <v>2</v>
      </c>
      <c r="G398">
        <v>35</v>
      </c>
      <c r="H398">
        <v>288</v>
      </c>
      <c r="I398">
        <v>8</v>
      </c>
      <c r="J398">
        <v>52</v>
      </c>
      <c r="K398">
        <v>2</v>
      </c>
      <c r="L398">
        <v>1124</v>
      </c>
      <c r="M398">
        <v>9</v>
      </c>
      <c r="N398">
        <v>8.0071174377224202E-3</v>
      </c>
      <c r="O398">
        <v>0</v>
      </c>
      <c r="P398">
        <v>0</v>
      </c>
      <c r="Q398">
        <v>0</v>
      </c>
      <c r="R398">
        <v>6</v>
      </c>
      <c r="S398">
        <v>0.66666666666666663</v>
      </c>
      <c r="T398">
        <v>5.3380782918149468E-3</v>
      </c>
      <c r="U398">
        <v>2</v>
      </c>
      <c r="V398">
        <v>0.22222222222222221</v>
      </c>
      <c r="W398">
        <v>1.7793594306049821E-3</v>
      </c>
      <c r="X398">
        <v>1</v>
      </c>
      <c r="Y398">
        <v>0.1111111111111111</v>
      </c>
      <c r="Z398">
        <v>8.8967971530249106E-4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">
      <c r="A399">
        <v>979.20634259259532</v>
      </c>
      <c r="B399">
        <v>9838</v>
      </c>
      <c r="C399">
        <v>260</v>
      </c>
      <c r="D399">
        <v>2218</v>
      </c>
      <c r="E399">
        <v>2</v>
      </c>
      <c r="F399">
        <v>2</v>
      </c>
      <c r="G399">
        <v>75</v>
      </c>
      <c r="H399">
        <v>328</v>
      </c>
      <c r="I399">
        <v>5</v>
      </c>
      <c r="J399">
        <v>203</v>
      </c>
      <c r="K399">
        <v>12</v>
      </c>
      <c r="L399">
        <v>1103</v>
      </c>
      <c r="M399">
        <v>34</v>
      </c>
      <c r="N399">
        <v>3.0825022665457842E-2</v>
      </c>
      <c r="O399">
        <v>0</v>
      </c>
      <c r="P399">
        <v>0</v>
      </c>
      <c r="Q399">
        <v>0</v>
      </c>
      <c r="R399">
        <v>27</v>
      </c>
      <c r="S399">
        <v>0.79411764705882348</v>
      </c>
      <c r="T399">
        <v>2.4478694469628286E-2</v>
      </c>
      <c r="U399">
        <v>2</v>
      </c>
      <c r="V399">
        <v>5.8823529411764705E-2</v>
      </c>
      <c r="W399">
        <v>1.8132366273798731E-3</v>
      </c>
      <c r="X399">
        <v>5</v>
      </c>
      <c r="Y399">
        <v>0.14705882352941177</v>
      </c>
      <c r="Z399">
        <v>4.5330915684496827E-3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">
      <c r="A400">
        <v>1323.7814120370385</v>
      </c>
      <c r="B400">
        <v>397</v>
      </c>
      <c r="C400">
        <v>63</v>
      </c>
      <c r="D400">
        <v>150</v>
      </c>
      <c r="E400">
        <v>0</v>
      </c>
      <c r="F400">
        <v>0</v>
      </c>
      <c r="G400">
        <v>26</v>
      </c>
      <c r="H400">
        <v>102</v>
      </c>
      <c r="I400">
        <v>7</v>
      </c>
      <c r="J400">
        <v>20</v>
      </c>
      <c r="K400">
        <v>9</v>
      </c>
      <c r="L400">
        <v>9566</v>
      </c>
      <c r="M400">
        <v>129</v>
      </c>
      <c r="N400">
        <v>1.34852602968848E-2</v>
      </c>
      <c r="O400">
        <v>2</v>
      </c>
      <c r="P400">
        <v>1.5503875968992248E-2</v>
      </c>
      <c r="Q400">
        <v>2.0907380305247751E-4</v>
      </c>
      <c r="R400">
        <v>67</v>
      </c>
      <c r="S400">
        <v>0.51937984496124034</v>
      </c>
      <c r="T400">
        <v>7.0039724022579967E-3</v>
      </c>
      <c r="U400">
        <v>39</v>
      </c>
      <c r="V400">
        <v>0.30232558139534882</v>
      </c>
      <c r="W400">
        <v>4.076939159523312E-3</v>
      </c>
      <c r="X400">
        <v>12</v>
      </c>
      <c r="Y400">
        <v>9.3023255813953487E-2</v>
      </c>
      <c r="Z400">
        <v>1.2544428183148652E-3</v>
      </c>
      <c r="AA400">
        <v>0</v>
      </c>
      <c r="AB400">
        <v>0</v>
      </c>
      <c r="AC400">
        <v>0</v>
      </c>
      <c r="AD400">
        <v>9</v>
      </c>
      <c r="AE400">
        <v>6.9767441860465115E-2</v>
      </c>
      <c r="AF400">
        <v>9.4083211373614882E-4</v>
      </c>
    </row>
    <row r="401" spans="1:32" x14ac:dyDescent="0.2">
      <c r="A401">
        <v>2457.1918749999968</v>
      </c>
      <c r="B401">
        <v>1537</v>
      </c>
      <c r="C401">
        <v>111</v>
      </c>
      <c r="D401">
        <v>371</v>
      </c>
      <c r="E401">
        <v>17</v>
      </c>
      <c r="F401">
        <v>73</v>
      </c>
      <c r="G401">
        <v>116</v>
      </c>
      <c r="H401">
        <v>2284</v>
      </c>
      <c r="I401">
        <v>15</v>
      </c>
      <c r="J401">
        <v>560</v>
      </c>
      <c r="K401">
        <v>201</v>
      </c>
      <c r="L401">
        <v>59462</v>
      </c>
      <c r="M401">
        <v>845</v>
      </c>
      <c r="N401">
        <v>1.4210756449497158E-2</v>
      </c>
      <c r="O401">
        <v>50</v>
      </c>
      <c r="P401">
        <v>5.9171597633136092E-2</v>
      </c>
      <c r="Q401">
        <v>8.408731626921395E-4</v>
      </c>
      <c r="R401">
        <v>606</v>
      </c>
      <c r="S401">
        <v>0.71715976331360942</v>
      </c>
      <c r="T401">
        <v>1.019138273182873E-2</v>
      </c>
      <c r="U401">
        <v>95</v>
      </c>
      <c r="V401">
        <v>0.11242603550295859</v>
      </c>
      <c r="W401">
        <v>1.597659009115065E-3</v>
      </c>
      <c r="X401">
        <v>61</v>
      </c>
      <c r="Y401">
        <v>7.2189349112426041E-2</v>
      </c>
      <c r="Z401">
        <v>1.0258652584844102E-3</v>
      </c>
      <c r="AA401">
        <v>0</v>
      </c>
      <c r="AB401">
        <v>0</v>
      </c>
      <c r="AC401">
        <v>0</v>
      </c>
      <c r="AD401">
        <v>33</v>
      </c>
      <c r="AE401">
        <v>3.9053254437869819E-2</v>
      </c>
      <c r="AF401">
        <v>5.5497628737681212E-4</v>
      </c>
    </row>
    <row r="402" spans="1:32" x14ac:dyDescent="0.2">
      <c r="A402">
        <v>1420.515625</v>
      </c>
      <c r="B402">
        <v>1571</v>
      </c>
      <c r="C402">
        <v>138</v>
      </c>
      <c r="D402">
        <v>740</v>
      </c>
      <c r="E402">
        <v>0</v>
      </c>
      <c r="F402">
        <v>3</v>
      </c>
      <c r="G402">
        <v>137</v>
      </c>
      <c r="H402">
        <v>528</v>
      </c>
      <c r="I402">
        <v>12</v>
      </c>
      <c r="J402">
        <v>105</v>
      </c>
      <c r="K402">
        <v>51</v>
      </c>
      <c r="L402">
        <v>28829</v>
      </c>
      <c r="M402">
        <v>910</v>
      </c>
      <c r="N402">
        <v>3.1565437580214364E-2</v>
      </c>
      <c r="O402">
        <v>197</v>
      </c>
      <c r="P402">
        <v>0.21648351648351649</v>
      </c>
      <c r="Q402">
        <v>6.833396926705748E-3</v>
      </c>
      <c r="R402">
        <v>495</v>
      </c>
      <c r="S402">
        <v>0.54395604395604391</v>
      </c>
      <c r="T402">
        <v>1.717021055187485E-2</v>
      </c>
      <c r="U402">
        <v>25</v>
      </c>
      <c r="V402">
        <v>2.7472527472527472E-2</v>
      </c>
      <c r="W402">
        <v>8.6718235110479029E-4</v>
      </c>
      <c r="X402">
        <v>179</v>
      </c>
      <c r="Y402">
        <v>0.1967032967032967</v>
      </c>
      <c r="Z402">
        <v>6.2090256339102983E-3</v>
      </c>
      <c r="AA402">
        <v>3</v>
      </c>
      <c r="AB402">
        <v>3.2967032967032967E-3</v>
      </c>
      <c r="AC402">
        <v>1.0406188213257484E-4</v>
      </c>
      <c r="AD402">
        <v>11</v>
      </c>
      <c r="AE402">
        <v>1.2087912087912088E-2</v>
      </c>
      <c r="AF402">
        <v>3.8156023448610775E-4</v>
      </c>
    </row>
    <row r="403" spans="1:32" x14ac:dyDescent="0.2">
      <c r="A403">
        <v>2165.9616898148161</v>
      </c>
      <c r="B403">
        <v>4921</v>
      </c>
      <c r="C403">
        <v>276</v>
      </c>
      <c r="D403">
        <v>4894</v>
      </c>
      <c r="E403">
        <v>0</v>
      </c>
      <c r="F403">
        <v>63</v>
      </c>
      <c r="G403">
        <v>367</v>
      </c>
      <c r="H403">
        <v>3974</v>
      </c>
      <c r="I403">
        <v>24</v>
      </c>
      <c r="J403">
        <v>1683</v>
      </c>
      <c r="K403">
        <v>37</v>
      </c>
      <c r="L403">
        <v>29071</v>
      </c>
      <c r="M403">
        <v>144</v>
      </c>
      <c r="N403">
        <v>4.9533899762650062E-3</v>
      </c>
      <c r="O403">
        <v>1</v>
      </c>
      <c r="P403">
        <v>6.9444444444444441E-3</v>
      </c>
      <c r="Q403">
        <v>3.4398541501840321E-5</v>
      </c>
      <c r="R403">
        <v>72</v>
      </c>
      <c r="S403">
        <v>0.5</v>
      </c>
      <c r="T403">
        <v>2.4766949881325031E-3</v>
      </c>
      <c r="U403">
        <v>14</v>
      </c>
      <c r="V403">
        <v>9.7222222222222224E-2</v>
      </c>
      <c r="W403">
        <v>4.8157958102576449E-4</v>
      </c>
      <c r="X403">
        <v>20</v>
      </c>
      <c r="Y403">
        <v>0.1388888888888889</v>
      </c>
      <c r="Z403">
        <v>6.8797083003680642E-4</v>
      </c>
      <c r="AA403">
        <v>1</v>
      </c>
      <c r="AB403">
        <v>6.9444444444444441E-3</v>
      </c>
      <c r="AC403">
        <v>3.4398541501840321E-5</v>
      </c>
      <c r="AD403">
        <v>36</v>
      </c>
      <c r="AE403">
        <v>0.25</v>
      </c>
      <c r="AF403">
        <v>1.2383474940662516E-3</v>
      </c>
    </row>
    <row r="404" spans="1:32" x14ac:dyDescent="0.2">
      <c r="A404">
        <v>942.8351273148146</v>
      </c>
      <c r="B404">
        <v>578</v>
      </c>
      <c r="C404">
        <v>30</v>
      </c>
      <c r="D404">
        <v>122</v>
      </c>
      <c r="E404">
        <v>6</v>
      </c>
      <c r="F404">
        <v>13</v>
      </c>
      <c r="G404">
        <v>13</v>
      </c>
      <c r="H404">
        <v>112</v>
      </c>
      <c r="I404">
        <v>3</v>
      </c>
      <c r="J404">
        <v>197</v>
      </c>
      <c r="K404">
        <v>20</v>
      </c>
      <c r="L404">
        <v>15780</v>
      </c>
      <c r="M404">
        <v>181</v>
      </c>
      <c r="N404">
        <v>1.14702154626109E-2</v>
      </c>
      <c r="O404">
        <v>67</v>
      </c>
      <c r="P404">
        <v>0.37016574585635359</v>
      </c>
      <c r="Q404">
        <v>4.2458808618504439E-3</v>
      </c>
      <c r="R404">
        <v>58</v>
      </c>
      <c r="S404">
        <v>0.32044198895027626</v>
      </c>
      <c r="T404">
        <v>3.6755386565272496E-3</v>
      </c>
      <c r="U404">
        <v>15</v>
      </c>
      <c r="V404">
        <v>8.2872928176795577E-2</v>
      </c>
      <c r="W404">
        <v>9.5057034220532319E-4</v>
      </c>
      <c r="X404">
        <v>36</v>
      </c>
      <c r="Y404">
        <v>0.19889502762430938</v>
      </c>
      <c r="Z404">
        <v>2.2813688212927757E-3</v>
      </c>
      <c r="AA404">
        <v>3</v>
      </c>
      <c r="AB404">
        <v>1.6574585635359115E-2</v>
      </c>
      <c r="AC404">
        <v>1.9011406844106463E-4</v>
      </c>
      <c r="AD404">
        <v>2</v>
      </c>
      <c r="AE404">
        <v>1.1049723756906077E-2</v>
      </c>
      <c r="AF404">
        <v>1.2674271229404308E-4</v>
      </c>
    </row>
    <row r="405" spans="1:32" x14ac:dyDescent="0.2">
      <c r="A405">
        <v>2141.628622685188</v>
      </c>
      <c r="B405">
        <v>609</v>
      </c>
      <c r="C405">
        <v>37</v>
      </c>
      <c r="D405">
        <v>143</v>
      </c>
      <c r="E405">
        <v>0</v>
      </c>
      <c r="F405">
        <v>5</v>
      </c>
      <c r="G405">
        <v>18</v>
      </c>
      <c r="H405">
        <v>42</v>
      </c>
      <c r="I405">
        <v>0</v>
      </c>
      <c r="J405">
        <v>100</v>
      </c>
      <c r="K405">
        <v>20</v>
      </c>
      <c r="L405">
        <v>2700</v>
      </c>
      <c r="M405">
        <v>28</v>
      </c>
      <c r="N405">
        <v>1.037037037037037E-2</v>
      </c>
      <c r="O405">
        <v>8</v>
      </c>
      <c r="P405">
        <v>0.2857142857142857</v>
      </c>
      <c r="Q405">
        <v>2.9629629629629628E-3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3.5714285714285712E-2</v>
      </c>
      <c r="Z405">
        <v>3.7037037037037035E-4</v>
      </c>
      <c r="AA405">
        <v>0</v>
      </c>
      <c r="AB405">
        <v>0</v>
      </c>
      <c r="AC405">
        <v>0</v>
      </c>
      <c r="AD405">
        <v>19</v>
      </c>
      <c r="AE405">
        <v>0.6785714285714286</v>
      </c>
      <c r="AF405">
        <v>7.037037037037037E-3</v>
      </c>
    </row>
    <row r="406" spans="1:32" x14ac:dyDescent="0.2">
      <c r="A406">
        <v>930.59620370370249</v>
      </c>
      <c r="B406">
        <v>584</v>
      </c>
      <c r="C406">
        <v>36</v>
      </c>
      <c r="D406">
        <v>114</v>
      </c>
      <c r="E406">
        <v>10</v>
      </c>
      <c r="F406">
        <v>0</v>
      </c>
      <c r="G406">
        <v>14</v>
      </c>
      <c r="H406">
        <v>65</v>
      </c>
      <c r="I406">
        <v>3</v>
      </c>
      <c r="J406">
        <v>135</v>
      </c>
      <c r="K406">
        <v>57</v>
      </c>
      <c r="L406">
        <v>8798</v>
      </c>
      <c r="M406">
        <v>196</v>
      </c>
      <c r="N406">
        <v>2.227779040691066E-2</v>
      </c>
      <c r="O406">
        <v>12</v>
      </c>
      <c r="P406">
        <v>6.1224489795918366E-2</v>
      </c>
      <c r="Q406">
        <v>1.3639463514435099E-3</v>
      </c>
      <c r="R406">
        <v>162</v>
      </c>
      <c r="S406">
        <v>0.82653061224489799</v>
      </c>
      <c r="T406">
        <v>1.8413275744487385E-2</v>
      </c>
      <c r="U406">
        <v>2</v>
      </c>
      <c r="V406">
        <v>1.020408163265306E-2</v>
      </c>
      <c r="W406">
        <v>2.2732439190725165E-4</v>
      </c>
      <c r="X406">
        <v>20</v>
      </c>
      <c r="Y406">
        <v>0.10204081632653061</v>
      </c>
      <c r="Z406">
        <v>2.2732439190725163E-3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">
      <c r="A407">
        <v>744.9032986111124</v>
      </c>
      <c r="B407">
        <v>668</v>
      </c>
      <c r="C407">
        <v>23</v>
      </c>
      <c r="D407">
        <v>62</v>
      </c>
      <c r="E407">
        <v>10</v>
      </c>
      <c r="F407">
        <v>0</v>
      </c>
      <c r="G407">
        <v>12</v>
      </c>
      <c r="H407">
        <v>107</v>
      </c>
      <c r="I407">
        <v>1</v>
      </c>
      <c r="J407">
        <v>12</v>
      </c>
      <c r="K407">
        <v>4</v>
      </c>
      <c r="L407">
        <v>848</v>
      </c>
      <c r="M407">
        <v>47</v>
      </c>
      <c r="N407">
        <v>5.5424528301886794E-2</v>
      </c>
      <c r="O407">
        <v>2</v>
      </c>
      <c r="P407">
        <v>4.2553191489361701E-2</v>
      </c>
      <c r="Q407">
        <v>2.3584905660377358E-3</v>
      </c>
      <c r="R407">
        <v>18</v>
      </c>
      <c r="S407">
        <v>0.38297872340425532</v>
      </c>
      <c r="T407">
        <v>2.1226415094339621E-2</v>
      </c>
      <c r="U407">
        <v>10</v>
      </c>
      <c r="V407">
        <v>0.21276595744680851</v>
      </c>
      <c r="W407">
        <v>1.179245283018868E-2</v>
      </c>
      <c r="X407">
        <v>17</v>
      </c>
      <c r="Y407">
        <v>0.36170212765957449</v>
      </c>
      <c r="Z407">
        <v>2.0047169811320754E-2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">
      <c r="A408">
        <v>2132.0544791666689</v>
      </c>
      <c r="B408">
        <v>1369</v>
      </c>
      <c r="C408">
        <v>41</v>
      </c>
      <c r="D408">
        <v>122</v>
      </c>
      <c r="E408">
        <v>5</v>
      </c>
      <c r="F408">
        <v>28</v>
      </c>
      <c r="G408">
        <v>11</v>
      </c>
      <c r="H408">
        <v>93</v>
      </c>
      <c r="I408">
        <v>0</v>
      </c>
      <c r="J408">
        <v>135</v>
      </c>
      <c r="K408">
        <v>37</v>
      </c>
      <c r="L408">
        <v>4902</v>
      </c>
      <c r="M408">
        <v>77</v>
      </c>
      <c r="N408">
        <v>1.5707874337005302E-2</v>
      </c>
      <c r="O408">
        <v>32</v>
      </c>
      <c r="P408">
        <v>0.41558441558441561</v>
      </c>
      <c r="Q408">
        <v>6.5279477764177887E-3</v>
      </c>
      <c r="R408">
        <v>0</v>
      </c>
      <c r="S408">
        <v>0</v>
      </c>
      <c r="T408">
        <v>0</v>
      </c>
      <c r="U408">
        <v>19</v>
      </c>
      <c r="V408">
        <v>0.24675324675324675</v>
      </c>
      <c r="W408">
        <v>3.875968992248062E-3</v>
      </c>
      <c r="X408">
        <v>26</v>
      </c>
      <c r="Y408">
        <v>0.33766233766233766</v>
      </c>
      <c r="Z408">
        <v>5.3039575683394534E-3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">
      <c r="A409">
        <v>914.00358796296496</v>
      </c>
      <c r="B409">
        <v>499</v>
      </c>
      <c r="C409">
        <v>24</v>
      </c>
      <c r="D409">
        <v>42</v>
      </c>
      <c r="E409">
        <v>8</v>
      </c>
      <c r="F409">
        <v>0</v>
      </c>
      <c r="G409">
        <v>19</v>
      </c>
      <c r="H409">
        <v>608</v>
      </c>
      <c r="I409">
        <v>11</v>
      </c>
      <c r="J409">
        <v>56</v>
      </c>
      <c r="K409">
        <v>1</v>
      </c>
      <c r="L409">
        <v>8011</v>
      </c>
      <c r="M409">
        <v>221</v>
      </c>
      <c r="N409">
        <v>2.7587067781800024E-2</v>
      </c>
      <c r="O409">
        <v>37</v>
      </c>
      <c r="P409">
        <v>0.167420814479638</v>
      </c>
      <c r="Q409">
        <v>4.6186493571339412E-3</v>
      </c>
      <c r="R409">
        <v>133</v>
      </c>
      <c r="S409">
        <v>0.60180995475113119</v>
      </c>
      <c r="T409">
        <v>1.6602172013481464E-2</v>
      </c>
      <c r="U409">
        <v>17</v>
      </c>
      <c r="V409">
        <v>7.6923076923076927E-2</v>
      </c>
      <c r="W409">
        <v>2.1220821370615405E-3</v>
      </c>
      <c r="X409">
        <v>34</v>
      </c>
      <c r="Y409">
        <v>0.15384615384615385</v>
      </c>
      <c r="Z409">
        <v>4.2441642741230809E-3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">
      <c r="A410">
        <v>3219.9403472222257</v>
      </c>
      <c r="B410">
        <v>1127</v>
      </c>
      <c r="C410">
        <v>79</v>
      </c>
      <c r="D410">
        <v>291</v>
      </c>
      <c r="E410">
        <v>0</v>
      </c>
      <c r="F410">
        <v>443</v>
      </c>
      <c r="G410">
        <v>153</v>
      </c>
      <c r="H410">
        <v>1797</v>
      </c>
      <c r="I410">
        <v>0</v>
      </c>
      <c r="J410">
        <v>2858</v>
      </c>
      <c r="K410">
        <v>0</v>
      </c>
      <c r="L410">
        <v>14644</v>
      </c>
      <c r="M410">
        <v>52</v>
      </c>
      <c r="N410">
        <v>3.5509423654739142E-3</v>
      </c>
      <c r="O410">
        <v>11</v>
      </c>
      <c r="P410">
        <v>0.21153846153846154</v>
      </c>
      <c r="Q410">
        <v>7.511608850040972E-4</v>
      </c>
      <c r="R410">
        <v>29</v>
      </c>
      <c r="S410">
        <v>0.55769230769230771</v>
      </c>
      <c r="T410">
        <v>1.9803332422835291E-3</v>
      </c>
      <c r="U410">
        <v>12</v>
      </c>
      <c r="V410">
        <v>0.23076923076923078</v>
      </c>
      <c r="W410">
        <v>8.1944823818628793E-4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">
      <c r="A411">
        <v>2985.9775810185165</v>
      </c>
      <c r="B411">
        <v>375</v>
      </c>
      <c r="C411">
        <v>18</v>
      </c>
      <c r="D411">
        <v>32</v>
      </c>
      <c r="E411">
        <v>0</v>
      </c>
      <c r="F411">
        <v>0</v>
      </c>
      <c r="G411">
        <v>14</v>
      </c>
      <c r="H411">
        <v>23</v>
      </c>
      <c r="I411">
        <v>1</v>
      </c>
      <c r="J411">
        <v>30</v>
      </c>
      <c r="K411">
        <v>16</v>
      </c>
      <c r="L411">
        <v>684</v>
      </c>
      <c r="M411">
        <v>44</v>
      </c>
      <c r="N411">
        <v>6.4327485380116955E-2</v>
      </c>
      <c r="O411">
        <v>0</v>
      </c>
      <c r="P411">
        <v>0</v>
      </c>
      <c r="Q411">
        <v>0</v>
      </c>
      <c r="R411">
        <v>44</v>
      </c>
      <c r="S411">
        <v>1</v>
      </c>
      <c r="T411">
        <v>6.4327485380116955E-2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">
      <c r="A412">
        <v>1305.9318055555559</v>
      </c>
      <c r="B412">
        <v>4151</v>
      </c>
      <c r="C412">
        <v>62</v>
      </c>
      <c r="D412">
        <v>518</v>
      </c>
      <c r="E412">
        <v>97</v>
      </c>
      <c r="F412">
        <v>11</v>
      </c>
      <c r="G412">
        <v>167</v>
      </c>
      <c r="H412">
        <v>1855</v>
      </c>
      <c r="I412">
        <v>37</v>
      </c>
      <c r="J412">
        <v>806</v>
      </c>
      <c r="K412">
        <v>173</v>
      </c>
      <c r="L412">
        <v>67143</v>
      </c>
      <c r="M412">
        <v>447</v>
      </c>
      <c r="N412">
        <v>6.6574326437603328E-3</v>
      </c>
      <c r="O412">
        <v>161</v>
      </c>
      <c r="P412">
        <v>0.36017897091722595</v>
      </c>
      <c r="Q412">
        <v>2.3978672385803436E-3</v>
      </c>
      <c r="R412">
        <v>49</v>
      </c>
      <c r="S412">
        <v>0.10961968680089486</v>
      </c>
      <c r="T412">
        <v>7.2978568130706105E-4</v>
      </c>
      <c r="U412">
        <v>184</v>
      </c>
      <c r="V412">
        <v>0.4116331096196868</v>
      </c>
      <c r="W412">
        <v>2.7404197012346784E-3</v>
      </c>
      <c r="X412">
        <v>49</v>
      </c>
      <c r="Y412">
        <v>0.10961968680089486</v>
      </c>
      <c r="Z412">
        <v>7.2978568130706105E-4</v>
      </c>
      <c r="AA412">
        <v>3</v>
      </c>
      <c r="AB412">
        <v>6.7114093959731542E-3</v>
      </c>
      <c r="AC412">
        <v>4.4680755998391492E-5</v>
      </c>
      <c r="AD412">
        <v>1</v>
      </c>
      <c r="AE412">
        <v>2.2371364653243847E-3</v>
      </c>
      <c r="AF412">
        <v>1.4893585332797164E-5</v>
      </c>
    </row>
    <row r="413" spans="1:32" x14ac:dyDescent="0.2">
      <c r="A413">
        <v>2738.3138078703705</v>
      </c>
      <c r="B413">
        <v>360</v>
      </c>
      <c r="C413">
        <v>28</v>
      </c>
      <c r="D413">
        <v>51</v>
      </c>
      <c r="E413">
        <v>149</v>
      </c>
      <c r="F413">
        <v>9</v>
      </c>
      <c r="G413">
        <v>17</v>
      </c>
      <c r="H413">
        <v>558</v>
      </c>
      <c r="I413">
        <v>6</v>
      </c>
      <c r="J413">
        <v>590</v>
      </c>
      <c r="K413">
        <v>51</v>
      </c>
      <c r="L413">
        <v>20621</v>
      </c>
      <c r="M413">
        <v>186</v>
      </c>
      <c r="N413">
        <v>9.0199311381601276E-3</v>
      </c>
      <c r="O413">
        <v>0</v>
      </c>
      <c r="P413">
        <v>0</v>
      </c>
      <c r="Q413">
        <v>0</v>
      </c>
      <c r="R413">
        <v>135</v>
      </c>
      <c r="S413">
        <v>0.72580645161290325</v>
      </c>
      <c r="T413">
        <v>6.5467242131807381E-3</v>
      </c>
      <c r="U413">
        <v>10</v>
      </c>
      <c r="V413">
        <v>5.3763440860215055E-2</v>
      </c>
      <c r="W413">
        <v>4.8494253430968431E-4</v>
      </c>
      <c r="X413">
        <v>31</v>
      </c>
      <c r="Y413">
        <v>0.16666666666666666</v>
      </c>
      <c r="Z413">
        <v>1.5033218563600213E-3</v>
      </c>
      <c r="AA413">
        <v>0</v>
      </c>
      <c r="AB413">
        <v>0</v>
      </c>
      <c r="AC413">
        <v>0</v>
      </c>
      <c r="AD413">
        <v>10</v>
      </c>
      <c r="AE413">
        <v>5.3763440860215055E-2</v>
      </c>
      <c r="AF413">
        <v>4.8494253430968431E-4</v>
      </c>
    </row>
    <row r="414" spans="1:32" x14ac:dyDescent="0.2">
      <c r="A414">
        <v>1408.048055555555</v>
      </c>
      <c r="B414">
        <v>558</v>
      </c>
      <c r="C414">
        <v>17</v>
      </c>
      <c r="D414">
        <v>40</v>
      </c>
      <c r="E414">
        <v>17</v>
      </c>
      <c r="F414">
        <v>0</v>
      </c>
      <c r="G414">
        <v>13</v>
      </c>
      <c r="H414">
        <v>217</v>
      </c>
      <c r="I414">
        <v>1</v>
      </c>
      <c r="J414">
        <v>155</v>
      </c>
      <c r="K414">
        <v>25</v>
      </c>
      <c r="L414">
        <v>3413</v>
      </c>
      <c r="M414">
        <v>76</v>
      </c>
      <c r="N414">
        <v>2.2267799589803693E-2</v>
      </c>
      <c r="O414">
        <v>21</v>
      </c>
      <c r="P414">
        <v>0.27631578947368424</v>
      </c>
      <c r="Q414">
        <v>6.1529446234983888E-3</v>
      </c>
      <c r="R414">
        <v>42</v>
      </c>
      <c r="S414">
        <v>0.55263157894736847</v>
      </c>
      <c r="T414">
        <v>1.2305889246996778E-2</v>
      </c>
      <c r="U414">
        <v>3</v>
      </c>
      <c r="V414">
        <v>3.9473684210526314E-2</v>
      </c>
      <c r="W414">
        <v>8.7899208907119832E-4</v>
      </c>
      <c r="X414">
        <v>6</v>
      </c>
      <c r="Y414">
        <v>7.8947368421052627E-2</v>
      </c>
      <c r="Z414">
        <v>1.7579841781423966E-3</v>
      </c>
      <c r="AA414">
        <v>0</v>
      </c>
      <c r="AB414">
        <v>0</v>
      </c>
      <c r="AC414">
        <v>0</v>
      </c>
      <c r="AD414">
        <v>4</v>
      </c>
      <c r="AE414">
        <v>5.2631578947368418E-2</v>
      </c>
      <c r="AF414">
        <v>1.1719894520949312E-3</v>
      </c>
    </row>
    <row r="415" spans="1:32" x14ac:dyDescent="0.2">
      <c r="A415">
        <v>2048.3191319444377</v>
      </c>
      <c r="B415">
        <v>5104</v>
      </c>
      <c r="C415">
        <v>262</v>
      </c>
      <c r="D415">
        <v>559</v>
      </c>
      <c r="E415">
        <v>11</v>
      </c>
      <c r="F415">
        <v>7</v>
      </c>
      <c r="G415">
        <v>37</v>
      </c>
      <c r="H415">
        <v>640</v>
      </c>
      <c r="I415">
        <v>5</v>
      </c>
      <c r="J415">
        <v>452</v>
      </c>
      <c r="K415">
        <v>155</v>
      </c>
      <c r="L415">
        <v>17692</v>
      </c>
      <c r="M415">
        <v>561</v>
      </c>
      <c r="N415">
        <v>3.1709247117341174E-2</v>
      </c>
      <c r="O415">
        <v>182</v>
      </c>
      <c r="P415">
        <v>0.32442067736185382</v>
      </c>
      <c r="Q415">
        <v>1.0287135428442234E-2</v>
      </c>
      <c r="R415">
        <v>231</v>
      </c>
      <c r="S415">
        <v>0.41176470588235292</v>
      </c>
      <c r="T415">
        <v>1.3056748813022835E-2</v>
      </c>
      <c r="U415">
        <v>37</v>
      </c>
      <c r="V415">
        <v>6.5953654188948302E-2</v>
      </c>
      <c r="W415">
        <v>2.0913407189690255E-3</v>
      </c>
      <c r="X415">
        <v>101</v>
      </c>
      <c r="Y415">
        <v>0.18003565062388591</v>
      </c>
      <c r="Z415">
        <v>5.7087949355640964E-3</v>
      </c>
      <c r="AA415">
        <v>2</v>
      </c>
      <c r="AB415">
        <v>3.5650623885918001E-3</v>
      </c>
      <c r="AC415">
        <v>1.1304544426859598E-4</v>
      </c>
      <c r="AD415">
        <v>8</v>
      </c>
      <c r="AE415">
        <v>1.4260249554367201E-2</v>
      </c>
      <c r="AF415">
        <v>4.5218177707438391E-4</v>
      </c>
    </row>
    <row r="416" spans="1:32" x14ac:dyDescent="0.2">
      <c r="A416">
        <v>3325.6409953703696</v>
      </c>
      <c r="B416">
        <v>647</v>
      </c>
      <c r="C416">
        <v>28</v>
      </c>
      <c r="D416">
        <v>78</v>
      </c>
      <c r="E416">
        <v>15</v>
      </c>
      <c r="F416">
        <v>148</v>
      </c>
      <c r="G416">
        <v>14</v>
      </c>
      <c r="H416">
        <v>141</v>
      </c>
      <c r="I416">
        <v>0</v>
      </c>
      <c r="J416">
        <v>552</v>
      </c>
      <c r="K416">
        <v>31</v>
      </c>
      <c r="L416">
        <v>4537</v>
      </c>
      <c r="M416">
        <v>5</v>
      </c>
      <c r="N416">
        <v>1.1020498126515319E-3</v>
      </c>
      <c r="O416">
        <v>1</v>
      </c>
      <c r="P416">
        <v>0.2</v>
      </c>
      <c r="Q416">
        <v>2.2040996253030638E-4</v>
      </c>
      <c r="R416">
        <v>0</v>
      </c>
      <c r="S416">
        <v>0</v>
      </c>
      <c r="T416">
        <v>0</v>
      </c>
      <c r="U416">
        <v>1</v>
      </c>
      <c r="V416">
        <v>0.2</v>
      </c>
      <c r="W416">
        <v>2.2040996253030638E-4</v>
      </c>
      <c r="X416">
        <v>3</v>
      </c>
      <c r="Y416">
        <v>0.6</v>
      </c>
      <c r="Z416">
        <v>6.6122988759091911E-4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">
      <c r="A417">
        <v>1288.7062499999956</v>
      </c>
      <c r="B417">
        <v>566</v>
      </c>
      <c r="C417">
        <v>12</v>
      </c>
      <c r="D417">
        <v>41</v>
      </c>
      <c r="E417">
        <v>0</v>
      </c>
      <c r="F417">
        <v>4</v>
      </c>
      <c r="G417">
        <v>12</v>
      </c>
      <c r="H417">
        <v>18</v>
      </c>
      <c r="I417">
        <v>0</v>
      </c>
      <c r="J417">
        <v>265</v>
      </c>
      <c r="K417">
        <v>99</v>
      </c>
      <c r="L417">
        <v>78019</v>
      </c>
      <c r="M417">
        <v>1310</v>
      </c>
      <c r="N417">
        <v>1.6790781732654865E-2</v>
      </c>
      <c r="O417">
        <v>399</v>
      </c>
      <c r="P417">
        <v>0.3045801526717557</v>
      </c>
      <c r="Q417">
        <v>5.1141388636101459E-3</v>
      </c>
      <c r="R417">
        <v>262</v>
      </c>
      <c r="S417">
        <v>0.2</v>
      </c>
      <c r="T417">
        <v>3.3581563465309733E-3</v>
      </c>
      <c r="U417">
        <v>328</v>
      </c>
      <c r="V417">
        <v>0.25038167938931299</v>
      </c>
      <c r="W417">
        <v>4.2041041284815233E-3</v>
      </c>
      <c r="X417">
        <v>255</v>
      </c>
      <c r="Y417">
        <v>0.19465648854961831</v>
      </c>
      <c r="Z417">
        <v>3.2684346120816724E-3</v>
      </c>
      <c r="AA417">
        <v>15</v>
      </c>
      <c r="AB417">
        <v>1.1450381679389313E-2</v>
      </c>
      <c r="AC417">
        <v>1.9226085953421602E-4</v>
      </c>
      <c r="AD417">
        <v>51</v>
      </c>
      <c r="AE417">
        <v>3.8931297709923665E-2</v>
      </c>
      <c r="AF417">
        <v>6.5368692241633451E-4</v>
      </c>
    </row>
    <row r="418" spans="1:32" x14ac:dyDescent="0.2">
      <c r="A418">
        <v>576.26312500000495</v>
      </c>
      <c r="B418">
        <v>372</v>
      </c>
      <c r="C418">
        <v>8</v>
      </c>
      <c r="D418">
        <v>105</v>
      </c>
      <c r="E418">
        <v>0</v>
      </c>
      <c r="F418">
        <v>0</v>
      </c>
      <c r="G418">
        <v>2</v>
      </c>
      <c r="H418">
        <v>2</v>
      </c>
      <c r="I418">
        <v>1</v>
      </c>
      <c r="J418">
        <v>16</v>
      </c>
      <c r="K418">
        <v>2</v>
      </c>
      <c r="L418">
        <v>13057</v>
      </c>
      <c r="M418">
        <v>273</v>
      </c>
      <c r="N418">
        <v>2.0908325036378954E-2</v>
      </c>
      <c r="O418">
        <v>0</v>
      </c>
      <c r="P418">
        <v>0</v>
      </c>
      <c r="Q418">
        <v>0</v>
      </c>
      <c r="R418">
        <v>227</v>
      </c>
      <c r="S418">
        <v>0.83150183150183155</v>
      </c>
      <c r="T418">
        <v>1.7385310561384697E-2</v>
      </c>
      <c r="U418">
        <v>20</v>
      </c>
      <c r="V418">
        <v>7.3260073260073263E-2</v>
      </c>
      <c r="W418">
        <v>1.5317454239105461E-3</v>
      </c>
      <c r="X418">
        <v>26</v>
      </c>
      <c r="Y418">
        <v>9.5238095238095233E-2</v>
      </c>
      <c r="Z418">
        <v>1.9912690510837097E-3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">
      <c r="A419">
        <v>1128.2585532407393</v>
      </c>
      <c r="B419">
        <v>603</v>
      </c>
      <c r="C419">
        <v>64</v>
      </c>
      <c r="D419">
        <v>220</v>
      </c>
      <c r="E419">
        <v>0</v>
      </c>
      <c r="F419">
        <v>0</v>
      </c>
      <c r="G419">
        <v>7</v>
      </c>
      <c r="H419">
        <v>11</v>
      </c>
      <c r="I419">
        <v>2</v>
      </c>
      <c r="J419">
        <v>37</v>
      </c>
      <c r="K419">
        <v>13</v>
      </c>
      <c r="L419">
        <v>4121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">
      <c r="A420">
        <v>326.95802083333547</v>
      </c>
      <c r="B420">
        <v>2548</v>
      </c>
      <c r="C420">
        <v>125</v>
      </c>
      <c r="D420">
        <v>107</v>
      </c>
      <c r="E420">
        <v>28</v>
      </c>
      <c r="F420">
        <v>0</v>
      </c>
      <c r="G420">
        <v>21</v>
      </c>
      <c r="H420">
        <v>235</v>
      </c>
      <c r="I420">
        <v>24</v>
      </c>
      <c r="J420">
        <v>409</v>
      </c>
      <c r="K420">
        <v>144</v>
      </c>
      <c r="L420">
        <v>12151</v>
      </c>
      <c r="M420">
        <v>36</v>
      </c>
      <c r="N420">
        <v>2.9627191177680847E-3</v>
      </c>
      <c r="O420">
        <v>17</v>
      </c>
      <c r="P420">
        <v>0.47222222222222221</v>
      </c>
      <c r="Q420">
        <v>1.3990618056127068E-3</v>
      </c>
      <c r="R420">
        <v>11</v>
      </c>
      <c r="S420">
        <v>0.30555555555555558</v>
      </c>
      <c r="T420">
        <v>9.0527528598469261E-4</v>
      </c>
      <c r="U420">
        <v>5</v>
      </c>
      <c r="V420">
        <v>0.1388888888888889</v>
      </c>
      <c r="W420">
        <v>4.1148876635667848E-4</v>
      </c>
      <c r="X420">
        <v>1</v>
      </c>
      <c r="Y420">
        <v>2.7777777777777776E-2</v>
      </c>
      <c r="Z420">
        <v>8.229775327133569E-5</v>
      </c>
      <c r="AA420">
        <v>0</v>
      </c>
      <c r="AB420">
        <v>0</v>
      </c>
      <c r="AC420">
        <v>0</v>
      </c>
      <c r="AD420">
        <v>2</v>
      </c>
      <c r="AE420">
        <v>5.5555555555555552E-2</v>
      </c>
      <c r="AF420">
        <v>1.6459550654267138E-4</v>
      </c>
    </row>
    <row r="421" spans="1:32" x14ac:dyDescent="0.2">
      <c r="A421">
        <v>1216.5693749999991</v>
      </c>
      <c r="B421">
        <v>563</v>
      </c>
      <c r="C421">
        <v>29</v>
      </c>
      <c r="D421">
        <v>142</v>
      </c>
      <c r="E421">
        <v>0</v>
      </c>
      <c r="F421">
        <v>0</v>
      </c>
      <c r="G421">
        <v>5</v>
      </c>
      <c r="H421">
        <v>9</v>
      </c>
      <c r="I421">
        <v>0</v>
      </c>
      <c r="J421">
        <v>24</v>
      </c>
      <c r="K421">
        <v>8</v>
      </c>
      <c r="L421">
        <v>3514</v>
      </c>
      <c r="M421">
        <v>10</v>
      </c>
      <c r="N421">
        <v>2.8457598178713715E-3</v>
      </c>
      <c r="O421">
        <v>0</v>
      </c>
      <c r="P421">
        <v>0</v>
      </c>
      <c r="Q421">
        <v>0</v>
      </c>
      <c r="R421">
        <v>10</v>
      </c>
      <c r="S421">
        <v>1</v>
      </c>
      <c r="T421">
        <v>2.8457598178713715E-3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">
      <c r="A422">
        <v>1398.1546064814829</v>
      </c>
      <c r="B422">
        <v>357</v>
      </c>
      <c r="C422">
        <v>17</v>
      </c>
      <c r="D422">
        <v>81</v>
      </c>
      <c r="E422">
        <v>0</v>
      </c>
      <c r="F422">
        <v>0</v>
      </c>
      <c r="G422">
        <v>4</v>
      </c>
      <c r="H422">
        <v>6</v>
      </c>
      <c r="I422">
        <v>0</v>
      </c>
      <c r="J422">
        <v>11</v>
      </c>
      <c r="K422">
        <v>4</v>
      </c>
      <c r="L422">
        <v>1556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">
      <c r="A423">
        <v>1439.6207291666651</v>
      </c>
      <c r="B423">
        <v>506</v>
      </c>
      <c r="C423">
        <v>53</v>
      </c>
      <c r="D423">
        <v>318</v>
      </c>
      <c r="E423">
        <v>1</v>
      </c>
      <c r="F423">
        <v>0</v>
      </c>
      <c r="G423">
        <v>0</v>
      </c>
      <c r="H423">
        <v>9</v>
      </c>
      <c r="I423">
        <v>0</v>
      </c>
      <c r="J423">
        <v>24</v>
      </c>
      <c r="K423">
        <v>0</v>
      </c>
      <c r="L423">
        <v>62007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">
      <c r="A424">
        <v>771.78692129629781</v>
      </c>
      <c r="B424">
        <v>1628</v>
      </c>
      <c r="C424">
        <v>76</v>
      </c>
      <c r="D424">
        <v>444</v>
      </c>
      <c r="E424">
        <v>126</v>
      </c>
      <c r="F424">
        <v>17</v>
      </c>
      <c r="G424">
        <v>79</v>
      </c>
      <c r="H424">
        <v>671</v>
      </c>
      <c r="I424">
        <v>5</v>
      </c>
      <c r="J424">
        <v>1268</v>
      </c>
      <c r="K424">
        <v>9</v>
      </c>
      <c r="L424">
        <v>5676</v>
      </c>
      <c r="M424">
        <v>138</v>
      </c>
      <c r="N424">
        <v>2.4312896405919663E-2</v>
      </c>
      <c r="O424">
        <v>41</v>
      </c>
      <c r="P424">
        <v>0.29710144927536231</v>
      </c>
      <c r="Q424">
        <v>7.2233967582804792E-3</v>
      </c>
      <c r="R424">
        <v>49</v>
      </c>
      <c r="S424">
        <v>0.35507246376811596</v>
      </c>
      <c r="T424">
        <v>8.6328400281888654E-3</v>
      </c>
      <c r="U424">
        <v>4</v>
      </c>
      <c r="V424">
        <v>2.8985507246376812E-2</v>
      </c>
      <c r="W424">
        <v>7.0472163495419312E-4</v>
      </c>
      <c r="X424">
        <v>35</v>
      </c>
      <c r="Y424">
        <v>0.25362318840579712</v>
      </c>
      <c r="Z424">
        <v>6.1663143058491897E-3</v>
      </c>
      <c r="AA424">
        <v>9</v>
      </c>
      <c r="AB424">
        <v>6.5217391304347824E-2</v>
      </c>
      <c r="AC424">
        <v>1.5856236786469344E-3</v>
      </c>
      <c r="AD424">
        <v>0</v>
      </c>
      <c r="AE424">
        <v>0</v>
      </c>
      <c r="AF424">
        <v>0</v>
      </c>
    </row>
    <row r="425" spans="1:32" x14ac:dyDescent="0.2">
      <c r="A425">
        <v>2210.0320949074085</v>
      </c>
      <c r="B425">
        <v>415</v>
      </c>
      <c r="C425">
        <v>32</v>
      </c>
      <c r="D425">
        <v>119</v>
      </c>
      <c r="E425">
        <v>0</v>
      </c>
      <c r="F425">
        <v>0</v>
      </c>
      <c r="G425">
        <v>15</v>
      </c>
      <c r="H425">
        <v>85</v>
      </c>
      <c r="I425">
        <v>16</v>
      </c>
      <c r="J425">
        <v>163</v>
      </c>
      <c r="K425">
        <v>35</v>
      </c>
      <c r="L425">
        <v>5007</v>
      </c>
      <c r="M425">
        <v>89</v>
      </c>
      <c r="N425">
        <v>1.7775114839225083E-2</v>
      </c>
      <c r="O425">
        <v>5</v>
      </c>
      <c r="P425">
        <v>5.6179775280898875E-2</v>
      </c>
      <c r="Q425">
        <v>9.9860195725983629E-4</v>
      </c>
      <c r="R425">
        <v>9</v>
      </c>
      <c r="S425">
        <v>0.10112359550561797</v>
      </c>
      <c r="T425">
        <v>1.7974835230677051E-3</v>
      </c>
      <c r="U425">
        <v>0</v>
      </c>
      <c r="V425">
        <v>0</v>
      </c>
      <c r="W425">
        <v>0</v>
      </c>
      <c r="X425">
        <v>75</v>
      </c>
      <c r="Y425">
        <v>0.84269662921348309</v>
      </c>
      <c r="Z425">
        <v>1.4979029358897543E-2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">
      <c r="A426">
        <v>3758.5013888888861</v>
      </c>
      <c r="B426">
        <v>540</v>
      </c>
      <c r="C426">
        <v>20</v>
      </c>
      <c r="D426">
        <v>80</v>
      </c>
      <c r="E426">
        <v>8</v>
      </c>
      <c r="F426">
        <v>4</v>
      </c>
      <c r="G426">
        <v>24</v>
      </c>
      <c r="H426">
        <v>115</v>
      </c>
      <c r="I426">
        <v>5</v>
      </c>
      <c r="J426">
        <v>57</v>
      </c>
      <c r="K426">
        <v>9</v>
      </c>
      <c r="L426">
        <v>3387</v>
      </c>
      <c r="M426">
        <v>4</v>
      </c>
      <c r="N426">
        <v>1.1809861234130499E-3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3</v>
      </c>
      <c r="V426">
        <v>0.75</v>
      </c>
      <c r="W426">
        <v>8.8573959255978745E-4</v>
      </c>
      <c r="X426">
        <v>1</v>
      </c>
      <c r="Y426">
        <v>0.25</v>
      </c>
      <c r="Z426">
        <v>2.9524653085326248E-4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">
      <c r="A427">
        <v>2260.5979513888888</v>
      </c>
      <c r="B427">
        <v>579</v>
      </c>
      <c r="C427">
        <v>93</v>
      </c>
      <c r="D427">
        <v>272</v>
      </c>
      <c r="E427">
        <v>37</v>
      </c>
      <c r="F427">
        <v>93</v>
      </c>
      <c r="G427">
        <v>59</v>
      </c>
      <c r="H427">
        <v>381</v>
      </c>
      <c r="I427">
        <v>12</v>
      </c>
      <c r="J427">
        <v>588</v>
      </c>
      <c r="K427">
        <v>93</v>
      </c>
      <c r="L427">
        <v>13748</v>
      </c>
      <c r="M427">
        <v>610</v>
      </c>
      <c r="N427">
        <v>4.4370090194937442E-2</v>
      </c>
      <c r="O427">
        <v>127</v>
      </c>
      <c r="P427">
        <v>0.2081967213114754</v>
      </c>
      <c r="Q427">
        <v>9.2377073028804182E-3</v>
      </c>
      <c r="R427">
        <v>281</v>
      </c>
      <c r="S427">
        <v>0.46065573770491802</v>
      </c>
      <c r="T427">
        <v>2.0439336630782658E-2</v>
      </c>
      <c r="U427">
        <v>88</v>
      </c>
      <c r="V427">
        <v>0.14426229508196722</v>
      </c>
      <c r="W427">
        <v>6.400931044515566E-3</v>
      </c>
      <c r="X427">
        <v>60</v>
      </c>
      <c r="Y427">
        <v>9.8360655737704916E-2</v>
      </c>
      <c r="Z427">
        <v>4.3642711667151585E-3</v>
      </c>
      <c r="AA427">
        <v>2</v>
      </c>
      <c r="AB427">
        <v>3.2786885245901639E-3</v>
      </c>
      <c r="AC427">
        <v>1.4547570555717196E-4</v>
      </c>
      <c r="AD427">
        <v>52</v>
      </c>
      <c r="AE427">
        <v>8.5245901639344257E-2</v>
      </c>
      <c r="AF427">
        <v>3.782368344486471E-3</v>
      </c>
    </row>
    <row r="428" spans="1:32" x14ac:dyDescent="0.2">
      <c r="A428">
        <v>878.64408564814948</v>
      </c>
      <c r="B428">
        <v>9093</v>
      </c>
      <c r="C428">
        <v>204</v>
      </c>
      <c r="D428">
        <v>1711</v>
      </c>
      <c r="E428">
        <v>10</v>
      </c>
      <c r="F428">
        <v>0</v>
      </c>
      <c r="G428">
        <v>40</v>
      </c>
      <c r="H428">
        <v>138</v>
      </c>
      <c r="I428">
        <v>8</v>
      </c>
      <c r="J428">
        <v>488</v>
      </c>
      <c r="K428">
        <v>238</v>
      </c>
      <c r="L428">
        <v>2399</v>
      </c>
      <c r="M428">
        <v>55</v>
      </c>
      <c r="N428">
        <v>2.2926219258024176E-2</v>
      </c>
      <c r="O428">
        <v>4</v>
      </c>
      <c r="P428">
        <v>7.2727272727272724E-2</v>
      </c>
      <c r="Q428">
        <v>1.6673614005835765E-3</v>
      </c>
      <c r="R428">
        <v>34</v>
      </c>
      <c r="S428">
        <v>0.61818181818181817</v>
      </c>
      <c r="T428">
        <v>1.41725719049604E-2</v>
      </c>
      <c r="U428">
        <v>11</v>
      </c>
      <c r="V428">
        <v>0.2</v>
      </c>
      <c r="W428">
        <v>4.5852438516048354E-3</v>
      </c>
      <c r="X428">
        <v>6</v>
      </c>
      <c r="Y428">
        <v>0.10909090909090909</v>
      </c>
      <c r="Z428">
        <v>2.5010421008753647E-3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">
      <c r="A429">
        <v>1391.9217592592613</v>
      </c>
      <c r="B429">
        <v>1111</v>
      </c>
      <c r="C429">
        <v>115</v>
      </c>
      <c r="D429">
        <v>199</v>
      </c>
      <c r="E429">
        <v>7</v>
      </c>
      <c r="F429">
        <v>0</v>
      </c>
      <c r="G429">
        <v>20</v>
      </c>
      <c r="H429">
        <v>72</v>
      </c>
      <c r="I429">
        <v>1</v>
      </c>
      <c r="J429">
        <v>153</v>
      </c>
      <c r="K429">
        <v>41</v>
      </c>
      <c r="L429">
        <v>2010</v>
      </c>
      <c r="M429">
        <v>195</v>
      </c>
      <c r="N429">
        <v>9.7014925373134331E-2</v>
      </c>
      <c r="O429">
        <v>35</v>
      </c>
      <c r="P429">
        <v>0.17948717948717949</v>
      </c>
      <c r="Q429">
        <v>1.7412935323383085E-2</v>
      </c>
      <c r="R429">
        <v>90</v>
      </c>
      <c r="S429">
        <v>0.46153846153846156</v>
      </c>
      <c r="T429">
        <v>4.4776119402985072E-2</v>
      </c>
      <c r="U429">
        <v>13</v>
      </c>
      <c r="V429">
        <v>6.6666666666666666E-2</v>
      </c>
      <c r="W429">
        <v>6.4676616915422883E-3</v>
      </c>
      <c r="X429">
        <v>57</v>
      </c>
      <c r="Y429">
        <v>0.29230769230769232</v>
      </c>
      <c r="Z429">
        <v>2.8358208955223882E-2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">
      <c r="A430">
        <v>85.030972222222772</v>
      </c>
      <c r="B430">
        <v>575</v>
      </c>
      <c r="C430">
        <v>10</v>
      </c>
      <c r="D430">
        <v>39</v>
      </c>
      <c r="E430">
        <v>16</v>
      </c>
      <c r="F430">
        <v>0</v>
      </c>
      <c r="G430">
        <v>11</v>
      </c>
      <c r="H430">
        <v>49</v>
      </c>
      <c r="I430">
        <v>1</v>
      </c>
      <c r="J430">
        <v>29</v>
      </c>
      <c r="K430">
        <v>4</v>
      </c>
      <c r="L430">
        <v>415</v>
      </c>
      <c r="M430">
        <v>7</v>
      </c>
      <c r="N430">
        <v>1.6867469879518072E-2</v>
      </c>
      <c r="O430">
        <v>6</v>
      </c>
      <c r="P430">
        <v>0.8571428571428571</v>
      </c>
      <c r="Q430">
        <v>1.4457831325301205E-2</v>
      </c>
      <c r="R430">
        <v>1</v>
      </c>
      <c r="S430">
        <v>0.14285714285714285</v>
      </c>
      <c r="T430">
        <v>2.4096385542168677E-3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">
      <c r="A431">
        <v>1160.9912499999991</v>
      </c>
      <c r="B431">
        <v>334</v>
      </c>
      <c r="C431">
        <v>23</v>
      </c>
      <c r="D431">
        <v>68</v>
      </c>
      <c r="E431">
        <v>4</v>
      </c>
      <c r="F431">
        <v>4</v>
      </c>
      <c r="G431">
        <v>13</v>
      </c>
      <c r="H431">
        <v>359</v>
      </c>
      <c r="I431">
        <v>0</v>
      </c>
      <c r="J431">
        <v>177</v>
      </c>
      <c r="K431">
        <v>17</v>
      </c>
      <c r="L431">
        <v>8980</v>
      </c>
      <c r="M431">
        <v>144</v>
      </c>
      <c r="N431">
        <v>1.6035634743875277E-2</v>
      </c>
      <c r="O431">
        <v>31</v>
      </c>
      <c r="P431">
        <v>0.21527777777777779</v>
      </c>
      <c r="Q431">
        <v>3.4521158129175947E-3</v>
      </c>
      <c r="R431">
        <v>85</v>
      </c>
      <c r="S431">
        <v>0.59027777777777779</v>
      </c>
      <c r="T431">
        <v>9.4654788418708242E-3</v>
      </c>
      <c r="U431">
        <v>16</v>
      </c>
      <c r="V431">
        <v>0.1111111111111111</v>
      </c>
      <c r="W431">
        <v>1.7817371937639199E-3</v>
      </c>
      <c r="X431">
        <v>7</v>
      </c>
      <c r="Y431">
        <v>4.8611111111111112E-2</v>
      </c>
      <c r="Z431">
        <v>7.7951002227171493E-4</v>
      </c>
      <c r="AA431">
        <v>0</v>
      </c>
      <c r="AB431">
        <v>0</v>
      </c>
      <c r="AC431">
        <v>0</v>
      </c>
      <c r="AD431">
        <v>5</v>
      </c>
      <c r="AE431">
        <v>3.4722222222222224E-2</v>
      </c>
      <c r="AF431">
        <v>5.5679287305122492E-4</v>
      </c>
    </row>
    <row r="432" spans="1:32" x14ac:dyDescent="0.2">
      <c r="A432">
        <v>660.07461805555795</v>
      </c>
      <c r="B432">
        <v>5494</v>
      </c>
      <c r="C432">
        <v>114</v>
      </c>
      <c r="D432">
        <v>494</v>
      </c>
      <c r="E432">
        <v>41</v>
      </c>
      <c r="F432">
        <v>31</v>
      </c>
      <c r="G432">
        <v>52</v>
      </c>
      <c r="H432">
        <v>354</v>
      </c>
      <c r="I432">
        <v>11</v>
      </c>
      <c r="J432">
        <v>422</v>
      </c>
      <c r="K432">
        <v>81</v>
      </c>
      <c r="L432">
        <v>11555</v>
      </c>
      <c r="M432">
        <v>160</v>
      </c>
      <c r="N432">
        <v>1.3846819558632626E-2</v>
      </c>
      <c r="O432">
        <v>86</v>
      </c>
      <c r="P432">
        <v>0.53749999999999998</v>
      </c>
      <c r="Q432">
        <v>7.4426655127650364E-3</v>
      </c>
      <c r="R432">
        <v>24</v>
      </c>
      <c r="S432">
        <v>0.15</v>
      </c>
      <c r="T432">
        <v>2.0770229337948938E-3</v>
      </c>
      <c r="U432">
        <v>15</v>
      </c>
      <c r="V432">
        <v>9.375E-2</v>
      </c>
      <c r="W432">
        <v>1.2981393336218088E-3</v>
      </c>
      <c r="X432">
        <v>35</v>
      </c>
      <c r="Y432">
        <v>0.21875</v>
      </c>
      <c r="Z432">
        <v>3.0289917784508871E-3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">
      <c r="A433">
        <v>1407.7265740740695</v>
      </c>
      <c r="B433">
        <v>404</v>
      </c>
      <c r="C433">
        <v>22</v>
      </c>
      <c r="D433">
        <v>66</v>
      </c>
      <c r="E433">
        <v>0</v>
      </c>
      <c r="F433">
        <v>0</v>
      </c>
      <c r="G433">
        <v>3</v>
      </c>
      <c r="H433">
        <v>14</v>
      </c>
      <c r="I433">
        <v>7</v>
      </c>
      <c r="J433">
        <v>31</v>
      </c>
      <c r="K433">
        <v>18</v>
      </c>
      <c r="L433">
        <v>15038</v>
      </c>
      <c r="M433">
        <v>2</v>
      </c>
      <c r="N433">
        <v>1.3299640909695439E-4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1</v>
      </c>
      <c r="W433">
        <v>1.3299640909695439E-4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">
      <c r="A434">
        <v>923.9683449074073</v>
      </c>
      <c r="B434">
        <v>2470</v>
      </c>
      <c r="C434">
        <v>99</v>
      </c>
      <c r="D434">
        <v>897</v>
      </c>
      <c r="E434">
        <v>53</v>
      </c>
      <c r="F434">
        <v>26</v>
      </c>
      <c r="G434">
        <v>47</v>
      </c>
      <c r="H434">
        <v>221</v>
      </c>
      <c r="I434">
        <v>3</v>
      </c>
      <c r="J434">
        <v>846</v>
      </c>
      <c r="K434">
        <v>67</v>
      </c>
      <c r="L434">
        <v>13682</v>
      </c>
      <c r="M434">
        <v>96</v>
      </c>
      <c r="N434">
        <v>7.0165180529162402E-3</v>
      </c>
      <c r="O434">
        <v>22</v>
      </c>
      <c r="P434">
        <v>0.22916666666666666</v>
      </c>
      <c r="Q434">
        <v>1.607952053793305E-3</v>
      </c>
      <c r="R434">
        <v>4</v>
      </c>
      <c r="S434">
        <v>4.1666666666666664E-2</v>
      </c>
      <c r="T434">
        <v>2.9235491887151001E-4</v>
      </c>
      <c r="U434">
        <v>26</v>
      </c>
      <c r="V434">
        <v>0.27083333333333331</v>
      </c>
      <c r="W434">
        <v>1.9003069726648151E-3</v>
      </c>
      <c r="X434">
        <v>44</v>
      </c>
      <c r="Y434">
        <v>0.45833333333333331</v>
      </c>
      <c r="Z434">
        <v>3.2159041075866101E-3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">
      <c r="A435">
        <v>1229.6150115740675</v>
      </c>
      <c r="B435">
        <v>484</v>
      </c>
      <c r="C435">
        <v>11</v>
      </c>
      <c r="D435">
        <v>83</v>
      </c>
      <c r="E435">
        <v>34</v>
      </c>
      <c r="F435">
        <v>0</v>
      </c>
      <c r="G435">
        <v>29</v>
      </c>
      <c r="H435">
        <v>68</v>
      </c>
      <c r="I435">
        <v>0</v>
      </c>
      <c r="J435">
        <v>59</v>
      </c>
      <c r="K435">
        <v>15</v>
      </c>
      <c r="L435">
        <v>1523</v>
      </c>
      <c r="M435">
        <v>26</v>
      </c>
      <c r="N435">
        <v>1.7071569271175313E-2</v>
      </c>
      <c r="O435">
        <v>9</v>
      </c>
      <c r="P435">
        <v>0.34615384615384615</v>
      </c>
      <c r="Q435">
        <v>5.9093893630991464E-3</v>
      </c>
      <c r="R435">
        <v>11</v>
      </c>
      <c r="S435">
        <v>0.42307692307692307</v>
      </c>
      <c r="T435">
        <v>7.222586999343401E-3</v>
      </c>
      <c r="U435">
        <v>2</v>
      </c>
      <c r="V435">
        <v>7.6923076923076927E-2</v>
      </c>
      <c r="W435">
        <v>1.3131976362442547E-3</v>
      </c>
      <c r="X435">
        <v>2</v>
      </c>
      <c r="Y435">
        <v>7.6923076923076927E-2</v>
      </c>
      <c r="Z435">
        <v>1.3131976362442547E-3</v>
      </c>
      <c r="AA435">
        <v>0</v>
      </c>
      <c r="AB435">
        <v>0</v>
      </c>
      <c r="AC435">
        <v>0</v>
      </c>
      <c r="AD435">
        <v>2</v>
      </c>
      <c r="AE435">
        <v>7.6923076923076927E-2</v>
      </c>
      <c r="AF435">
        <v>1.3131976362442547E-3</v>
      </c>
    </row>
    <row r="436" spans="1:32" x14ac:dyDescent="0.2">
      <c r="A436">
        <v>774.77084490741254</v>
      </c>
      <c r="B436">
        <v>430</v>
      </c>
      <c r="C436">
        <v>4</v>
      </c>
      <c r="D436">
        <v>31</v>
      </c>
      <c r="E436">
        <v>19</v>
      </c>
      <c r="F436">
        <v>0</v>
      </c>
      <c r="G436">
        <v>13</v>
      </c>
      <c r="H436">
        <v>39</v>
      </c>
      <c r="I436">
        <v>0</v>
      </c>
      <c r="J436">
        <v>42</v>
      </c>
      <c r="K436">
        <v>16</v>
      </c>
      <c r="L436">
        <v>1296</v>
      </c>
      <c r="M436">
        <v>30</v>
      </c>
      <c r="N436">
        <v>2.3148148148148147E-2</v>
      </c>
      <c r="O436">
        <v>11</v>
      </c>
      <c r="P436">
        <v>0.36666666666666664</v>
      </c>
      <c r="Q436">
        <v>8.4876543209876538E-3</v>
      </c>
      <c r="R436">
        <v>12</v>
      </c>
      <c r="S436">
        <v>0.4</v>
      </c>
      <c r="T436">
        <v>9.2592592592592587E-3</v>
      </c>
      <c r="U436">
        <v>2</v>
      </c>
      <c r="V436">
        <v>6.6666666666666666E-2</v>
      </c>
      <c r="W436">
        <v>1.5432098765432098E-3</v>
      </c>
      <c r="X436">
        <v>3</v>
      </c>
      <c r="Y436">
        <v>0.1</v>
      </c>
      <c r="Z436">
        <v>2.3148148148148147E-3</v>
      </c>
      <c r="AA436">
        <v>0</v>
      </c>
      <c r="AB436">
        <v>0</v>
      </c>
      <c r="AC436">
        <v>0</v>
      </c>
      <c r="AD436">
        <v>2</v>
      </c>
      <c r="AE436">
        <v>6.6666666666666666E-2</v>
      </c>
      <c r="AF436">
        <v>1.5432098765432098E-3</v>
      </c>
    </row>
    <row r="437" spans="1:32" x14ac:dyDescent="0.2">
      <c r="A437">
        <v>1457.413460648153</v>
      </c>
      <c r="B437">
        <v>783</v>
      </c>
      <c r="C437">
        <v>52</v>
      </c>
      <c r="D437">
        <v>122</v>
      </c>
      <c r="E437">
        <v>48</v>
      </c>
      <c r="F437">
        <v>2</v>
      </c>
      <c r="G437">
        <v>42</v>
      </c>
      <c r="H437">
        <v>178</v>
      </c>
      <c r="I437">
        <v>2</v>
      </c>
      <c r="J437">
        <v>134</v>
      </c>
      <c r="K437">
        <v>4</v>
      </c>
      <c r="L437">
        <v>2905</v>
      </c>
      <c r="M437">
        <v>15</v>
      </c>
      <c r="N437">
        <v>5.1635111876075735E-3</v>
      </c>
      <c r="O437">
        <v>10</v>
      </c>
      <c r="P437">
        <v>0.66666666666666663</v>
      </c>
      <c r="Q437">
        <v>3.4423407917383822E-3</v>
      </c>
      <c r="R437">
        <v>0</v>
      </c>
      <c r="S437">
        <v>0</v>
      </c>
      <c r="T437">
        <v>0</v>
      </c>
      <c r="U437">
        <v>1</v>
      </c>
      <c r="V437">
        <v>6.6666666666666666E-2</v>
      </c>
      <c r="W437">
        <v>3.4423407917383823E-4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4</v>
      </c>
      <c r="AE437">
        <v>0.26666666666666666</v>
      </c>
      <c r="AF437">
        <v>1.3769363166953529E-3</v>
      </c>
    </row>
    <row r="438" spans="1:32" x14ac:dyDescent="0.2">
      <c r="A438">
        <v>2760.8396180555574</v>
      </c>
      <c r="B438">
        <v>41777</v>
      </c>
      <c r="C438">
        <v>1339</v>
      </c>
      <c r="D438">
        <v>13300</v>
      </c>
      <c r="E438">
        <v>738</v>
      </c>
      <c r="F438">
        <v>540</v>
      </c>
      <c r="G438">
        <v>2440</v>
      </c>
      <c r="H438">
        <v>28606</v>
      </c>
      <c r="I438">
        <v>283</v>
      </c>
      <c r="J438">
        <v>20034</v>
      </c>
      <c r="K438">
        <v>1338</v>
      </c>
      <c r="L438">
        <v>514390</v>
      </c>
      <c r="M438">
        <v>6524</v>
      </c>
      <c r="N438">
        <v>1.2682983728299539E-2</v>
      </c>
      <c r="O438">
        <v>2649</v>
      </c>
      <c r="P438">
        <v>0.40603923973022688</v>
      </c>
      <c r="Q438">
        <v>5.1497890705495828E-3</v>
      </c>
      <c r="R438">
        <v>563</v>
      </c>
      <c r="S438">
        <v>8.6296750459840588E-2</v>
      </c>
      <c r="T438">
        <v>1.0945002818872839E-3</v>
      </c>
      <c r="U438">
        <v>951</v>
      </c>
      <c r="V438">
        <v>0.14576946658491724</v>
      </c>
      <c r="W438">
        <v>1.8487917727794086E-3</v>
      </c>
      <c r="X438">
        <v>2052</v>
      </c>
      <c r="Y438">
        <v>0.31453096259963215</v>
      </c>
      <c r="Z438">
        <v>3.9891910806975255E-3</v>
      </c>
      <c r="AA438">
        <v>4</v>
      </c>
      <c r="AB438">
        <v>6.131207847946045E-4</v>
      </c>
      <c r="AC438">
        <v>7.7762009370322123E-6</v>
      </c>
      <c r="AD438">
        <v>305</v>
      </c>
      <c r="AE438">
        <v>4.6750459840588593E-2</v>
      </c>
      <c r="AF438">
        <v>5.9293532144870625E-4</v>
      </c>
    </row>
    <row r="439" spans="1:32" x14ac:dyDescent="0.2">
      <c r="A439">
        <v>1485.1476504629682</v>
      </c>
      <c r="B439">
        <v>870</v>
      </c>
      <c r="C439">
        <v>63</v>
      </c>
      <c r="D439">
        <v>264</v>
      </c>
      <c r="E439">
        <v>298</v>
      </c>
      <c r="F439">
        <v>7</v>
      </c>
      <c r="G439">
        <v>53</v>
      </c>
      <c r="H439">
        <v>1731</v>
      </c>
      <c r="I439">
        <v>3</v>
      </c>
      <c r="J439">
        <v>965</v>
      </c>
      <c r="K439">
        <v>26</v>
      </c>
      <c r="L439">
        <v>19966</v>
      </c>
      <c r="M439">
        <v>715</v>
      </c>
      <c r="N439">
        <v>3.5810878493438843E-2</v>
      </c>
      <c r="O439">
        <v>66</v>
      </c>
      <c r="P439">
        <v>9.2307692307692313E-2</v>
      </c>
      <c r="Q439">
        <v>3.3056195532405091E-3</v>
      </c>
      <c r="R439">
        <v>252</v>
      </c>
      <c r="S439">
        <v>0.35244755244755244</v>
      </c>
      <c r="T439">
        <v>1.2621456476009216E-2</v>
      </c>
      <c r="U439">
        <v>176</v>
      </c>
      <c r="V439">
        <v>0.24615384615384617</v>
      </c>
      <c r="W439">
        <v>8.814985475308023E-3</v>
      </c>
      <c r="X439">
        <v>195</v>
      </c>
      <c r="Y439">
        <v>0.27272727272727271</v>
      </c>
      <c r="Z439">
        <v>9.7666032254833217E-3</v>
      </c>
      <c r="AA439">
        <v>18</v>
      </c>
      <c r="AB439">
        <v>2.5174825174825177E-2</v>
      </c>
      <c r="AC439">
        <v>9.0153260542922967E-4</v>
      </c>
      <c r="AD439">
        <v>8</v>
      </c>
      <c r="AE439">
        <v>1.1188811188811189E-2</v>
      </c>
      <c r="AF439">
        <v>4.0068115796854651E-4</v>
      </c>
    </row>
    <row r="440" spans="1:32" x14ac:dyDescent="0.2">
      <c r="A440">
        <v>1510.5193518518499</v>
      </c>
      <c r="B440">
        <v>2032</v>
      </c>
      <c r="C440">
        <v>99</v>
      </c>
      <c r="D440">
        <v>653</v>
      </c>
      <c r="E440">
        <v>0</v>
      </c>
      <c r="F440">
        <v>2</v>
      </c>
      <c r="G440">
        <v>9</v>
      </c>
      <c r="H440">
        <v>12</v>
      </c>
      <c r="I440">
        <v>1</v>
      </c>
      <c r="J440">
        <v>83</v>
      </c>
      <c r="K440">
        <v>16</v>
      </c>
      <c r="L440">
        <v>3132</v>
      </c>
      <c r="M440">
        <v>85</v>
      </c>
      <c r="N440">
        <v>2.7139208173690931E-2</v>
      </c>
      <c r="O440">
        <v>0</v>
      </c>
      <c r="P440">
        <v>0</v>
      </c>
      <c r="Q440">
        <v>0</v>
      </c>
      <c r="R440">
        <v>19</v>
      </c>
      <c r="S440">
        <v>0.22352941176470589</v>
      </c>
      <c r="T440">
        <v>6.0664112388250317E-3</v>
      </c>
      <c r="U440">
        <v>0</v>
      </c>
      <c r="V440">
        <v>0</v>
      </c>
      <c r="W440">
        <v>0</v>
      </c>
      <c r="X440">
        <v>11</v>
      </c>
      <c r="Y440">
        <v>0.12941176470588237</v>
      </c>
      <c r="Z440">
        <v>3.5121328224776501E-3</v>
      </c>
      <c r="AA440">
        <v>0</v>
      </c>
      <c r="AB440">
        <v>0</v>
      </c>
      <c r="AC440">
        <v>0</v>
      </c>
      <c r="AD440">
        <v>55</v>
      </c>
      <c r="AE440">
        <v>0.6470588235294118</v>
      </c>
      <c r="AF440">
        <v>1.7560664112388252E-2</v>
      </c>
    </row>
    <row r="441" spans="1:32" x14ac:dyDescent="0.2">
      <c r="A441">
        <v>1246.8047453703693</v>
      </c>
      <c r="B441">
        <v>1917</v>
      </c>
      <c r="C441">
        <v>66</v>
      </c>
      <c r="D441">
        <v>519</v>
      </c>
      <c r="E441">
        <v>31</v>
      </c>
      <c r="F441">
        <v>1</v>
      </c>
      <c r="G441">
        <v>8</v>
      </c>
      <c r="H441">
        <v>22</v>
      </c>
      <c r="I441">
        <v>5</v>
      </c>
      <c r="J441">
        <v>186</v>
      </c>
      <c r="K441">
        <v>33</v>
      </c>
      <c r="L441">
        <v>2230</v>
      </c>
      <c r="M441">
        <v>37</v>
      </c>
      <c r="N441">
        <v>1.6591928251121078E-2</v>
      </c>
      <c r="O441">
        <v>15</v>
      </c>
      <c r="P441">
        <v>0.40540540540540543</v>
      </c>
      <c r="Q441">
        <v>6.7264573991031393E-3</v>
      </c>
      <c r="R441">
        <v>14</v>
      </c>
      <c r="S441">
        <v>0.3783783783783784</v>
      </c>
      <c r="T441">
        <v>6.2780269058295961E-3</v>
      </c>
      <c r="U441">
        <v>4</v>
      </c>
      <c r="V441">
        <v>0.10810810810810811</v>
      </c>
      <c r="W441">
        <v>1.7937219730941704E-3</v>
      </c>
      <c r="X441">
        <v>4</v>
      </c>
      <c r="Y441">
        <v>0.10810810810810811</v>
      </c>
      <c r="Z441">
        <v>1.7937219730941704E-3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">
      <c r="A442">
        <v>493.54016203703941</v>
      </c>
      <c r="B442">
        <v>1629</v>
      </c>
      <c r="C442">
        <v>45</v>
      </c>
      <c r="D442">
        <v>316</v>
      </c>
      <c r="E442">
        <v>0</v>
      </c>
      <c r="F442">
        <v>0</v>
      </c>
      <c r="G442">
        <v>0</v>
      </c>
      <c r="H442">
        <v>2</v>
      </c>
      <c r="I442">
        <v>2</v>
      </c>
      <c r="J442">
        <v>109</v>
      </c>
      <c r="K442">
        <v>28</v>
      </c>
      <c r="L442">
        <v>18203</v>
      </c>
      <c r="M442">
        <v>416</v>
      </c>
      <c r="N442">
        <v>2.2853375817172995E-2</v>
      </c>
      <c r="O442">
        <v>0</v>
      </c>
      <c r="P442">
        <v>0</v>
      </c>
      <c r="Q442">
        <v>0</v>
      </c>
      <c r="R442">
        <v>381</v>
      </c>
      <c r="S442">
        <v>0.91586538461538458</v>
      </c>
      <c r="T442">
        <v>2.0930615832555073E-2</v>
      </c>
      <c r="U442">
        <v>21</v>
      </c>
      <c r="V442">
        <v>5.0480769230769232E-2</v>
      </c>
      <c r="W442">
        <v>1.1536559907707521E-3</v>
      </c>
      <c r="X442">
        <v>14</v>
      </c>
      <c r="Y442">
        <v>3.3653846153846152E-2</v>
      </c>
      <c r="Z442">
        <v>7.6910399384716801E-4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">
      <c r="A443">
        <v>2091.9329398148184</v>
      </c>
      <c r="B443">
        <v>6482</v>
      </c>
      <c r="C443">
        <v>176</v>
      </c>
      <c r="D443">
        <v>365</v>
      </c>
      <c r="E443">
        <v>13</v>
      </c>
      <c r="F443">
        <v>17</v>
      </c>
      <c r="G443">
        <v>104</v>
      </c>
      <c r="H443">
        <v>439</v>
      </c>
      <c r="I443">
        <v>8</v>
      </c>
      <c r="J443">
        <v>444</v>
      </c>
      <c r="K443">
        <v>147</v>
      </c>
      <c r="L443">
        <v>8658</v>
      </c>
      <c r="M443">
        <v>3</v>
      </c>
      <c r="N443">
        <v>3.465003465003465E-4</v>
      </c>
      <c r="O443">
        <v>0</v>
      </c>
      <c r="P443">
        <v>0</v>
      </c>
      <c r="Q443">
        <v>0</v>
      </c>
      <c r="R443">
        <v>2</v>
      </c>
      <c r="S443">
        <v>0.66666666666666663</v>
      </c>
      <c r="T443">
        <v>2.3100023100023099E-4</v>
      </c>
      <c r="U443">
        <v>1</v>
      </c>
      <c r="V443">
        <v>0.33333333333333331</v>
      </c>
      <c r="W443">
        <v>1.155001155001155E-4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">
      <c r="A444">
        <v>702.50663194444496</v>
      </c>
      <c r="B444">
        <v>1234</v>
      </c>
      <c r="C444">
        <v>47</v>
      </c>
      <c r="D444">
        <v>308</v>
      </c>
      <c r="E444">
        <v>0</v>
      </c>
      <c r="F444">
        <v>4</v>
      </c>
      <c r="G444">
        <v>13</v>
      </c>
      <c r="H444">
        <v>18</v>
      </c>
      <c r="I444">
        <v>4</v>
      </c>
      <c r="J444">
        <v>87</v>
      </c>
      <c r="K444">
        <v>45</v>
      </c>
      <c r="L444">
        <v>602</v>
      </c>
      <c r="M444">
        <v>21</v>
      </c>
      <c r="N444">
        <v>3.4883720930232558E-2</v>
      </c>
      <c r="O444">
        <v>0</v>
      </c>
      <c r="P444">
        <v>0</v>
      </c>
      <c r="Q444">
        <v>0</v>
      </c>
      <c r="R444">
        <v>19</v>
      </c>
      <c r="S444">
        <v>0.90476190476190477</v>
      </c>
      <c r="T444">
        <v>3.1561461794019932E-2</v>
      </c>
      <c r="U444">
        <v>2</v>
      </c>
      <c r="V444">
        <v>9.5238095238095233E-2</v>
      </c>
      <c r="W444">
        <v>3.3222591362126247E-3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">
      <c r="A445">
        <v>892.56553240740323</v>
      </c>
      <c r="B445">
        <v>43587</v>
      </c>
      <c r="C445">
        <v>724</v>
      </c>
      <c r="D445">
        <v>10081</v>
      </c>
      <c r="E445">
        <v>55</v>
      </c>
      <c r="F445">
        <v>239</v>
      </c>
      <c r="G445">
        <v>800</v>
      </c>
      <c r="H445">
        <v>4703</v>
      </c>
      <c r="I445">
        <v>106</v>
      </c>
      <c r="J445">
        <v>6426</v>
      </c>
      <c r="K445">
        <v>578</v>
      </c>
      <c r="L445">
        <v>140175</v>
      </c>
      <c r="M445">
        <v>1367</v>
      </c>
      <c r="N445">
        <v>9.7520955947922247E-3</v>
      </c>
      <c r="O445">
        <v>13</v>
      </c>
      <c r="P445">
        <v>9.5098756400877841E-3</v>
      </c>
      <c r="Q445">
        <v>9.2741216336721959E-5</v>
      </c>
      <c r="R445">
        <v>933</v>
      </c>
      <c r="S445">
        <v>0.68251645940014627</v>
      </c>
      <c r="T445">
        <v>6.6559657570893528E-3</v>
      </c>
      <c r="U445">
        <v>320</v>
      </c>
      <c r="V445">
        <v>0.23408924652523774</v>
      </c>
      <c r="W445">
        <v>2.2828607098270021E-3</v>
      </c>
      <c r="X445">
        <v>100</v>
      </c>
      <c r="Y445">
        <v>7.3152889539136789E-2</v>
      </c>
      <c r="Z445">
        <v>7.1339397182093806E-4</v>
      </c>
      <c r="AA445">
        <v>1</v>
      </c>
      <c r="AB445">
        <v>7.3152889539136799E-4</v>
      </c>
      <c r="AC445">
        <v>7.1339397182093813E-6</v>
      </c>
      <c r="AD445">
        <v>0</v>
      </c>
      <c r="AE445">
        <v>0</v>
      </c>
      <c r="AF445">
        <v>0</v>
      </c>
    </row>
    <row r="446" spans="1:32" x14ac:dyDescent="0.2">
      <c r="A446">
        <v>578.9824305555594</v>
      </c>
      <c r="B446">
        <v>989</v>
      </c>
      <c r="C446">
        <v>29</v>
      </c>
      <c r="D446">
        <v>155</v>
      </c>
      <c r="E446">
        <v>0</v>
      </c>
      <c r="F446">
        <v>0</v>
      </c>
      <c r="G446">
        <v>6</v>
      </c>
      <c r="H446">
        <v>8</v>
      </c>
      <c r="I446">
        <v>0</v>
      </c>
      <c r="J446">
        <v>32</v>
      </c>
      <c r="K446">
        <v>2</v>
      </c>
      <c r="L446">
        <v>5089</v>
      </c>
      <c r="M446">
        <v>22</v>
      </c>
      <c r="N446">
        <v>4.323049715071723E-3</v>
      </c>
      <c r="O446">
        <v>1</v>
      </c>
      <c r="P446">
        <v>4.5454545454545456E-2</v>
      </c>
      <c r="Q446">
        <v>1.9650225977598743E-4</v>
      </c>
      <c r="R446">
        <v>17</v>
      </c>
      <c r="S446">
        <v>0.77272727272727271</v>
      </c>
      <c r="T446">
        <v>3.340538416191786E-3</v>
      </c>
      <c r="U446">
        <v>4</v>
      </c>
      <c r="V446">
        <v>0.18181818181818182</v>
      </c>
      <c r="W446">
        <v>7.8600903910394974E-4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">
      <c r="A447">
        <v>896.89512731481955</v>
      </c>
      <c r="B447">
        <v>332</v>
      </c>
      <c r="C447">
        <v>28</v>
      </c>
      <c r="D447">
        <v>91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4</v>
      </c>
      <c r="K447">
        <v>0</v>
      </c>
      <c r="L447">
        <v>14310</v>
      </c>
      <c r="M447">
        <v>13</v>
      </c>
      <c r="N447">
        <v>9.0845562543675747E-4</v>
      </c>
      <c r="O447">
        <v>0</v>
      </c>
      <c r="P447">
        <v>0</v>
      </c>
      <c r="Q447">
        <v>0</v>
      </c>
      <c r="R447">
        <v>10</v>
      </c>
      <c r="S447">
        <v>0.76923076923076927</v>
      </c>
      <c r="T447">
        <v>6.9881201956673651E-4</v>
      </c>
      <c r="U447">
        <v>0</v>
      </c>
      <c r="V447">
        <v>0</v>
      </c>
      <c r="W447">
        <v>0</v>
      </c>
      <c r="X447">
        <v>3</v>
      </c>
      <c r="Y447">
        <v>0.23076923076923078</v>
      </c>
      <c r="Z447">
        <v>2.0964360587002095E-4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">
      <c r="A448">
        <v>2044.0782175925924</v>
      </c>
      <c r="B448">
        <v>350</v>
      </c>
      <c r="C448">
        <v>54</v>
      </c>
      <c r="D448">
        <v>104</v>
      </c>
      <c r="E448">
        <v>0</v>
      </c>
      <c r="F448">
        <v>3</v>
      </c>
      <c r="G448">
        <v>11</v>
      </c>
      <c r="H448">
        <v>32</v>
      </c>
      <c r="I448">
        <v>6</v>
      </c>
      <c r="J448">
        <v>55</v>
      </c>
      <c r="K448">
        <v>31</v>
      </c>
      <c r="L448">
        <v>4779</v>
      </c>
      <c r="M448">
        <v>94</v>
      </c>
      <c r="N448">
        <v>1.9669386901025321E-2</v>
      </c>
      <c r="O448">
        <v>76</v>
      </c>
      <c r="P448">
        <v>0.80851063829787229</v>
      </c>
      <c r="Q448">
        <v>1.5902908558275791E-2</v>
      </c>
      <c r="R448">
        <v>4</v>
      </c>
      <c r="S448">
        <v>4.2553191489361701E-2</v>
      </c>
      <c r="T448">
        <v>8.3699518727767318E-4</v>
      </c>
      <c r="U448">
        <v>11</v>
      </c>
      <c r="V448">
        <v>0.11702127659574468</v>
      </c>
      <c r="W448">
        <v>2.3017367650136011E-3</v>
      </c>
      <c r="X448">
        <v>2</v>
      </c>
      <c r="Y448">
        <v>2.1276595744680851E-2</v>
      </c>
      <c r="Z448">
        <v>4.1849759363883659E-4</v>
      </c>
      <c r="AA448">
        <v>0</v>
      </c>
      <c r="AB448">
        <v>0</v>
      </c>
      <c r="AC448">
        <v>0</v>
      </c>
      <c r="AD448">
        <v>1</v>
      </c>
      <c r="AE448">
        <v>1.0638297872340425E-2</v>
      </c>
      <c r="AF448">
        <v>2.0924879681941829E-4</v>
      </c>
    </row>
    <row r="449" spans="1:32" x14ac:dyDescent="0.2">
      <c r="A449">
        <v>1547.6235532407445</v>
      </c>
      <c r="B449">
        <v>719</v>
      </c>
      <c r="C449">
        <v>80</v>
      </c>
      <c r="D449">
        <v>364</v>
      </c>
      <c r="E449">
        <v>0</v>
      </c>
      <c r="F449">
        <v>5</v>
      </c>
      <c r="G449">
        <v>46</v>
      </c>
      <c r="H449">
        <v>151</v>
      </c>
      <c r="I449">
        <v>0</v>
      </c>
      <c r="J449">
        <v>88</v>
      </c>
      <c r="K449">
        <v>31</v>
      </c>
      <c r="L449">
        <v>8000</v>
      </c>
      <c r="M449">
        <v>24</v>
      </c>
      <c r="N449">
        <v>3.0000000000000001E-3</v>
      </c>
      <c r="O449">
        <v>2</v>
      </c>
      <c r="P449">
        <v>8.3333333333333329E-2</v>
      </c>
      <c r="Q449">
        <v>2.5000000000000001E-4</v>
      </c>
      <c r="R449">
        <v>3</v>
      </c>
      <c r="S449">
        <v>0.125</v>
      </c>
      <c r="T449">
        <v>3.7500000000000001E-4</v>
      </c>
      <c r="U449">
        <v>0</v>
      </c>
      <c r="V449">
        <v>0</v>
      </c>
      <c r="W449">
        <v>0</v>
      </c>
      <c r="X449">
        <v>19</v>
      </c>
      <c r="Y449">
        <v>0.79166666666666663</v>
      </c>
      <c r="Z449">
        <v>2.3749999999999999E-3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">
      <c r="A450">
        <v>1568.6505092592633</v>
      </c>
      <c r="B450">
        <v>531</v>
      </c>
      <c r="C450">
        <v>67</v>
      </c>
      <c r="D450">
        <v>472</v>
      </c>
      <c r="E450">
        <v>24</v>
      </c>
      <c r="F450">
        <v>6</v>
      </c>
      <c r="G450">
        <v>71</v>
      </c>
      <c r="H450">
        <v>1643</v>
      </c>
      <c r="I450">
        <v>15</v>
      </c>
      <c r="J450">
        <v>33</v>
      </c>
      <c r="K450">
        <v>28</v>
      </c>
      <c r="L450">
        <v>28763</v>
      </c>
      <c r="M450">
        <v>329</v>
      </c>
      <c r="N450">
        <v>1.1438306157215868E-2</v>
      </c>
      <c r="O450">
        <v>65</v>
      </c>
      <c r="P450">
        <v>0.19756838905775076</v>
      </c>
      <c r="Q450">
        <v>2.2598477210304907E-3</v>
      </c>
      <c r="R450">
        <v>143</v>
      </c>
      <c r="S450">
        <v>0.43465045592705165</v>
      </c>
      <c r="T450">
        <v>4.9716649862670791E-3</v>
      </c>
      <c r="U450">
        <v>28</v>
      </c>
      <c r="V450">
        <v>8.5106382978723402E-2</v>
      </c>
      <c r="W450">
        <v>9.7347286444390358E-4</v>
      </c>
      <c r="X450">
        <v>77</v>
      </c>
      <c r="Y450">
        <v>0.23404255319148937</v>
      </c>
      <c r="Z450">
        <v>2.6770503772207349E-3</v>
      </c>
      <c r="AA450">
        <v>0</v>
      </c>
      <c r="AB450">
        <v>0</v>
      </c>
      <c r="AC450">
        <v>0</v>
      </c>
      <c r="AD450">
        <v>16</v>
      </c>
      <c r="AE450">
        <v>4.8632218844984802E-2</v>
      </c>
      <c r="AF450">
        <v>5.562702082536592E-4</v>
      </c>
    </row>
    <row r="451" spans="1:32" x14ac:dyDescent="0.2">
      <c r="A451">
        <v>1801.9858217592628</v>
      </c>
      <c r="B451">
        <v>1316</v>
      </c>
      <c r="C451">
        <v>148</v>
      </c>
      <c r="D451">
        <v>670</v>
      </c>
      <c r="E451">
        <v>0</v>
      </c>
      <c r="F451">
        <v>21</v>
      </c>
      <c r="G451">
        <v>76</v>
      </c>
      <c r="H451">
        <v>2364</v>
      </c>
      <c r="I451">
        <v>13</v>
      </c>
      <c r="J451">
        <v>7</v>
      </c>
      <c r="K451">
        <v>5</v>
      </c>
      <c r="L451">
        <v>19623</v>
      </c>
      <c r="M451">
        <v>345</v>
      </c>
      <c r="N451">
        <v>1.7581409570402079E-2</v>
      </c>
      <c r="O451">
        <v>190</v>
      </c>
      <c r="P451">
        <v>0.55072463768115942</v>
      </c>
      <c r="Q451">
        <v>9.6825154155837541E-3</v>
      </c>
      <c r="R451">
        <v>49</v>
      </c>
      <c r="S451">
        <v>0.14202898550724638</v>
      </c>
      <c r="T451">
        <v>2.4970697650715996E-3</v>
      </c>
      <c r="U451">
        <v>45</v>
      </c>
      <c r="V451">
        <v>0.13043478260869565</v>
      </c>
      <c r="W451">
        <v>2.2932273352698363E-3</v>
      </c>
      <c r="X451">
        <v>30</v>
      </c>
      <c r="Y451">
        <v>8.6956521739130432E-2</v>
      </c>
      <c r="Z451">
        <v>1.5288182235132244E-3</v>
      </c>
      <c r="AA451">
        <v>0</v>
      </c>
      <c r="AB451">
        <v>0</v>
      </c>
      <c r="AC451">
        <v>0</v>
      </c>
      <c r="AD451">
        <v>31</v>
      </c>
      <c r="AE451">
        <v>8.9855072463768115E-2</v>
      </c>
      <c r="AF451">
        <v>1.5797788309636651E-3</v>
      </c>
    </row>
    <row r="452" spans="1:32" x14ac:dyDescent="0.2">
      <c r="A452">
        <v>3293.0139814814829</v>
      </c>
      <c r="B452">
        <v>2104</v>
      </c>
      <c r="C452">
        <v>112</v>
      </c>
      <c r="D452">
        <v>351</v>
      </c>
      <c r="E452">
        <v>85</v>
      </c>
      <c r="F452">
        <v>952</v>
      </c>
      <c r="G452">
        <v>64</v>
      </c>
      <c r="H452">
        <v>4186</v>
      </c>
      <c r="I452">
        <v>4</v>
      </c>
      <c r="J452">
        <v>2384</v>
      </c>
      <c r="K452">
        <v>139</v>
      </c>
      <c r="L452">
        <v>34790</v>
      </c>
      <c r="M452">
        <v>76</v>
      </c>
      <c r="N452">
        <v>2.1845357861454439E-3</v>
      </c>
      <c r="O452">
        <v>4</v>
      </c>
      <c r="P452">
        <v>5.2631578947368418E-2</v>
      </c>
      <c r="Q452">
        <v>1.1497556769186548E-4</v>
      </c>
      <c r="R452">
        <v>43</v>
      </c>
      <c r="S452">
        <v>0.56578947368421051</v>
      </c>
      <c r="T452">
        <v>1.2359873526875539E-3</v>
      </c>
      <c r="U452">
        <v>21</v>
      </c>
      <c r="V452">
        <v>0.27631578947368424</v>
      </c>
      <c r="W452">
        <v>6.0362173038229375E-4</v>
      </c>
      <c r="X452">
        <v>2</v>
      </c>
      <c r="Y452">
        <v>2.6315789473684209E-2</v>
      </c>
      <c r="Z452">
        <v>5.7487783845932742E-5</v>
      </c>
      <c r="AA452">
        <v>4</v>
      </c>
      <c r="AB452">
        <v>5.2631578947368418E-2</v>
      </c>
      <c r="AC452">
        <v>1.1497556769186548E-4</v>
      </c>
      <c r="AD452">
        <v>2</v>
      </c>
      <c r="AE452">
        <v>2.6315789473684209E-2</v>
      </c>
      <c r="AF452">
        <v>5.7487783845932742E-5</v>
      </c>
    </row>
    <row r="453" spans="1:32" x14ac:dyDescent="0.2">
      <c r="A453">
        <v>147.51133101851883</v>
      </c>
      <c r="B453">
        <v>1589</v>
      </c>
      <c r="C453">
        <v>47</v>
      </c>
      <c r="D453">
        <v>151</v>
      </c>
      <c r="E453">
        <v>0</v>
      </c>
      <c r="F453">
        <v>0</v>
      </c>
      <c r="G453">
        <v>12</v>
      </c>
      <c r="H453">
        <v>21</v>
      </c>
      <c r="I453">
        <v>0</v>
      </c>
      <c r="J453">
        <v>117</v>
      </c>
      <c r="K453">
        <v>26</v>
      </c>
      <c r="L453">
        <v>2767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">
      <c r="A454">
        <v>1192.896539351852</v>
      </c>
      <c r="B454">
        <v>4139</v>
      </c>
      <c r="C454">
        <v>168</v>
      </c>
      <c r="D454">
        <v>1662</v>
      </c>
      <c r="E454">
        <v>0</v>
      </c>
      <c r="F454">
        <v>1</v>
      </c>
      <c r="G454">
        <v>0</v>
      </c>
      <c r="H454">
        <v>2</v>
      </c>
      <c r="I454">
        <v>1</v>
      </c>
      <c r="J454">
        <v>88</v>
      </c>
      <c r="K454">
        <v>43</v>
      </c>
      <c r="L454">
        <v>45738</v>
      </c>
      <c r="M454">
        <v>100</v>
      </c>
      <c r="N454">
        <v>2.1863658227294592E-3</v>
      </c>
      <c r="O454">
        <v>2</v>
      </c>
      <c r="P454">
        <v>0.02</v>
      </c>
      <c r="Q454">
        <v>4.372731645458918E-5</v>
      </c>
      <c r="R454">
        <v>90</v>
      </c>
      <c r="S454">
        <v>0.9</v>
      </c>
      <c r="T454">
        <v>1.9677292404565133E-3</v>
      </c>
      <c r="U454">
        <v>7</v>
      </c>
      <c r="V454">
        <v>7.0000000000000007E-2</v>
      </c>
      <c r="W454">
        <v>1.5304560759106213E-4</v>
      </c>
      <c r="X454">
        <v>1</v>
      </c>
      <c r="Y454">
        <v>0.01</v>
      </c>
      <c r="Z454">
        <v>2.186365822729459E-5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">
      <c r="A455">
        <v>2558.4317824074096</v>
      </c>
      <c r="B455">
        <v>2064</v>
      </c>
      <c r="C455">
        <v>69</v>
      </c>
      <c r="D455">
        <v>111</v>
      </c>
      <c r="E455">
        <v>0</v>
      </c>
      <c r="F455">
        <v>31</v>
      </c>
      <c r="G455">
        <v>18</v>
      </c>
      <c r="H455">
        <v>90</v>
      </c>
      <c r="I455">
        <v>2</v>
      </c>
      <c r="J455">
        <v>242</v>
      </c>
      <c r="K455">
        <v>9</v>
      </c>
      <c r="L455">
        <v>7962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">
      <c r="A456">
        <v>750.86626157407591</v>
      </c>
      <c r="B456">
        <v>379</v>
      </c>
      <c r="C456">
        <v>37</v>
      </c>
      <c r="D456">
        <v>58</v>
      </c>
      <c r="E456">
        <v>3</v>
      </c>
      <c r="F456">
        <v>0</v>
      </c>
      <c r="G456">
        <v>9</v>
      </c>
      <c r="H456">
        <v>35</v>
      </c>
      <c r="I456">
        <v>4</v>
      </c>
      <c r="J456">
        <v>9</v>
      </c>
      <c r="K456">
        <v>1</v>
      </c>
      <c r="L456">
        <v>703</v>
      </c>
      <c r="M456">
        <v>6</v>
      </c>
      <c r="N456">
        <v>8.5348506401137988E-3</v>
      </c>
      <c r="O456">
        <v>0</v>
      </c>
      <c r="P456">
        <v>0</v>
      </c>
      <c r="Q456">
        <v>0</v>
      </c>
      <c r="R456">
        <v>5</v>
      </c>
      <c r="S456">
        <v>0.83333333333333337</v>
      </c>
      <c r="T456">
        <v>7.1123755334281651E-3</v>
      </c>
      <c r="U456">
        <v>0</v>
      </c>
      <c r="V456">
        <v>0</v>
      </c>
      <c r="W456">
        <v>0</v>
      </c>
      <c r="X456">
        <v>1</v>
      </c>
      <c r="Y456">
        <v>0.16666666666666666</v>
      </c>
      <c r="Z456">
        <v>1.4224751066856331E-3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">
      <c r="A457">
        <v>1791.1164814814838</v>
      </c>
      <c r="B457">
        <v>1794</v>
      </c>
      <c r="C457">
        <v>75</v>
      </c>
      <c r="D457">
        <v>242</v>
      </c>
      <c r="E457">
        <v>5</v>
      </c>
      <c r="F457">
        <v>5</v>
      </c>
      <c r="G457">
        <v>22</v>
      </c>
      <c r="H457">
        <v>130</v>
      </c>
      <c r="I457">
        <v>8</v>
      </c>
      <c r="J457">
        <v>190</v>
      </c>
      <c r="K457">
        <v>34</v>
      </c>
      <c r="L457">
        <v>1628</v>
      </c>
      <c r="M457">
        <v>18</v>
      </c>
      <c r="N457">
        <v>1.1056511056511056E-2</v>
      </c>
      <c r="O457">
        <v>6</v>
      </c>
      <c r="P457">
        <v>0.33333333333333331</v>
      </c>
      <c r="Q457">
        <v>3.6855036855036856E-3</v>
      </c>
      <c r="R457">
        <v>8</v>
      </c>
      <c r="S457">
        <v>0.44444444444444442</v>
      </c>
      <c r="T457">
        <v>4.9140049140049139E-3</v>
      </c>
      <c r="U457">
        <v>0</v>
      </c>
      <c r="V457">
        <v>0</v>
      </c>
      <c r="W457">
        <v>0</v>
      </c>
      <c r="X457">
        <v>4</v>
      </c>
      <c r="Y457">
        <v>0.22222222222222221</v>
      </c>
      <c r="Z457">
        <v>2.4570024570024569E-3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">
      <c r="A458">
        <v>743.31400462962483</v>
      </c>
      <c r="B458">
        <v>470</v>
      </c>
      <c r="C458">
        <v>36</v>
      </c>
      <c r="D458">
        <v>65</v>
      </c>
      <c r="E458">
        <v>0</v>
      </c>
      <c r="F458">
        <v>1</v>
      </c>
      <c r="G458">
        <v>5</v>
      </c>
      <c r="H458">
        <v>12</v>
      </c>
      <c r="I458">
        <v>3</v>
      </c>
      <c r="J458">
        <v>16</v>
      </c>
      <c r="K458">
        <v>8</v>
      </c>
      <c r="L458">
        <v>1041</v>
      </c>
      <c r="M458">
        <v>5</v>
      </c>
      <c r="N458">
        <v>4.8030739673390974E-3</v>
      </c>
      <c r="O458">
        <v>0</v>
      </c>
      <c r="P458">
        <v>0</v>
      </c>
      <c r="Q458">
        <v>0</v>
      </c>
      <c r="R458">
        <v>3</v>
      </c>
      <c r="S458">
        <v>0.6</v>
      </c>
      <c r="T458">
        <v>2.881844380403458E-3</v>
      </c>
      <c r="U458">
        <v>0</v>
      </c>
      <c r="V458">
        <v>0</v>
      </c>
      <c r="W458">
        <v>0</v>
      </c>
      <c r="X458">
        <v>2</v>
      </c>
      <c r="Y458">
        <v>0.4</v>
      </c>
      <c r="Z458">
        <v>1.9212295869356388E-3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">
      <c r="A459">
        <v>785.80877314814279</v>
      </c>
      <c r="B459">
        <v>484</v>
      </c>
      <c r="C459">
        <v>21</v>
      </c>
      <c r="D459">
        <v>84</v>
      </c>
      <c r="E459">
        <v>0</v>
      </c>
      <c r="F459">
        <v>0</v>
      </c>
      <c r="G459">
        <v>0</v>
      </c>
      <c r="H459">
        <v>1</v>
      </c>
      <c r="I459">
        <v>1</v>
      </c>
      <c r="J459">
        <v>3</v>
      </c>
      <c r="K459">
        <v>3</v>
      </c>
      <c r="L459">
        <v>153</v>
      </c>
      <c r="M459">
        <v>3</v>
      </c>
      <c r="N459">
        <v>1.9607843137254902E-2</v>
      </c>
      <c r="O459">
        <v>1</v>
      </c>
      <c r="P459">
        <v>0.33333333333333331</v>
      </c>
      <c r="Q459">
        <v>6.5359477124183009E-3</v>
      </c>
      <c r="R459">
        <v>0</v>
      </c>
      <c r="S459">
        <v>0</v>
      </c>
      <c r="T459">
        <v>0</v>
      </c>
      <c r="U459">
        <v>2</v>
      </c>
      <c r="V459">
        <v>0.66666666666666663</v>
      </c>
      <c r="W459">
        <v>1.3071895424836602E-2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">
      <c r="A460">
        <v>2778.4278125000055</v>
      </c>
      <c r="B460">
        <v>9174</v>
      </c>
      <c r="C460">
        <v>195</v>
      </c>
      <c r="D460">
        <v>558</v>
      </c>
      <c r="E460">
        <v>0</v>
      </c>
      <c r="F460">
        <v>0</v>
      </c>
      <c r="G460">
        <v>15</v>
      </c>
      <c r="H460">
        <v>37</v>
      </c>
      <c r="I460">
        <v>11</v>
      </c>
      <c r="J460">
        <v>237</v>
      </c>
      <c r="K460">
        <v>114</v>
      </c>
      <c r="L460">
        <v>2494</v>
      </c>
      <c r="M460">
        <v>68</v>
      </c>
      <c r="N460">
        <v>2.7265437048917401E-2</v>
      </c>
      <c r="O460">
        <v>5</v>
      </c>
      <c r="P460">
        <v>7.3529411764705885E-2</v>
      </c>
      <c r="Q460">
        <v>2.0048115477145148E-3</v>
      </c>
      <c r="R460">
        <v>49</v>
      </c>
      <c r="S460">
        <v>0.72058823529411764</v>
      </c>
      <c r="T460">
        <v>1.9647153167602245E-2</v>
      </c>
      <c r="U460">
        <v>5</v>
      </c>
      <c r="V460">
        <v>7.3529411764705885E-2</v>
      </c>
      <c r="W460">
        <v>2.0048115477145148E-3</v>
      </c>
      <c r="X460">
        <v>9</v>
      </c>
      <c r="Y460">
        <v>0.13235294117647059</v>
      </c>
      <c r="Z460">
        <v>3.6086607858861267E-3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">
      <c r="A461">
        <v>2565.09811342592</v>
      </c>
      <c r="B461">
        <v>3403</v>
      </c>
      <c r="C461">
        <v>87</v>
      </c>
      <c r="D461">
        <v>311</v>
      </c>
      <c r="E461">
        <v>10</v>
      </c>
      <c r="F461">
        <v>3</v>
      </c>
      <c r="G461">
        <v>81</v>
      </c>
      <c r="H461">
        <v>324</v>
      </c>
      <c r="I461">
        <v>5</v>
      </c>
      <c r="J461">
        <v>490</v>
      </c>
      <c r="K461">
        <v>87</v>
      </c>
      <c r="L461">
        <v>9982</v>
      </c>
      <c r="M461">
        <v>45</v>
      </c>
      <c r="N461">
        <v>4.5081146062913241E-3</v>
      </c>
      <c r="O461">
        <v>8</v>
      </c>
      <c r="P461">
        <v>0.17777777777777778</v>
      </c>
      <c r="Q461">
        <v>8.0144259667401323E-4</v>
      </c>
      <c r="R461">
        <v>11</v>
      </c>
      <c r="S461">
        <v>0.24444444444444444</v>
      </c>
      <c r="T461">
        <v>1.1019835704267683E-3</v>
      </c>
      <c r="U461">
        <v>24</v>
      </c>
      <c r="V461">
        <v>0.53333333333333333</v>
      </c>
      <c r="W461">
        <v>2.4043277900220395E-3</v>
      </c>
      <c r="X461">
        <v>2</v>
      </c>
      <c r="Y461">
        <v>4.4444444444444446E-2</v>
      </c>
      <c r="Z461">
        <v>2.0036064916850331E-4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">
      <c r="A462">
        <v>369.84444444443943</v>
      </c>
      <c r="B462">
        <v>2498</v>
      </c>
      <c r="C462">
        <v>81</v>
      </c>
      <c r="D462">
        <v>563</v>
      </c>
      <c r="E462">
        <v>0</v>
      </c>
      <c r="F462">
        <v>3</v>
      </c>
      <c r="G462">
        <v>8</v>
      </c>
      <c r="H462">
        <v>26</v>
      </c>
      <c r="I462">
        <v>7</v>
      </c>
      <c r="J462">
        <v>342</v>
      </c>
      <c r="K462">
        <v>208</v>
      </c>
      <c r="L462">
        <v>5780</v>
      </c>
      <c r="M462">
        <v>27</v>
      </c>
      <c r="N462">
        <v>4.6712802768166086E-3</v>
      </c>
      <c r="O462">
        <v>5</v>
      </c>
      <c r="P462">
        <v>0.18518518518518517</v>
      </c>
      <c r="Q462">
        <v>8.6505190311418688E-4</v>
      </c>
      <c r="R462">
        <v>18</v>
      </c>
      <c r="S462">
        <v>0.66666666666666663</v>
      </c>
      <c r="T462">
        <v>3.1141868512110727E-3</v>
      </c>
      <c r="U462">
        <v>0</v>
      </c>
      <c r="V462">
        <v>0</v>
      </c>
      <c r="W462">
        <v>0</v>
      </c>
      <c r="X462">
        <v>4</v>
      </c>
      <c r="Y462">
        <v>0.14814814814814814</v>
      </c>
      <c r="Z462">
        <v>6.9204152249134946E-4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">
      <c r="A463">
        <v>3728.6768287037048</v>
      </c>
      <c r="B463">
        <v>1268</v>
      </c>
      <c r="C463">
        <v>61</v>
      </c>
      <c r="D463">
        <v>159</v>
      </c>
      <c r="E463">
        <v>10</v>
      </c>
      <c r="F463">
        <v>43</v>
      </c>
      <c r="G463">
        <v>16</v>
      </c>
      <c r="H463">
        <v>45</v>
      </c>
      <c r="I463">
        <v>0</v>
      </c>
      <c r="J463">
        <v>263</v>
      </c>
      <c r="K463">
        <v>8</v>
      </c>
      <c r="L463">
        <v>18827</v>
      </c>
      <c r="M463">
        <v>454</v>
      </c>
      <c r="N463">
        <v>2.4114303925213788E-2</v>
      </c>
      <c r="O463">
        <v>93</v>
      </c>
      <c r="P463">
        <v>0.20484581497797358</v>
      </c>
      <c r="Q463">
        <v>4.9397142401869654E-3</v>
      </c>
      <c r="R463">
        <v>90</v>
      </c>
      <c r="S463">
        <v>0.19823788546255505</v>
      </c>
      <c r="T463">
        <v>4.7803686195357735E-3</v>
      </c>
      <c r="U463">
        <v>79</v>
      </c>
      <c r="V463">
        <v>0.17400881057268722</v>
      </c>
      <c r="W463">
        <v>4.1961013438147343E-3</v>
      </c>
      <c r="X463">
        <v>155</v>
      </c>
      <c r="Y463">
        <v>0.34140969162995594</v>
      </c>
      <c r="Z463">
        <v>8.232857066978275E-3</v>
      </c>
      <c r="AA463">
        <v>10</v>
      </c>
      <c r="AB463">
        <v>2.2026431718061675E-2</v>
      </c>
      <c r="AC463">
        <v>5.3115206883730815E-4</v>
      </c>
      <c r="AD463">
        <v>27</v>
      </c>
      <c r="AE463">
        <v>5.9471365638766517E-2</v>
      </c>
      <c r="AF463">
        <v>1.4341105858607318E-3</v>
      </c>
    </row>
    <row r="464" spans="1:32" x14ac:dyDescent="0.2">
      <c r="A464">
        <v>396.63578703704115</v>
      </c>
      <c r="B464">
        <v>388</v>
      </c>
      <c r="C464">
        <v>11</v>
      </c>
      <c r="D464">
        <v>46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23</v>
      </c>
      <c r="K464">
        <v>12</v>
      </c>
      <c r="L464">
        <v>15599</v>
      </c>
      <c r="M464">
        <v>14</v>
      </c>
      <c r="N464">
        <v>8.9749342906596578E-4</v>
      </c>
      <c r="O464">
        <v>5</v>
      </c>
      <c r="P464">
        <v>0.35714285714285715</v>
      </c>
      <c r="Q464">
        <v>3.2053336752355918E-4</v>
      </c>
      <c r="R464">
        <v>5</v>
      </c>
      <c r="S464">
        <v>0.35714285714285715</v>
      </c>
      <c r="T464">
        <v>3.2053336752355918E-4</v>
      </c>
      <c r="U464">
        <v>4</v>
      </c>
      <c r="V464">
        <v>0.2857142857142857</v>
      </c>
      <c r="W464">
        <v>2.5642669401884736E-4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">
      <c r="A465">
        <v>1093.4373495370382</v>
      </c>
      <c r="B465">
        <v>3194</v>
      </c>
      <c r="C465">
        <v>86</v>
      </c>
      <c r="D465">
        <v>392</v>
      </c>
      <c r="E465">
        <v>7</v>
      </c>
      <c r="F465">
        <v>1</v>
      </c>
      <c r="G465">
        <v>10</v>
      </c>
      <c r="H465">
        <v>55</v>
      </c>
      <c r="I465">
        <v>8</v>
      </c>
      <c r="J465">
        <v>83</v>
      </c>
      <c r="K465">
        <v>36</v>
      </c>
      <c r="L465">
        <v>1601</v>
      </c>
      <c r="M465">
        <v>28</v>
      </c>
      <c r="N465">
        <v>1.7489069331667707E-2</v>
      </c>
      <c r="O465">
        <v>14</v>
      </c>
      <c r="P465">
        <v>0.5</v>
      </c>
      <c r="Q465">
        <v>8.7445346658338533E-3</v>
      </c>
      <c r="R465">
        <v>12</v>
      </c>
      <c r="S465">
        <v>0.42857142857142855</v>
      </c>
      <c r="T465">
        <v>7.4953154278575894E-3</v>
      </c>
      <c r="U465">
        <v>1</v>
      </c>
      <c r="V465">
        <v>3.5714285714285712E-2</v>
      </c>
      <c r="W465">
        <v>6.2460961898813238E-4</v>
      </c>
      <c r="X465">
        <v>1</v>
      </c>
      <c r="Y465">
        <v>3.5714285714285712E-2</v>
      </c>
      <c r="Z465">
        <v>6.2460961898813238E-4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">
      <c r="A466">
        <v>2459.4696064814852</v>
      </c>
      <c r="B466">
        <v>327</v>
      </c>
      <c r="C466">
        <v>18</v>
      </c>
      <c r="D466">
        <v>27</v>
      </c>
      <c r="E466">
        <v>3</v>
      </c>
      <c r="F466">
        <v>2</v>
      </c>
      <c r="G466">
        <v>13</v>
      </c>
      <c r="H466">
        <v>27</v>
      </c>
      <c r="I466">
        <v>3</v>
      </c>
      <c r="J466">
        <v>79</v>
      </c>
      <c r="K466">
        <v>21</v>
      </c>
      <c r="L466">
        <v>2234</v>
      </c>
      <c r="M466">
        <v>9</v>
      </c>
      <c r="N466">
        <v>4.0286481647269475E-3</v>
      </c>
      <c r="O466">
        <v>9</v>
      </c>
      <c r="P466">
        <v>1</v>
      </c>
      <c r="Q466">
        <v>4.0286481647269475E-3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">
      <c r="A467">
        <v>788.68384259259619</v>
      </c>
      <c r="B467">
        <v>396</v>
      </c>
      <c r="C467">
        <v>38</v>
      </c>
      <c r="D467">
        <v>62</v>
      </c>
      <c r="E467">
        <v>4</v>
      </c>
      <c r="F467">
        <v>0</v>
      </c>
      <c r="G467">
        <v>22</v>
      </c>
      <c r="H467">
        <v>25</v>
      </c>
      <c r="I467">
        <v>8</v>
      </c>
      <c r="J467">
        <v>34</v>
      </c>
      <c r="K467">
        <v>13</v>
      </c>
      <c r="L467">
        <v>18444</v>
      </c>
      <c r="M467">
        <v>311</v>
      </c>
      <c r="N467">
        <v>1.6861852092821514E-2</v>
      </c>
      <c r="O467">
        <v>111</v>
      </c>
      <c r="P467">
        <v>0.35691318327974275</v>
      </c>
      <c r="Q467">
        <v>6.0182173064411192E-3</v>
      </c>
      <c r="R467">
        <v>37</v>
      </c>
      <c r="S467">
        <v>0.11897106109324759</v>
      </c>
      <c r="T467">
        <v>2.0060724354803729E-3</v>
      </c>
      <c r="U467">
        <v>12</v>
      </c>
      <c r="V467">
        <v>3.8585209003215437E-2</v>
      </c>
      <c r="W467">
        <v>6.5061808718282373E-4</v>
      </c>
      <c r="X467">
        <v>18</v>
      </c>
      <c r="Y467">
        <v>5.7877813504823149E-2</v>
      </c>
      <c r="Z467">
        <v>9.7592713077423554E-4</v>
      </c>
      <c r="AA467">
        <v>1</v>
      </c>
      <c r="AB467">
        <v>3.2154340836012861E-3</v>
      </c>
      <c r="AC467">
        <v>5.4218173931901971E-5</v>
      </c>
      <c r="AD467">
        <v>132</v>
      </c>
      <c r="AE467">
        <v>0.42443729903536975</v>
      </c>
      <c r="AF467">
        <v>7.1567989590110605E-3</v>
      </c>
    </row>
    <row r="468" spans="1:32" x14ac:dyDescent="0.2">
      <c r="A468">
        <v>1285.3584606481454</v>
      </c>
      <c r="B468">
        <v>1953</v>
      </c>
      <c r="C468">
        <v>131</v>
      </c>
      <c r="D468">
        <v>378</v>
      </c>
      <c r="E468">
        <v>9</v>
      </c>
      <c r="F468">
        <v>1</v>
      </c>
      <c r="G468">
        <v>31</v>
      </c>
      <c r="H468">
        <v>217</v>
      </c>
      <c r="I468">
        <v>8</v>
      </c>
      <c r="J468">
        <v>259</v>
      </c>
      <c r="K468">
        <v>76</v>
      </c>
      <c r="L468">
        <v>22551</v>
      </c>
      <c r="M468">
        <v>74</v>
      </c>
      <c r="N468">
        <v>3.2814509334397586E-3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20</v>
      </c>
      <c r="V468">
        <v>0.27027027027027029</v>
      </c>
      <c r="W468">
        <v>8.868786306593943E-4</v>
      </c>
      <c r="X468">
        <v>54</v>
      </c>
      <c r="Y468">
        <v>0.72972972972972971</v>
      </c>
      <c r="Z468">
        <v>2.3945723027803643E-3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">
      <c r="A469">
        <v>1056.5530208333366</v>
      </c>
      <c r="B469">
        <v>2629</v>
      </c>
      <c r="C469">
        <v>168</v>
      </c>
      <c r="D469">
        <v>393</v>
      </c>
      <c r="E469">
        <v>13</v>
      </c>
      <c r="F469">
        <v>0</v>
      </c>
      <c r="G469">
        <v>31</v>
      </c>
      <c r="H469">
        <v>98</v>
      </c>
      <c r="I469">
        <v>10</v>
      </c>
      <c r="J469">
        <v>120</v>
      </c>
      <c r="K469">
        <v>15</v>
      </c>
      <c r="L469">
        <v>21839</v>
      </c>
      <c r="M469">
        <v>280</v>
      </c>
      <c r="N469">
        <v>1.2821099867210037E-2</v>
      </c>
      <c r="O469">
        <v>1</v>
      </c>
      <c r="P469">
        <v>3.5714285714285713E-3</v>
      </c>
      <c r="Q469">
        <v>4.5789642382892991E-5</v>
      </c>
      <c r="R469">
        <v>231</v>
      </c>
      <c r="S469">
        <v>0.82499999999999996</v>
      </c>
      <c r="T469">
        <v>1.057740739044828E-2</v>
      </c>
      <c r="U469">
        <v>8</v>
      </c>
      <c r="V469">
        <v>2.8571428571428571E-2</v>
      </c>
      <c r="W469">
        <v>3.6631713906314393E-4</v>
      </c>
      <c r="X469">
        <v>40</v>
      </c>
      <c r="Y469">
        <v>0.14285714285714285</v>
      </c>
      <c r="Z469">
        <v>1.8315856953157197E-3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">
      <c r="A470">
        <v>464.21343750000233</v>
      </c>
      <c r="B470">
        <v>1776</v>
      </c>
      <c r="C470">
        <v>75</v>
      </c>
      <c r="D470">
        <v>184</v>
      </c>
      <c r="E470">
        <v>24</v>
      </c>
      <c r="F470">
        <v>2</v>
      </c>
      <c r="G470">
        <v>21</v>
      </c>
      <c r="H470">
        <v>260</v>
      </c>
      <c r="I470">
        <v>2</v>
      </c>
      <c r="J470">
        <v>134</v>
      </c>
      <c r="K470">
        <v>28</v>
      </c>
      <c r="L470">
        <v>5636</v>
      </c>
      <c r="M470">
        <v>143</v>
      </c>
      <c r="N470">
        <v>2.5372604684173173E-2</v>
      </c>
      <c r="O470">
        <v>9</v>
      </c>
      <c r="P470">
        <v>6.2937062937062943E-2</v>
      </c>
      <c r="Q470">
        <v>1.5968772178850249E-3</v>
      </c>
      <c r="R470">
        <v>87</v>
      </c>
      <c r="S470">
        <v>0.60839160839160844</v>
      </c>
      <c r="T470">
        <v>1.5436479772888574E-2</v>
      </c>
      <c r="U470">
        <v>13</v>
      </c>
      <c r="V470">
        <v>9.0909090909090912E-2</v>
      </c>
      <c r="W470">
        <v>2.3066004258339248E-3</v>
      </c>
      <c r="X470">
        <v>16</v>
      </c>
      <c r="Y470">
        <v>0.11188811188811189</v>
      </c>
      <c r="Z470">
        <v>2.8388928317955998E-3</v>
      </c>
      <c r="AA470">
        <v>0</v>
      </c>
      <c r="AB470">
        <v>0</v>
      </c>
      <c r="AC470">
        <v>0</v>
      </c>
      <c r="AD470">
        <v>18</v>
      </c>
      <c r="AE470">
        <v>0.12587412587412589</v>
      </c>
      <c r="AF470">
        <v>3.1937544357700499E-3</v>
      </c>
    </row>
    <row r="471" spans="1:32" x14ac:dyDescent="0.2">
      <c r="A471">
        <v>4543.7032754629618</v>
      </c>
      <c r="B471">
        <v>2781</v>
      </c>
      <c r="C471">
        <v>139</v>
      </c>
      <c r="D471">
        <v>646</v>
      </c>
      <c r="E471">
        <v>50</v>
      </c>
      <c r="F471">
        <v>114</v>
      </c>
      <c r="G471">
        <v>160</v>
      </c>
      <c r="H471">
        <v>2702</v>
      </c>
      <c r="I471">
        <v>76</v>
      </c>
      <c r="J471">
        <v>2281</v>
      </c>
      <c r="K471">
        <v>566</v>
      </c>
      <c r="L471">
        <v>40717</v>
      </c>
      <c r="M471">
        <v>277</v>
      </c>
      <c r="N471">
        <v>6.8030552349141633E-3</v>
      </c>
      <c r="O471">
        <v>41</v>
      </c>
      <c r="P471">
        <v>0.14801444043321299</v>
      </c>
      <c r="Q471">
        <v>1.0069504138320604E-3</v>
      </c>
      <c r="R471">
        <v>127</v>
      </c>
      <c r="S471">
        <v>0.4584837545126354</v>
      </c>
      <c r="T471">
        <v>3.1190903062602842E-3</v>
      </c>
      <c r="U471">
        <v>25</v>
      </c>
      <c r="V471">
        <v>9.0252707581227443E-2</v>
      </c>
      <c r="W471">
        <v>6.1399415477564649E-4</v>
      </c>
      <c r="X471">
        <v>53</v>
      </c>
      <c r="Y471">
        <v>0.19133574007220217</v>
      </c>
      <c r="Z471">
        <v>1.3016676081243706E-3</v>
      </c>
      <c r="AA471">
        <v>3</v>
      </c>
      <c r="AB471">
        <v>1.0830324909747292E-2</v>
      </c>
      <c r="AC471">
        <v>7.3679298573077582E-5</v>
      </c>
      <c r="AD471">
        <v>28</v>
      </c>
      <c r="AE471">
        <v>0.10108303249097472</v>
      </c>
      <c r="AF471">
        <v>6.8767345334872409E-4</v>
      </c>
    </row>
    <row r="472" spans="1:32" x14ac:dyDescent="0.2">
      <c r="A472">
        <v>2186.0583680555574</v>
      </c>
      <c r="B472">
        <v>935</v>
      </c>
      <c r="C472">
        <v>103</v>
      </c>
      <c r="D472">
        <v>275</v>
      </c>
      <c r="E472">
        <v>5</v>
      </c>
      <c r="F472">
        <v>5</v>
      </c>
      <c r="G472">
        <v>25</v>
      </c>
      <c r="H472">
        <v>99</v>
      </c>
      <c r="I472">
        <v>3</v>
      </c>
      <c r="J472">
        <v>155</v>
      </c>
      <c r="K472">
        <v>8</v>
      </c>
      <c r="L472">
        <v>7956</v>
      </c>
      <c r="M472">
        <v>309</v>
      </c>
      <c r="N472">
        <v>3.8838612368024134E-2</v>
      </c>
      <c r="O472">
        <v>137</v>
      </c>
      <c r="P472">
        <v>0.44336569579288027</v>
      </c>
      <c r="Q472">
        <v>1.7219708396178986E-2</v>
      </c>
      <c r="R472">
        <v>72</v>
      </c>
      <c r="S472">
        <v>0.23300970873786409</v>
      </c>
      <c r="T472">
        <v>9.0497737556561094E-3</v>
      </c>
      <c r="U472">
        <v>38</v>
      </c>
      <c r="V472">
        <v>0.12297734627831715</v>
      </c>
      <c r="W472">
        <v>4.7762694821518355E-3</v>
      </c>
      <c r="X472">
        <v>58</v>
      </c>
      <c r="Y472">
        <v>0.18770226537216828</v>
      </c>
      <c r="Z472">
        <v>7.2900955253896432E-3</v>
      </c>
      <c r="AA472">
        <v>4</v>
      </c>
      <c r="AB472">
        <v>1.2944983818770227E-2</v>
      </c>
      <c r="AC472">
        <v>5.0276520864756154E-4</v>
      </c>
      <c r="AD472">
        <v>0</v>
      </c>
      <c r="AE472">
        <v>0</v>
      </c>
      <c r="AF472">
        <v>0</v>
      </c>
    </row>
    <row r="473" spans="1:32" x14ac:dyDescent="0.2">
      <c r="A473">
        <v>3447.4383333333317</v>
      </c>
      <c r="B473">
        <v>574</v>
      </c>
      <c r="C473">
        <v>14</v>
      </c>
      <c r="D473">
        <v>77</v>
      </c>
      <c r="E473">
        <v>1</v>
      </c>
      <c r="F473">
        <v>1</v>
      </c>
      <c r="G473">
        <v>12</v>
      </c>
      <c r="H473">
        <v>23</v>
      </c>
      <c r="I473">
        <v>0</v>
      </c>
      <c r="J473">
        <v>19</v>
      </c>
      <c r="K473">
        <v>5</v>
      </c>
      <c r="L473">
        <v>863</v>
      </c>
      <c r="M473">
        <v>8</v>
      </c>
      <c r="N473">
        <v>9.2699884125144842E-3</v>
      </c>
      <c r="O473">
        <v>0</v>
      </c>
      <c r="P473">
        <v>0</v>
      </c>
      <c r="Q473">
        <v>0</v>
      </c>
      <c r="R473">
        <v>5</v>
      </c>
      <c r="S473">
        <v>0.625</v>
      </c>
      <c r="T473">
        <v>5.7937427578215531E-3</v>
      </c>
      <c r="U473">
        <v>1</v>
      </c>
      <c r="V473">
        <v>0.125</v>
      </c>
      <c r="W473">
        <v>1.1587485515643105E-3</v>
      </c>
      <c r="X473">
        <v>2</v>
      </c>
      <c r="Y473">
        <v>0.25</v>
      </c>
      <c r="Z473">
        <v>2.3174971031286211E-3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">
      <c r="A474">
        <v>1496.8303935185249</v>
      </c>
      <c r="B474">
        <v>7672</v>
      </c>
      <c r="C474">
        <v>124</v>
      </c>
      <c r="D474">
        <v>709</v>
      </c>
      <c r="E474">
        <v>324</v>
      </c>
      <c r="F474">
        <v>35</v>
      </c>
      <c r="G474">
        <v>208</v>
      </c>
      <c r="H474">
        <v>2884</v>
      </c>
      <c r="I474">
        <v>19</v>
      </c>
      <c r="J474">
        <v>2841</v>
      </c>
      <c r="K474">
        <v>540</v>
      </c>
      <c r="L474">
        <v>37548</v>
      </c>
      <c r="M474">
        <v>320</v>
      </c>
      <c r="N474">
        <v>8.5224246298071793E-3</v>
      </c>
      <c r="O474">
        <v>128</v>
      </c>
      <c r="P474">
        <v>0.4</v>
      </c>
      <c r="Q474">
        <v>3.4089698519228721E-3</v>
      </c>
      <c r="R474">
        <v>92</v>
      </c>
      <c r="S474">
        <v>0.28749999999999998</v>
      </c>
      <c r="T474">
        <v>2.4501970810695641E-3</v>
      </c>
      <c r="U474">
        <v>35</v>
      </c>
      <c r="V474">
        <v>0.109375</v>
      </c>
      <c r="W474">
        <v>9.3214019388516034E-4</v>
      </c>
      <c r="X474">
        <v>17</v>
      </c>
      <c r="Y474">
        <v>5.3124999999999999E-2</v>
      </c>
      <c r="Z474">
        <v>4.5275380845850643E-4</v>
      </c>
      <c r="AA474">
        <v>0</v>
      </c>
      <c r="AB474">
        <v>0</v>
      </c>
      <c r="AC474">
        <v>0</v>
      </c>
      <c r="AD474">
        <v>48</v>
      </c>
      <c r="AE474">
        <v>0.15</v>
      </c>
      <c r="AF474">
        <v>1.278363694471077E-3</v>
      </c>
    </row>
    <row r="475" spans="1:32" x14ac:dyDescent="0.2">
      <c r="A475">
        <v>1008.1303935185206</v>
      </c>
      <c r="B475">
        <v>1052</v>
      </c>
      <c r="C475">
        <v>41</v>
      </c>
      <c r="D475">
        <v>162</v>
      </c>
      <c r="E475">
        <v>0</v>
      </c>
      <c r="F475">
        <v>1</v>
      </c>
      <c r="G475">
        <v>12</v>
      </c>
      <c r="H475">
        <v>18</v>
      </c>
      <c r="I475">
        <v>4</v>
      </c>
      <c r="J475">
        <v>50</v>
      </c>
      <c r="K475">
        <v>7</v>
      </c>
      <c r="L475">
        <v>29719</v>
      </c>
      <c r="M475">
        <v>44</v>
      </c>
      <c r="N475">
        <v>1.4805343383020963E-3</v>
      </c>
      <c r="O475">
        <v>2</v>
      </c>
      <c r="P475">
        <v>4.5454545454545456E-2</v>
      </c>
      <c r="Q475">
        <v>6.7297015377368015E-5</v>
      </c>
      <c r="R475">
        <v>5</v>
      </c>
      <c r="S475">
        <v>0.11363636363636363</v>
      </c>
      <c r="T475">
        <v>1.6824253844342004E-4</v>
      </c>
      <c r="U475">
        <v>0</v>
      </c>
      <c r="V475">
        <v>0</v>
      </c>
      <c r="W475">
        <v>0</v>
      </c>
      <c r="X475">
        <v>5</v>
      </c>
      <c r="Y475">
        <v>0.11363636363636363</v>
      </c>
      <c r="Z475">
        <v>1.6824253844342004E-4</v>
      </c>
      <c r="AA475">
        <v>0</v>
      </c>
      <c r="AB475">
        <v>0</v>
      </c>
      <c r="AC475">
        <v>0</v>
      </c>
      <c r="AD475">
        <v>32</v>
      </c>
      <c r="AE475">
        <v>0.72727272727272729</v>
      </c>
      <c r="AF475">
        <v>1.0767522460378882E-3</v>
      </c>
    </row>
    <row r="476" spans="1:32" x14ac:dyDescent="0.2">
      <c r="A476">
        <v>1059.6421990740782</v>
      </c>
      <c r="B476">
        <v>372</v>
      </c>
      <c r="C476">
        <v>26</v>
      </c>
      <c r="D476">
        <v>74</v>
      </c>
      <c r="E476">
        <v>2</v>
      </c>
      <c r="F476">
        <v>24</v>
      </c>
      <c r="G476">
        <v>14</v>
      </c>
      <c r="H476">
        <v>102</v>
      </c>
      <c r="I476">
        <v>9</v>
      </c>
      <c r="J476">
        <v>53</v>
      </c>
      <c r="K476">
        <v>20</v>
      </c>
      <c r="L476">
        <v>2406</v>
      </c>
      <c r="M476">
        <v>3</v>
      </c>
      <c r="N476">
        <v>1.2468827930174563E-3</v>
      </c>
      <c r="O476">
        <v>2</v>
      </c>
      <c r="P476">
        <v>0.66666666666666663</v>
      </c>
      <c r="Q476">
        <v>8.3125519534497092E-4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0.33333333333333331</v>
      </c>
      <c r="Z476">
        <v>4.1562759767248546E-4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">
      <c r="A477">
        <v>2182.5422916666721</v>
      </c>
      <c r="B477">
        <v>645</v>
      </c>
      <c r="C477">
        <v>31</v>
      </c>
      <c r="D477">
        <v>35</v>
      </c>
      <c r="E477">
        <v>0</v>
      </c>
      <c r="F477">
        <v>1</v>
      </c>
      <c r="G477">
        <v>13</v>
      </c>
      <c r="H477">
        <v>38</v>
      </c>
      <c r="I477">
        <v>1</v>
      </c>
      <c r="J477">
        <v>125</v>
      </c>
      <c r="K477">
        <v>21</v>
      </c>
      <c r="L477">
        <v>3034</v>
      </c>
      <c r="M477">
        <v>10</v>
      </c>
      <c r="N477">
        <v>3.2959789057350032E-3</v>
      </c>
      <c r="O477">
        <v>6</v>
      </c>
      <c r="P477">
        <v>0.6</v>
      </c>
      <c r="Q477">
        <v>1.977587343441002E-3</v>
      </c>
      <c r="R477">
        <v>0</v>
      </c>
      <c r="S477">
        <v>0</v>
      </c>
      <c r="T477">
        <v>0</v>
      </c>
      <c r="U477">
        <v>1</v>
      </c>
      <c r="V477">
        <v>0.1</v>
      </c>
      <c r="W477">
        <v>3.295978905735003E-4</v>
      </c>
      <c r="X477">
        <v>3</v>
      </c>
      <c r="Y477">
        <v>0.3</v>
      </c>
      <c r="Z477">
        <v>9.8879367172050102E-4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">
      <c r="A478">
        <v>880.10471064814919</v>
      </c>
      <c r="B478">
        <v>3006</v>
      </c>
      <c r="C478">
        <v>124</v>
      </c>
      <c r="D478">
        <v>572</v>
      </c>
      <c r="E478">
        <v>9</v>
      </c>
      <c r="F478">
        <v>1</v>
      </c>
      <c r="G478">
        <v>15</v>
      </c>
      <c r="H478">
        <v>35</v>
      </c>
      <c r="I478">
        <v>5</v>
      </c>
      <c r="J478">
        <v>172</v>
      </c>
      <c r="K478">
        <v>67</v>
      </c>
      <c r="L478">
        <v>4141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">
      <c r="A479">
        <v>811.90152777777985</v>
      </c>
      <c r="B479">
        <v>728</v>
      </c>
      <c r="C479">
        <v>26</v>
      </c>
      <c r="D479">
        <v>218</v>
      </c>
      <c r="E479">
        <v>0</v>
      </c>
      <c r="F479">
        <v>1</v>
      </c>
      <c r="G479">
        <v>4</v>
      </c>
      <c r="H479">
        <v>11</v>
      </c>
      <c r="I479">
        <v>2</v>
      </c>
      <c r="J479">
        <v>183</v>
      </c>
      <c r="K479">
        <v>39</v>
      </c>
      <c r="L479">
        <v>2671</v>
      </c>
      <c r="M479">
        <v>13</v>
      </c>
      <c r="N479">
        <v>4.8670909771621118E-3</v>
      </c>
      <c r="O479">
        <v>0</v>
      </c>
      <c r="P479">
        <v>0</v>
      </c>
      <c r="Q479">
        <v>0</v>
      </c>
      <c r="R479">
        <v>11</v>
      </c>
      <c r="S479">
        <v>0.84615384615384615</v>
      </c>
      <c r="T479">
        <v>4.1183077499064025E-3</v>
      </c>
      <c r="U479">
        <v>2</v>
      </c>
      <c r="V479">
        <v>0.15384615384615385</v>
      </c>
      <c r="W479">
        <v>7.4878322725570952E-4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">
      <c r="A480">
        <v>1057.756805555553</v>
      </c>
      <c r="B480">
        <v>1036</v>
      </c>
      <c r="C480">
        <v>41</v>
      </c>
      <c r="D480">
        <v>278</v>
      </c>
      <c r="E480">
        <v>1</v>
      </c>
      <c r="F480">
        <v>0</v>
      </c>
      <c r="G480">
        <v>6</v>
      </c>
      <c r="H480">
        <v>15</v>
      </c>
      <c r="I480">
        <v>0</v>
      </c>
      <c r="J480">
        <v>69</v>
      </c>
      <c r="K480">
        <v>6</v>
      </c>
      <c r="L480">
        <v>1519</v>
      </c>
      <c r="M480">
        <v>2</v>
      </c>
      <c r="N480">
        <v>1.3166556945358788E-3</v>
      </c>
      <c r="O480">
        <v>0</v>
      </c>
      <c r="P480">
        <v>0</v>
      </c>
      <c r="Q480">
        <v>0</v>
      </c>
      <c r="R480">
        <v>1</v>
      </c>
      <c r="S480">
        <v>0.5</v>
      </c>
      <c r="T480">
        <v>6.583278472679394E-4</v>
      </c>
      <c r="U480">
        <v>0</v>
      </c>
      <c r="V480">
        <v>0</v>
      </c>
      <c r="W480">
        <v>0</v>
      </c>
      <c r="X480">
        <v>1</v>
      </c>
      <c r="Y480">
        <v>0.5</v>
      </c>
      <c r="Z480">
        <v>6.583278472679394E-4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">
      <c r="A481">
        <v>1809.9992361111072</v>
      </c>
      <c r="B481">
        <v>359</v>
      </c>
      <c r="C481">
        <v>449</v>
      </c>
      <c r="D481">
        <v>129</v>
      </c>
      <c r="E481">
        <v>7</v>
      </c>
      <c r="F481">
        <v>1</v>
      </c>
      <c r="G481">
        <v>45</v>
      </c>
      <c r="H481">
        <v>195</v>
      </c>
      <c r="I481">
        <v>14</v>
      </c>
      <c r="J481">
        <v>107</v>
      </c>
      <c r="K481">
        <v>44</v>
      </c>
      <c r="L481">
        <v>7528</v>
      </c>
      <c r="M481">
        <v>41</v>
      </c>
      <c r="N481">
        <v>5.446333687566419E-3</v>
      </c>
      <c r="O481">
        <v>5</v>
      </c>
      <c r="P481">
        <v>0.12195121951219512</v>
      </c>
      <c r="Q481">
        <v>6.6418703506907547E-4</v>
      </c>
      <c r="R481">
        <v>17</v>
      </c>
      <c r="S481">
        <v>0.41463414634146339</v>
      </c>
      <c r="T481">
        <v>2.2582359192348566E-3</v>
      </c>
      <c r="U481">
        <v>2</v>
      </c>
      <c r="V481">
        <v>4.878048780487805E-2</v>
      </c>
      <c r="W481">
        <v>2.6567481402763017E-4</v>
      </c>
      <c r="X481">
        <v>15</v>
      </c>
      <c r="Y481">
        <v>0.36585365853658536</v>
      </c>
      <c r="Z481">
        <v>1.9925611052072265E-3</v>
      </c>
      <c r="AA481">
        <v>0</v>
      </c>
      <c r="AB481">
        <v>0</v>
      </c>
      <c r="AC481">
        <v>0</v>
      </c>
      <c r="AD481">
        <v>2</v>
      </c>
      <c r="AE481">
        <v>4.878048780487805E-2</v>
      </c>
      <c r="AF481">
        <v>2.6567481402763017E-4</v>
      </c>
    </row>
    <row r="482" spans="1:32" x14ac:dyDescent="0.2">
      <c r="A482">
        <v>390.60710648148233</v>
      </c>
      <c r="B482">
        <v>11160</v>
      </c>
      <c r="C482">
        <v>257</v>
      </c>
      <c r="D482">
        <v>1186</v>
      </c>
      <c r="E482">
        <v>11</v>
      </c>
      <c r="F482">
        <v>5</v>
      </c>
      <c r="G482">
        <v>66</v>
      </c>
      <c r="H482">
        <v>119</v>
      </c>
      <c r="I482">
        <v>0</v>
      </c>
      <c r="J482">
        <v>295</v>
      </c>
      <c r="K482">
        <v>115</v>
      </c>
      <c r="L482">
        <v>1684</v>
      </c>
      <c r="M482">
        <v>12</v>
      </c>
      <c r="N482">
        <v>7.1258907363420431E-3</v>
      </c>
      <c r="O482">
        <v>0</v>
      </c>
      <c r="P482">
        <v>0</v>
      </c>
      <c r="Q482">
        <v>0</v>
      </c>
      <c r="R482">
        <v>3</v>
      </c>
      <c r="S482">
        <v>0.25</v>
      </c>
      <c r="T482">
        <v>1.7814726840855108E-3</v>
      </c>
      <c r="U482">
        <v>9</v>
      </c>
      <c r="V482">
        <v>0.75</v>
      </c>
      <c r="W482">
        <v>5.3444180522565317E-3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">
      <c r="A483">
        <v>1341.4224768518543</v>
      </c>
      <c r="B483">
        <v>1417</v>
      </c>
      <c r="C483">
        <v>43</v>
      </c>
      <c r="D483">
        <v>119</v>
      </c>
      <c r="E483">
        <v>0</v>
      </c>
      <c r="F483">
        <v>0</v>
      </c>
      <c r="G483">
        <v>4</v>
      </c>
      <c r="H483">
        <v>5</v>
      </c>
      <c r="I483">
        <v>1</v>
      </c>
      <c r="J483">
        <v>7</v>
      </c>
      <c r="K483">
        <v>6</v>
      </c>
      <c r="L483">
        <v>901</v>
      </c>
      <c r="M483">
        <v>43</v>
      </c>
      <c r="N483">
        <v>4.7724750277469481E-2</v>
      </c>
      <c r="O483">
        <v>7</v>
      </c>
      <c r="P483">
        <v>0.16279069767441862</v>
      </c>
      <c r="Q483">
        <v>7.7691453940066596E-3</v>
      </c>
      <c r="R483">
        <v>29</v>
      </c>
      <c r="S483">
        <v>0.67441860465116277</v>
      </c>
      <c r="T483">
        <v>3.2186459489456157E-2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7</v>
      </c>
      <c r="AE483">
        <v>0.16279069767441862</v>
      </c>
      <c r="AF483">
        <v>7.7691453940066596E-3</v>
      </c>
    </row>
    <row r="484" spans="1:32" x14ac:dyDescent="0.2">
      <c r="A484">
        <v>2806.7439814814861</v>
      </c>
      <c r="B484">
        <v>333</v>
      </c>
      <c r="C484">
        <v>33</v>
      </c>
      <c r="D484">
        <v>143</v>
      </c>
      <c r="E484">
        <v>7</v>
      </c>
      <c r="F484">
        <v>0</v>
      </c>
      <c r="G484">
        <v>35</v>
      </c>
      <c r="H484">
        <v>576</v>
      </c>
      <c r="I484">
        <v>10</v>
      </c>
      <c r="J484">
        <v>132</v>
      </c>
      <c r="K484">
        <v>15</v>
      </c>
      <c r="L484">
        <v>5633</v>
      </c>
      <c r="M484">
        <v>236</v>
      </c>
      <c r="N484">
        <v>4.1895970175750044E-2</v>
      </c>
      <c r="O484">
        <v>39</v>
      </c>
      <c r="P484">
        <v>0.1652542372881356</v>
      </c>
      <c r="Q484">
        <v>6.92348659684005E-3</v>
      </c>
      <c r="R484">
        <v>59</v>
      </c>
      <c r="S484">
        <v>0.25</v>
      </c>
      <c r="T484">
        <v>1.0473992543937511E-2</v>
      </c>
      <c r="U484">
        <v>20</v>
      </c>
      <c r="V484">
        <v>8.4745762711864403E-2</v>
      </c>
      <c r="W484">
        <v>3.5505059470974615E-3</v>
      </c>
      <c r="X484">
        <v>34</v>
      </c>
      <c r="Y484">
        <v>0.1440677966101695</v>
      </c>
      <c r="Z484">
        <v>6.0358601100656845E-3</v>
      </c>
      <c r="AA484">
        <v>41</v>
      </c>
      <c r="AB484">
        <v>0.17372881355932204</v>
      </c>
      <c r="AC484">
        <v>7.2785371915497958E-3</v>
      </c>
      <c r="AD484">
        <v>43</v>
      </c>
      <c r="AE484">
        <v>0.18220338983050846</v>
      </c>
      <c r="AF484">
        <v>7.6335877862595417E-3</v>
      </c>
    </row>
    <row r="485" spans="1:32" x14ac:dyDescent="0.2">
      <c r="A485">
        <v>2128.7827314814858</v>
      </c>
      <c r="B485">
        <v>419</v>
      </c>
      <c r="C485">
        <v>20</v>
      </c>
      <c r="D485">
        <v>144</v>
      </c>
      <c r="E485">
        <v>31</v>
      </c>
      <c r="F485">
        <v>0</v>
      </c>
      <c r="G485">
        <v>31</v>
      </c>
      <c r="H485">
        <v>226</v>
      </c>
      <c r="I485">
        <v>7</v>
      </c>
      <c r="J485">
        <v>300</v>
      </c>
      <c r="K485">
        <v>12</v>
      </c>
      <c r="L485">
        <v>13766</v>
      </c>
      <c r="M485">
        <v>365</v>
      </c>
      <c r="N485">
        <v>2.6514601191340983E-2</v>
      </c>
      <c r="O485">
        <v>205</v>
      </c>
      <c r="P485">
        <v>0.56164383561643838</v>
      </c>
      <c r="Q485">
        <v>1.4891762312944937E-2</v>
      </c>
      <c r="R485">
        <v>95</v>
      </c>
      <c r="S485">
        <v>0.26027397260273971</v>
      </c>
      <c r="T485">
        <v>6.9010605840476536E-3</v>
      </c>
      <c r="U485">
        <v>36</v>
      </c>
      <c r="V485">
        <v>9.8630136986301367E-2</v>
      </c>
      <c r="W485">
        <v>2.6151387476391107E-3</v>
      </c>
      <c r="X485">
        <v>23</v>
      </c>
      <c r="Y485">
        <v>6.3013698630136991E-2</v>
      </c>
      <c r="Z485">
        <v>1.670783088769432E-3</v>
      </c>
      <c r="AA485">
        <v>3</v>
      </c>
      <c r="AB485">
        <v>8.21917808219178E-3</v>
      </c>
      <c r="AC485">
        <v>2.1792822896992591E-4</v>
      </c>
      <c r="AD485">
        <v>3</v>
      </c>
      <c r="AE485">
        <v>8.21917808219178E-3</v>
      </c>
      <c r="AF485">
        <v>2.1792822896992591E-4</v>
      </c>
    </row>
    <row r="486" spans="1:32" x14ac:dyDescent="0.2">
      <c r="A486">
        <v>2235.2936226851816</v>
      </c>
      <c r="B486">
        <v>661</v>
      </c>
      <c r="C486">
        <v>14</v>
      </c>
      <c r="D486">
        <v>93</v>
      </c>
      <c r="E486">
        <v>16</v>
      </c>
      <c r="F486">
        <v>24</v>
      </c>
      <c r="G486">
        <v>75</v>
      </c>
      <c r="H486">
        <v>114</v>
      </c>
      <c r="I486">
        <v>0</v>
      </c>
      <c r="J486">
        <v>392</v>
      </c>
      <c r="K486">
        <v>19</v>
      </c>
      <c r="L486">
        <v>1403</v>
      </c>
      <c r="M486">
        <v>8</v>
      </c>
      <c r="N486">
        <v>5.7020669992872419E-3</v>
      </c>
      <c r="O486">
        <v>1</v>
      </c>
      <c r="P486">
        <v>0.125</v>
      </c>
      <c r="Q486">
        <v>7.1275837491090524E-4</v>
      </c>
      <c r="R486">
        <v>0</v>
      </c>
      <c r="S486">
        <v>0</v>
      </c>
      <c r="T486">
        <v>0</v>
      </c>
      <c r="U486">
        <v>3</v>
      </c>
      <c r="V486">
        <v>0.375</v>
      </c>
      <c r="W486">
        <v>2.1382751247327157E-3</v>
      </c>
      <c r="X486">
        <v>3</v>
      </c>
      <c r="Y486">
        <v>0.375</v>
      </c>
      <c r="Z486">
        <v>2.1382751247327157E-3</v>
      </c>
      <c r="AA486">
        <v>0</v>
      </c>
      <c r="AB486">
        <v>0</v>
      </c>
      <c r="AC486">
        <v>0</v>
      </c>
      <c r="AD486">
        <v>1</v>
      </c>
      <c r="AE486">
        <v>0.125</v>
      </c>
      <c r="AF486">
        <v>7.1275837491090524E-4</v>
      </c>
    </row>
    <row r="487" spans="1:32" x14ac:dyDescent="0.2">
      <c r="A487">
        <v>1985.2793402777825</v>
      </c>
      <c r="B487">
        <v>4368</v>
      </c>
      <c r="C487">
        <v>80</v>
      </c>
      <c r="D487">
        <v>222</v>
      </c>
      <c r="E487">
        <v>38</v>
      </c>
      <c r="F487">
        <v>420</v>
      </c>
      <c r="G487">
        <v>59</v>
      </c>
      <c r="H487">
        <v>264</v>
      </c>
      <c r="I487">
        <v>0</v>
      </c>
      <c r="J487">
        <v>241</v>
      </c>
      <c r="K487">
        <v>1</v>
      </c>
      <c r="L487">
        <v>5766</v>
      </c>
      <c r="M487">
        <v>10</v>
      </c>
      <c r="N487">
        <v>1.734304543877905E-3</v>
      </c>
      <c r="O487">
        <v>4</v>
      </c>
      <c r="P487">
        <v>0.4</v>
      </c>
      <c r="Q487">
        <v>6.9372181755116198E-4</v>
      </c>
      <c r="R487">
        <v>1</v>
      </c>
      <c r="S487">
        <v>0.1</v>
      </c>
      <c r="T487">
        <v>1.7343045438779049E-4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5</v>
      </c>
      <c r="AE487">
        <v>0.5</v>
      </c>
      <c r="AF487">
        <v>8.6715227193895252E-4</v>
      </c>
    </row>
    <row r="488" spans="1:32" x14ac:dyDescent="0.2">
      <c r="A488">
        <v>2758.9619560185165</v>
      </c>
      <c r="B488">
        <v>405</v>
      </c>
      <c r="C488">
        <v>37</v>
      </c>
      <c r="D488">
        <v>125</v>
      </c>
      <c r="E488">
        <v>0</v>
      </c>
      <c r="F488">
        <v>0</v>
      </c>
      <c r="G488">
        <v>28</v>
      </c>
      <c r="H488">
        <v>165</v>
      </c>
      <c r="I488">
        <v>2</v>
      </c>
      <c r="J488">
        <v>188</v>
      </c>
      <c r="K488">
        <v>23</v>
      </c>
      <c r="L488">
        <v>3682</v>
      </c>
      <c r="M488">
        <v>79</v>
      </c>
      <c r="N488">
        <v>2.1455730581205867E-2</v>
      </c>
      <c r="O488">
        <v>23</v>
      </c>
      <c r="P488">
        <v>0.29113924050632911</v>
      </c>
      <c r="Q488">
        <v>6.2466051059206955E-3</v>
      </c>
      <c r="R488">
        <v>41</v>
      </c>
      <c r="S488">
        <v>0.51898734177215189</v>
      </c>
      <c r="T488">
        <v>1.1135252580119501E-2</v>
      </c>
      <c r="U488">
        <v>7</v>
      </c>
      <c r="V488">
        <v>8.8607594936708861E-2</v>
      </c>
      <c r="W488">
        <v>1.9011406844106464E-3</v>
      </c>
      <c r="X488">
        <v>8</v>
      </c>
      <c r="Y488">
        <v>0.10126582278481013</v>
      </c>
      <c r="Z488">
        <v>2.1727322107550242E-3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">
      <c r="A489">
        <v>2666.5062268518523</v>
      </c>
      <c r="B489">
        <v>4079</v>
      </c>
      <c r="C489">
        <v>114</v>
      </c>
      <c r="D489">
        <v>430</v>
      </c>
      <c r="E489">
        <v>5</v>
      </c>
      <c r="F489">
        <v>25</v>
      </c>
      <c r="G489">
        <v>48</v>
      </c>
      <c r="H489">
        <v>77</v>
      </c>
      <c r="I489">
        <v>1</v>
      </c>
      <c r="J489">
        <v>681</v>
      </c>
      <c r="K489">
        <v>88</v>
      </c>
      <c r="L489">
        <v>6846</v>
      </c>
      <c r="M489">
        <v>171</v>
      </c>
      <c r="N489">
        <v>2.497808939526731E-2</v>
      </c>
      <c r="O489">
        <v>49</v>
      </c>
      <c r="P489">
        <v>0.28654970760233917</v>
      </c>
      <c r="Q489">
        <v>7.1574642126789366E-3</v>
      </c>
      <c r="R489">
        <v>49</v>
      </c>
      <c r="S489">
        <v>0.28654970760233917</v>
      </c>
      <c r="T489">
        <v>7.1574642126789366E-3</v>
      </c>
      <c r="U489">
        <v>32</v>
      </c>
      <c r="V489">
        <v>0.1871345029239766</v>
      </c>
      <c r="W489">
        <v>4.6742623429739992E-3</v>
      </c>
      <c r="X489">
        <v>37</v>
      </c>
      <c r="Y489">
        <v>0.21637426900584794</v>
      </c>
      <c r="Z489">
        <v>5.4046158340636868E-3</v>
      </c>
      <c r="AA489">
        <v>0</v>
      </c>
      <c r="AB489">
        <v>0</v>
      </c>
      <c r="AC489">
        <v>0</v>
      </c>
      <c r="AD489">
        <v>4</v>
      </c>
      <c r="AE489">
        <v>2.3391812865497075E-2</v>
      </c>
      <c r="AF489">
        <v>5.842827928717499E-4</v>
      </c>
    </row>
    <row r="490" spans="1:32" x14ac:dyDescent="0.2">
      <c r="A490">
        <v>367.50403935185022</v>
      </c>
      <c r="B490">
        <v>2141</v>
      </c>
      <c r="C490">
        <v>43</v>
      </c>
      <c r="D490">
        <v>188</v>
      </c>
      <c r="E490">
        <v>3</v>
      </c>
      <c r="F490">
        <v>9</v>
      </c>
      <c r="G490">
        <v>18</v>
      </c>
      <c r="H490">
        <v>105</v>
      </c>
      <c r="I490">
        <v>27</v>
      </c>
      <c r="J490">
        <v>95</v>
      </c>
      <c r="K490">
        <v>46</v>
      </c>
      <c r="L490">
        <v>1362</v>
      </c>
      <c r="M490">
        <v>4</v>
      </c>
      <c r="N490">
        <v>2.936857562408223E-3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4</v>
      </c>
      <c r="V490">
        <v>1</v>
      </c>
      <c r="W490">
        <v>2.936857562408223E-3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">
      <c r="A491">
        <v>1037.215844907405</v>
      </c>
      <c r="B491">
        <v>1735</v>
      </c>
      <c r="C491">
        <v>62</v>
      </c>
      <c r="D491">
        <v>462</v>
      </c>
      <c r="E491">
        <v>3</v>
      </c>
      <c r="F491">
        <v>7</v>
      </c>
      <c r="G491">
        <v>13</v>
      </c>
      <c r="H491">
        <v>66</v>
      </c>
      <c r="I491">
        <v>3</v>
      </c>
      <c r="J491">
        <v>387</v>
      </c>
      <c r="K491">
        <v>65</v>
      </c>
      <c r="L491">
        <v>14155</v>
      </c>
      <c r="M491">
        <v>161</v>
      </c>
      <c r="N491">
        <v>1.1374072765807135E-2</v>
      </c>
      <c r="O491">
        <v>0</v>
      </c>
      <c r="P491">
        <v>0</v>
      </c>
      <c r="Q491">
        <v>0</v>
      </c>
      <c r="R491">
        <v>138</v>
      </c>
      <c r="S491">
        <v>0.8571428571428571</v>
      </c>
      <c r="T491">
        <v>9.7492052278346873E-3</v>
      </c>
      <c r="U491">
        <v>16</v>
      </c>
      <c r="V491">
        <v>9.9378881987577633E-2</v>
      </c>
      <c r="W491">
        <v>1.1303426351112682E-3</v>
      </c>
      <c r="X491">
        <v>6</v>
      </c>
      <c r="Y491">
        <v>3.7267080745341616E-2</v>
      </c>
      <c r="Z491">
        <v>4.2387848816672556E-4</v>
      </c>
      <c r="AA491">
        <v>0</v>
      </c>
      <c r="AB491">
        <v>0</v>
      </c>
      <c r="AC491">
        <v>0</v>
      </c>
      <c r="AD491">
        <v>1</v>
      </c>
      <c r="AE491">
        <v>6.2111801242236021E-3</v>
      </c>
      <c r="AF491">
        <v>7.064641469445426E-5</v>
      </c>
    </row>
    <row r="492" spans="1:32" x14ac:dyDescent="0.2">
      <c r="A492">
        <v>3403.9157523148169</v>
      </c>
      <c r="B492">
        <v>2747</v>
      </c>
      <c r="C492">
        <v>118</v>
      </c>
      <c r="D492">
        <v>356</v>
      </c>
      <c r="E492">
        <v>0</v>
      </c>
      <c r="F492">
        <v>6</v>
      </c>
      <c r="G492">
        <v>54</v>
      </c>
      <c r="H492">
        <v>119</v>
      </c>
      <c r="I492">
        <v>7</v>
      </c>
      <c r="J492">
        <v>224</v>
      </c>
      <c r="K492">
        <v>134</v>
      </c>
      <c r="L492">
        <v>1210</v>
      </c>
      <c r="M492">
        <v>23</v>
      </c>
      <c r="N492">
        <v>1.9008264462809916E-2</v>
      </c>
      <c r="O492">
        <v>6</v>
      </c>
      <c r="P492">
        <v>0.2608695652173913</v>
      </c>
      <c r="Q492">
        <v>4.9586776859504135E-3</v>
      </c>
      <c r="R492">
        <v>11</v>
      </c>
      <c r="S492">
        <v>0.47826086956521741</v>
      </c>
      <c r="T492">
        <v>9.0909090909090905E-3</v>
      </c>
      <c r="U492">
        <v>3</v>
      </c>
      <c r="V492">
        <v>0.13043478260869565</v>
      </c>
      <c r="W492">
        <v>2.4793388429752068E-3</v>
      </c>
      <c r="X492">
        <v>2</v>
      </c>
      <c r="Y492">
        <v>8.6956521739130432E-2</v>
      </c>
      <c r="Z492">
        <v>1.652892561983471E-3</v>
      </c>
      <c r="AA492">
        <v>0</v>
      </c>
      <c r="AB492">
        <v>0</v>
      </c>
      <c r="AC492">
        <v>0</v>
      </c>
      <c r="AD492">
        <v>1</v>
      </c>
      <c r="AE492">
        <v>4.3478260869565216E-2</v>
      </c>
      <c r="AF492">
        <v>8.2644628099173552E-4</v>
      </c>
    </row>
    <row r="493" spans="1:32" x14ac:dyDescent="0.2">
      <c r="A493">
        <v>1030.7792013888902</v>
      </c>
      <c r="B493">
        <v>1115</v>
      </c>
      <c r="C493">
        <v>84</v>
      </c>
      <c r="D493">
        <v>332</v>
      </c>
      <c r="E493">
        <v>0</v>
      </c>
      <c r="F493">
        <v>0</v>
      </c>
      <c r="G493">
        <v>0</v>
      </c>
      <c r="H493">
        <v>7</v>
      </c>
      <c r="I493">
        <v>4</v>
      </c>
      <c r="J493">
        <v>19</v>
      </c>
      <c r="K493">
        <v>3</v>
      </c>
      <c r="L493">
        <v>11864</v>
      </c>
      <c r="M493">
        <v>223</v>
      </c>
      <c r="N493">
        <v>1.8796358732299394E-2</v>
      </c>
      <c r="O493">
        <v>0</v>
      </c>
      <c r="P493">
        <v>0</v>
      </c>
      <c r="Q493">
        <v>0</v>
      </c>
      <c r="R493">
        <v>76</v>
      </c>
      <c r="S493">
        <v>0.34080717488789236</v>
      </c>
      <c r="T493">
        <v>6.4059339177343225E-3</v>
      </c>
      <c r="U493">
        <v>140</v>
      </c>
      <c r="V493">
        <v>0.62780269058295968</v>
      </c>
      <c r="W493">
        <v>1.1800404585300068E-2</v>
      </c>
      <c r="X493">
        <v>7</v>
      </c>
      <c r="Y493">
        <v>3.1390134529147982E-2</v>
      </c>
      <c r="Z493">
        <v>5.9002022926500338E-4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">
      <c r="A494">
        <v>833.18835648147797</v>
      </c>
      <c r="B494">
        <v>912</v>
      </c>
      <c r="C494">
        <v>26</v>
      </c>
      <c r="D494">
        <v>79</v>
      </c>
      <c r="E494">
        <v>0</v>
      </c>
      <c r="F494">
        <v>0</v>
      </c>
      <c r="G494">
        <v>4</v>
      </c>
      <c r="H494">
        <v>8</v>
      </c>
      <c r="I494">
        <v>1</v>
      </c>
      <c r="J494">
        <v>9</v>
      </c>
      <c r="K494">
        <v>5</v>
      </c>
      <c r="L494">
        <v>4259</v>
      </c>
      <c r="M494">
        <v>37</v>
      </c>
      <c r="N494">
        <v>8.687485325193707E-3</v>
      </c>
      <c r="O494">
        <v>0</v>
      </c>
      <c r="P494">
        <v>0</v>
      </c>
      <c r="Q494">
        <v>0</v>
      </c>
      <c r="R494">
        <v>7</v>
      </c>
      <c r="S494">
        <v>0.1891891891891892</v>
      </c>
      <c r="T494">
        <v>1.643578304766377E-3</v>
      </c>
      <c r="U494">
        <v>17</v>
      </c>
      <c r="V494">
        <v>0.45945945945945948</v>
      </c>
      <c r="W494">
        <v>3.9915473115754874E-3</v>
      </c>
      <c r="X494">
        <v>11</v>
      </c>
      <c r="Y494">
        <v>0.29729729729729731</v>
      </c>
      <c r="Z494">
        <v>2.582765907490021E-3</v>
      </c>
      <c r="AA494">
        <v>0</v>
      </c>
      <c r="AB494">
        <v>0</v>
      </c>
      <c r="AC494">
        <v>0</v>
      </c>
      <c r="AD494">
        <v>2</v>
      </c>
      <c r="AE494">
        <v>5.4054054054054057E-2</v>
      </c>
      <c r="AF494">
        <v>4.6959380136182204E-4</v>
      </c>
    </row>
    <row r="495" spans="1:32" x14ac:dyDescent="0.2">
      <c r="A495">
        <v>1595.5689004629676</v>
      </c>
      <c r="B495">
        <v>12141</v>
      </c>
      <c r="C495">
        <v>437</v>
      </c>
      <c r="D495">
        <v>3306</v>
      </c>
      <c r="E495">
        <v>0</v>
      </c>
      <c r="F495">
        <v>6</v>
      </c>
      <c r="G495">
        <v>38</v>
      </c>
      <c r="H495">
        <v>136</v>
      </c>
      <c r="I495">
        <v>2</v>
      </c>
      <c r="J495">
        <v>418</v>
      </c>
      <c r="K495">
        <v>221</v>
      </c>
      <c r="L495">
        <v>1156</v>
      </c>
      <c r="M495">
        <v>22</v>
      </c>
      <c r="N495">
        <v>1.9031141868512111E-2</v>
      </c>
      <c r="O495">
        <v>0</v>
      </c>
      <c r="P495">
        <v>0</v>
      </c>
      <c r="Q495">
        <v>0</v>
      </c>
      <c r="R495">
        <v>16</v>
      </c>
      <c r="S495">
        <v>0.72727272727272729</v>
      </c>
      <c r="T495">
        <v>1.384083044982699E-2</v>
      </c>
      <c r="U495">
        <v>0</v>
      </c>
      <c r="V495">
        <v>0</v>
      </c>
      <c r="W495">
        <v>0</v>
      </c>
      <c r="X495">
        <v>6</v>
      </c>
      <c r="Y495">
        <v>0.27272727272727271</v>
      </c>
      <c r="Z495">
        <v>5.1903114186851208E-3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">
      <c r="A496">
        <v>2182.8737731481451</v>
      </c>
      <c r="B496">
        <v>424</v>
      </c>
      <c r="C496">
        <v>39</v>
      </c>
      <c r="D496">
        <v>165</v>
      </c>
      <c r="E496">
        <v>0</v>
      </c>
      <c r="F496">
        <v>0</v>
      </c>
      <c r="G496">
        <v>36</v>
      </c>
      <c r="H496">
        <v>145</v>
      </c>
      <c r="I496">
        <v>0</v>
      </c>
      <c r="J496">
        <v>248</v>
      </c>
      <c r="K496">
        <v>47</v>
      </c>
      <c r="L496">
        <v>65633</v>
      </c>
      <c r="M496">
        <v>3</v>
      </c>
      <c r="N496">
        <v>4.5708713604436789E-5</v>
      </c>
      <c r="O496">
        <v>2</v>
      </c>
      <c r="P496">
        <v>0.66666666666666663</v>
      </c>
      <c r="Q496">
        <v>3.0472475736291194E-5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0.33333333333333331</v>
      </c>
      <c r="Z496">
        <v>1.5236237868145597E-5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">
      <c r="A497">
        <v>1299.6848611111054</v>
      </c>
      <c r="B497">
        <v>1135</v>
      </c>
      <c r="C497">
        <v>64</v>
      </c>
      <c r="D497">
        <v>459</v>
      </c>
      <c r="E497">
        <v>11</v>
      </c>
      <c r="F497">
        <v>0</v>
      </c>
      <c r="G497">
        <v>4</v>
      </c>
      <c r="H497">
        <v>84</v>
      </c>
      <c r="I497">
        <v>0</v>
      </c>
      <c r="J497">
        <v>83</v>
      </c>
      <c r="K497">
        <v>3</v>
      </c>
      <c r="L497">
        <v>6375</v>
      </c>
      <c r="M497">
        <v>54</v>
      </c>
      <c r="N497">
        <v>8.4705882352941169E-3</v>
      </c>
      <c r="O497">
        <v>32</v>
      </c>
      <c r="P497">
        <v>0.59259259259259256</v>
      </c>
      <c r="Q497">
        <v>5.019607843137255E-3</v>
      </c>
      <c r="R497">
        <v>3</v>
      </c>
      <c r="S497">
        <v>5.5555555555555552E-2</v>
      </c>
      <c r="T497">
        <v>4.7058823529411766E-4</v>
      </c>
      <c r="U497">
        <v>1</v>
      </c>
      <c r="V497">
        <v>1.8518518518518517E-2</v>
      </c>
      <c r="W497">
        <v>1.5686274509803922E-4</v>
      </c>
      <c r="X497">
        <v>18</v>
      </c>
      <c r="Y497">
        <v>0.33333333333333331</v>
      </c>
      <c r="Z497">
        <v>2.8235294117647061E-3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">
      <c r="A498">
        <v>420.39199074073986</v>
      </c>
      <c r="B498">
        <v>2937</v>
      </c>
      <c r="C498">
        <v>70</v>
      </c>
      <c r="D498">
        <v>407</v>
      </c>
      <c r="E498">
        <v>60</v>
      </c>
      <c r="F498">
        <v>4</v>
      </c>
      <c r="G498">
        <v>85</v>
      </c>
      <c r="H498">
        <v>1533</v>
      </c>
      <c r="I498">
        <v>15</v>
      </c>
      <c r="J498">
        <v>734</v>
      </c>
      <c r="K498">
        <v>64</v>
      </c>
      <c r="L498">
        <v>29005</v>
      </c>
      <c r="M498">
        <v>303</v>
      </c>
      <c r="N498">
        <v>1.0446474745733495E-2</v>
      </c>
      <c r="O498">
        <v>32</v>
      </c>
      <c r="P498">
        <v>0.10561056105610561</v>
      </c>
      <c r="Q498">
        <v>1.1032580589553525E-3</v>
      </c>
      <c r="R498">
        <v>96</v>
      </c>
      <c r="S498">
        <v>0.31683168316831684</v>
      </c>
      <c r="T498">
        <v>3.3097741768660575E-3</v>
      </c>
      <c r="U498">
        <v>89</v>
      </c>
      <c r="V498">
        <v>0.29372937293729373</v>
      </c>
      <c r="W498">
        <v>3.0684364764695742E-3</v>
      </c>
      <c r="X498">
        <v>72</v>
      </c>
      <c r="Y498">
        <v>0.23762376237623761</v>
      </c>
      <c r="Z498">
        <v>2.482330632649543E-3</v>
      </c>
      <c r="AA498">
        <v>14</v>
      </c>
      <c r="AB498">
        <v>4.6204620462046202E-2</v>
      </c>
      <c r="AC498">
        <v>4.8267540079296675E-4</v>
      </c>
      <c r="AD498">
        <v>0</v>
      </c>
      <c r="AE498">
        <v>0</v>
      </c>
      <c r="AF498">
        <v>0</v>
      </c>
    </row>
    <row r="499" spans="1:32" x14ac:dyDescent="0.2">
      <c r="A499">
        <v>555.80623842592468</v>
      </c>
      <c r="B499">
        <v>3350</v>
      </c>
      <c r="C499">
        <v>128</v>
      </c>
      <c r="D499">
        <v>667</v>
      </c>
      <c r="E499">
        <v>429</v>
      </c>
      <c r="F499">
        <v>0</v>
      </c>
      <c r="G499">
        <v>11</v>
      </c>
      <c r="H499">
        <v>933</v>
      </c>
      <c r="I499">
        <v>0</v>
      </c>
      <c r="J499">
        <v>193</v>
      </c>
      <c r="K499">
        <v>3</v>
      </c>
      <c r="L499">
        <v>18201</v>
      </c>
      <c r="M499">
        <v>32</v>
      </c>
      <c r="N499">
        <v>1.7581451568595132E-3</v>
      </c>
      <c r="O499">
        <v>2</v>
      </c>
      <c r="P499">
        <v>6.25E-2</v>
      </c>
      <c r="Q499">
        <v>1.0988407230371958E-4</v>
      </c>
      <c r="R499">
        <v>0</v>
      </c>
      <c r="S499">
        <v>0</v>
      </c>
      <c r="T499">
        <v>0</v>
      </c>
      <c r="U499">
        <v>29</v>
      </c>
      <c r="V499">
        <v>0.90625</v>
      </c>
      <c r="W499">
        <v>1.5933190484039338E-3</v>
      </c>
      <c r="X499">
        <v>1</v>
      </c>
      <c r="Y499">
        <v>3.125E-2</v>
      </c>
      <c r="Z499">
        <v>5.4942036151859789E-5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">
      <c r="A500">
        <v>1395.3114699074067</v>
      </c>
      <c r="B500">
        <v>612</v>
      </c>
      <c r="C500">
        <v>32</v>
      </c>
      <c r="D500">
        <v>201</v>
      </c>
      <c r="E500">
        <v>0</v>
      </c>
      <c r="F500">
        <v>0</v>
      </c>
      <c r="G500">
        <v>4</v>
      </c>
      <c r="H500">
        <v>13</v>
      </c>
      <c r="I500">
        <v>1</v>
      </c>
      <c r="J500">
        <v>102</v>
      </c>
      <c r="K500">
        <v>32</v>
      </c>
      <c r="L500">
        <v>1797</v>
      </c>
      <c r="M500">
        <v>20</v>
      </c>
      <c r="N500">
        <v>1.1129660545353366E-2</v>
      </c>
      <c r="O500">
        <v>0</v>
      </c>
      <c r="P500">
        <v>0</v>
      </c>
      <c r="Q500">
        <v>0</v>
      </c>
      <c r="R500">
        <v>19</v>
      </c>
      <c r="S500">
        <v>0.95</v>
      </c>
      <c r="T500">
        <v>1.0573177518085699E-2</v>
      </c>
      <c r="U500">
        <v>0</v>
      </c>
      <c r="V500">
        <v>0</v>
      </c>
      <c r="W500">
        <v>0</v>
      </c>
      <c r="X500">
        <v>1</v>
      </c>
      <c r="Y500">
        <v>0.05</v>
      </c>
      <c r="Z500">
        <v>5.5648302726766835E-4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">
      <c r="A501">
        <v>2035.6935995370368</v>
      </c>
      <c r="B501">
        <v>851</v>
      </c>
      <c r="C501">
        <v>40</v>
      </c>
      <c r="D501">
        <v>106</v>
      </c>
      <c r="E501">
        <v>1</v>
      </c>
      <c r="F501">
        <v>4</v>
      </c>
      <c r="G501">
        <v>30</v>
      </c>
      <c r="H501">
        <v>175</v>
      </c>
      <c r="I501">
        <v>18</v>
      </c>
      <c r="J501">
        <v>228</v>
      </c>
      <c r="K501">
        <v>68</v>
      </c>
      <c r="L501">
        <v>5452</v>
      </c>
      <c r="M501">
        <v>36</v>
      </c>
      <c r="N501">
        <v>6.6030814380044021E-3</v>
      </c>
      <c r="O501">
        <v>1</v>
      </c>
      <c r="P501">
        <v>2.7777777777777776E-2</v>
      </c>
      <c r="Q501">
        <v>1.8341892883345562E-4</v>
      </c>
      <c r="R501">
        <v>9</v>
      </c>
      <c r="S501">
        <v>0.25</v>
      </c>
      <c r="T501">
        <v>1.6507703595011005E-3</v>
      </c>
      <c r="U501">
        <v>9</v>
      </c>
      <c r="V501">
        <v>0.25</v>
      </c>
      <c r="W501">
        <v>1.6507703595011005E-3</v>
      </c>
      <c r="X501">
        <v>17</v>
      </c>
      <c r="Y501">
        <v>0.47222222222222221</v>
      </c>
      <c r="Z501">
        <v>3.1181217901687453E-3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">
      <c r="A502">
        <v>2044.3801736111127</v>
      </c>
      <c r="B502">
        <v>658</v>
      </c>
      <c r="C502">
        <v>66</v>
      </c>
      <c r="D502">
        <v>218</v>
      </c>
      <c r="E502">
        <v>0</v>
      </c>
      <c r="F502">
        <v>1</v>
      </c>
      <c r="G502">
        <v>4</v>
      </c>
      <c r="H502">
        <v>20</v>
      </c>
      <c r="I502">
        <v>9</v>
      </c>
      <c r="J502">
        <v>95</v>
      </c>
      <c r="K502">
        <v>39</v>
      </c>
      <c r="L502">
        <v>468</v>
      </c>
      <c r="M502">
        <v>12</v>
      </c>
      <c r="N502">
        <v>2.564102564102564E-2</v>
      </c>
      <c r="O502">
        <v>0</v>
      </c>
      <c r="P502">
        <v>0</v>
      </c>
      <c r="Q502">
        <v>0</v>
      </c>
      <c r="R502">
        <v>7</v>
      </c>
      <c r="S502">
        <v>0.58333333333333337</v>
      </c>
      <c r="T502">
        <v>1.4957264957264958E-2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5</v>
      </c>
      <c r="AE502">
        <v>0.41666666666666669</v>
      </c>
      <c r="AF502">
        <v>1.0683760683760684E-2</v>
      </c>
    </row>
    <row r="503" spans="1:32" x14ac:dyDescent="0.2">
      <c r="A503">
        <v>316.04914351851767</v>
      </c>
      <c r="B503">
        <v>997</v>
      </c>
      <c r="C503">
        <v>35</v>
      </c>
      <c r="D503">
        <v>177</v>
      </c>
      <c r="E503">
        <v>0</v>
      </c>
      <c r="F503">
        <v>0</v>
      </c>
      <c r="G503">
        <v>0</v>
      </c>
      <c r="H503">
        <v>2</v>
      </c>
      <c r="I503">
        <v>2</v>
      </c>
      <c r="J503">
        <v>83</v>
      </c>
      <c r="K503">
        <v>38</v>
      </c>
      <c r="L503">
        <v>18636</v>
      </c>
      <c r="M503">
        <v>14</v>
      </c>
      <c r="N503">
        <v>7.5123417042283756E-4</v>
      </c>
      <c r="O503">
        <v>5</v>
      </c>
      <c r="P503">
        <v>0.35714285714285715</v>
      </c>
      <c r="Q503">
        <v>2.6829791800815628E-4</v>
      </c>
      <c r="R503">
        <v>5</v>
      </c>
      <c r="S503">
        <v>0.35714285714285715</v>
      </c>
      <c r="T503">
        <v>2.6829791800815628E-4</v>
      </c>
      <c r="U503">
        <v>4</v>
      </c>
      <c r="V503">
        <v>0.2857142857142857</v>
      </c>
      <c r="W503">
        <v>2.14638334406525E-4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">
      <c r="A504">
        <v>407.66523148147826</v>
      </c>
      <c r="B504">
        <v>671</v>
      </c>
      <c r="C504">
        <v>25</v>
      </c>
      <c r="D504">
        <v>97</v>
      </c>
      <c r="E504">
        <v>0</v>
      </c>
      <c r="F504">
        <v>1</v>
      </c>
      <c r="G504">
        <v>11</v>
      </c>
      <c r="H504">
        <v>16</v>
      </c>
      <c r="I504">
        <v>2</v>
      </c>
      <c r="J504">
        <v>15</v>
      </c>
      <c r="K504">
        <v>9</v>
      </c>
      <c r="L504">
        <v>6118</v>
      </c>
      <c r="M504">
        <v>8</v>
      </c>
      <c r="N504">
        <v>1.3076168682576005E-3</v>
      </c>
      <c r="O504">
        <v>0</v>
      </c>
      <c r="P504">
        <v>0</v>
      </c>
      <c r="Q504">
        <v>0</v>
      </c>
      <c r="R504">
        <v>4</v>
      </c>
      <c r="S504">
        <v>0.5</v>
      </c>
      <c r="T504">
        <v>6.5380843412880026E-4</v>
      </c>
      <c r="U504">
        <v>2</v>
      </c>
      <c r="V504">
        <v>0.25</v>
      </c>
      <c r="W504">
        <v>3.2690421706440013E-4</v>
      </c>
      <c r="X504">
        <v>2</v>
      </c>
      <c r="Y504">
        <v>0.25</v>
      </c>
      <c r="Z504">
        <v>3.2690421706440013E-4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">
      <c r="A505">
        <v>3054.638043981482</v>
      </c>
      <c r="B505">
        <v>597</v>
      </c>
      <c r="C505">
        <v>79</v>
      </c>
      <c r="D505">
        <v>369</v>
      </c>
      <c r="E505">
        <v>0</v>
      </c>
      <c r="F505">
        <v>3</v>
      </c>
      <c r="G505">
        <v>20</v>
      </c>
      <c r="H505">
        <v>242</v>
      </c>
      <c r="I505">
        <v>4</v>
      </c>
      <c r="J505">
        <v>736</v>
      </c>
      <c r="K505">
        <v>162</v>
      </c>
      <c r="L505">
        <v>26375</v>
      </c>
      <c r="M505">
        <v>638</v>
      </c>
      <c r="N505">
        <v>2.4189573459715639E-2</v>
      </c>
      <c r="O505">
        <v>218</v>
      </c>
      <c r="P505">
        <v>0.34169278996865204</v>
      </c>
      <c r="Q505">
        <v>8.2654028436018965E-3</v>
      </c>
      <c r="R505">
        <v>211</v>
      </c>
      <c r="S505">
        <v>0.33072100313479624</v>
      </c>
      <c r="T505">
        <v>8.0000000000000002E-3</v>
      </c>
      <c r="U505">
        <v>26</v>
      </c>
      <c r="V505">
        <v>4.0752351097178681E-2</v>
      </c>
      <c r="W505">
        <v>9.857819905213271E-4</v>
      </c>
      <c r="X505">
        <v>177</v>
      </c>
      <c r="Y505">
        <v>0.2774294670846395</v>
      </c>
      <c r="Z505">
        <v>6.7109004739336489E-3</v>
      </c>
      <c r="AA505">
        <v>5</v>
      </c>
      <c r="AB505">
        <v>7.8369905956112845E-3</v>
      </c>
      <c r="AC505">
        <v>1.8957345971563981E-4</v>
      </c>
      <c r="AD505">
        <v>1</v>
      </c>
      <c r="AE505">
        <v>1.567398119122257E-3</v>
      </c>
      <c r="AF505">
        <v>3.7914691943127961E-5</v>
      </c>
    </row>
    <row r="506" spans="1:32" x14ac:dyDescent="0.2">
      <c r="A506">
        <v>1833.3402662037042</v>
      </c>
      <c r="B506">
        <v>7120</v>
      </c>
      <c r="C506">
        <v>401</v>
      </c>
      <c r="D506">
        <v>572</v>
      </c>
      <c r="E506">
        <v>88</v>
      </c>
      <c r="F506">
        <v>10</v>
      </c>
      <c r="G506">
        <v>14</v>
      </c>
      <c r="H506">
        <v>377</v>
      </c>
      <c r="I506">
        <v>3</v>
      </c>
      <c r="J506">
        <v>473</v>
      </c>
      <c r="K506">
        <v>20</v>
      </c>
      <c r="L506">
        <v>45901</v>
      </c>
      <c r="M506">
        <v>224</v>
      </c>
      <c r="N506">
        <v>4.8800679723753296E-3</v>
      </c>
      <c r="O506">
        <v>55</v>
      </c>
      <c r="P506">
        <v>0.24553571428571427</v>
      </c>
      <c r="Q506">
        <v>1.1982309753600139E-3</v>
      </c>
      <c r="R506">
        <v>38</v>
      </c>
      <c r="S506">
        <v>0.16964285714285715</v>
      </c>
      <c r="T506">
        <v>8.2786867388510055E-4</v>
      </c>
      <c r="U506">
        <v>35</v>
      </c>
      <c r="V506">
        <v>0.15625</v>
      </c>
      <c r="W506">
        <v>7.625106206836452E-4</v>
      </c>
      <c r="X506">
        <v>34</v>
      </c>
      <c r="Y506">
        <v>0.15178571428571427</v>
      </c>
      <c r="Z506">
        <v>7.4072460294982679E-4</v>
      </c>
      <c r="AA506">
        <v>26</v>
      </c>
      <c r="AB506">
        <v>0.11607142857142858</v>
      </c>
      <c r="AC506">
        <v>5.6643646107927927E-4</v>
      </c>
      <c r="AD506">
        <v>36</v>
      </c>
      <c r="AE506">
        <v>0.16071428571428573</v>
      </c>
      <c r="AF506">
        <v>7.8429663841746372E-4</v>
      </c>
    </row>
    <row r="507" spans="1:32" x14ac:dyDescent="0.2">
      <c r="A507">
        <v>2033.9111342592587</v>
      </c>
      <c r="B507">
        <v>408</v>
      </c>
      <c r="C507">
        <v>12</v>
      </c>
      <c r="D507">
        <v>63</v>
      </c>
      <c r="E507">
        <v>22</v>
      </c>
      <c r="F507">
        <v>1</v>
      </c>
      <c r="G507">
        <v>26</v>
      </c>
      <c r="H507">
        <v>95</v>
      </c>
      <c r="I507">
        <v>1</v>
      </c>
      <c r="J507">
        <v>91</v>
      </c>
      <c r="K507">
        <v>24</v>
      </c>
      <c r="L507">
        <v>5120</v>
      </c>
      <c r="M507">
        <v>32</v>
      </c>
      <c r="N507">
        <v>6.2500000000000003E-3</v>
      </c>
      <c r="O507">
        <v>32</v>
      </c>
      <c r="P507">
        <v>1</v>
      </c>
      <c r="Q507">
        <v>6.2500000000000003E-3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">
      <c r="A508">
        <v>192.01677083333198</v>
      </c>
      <c r="B508">
        <v>383</v>
      </c>
      <c r="C508">
        <v>17</v>
      </c>
      <c r="D508">
        <v>37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32</v>
      </c>
      <c r="K508">
        <v>11</v>
      </c>
      <c r="L508">
        <v>25887</v>
      </c>
      <c r="M508">
        <v>260</v>
      </c>
      <c r="N508">
        <v>1.0043651253524936E-2</v>
      </c>
      <c r="O508">
        <v>1</v>
      </c>
      <c r="P508">
        <v>3.8461538461538464E-3</v>
      </c>
      <c r="Q508">
        <v>3.8629427898172826E-5</v>
      </c>
      <c r="R508">
        <v>201</v>
      </c>
      <c r="S508">
        <v>0.77307692307692311</v>
      </c>
      <c r="T508">
        <v>7.7645150075327388E-3</v>
      </c>
      <c r="U508">
        <v>45</v>
      </c>
      <c r="V508">
        <v>0.17307692307692307</v>
      </c>
      <c r="W508">
        <v>1.7383242554177773E-3</v>
      </c>
      <c r="X508">
        <v>12</v>
      </c>
      <c r="Y508">
        <v>4.6153846153846156E-2</v>
      </c>
      <c r="Z508">
        <v>4.6355313477807391E-4</v>
      </c>
      <c r="AA508">
        <v>0</v>
      </c>
      <c r="AB508">
        <v>0</v>
      </c>
      <c r="AC508">
        <v>0</v>
      </c>
      <c r="AD508">
        <v>1</v>
      </c>
      <c r="AE508">
        <v>3.8461538461538464E-3</v>
      </c>
      <c r="AF508">
        <v>3.8629427898172826E-5</v>
      </c>
    </row>
    <row r="509" spans="1:32" x14ac:dyDescent="0.2">
      <c r="A509">
        <v>3002.7521180555559</v>
      </c>
      <c r="B509">
        <v>1981</v>
      </c>
      <c r="C509">
        <v>138</v>
      </c>
      <c r="D509">
        <v>1097</v>
      </c>
      <c r="E509">
        <v>0</v>
      </c>
      <c r="F509">
        <v>2</v>
      </c>
      <c r="G509">
        <v>21</v>
      </c>
      <c r="H509">
        <v>42</v>
      </c>
      <c r="I509">
        <v>1</v>
      </c>
      <c r="J509">
        <v>33</v>
      </c>
      <c r="K509">
        <v>1</v>
      </c>
      <c r="L509">
        <v>3842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">
      <c r="A510">
        <v>2614.2550115740742</v>
      </c>
      <c r="B510">
        <v>838</v>
      </c>
      <c r="C510">
        <v>90</v>
      </c>
      <c r="D510">
        <v>180</v>
      </c>
      <c r="E510">
        <v>0</v>
      </c>
      <c r="F510">
        <v>15</v>
      </c>
      <c r="G510">
        <v>68</v>
      </c>
      <c r="H510">
        <v>198</v>
      </c>
      <c r="I510">
        <v>3</v>
      </c>
      <c r="J510">
        <v>288</v>
      </c>
      <c r="K510">
        <v>28</v>
      </c>
      <c r="L510">
        <v>4284</v>
      </c>
      <c r="M510">
        <v>389</v>
      </c>
      <c r="N510">
        <v>9.0802987861811388E-2</v>
      </c>
      <c r="O510">
        <v>187</v>
      </c>
      <c r="P510">
        <v>0.48071979434447298</v>
      </c>
      <c r="Q510">
        <v>4.3650793650793648E-2</v>
      </c>
      <c r="R510">
        <v>21</v>
      </c>
      <c r="S510">
        <v>5.3984575835475578E-2</v>
      </c>
      <c r="T510">
        <v>4.9019607843137254E-3</v>
      </c>
      <c r="U510">
        <v>123</v>
      </c>
      <c r="V510">
        <v>0.31619537275064269</v>
      </c>
      <c r="W510">
        <v>2.8711484593837534E-2</v>
      </c>
      <c r="X510">
        <v>53</v>
      </c>
      <c r="Y510">
        <v>0.13624678663239073</v>
      </c>
      <c r="Z510">
        <v>1.2371615312791783E-2</v>
      </c>
      <c r="AA510">
        <v>0</v>
      </c>
      <c r="AB510">
        <v>0</v>
      </c>
      <c r="AC510">
        <v>0</v>
      </c>
      <c r="AD510">
        <v>5</v>
      </c>
      <c r="AE510">
        <v>1.2853470437017995E-2</v>
      </c>
      <c r="AF510">
        <v>1.1671335200746965E-3</v>
      </c>
    </row>
    <row r="511" spans="1:32" x14ac:dyDescent="0.2">
      <c r="A511">
        <v>2470.9733333333352</v>
      </c>
      <c r="B511">
        <v>15556</v>
      </c>
      <c r="C511">
        <v>646</v>
      </c>
      <c r="D511">
        <v>4004</v>
      </c>
      <c r="E511">
        <v>65</v>
      </c>
      <c r="F511">
        <v>10</v>
      </c>
      <c r="G511">
        <v>80</v>
      </c>
      <c r="H511">
        <v>2543</v>
      </c>
      <c r="I511">
        <v>3</v>
      </c>
      <c r="J511">
        <v>3329</v>
      </c>
      <c r="K511">
        <v>135</v>
      </c>
      <c r="L511">
        <v>25918</v>
      </c>
      <c r="M511">
        <v>218</v>
      </c>
      <c r="N511">
        <v>8.4111428350953001E-3</v>
      </c>
      <c r="O511">
        <v>89</v>
      </c>
      <c r="P511">
        <v>0.40825688073394495</v>
      </c>
      <c r="Q511">
        <v>3.4339069372636777E-3</v>
      </c>
      <c r="R511">
        <v>65</v>
      </c>
      <c r="S511">
        <v>0.29816513761467889</v>
      </c>
      <c r="T511">
        <v>2.5079095609229106E-3</v>
      </c>
      <c r="U511">
        <v>10</v>
      </c>
      <c r="V511">
        <v>4.5871559633027525E-2</v>
      </c>
      <c r="W511">
        <v>3.8583224014198628E-4</v>
      </c>
      <c r="X511">
        <v>52</v>
      </c>
      <c r="Y511">
        <v>0.23853211009174313</v>
      </c>
      <c r="Z511">
        <v>2.0063276487383287E-3</v>
      </c>
      <c r="AA511">
        <v>0</v>
      </c>
      <c r="AB511">
        <v>0</v>
      </c>
      <c r="AC511">
        <v>0</v>
      </c>
      <c r="AD511">
        <v>2</v>
      </c>
      <c r="AE511">
        <v>9.1743119266055051E-3</v>
      </c>
      <c r="AF511">
        <v>7.7166448028397259E-5</v>
      </c>
    </row>
    <row r="512" spans="1:32" x14ac:dyDescent="0.2">
      <c r="A512">
        <v>2728.8147106481483</v>
      </c>
      <c r="B512">
        <v>584</v>
      </c>
      <c r="C512">
        <v>123</v>
      </c>
      <c r="D512">
        <v>283</v>
      </c>
      <c r="E512">
        <v>55</v>
      </c>
      <c r="F512">
        <v>7</v>
      </c>
      <c r="G512">
        <v>69</v>
      </c>
      <c r="H512">
        <v>632</v>
      </c>
      <c r="I512">
        <v>25</v>
      </c>
      <c r="J512">
        <v>469</v>
      </c>
      <c r="K512">
        <v>71</v>
      </c>
      <c r="L512">
        <v>14485</v>
      </c>
      <c r="M512">
        <v>58</v>
      </c>
      <c r="N512">
        <v>4.0041422160856056E-3</v>
      </c>
      <c r="O512">
        <v>14</v>
      </c>
      <c r="P512">
        <v>0.2413793103448276</v>
      </c>
      <c r="Q512">
        <v>9.6651708664135313E-4</v>
      </c>
      <c r="R512">
        <v>8</v>
      </c>
      <c r="S512">
        <v>0.13793103448275862</v>
      </c>
      <c r="T512">
        <v>5.5229547808077317E-4</v>
      </c>
      <c r="U512">
        <v>19</v>
      </c>
      <c r="V512">
        <v>0.32758620689655171</v>
      </c>
      <c r="W512">
        <v>1.3117017604418364E-3</v>
      </c>
      <c r="X512">
        <v>17</v>
      </c>
      <c r="Y512">
        <v>0.29310344827586204</v>
      </c>
      <c r="Z512">
        <v>1.1736278909216431E-3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">
      <c r="A513">
        <v>2016.6221064814818</v>
      </c>
      <c r="B513">
        <v>956</v>
      </c>
      <c r="C513">
        <v>49</v>
      </c>
      <c r="D513">
        <v>328</v>
      </c>
      <c r="E513">
        <v>6</v>
      </c>
      <c r="F513">
        <v>8</v>
      </c>
      <c r="G513">
        <v>38</v>
      </c>
      <c r="H513">
        <v>344</v>
      </c>
      <c r="I513">
        <v>15</v>
      </c>
      <c r="J513">
        <v>363</v>
      </c>
      <c r="K513">
        <v>122</v>
      </c>
      <c r="L513">
        <v>8026</v>
      </c>
      <c r="M513">
        <v>48</v>
      </c>
      <c r="N513">
        <v>5.9805631696984796E-3</v>
      </c>
      <c r="O513">
        <v>18</v>
      </c>
      <c r="P513">
        <v>0.375</v>
      </c>
      <c r="Q513">
        <v>2.24271118863693E-3</v>
      </c>
      <c r="R513">
        <v>15</v>
      </c>
      <c r="S513">
        <v>0.3125</v>
      </c>
      <c r="T513">
        <v>1.868925990530775E-3</v>
      </c>
      <c r="U513">
        <v>0</v>
      </c>
      <c r="V513">
        <v>0</v>
      </c>
      <c r="W513">
        <v>0</v>
      </c>
      <c r="X513">
        <v>15</v>
      </c>
      <c r="Y513">
        <v>0.3125</v>
      </c>
      <c r="Z513">
        <v>1.868925990530775E-3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">
      <c r="A514">
        <v>2094.4463425925933</v>
      </c>
      <c r="B514">
        <v>5853</v>
      </c>
      <c r="C514">
        <v>201</v>
      </c>
      <c r="D514">
        <v>2235</v>
      </c>
      <c r="E514">
        <v>0</v>
      </c>
      <c r="F514">
        <v>25</v>
      </c>
      <c r="G514">
        <v>167</v>
      </c>
      <c r="H514">
        <v>649</v>
      </c>
      <c r="I514">
        <v>5</v>
      </c>
      <c r="J514">
        <v>612</v>
      </c>
      <c r="K514">
        <v>58</v>
      </c>
      <c r="L514">
        <v>612</v>
      </c>
      <c r="M514">
        <v>40</v>
      </c>
      <c r="N514">
        <v>6.535947712418301E-2</v>
      </c>
      <c r="O514">
        <v>16</v>
      </c>
      <c r="P514">
        <v>0.4</v>
      </c>
      <c r="Q514">
        <v>2.6143790849673203E-2</v>
      </c>
      <c r="R514">
        <v>23</v>
      </c>
      <c r="S514">
        <v>0.57499999999999996</v>
      </c>
      <c r="T514">
        <v>3.7581699346405227E-2</v>
      </c>
      <c r="U514">
        <v>1</v>
      </c>
      <c r="V514">
        <v>2.5000000000000001E-2</v>
      </c>
      <c r="W514">
        <v>1.6339869281045752E-3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">
      <c r="A515">
        <v>1445.8666319444383</v>
      </c>
      <c r="B515">
        <v>418</v>
      </c>
      <c r="C515">
        <v>37</v>
      </c>
      <c r="D515">
        <v>132</v>
      </c>
      <c r="E515">
        <v>26</v>
      </c>
      <c r="F515">
        <v>5</v>
      </c>
      <c r="G515">
        <v>64</v>
      </c>
      <c r="H515">
        <v>485</v>
      </c>
      <c r="I515">
        <v>2</v>
      </c>
      <c r="J515">
        <v>460</v>
      </c>
      <c r="K515">
        <v>78</v>
      </c>
      <c r="L515">
        <v>5673</v>
      </c>
      <c r="M515">
        <v>213</v>
      </c>
      <c r="N515">
        <v>3.75462718138551E-2</v>
      </c>
      <c r="O515">
        <v>98</v>
      </c>
      <c r="P515">
        <v>0.460093896713615</v>
      </c>
      <c r="Q515">
        <v>1.7274810505905167E-2</v>
      </c>
      <c r="R515">
        <v>44</v>
      </c>
      <c r="S515">
        <v>0.20657276995305165</v>
      </c>
      <c r="T515">
        <v>7.7560373699982373E-3</v>
      </c>
      <c r="U515">
        <v>56</v>
      </c>
      <c r="V515">
        <v>0.26291079812206575</v>
      </c>
      <c r="W515">
        <v>9.8713202890886656E-3</v>
      </c>
      <c r="X515">
        <v>14</v>
      </c>
      <c r="Y515">
        <v>6.5727699530516437E-2</v>
      </c>
      <c r="Z515">
        <v>2.4678300722721664E-3</v>
      </c>
      <c r="AA515">
        <v>1</v>
      </c>
      <c r="AB515">
        <v>4.6948356807511738E-3</v>
      </c>
      <c r="AC515">
        <v>1.7627357659086903E-4</v>
      </c>
      <c r="AD515">
        <v>0</v>
      </c>
      <c r="AE515">
        <v>0</v>
      </c>
      <c r="AF515">
        <v>0</v>
      </c>
    </row>
    <row r="516" spans="1:32" x14ac:dyDescent="0.2">
      <c r="A516">
        <v>3167.4184722222271</v>
      </c>
      <c r="B516">
        <v>1830</v>
      </c>
      <c r="C516">
        <v>91</v>
      </c>
      <c r="D516">
        <v>459</v>
      </c>
      <c r="E516">
        <v>0</v>
      </c>
      <c r="F516">
        <v>9</v>
      </c>
      <c r="G516">
        <v>75</v>
      </c>
      <c r="H516">
        <v>423</v>
      </c>
      <c r="I516">
        <v>5</v>
      </c>
      <c r="J516">
        <v>544</v>
      </c>
      <c r="K516">
        <v>144</v>
      </c>
      <c r="L516">
        <v>3903</v>
      </c>
      <c r="M516">
        <v>74</v>
      </c>
      <c r="N516">
        <v>1.8959774532410965E-2</v>
      </c>
      <c r="O516">
        <v>14</v>
      </c>
      <c r="P516">
        <v>0.1891891891891892</v>
      </c>
      <c r="Q516">
        <v>3.5869843709966692E-3</v>
      </c>
      <c r="R516">
        <v>39</v>
      </c>
      <c r="S516">
        <v>0.52702702702702697</v>
      </c>
      <c r="T516">
        <v>9.9923136049192927E-3</v>
      </c>
      <c r="U516">
        <v>8</v>
      </c>
      <c r="V516">
        <v>0.10810810810810811</v>
      </c>
      <c r="W516">
        <v>2.0497053548552396E-3</v>
      </c>
      <c r="X516">
        <v>13</v>
      </c>
      <c r="Y516">
        <v>0.17567567567567569</v>
      </c>
      <c r="Z516">
        <v>3.3307712016397641E-3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">
      <c r="A517">
        <v>1444.1370949074044</v>
      </c>
      <c r="B517">
        <v>1864</v>
      </c>
      <c r="C517">
        <v>79</v>
      </c>
      <c r="D517">
        <v>270</v>
      </c>
      <c r="E517">
        <v>1</v>
      </c>
      <c r="F517">
        <v>16</v>
      </c>
      <c r="G517">
        <v>70</v>
      </c>
      <c r="H517">
        <v>710</v>
      </c>
      <c r="I517">
        <v>34</v>
      </c>
      <c r="J517">
        <v>571</v>
      </c>
      <c r="K517">
        <v>240</v>
      </c>
      <c r="L517">
        <v>4543</v>
      </c>
      <c r="M517">
        <v>66</v>
      </c>
      <c r="N517">
        <v>1.4527845036319613E-2</v>
      </c>
      <c r="O517">
        <v>10</v>
      </c>
      <c r="P517">
        <v>0.15151515151515152</v>
      </c>
      <c r="Q517">
        <v>2.2011886418666078E-3</v>
      </c>
      <c r="R517">
        <v>31</v>
      </c>
      <c r="S517">
        <v>0.46969696969696972</v>
      </c>
      <c r="T517">
        <v>6.8236847897864845E-3</v>
      </c>
      <c r="U517">
        <v>12</v>
      </c>
      <c r="V517">
        <v>0.18181818181818182</v>
      </c>
      <c r="W517">
        <v>2.6414263702399295E-3</v>
      </c>
      <c r="X517">
        <v>8</v>
      </c>
      <c r="Y517">
        <v>0.12121212121212122</v>
      </c>
      <c r="Z517">
        <v>1.7609509134932863E-3</v>
      </c>
      <c r="AA517">
        <v>0</v>
      </c>
      <c r="AB517">
        <v>0</v>
      </c>
      <c r="AC517">
        <v>0</v>
      </c>
      <c r="AD517">
        <v>5</v>
      </c>
      <c r="AE517">
        <v>7.575757575757576E-2</v>
      </c>
      <c r="AF517">
        <v>1.1005943209333039E-3</v>
      </c>
    </row>
    <row r="518" spans="1:32" x14ac:dyDescent="0.2">
      <c r="A518">
        <v>2384.4244791666642</v>
      </c>
      <c r="B518">
        <v>374</v>
      </c>
      <c r="C518">
        <v>25</v>
      </c>
      <c r="D518">
        <v>255</v>
      </c>
      <c r="E518">
        <v>0</v>
      </c>
      <c r="F518">
        <v>5</v>
      </c>
      <c r="G518">
        <v>55</v>
      </c>
      <c r="H518">
        <v>188</v>
      </c>
      <c r="I518">
        <v>1</v>
      </c>
      <c r="J518">
        <v>235</v>
      </c>
      <c r="K518">
        <v>13</v>
      </c>
      <c r="L518">
        <v>1385</v>
      </c>
      <c r="M518">
        <v>42</v>
      </c>
      <c r="N518">
        <v>3.032490974729242E-2</v>
      </c>
      <c r="O518">
        <v>11</v>
      </c>
      <c r="P518">
        <v>0.26190476190476192</v>
      </c>
      <c r="Q518">
        <v>7.9422382671480145E-3</v>
      </c>
      <c r="R518">
        <v>15</v>
      </c>
      <c r="S518">
        <v>0.35714285714285715</v>
      </c>
      <c r="T518">
        <v>1.0830324909747292E-2</v>
      </c>
      <c r="U518">
        <v>15</v>
      </c>
      <c r="V518">
        <v>0.35714285714285715</v>
      </c>
      <c r="W518">
        <v>1.0830324909747292E-2</v>
      </c>
      <c r="X518">
        <v>1</v>
      </c>
      <c r="Y518">
        <v>2.3809523809523808E-2</v>
      </c>
      <c r="Z518">
        <v>7.2202166064981946E-4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">
      <c r="A519">
        <v>2492.1138657407428</v>
      </c>
      <c r="B519">
        <v>6170</v>
      </c>
      <c r="C519">
        <v>271</v>
      </c>
      <c r="D519">
        <v>1485</v>
      </c>
      <c r="E519">
        <v>0</v>
      </c>
      <c r="F519">
        <v>27</v>
      </c>
      <c r="G519">
        <v>215</v>
      </c>
      <c r="H519">
        <v>1449</v>
      </c>
      <c r="I519">
        <v>31</v>
      </c>
      <c r="J519">
        <v>1924</v>
      </c>
      <c r="K519">
        <v>141</v>
      </c>
      <c r="L519">
        <v>14945</v>
      </c>
      <c r="M519">
        <v>389</v>
      </c>
      <c r="N519">
        <v>2.6028772164603545E-2</v>
      </c>
      <c r="O519">
        <v>99</v>
      </c>
      <c r="P519">
        <v>0.25449871465295631</v>
      </c>
      <c r="Q519">
        <v>6.6242890598862498E-3</v>
      </c>
      <c r="R519">
        <v>74</v>
      </c>
      <c r="S519">
        <v>0.19023136246786632</v>
      </c>
      <c r="T519">
        <v>4.9514887922382069E-3</v>
      </c>
      <c r="U519">
        <v>144</v>
      </c>
      <c r="V519">
        <v>0.37017994858611825</v>
      </c>
      <c r="W519">
        <v>9.6353295416527259E-3</v>
      </c>
      <c r="X519">
        <v>50</v>
      </c>
      <c r="Y519">
        <v>0.12853470437017994</v>
      </c>
      <c r="Z519">
        <v>3.3456005352960855E-3</v>
      </c>
      <c r="AA519">
        <v>7</v>
      </c>
      <c r="AB519">
        <v>1.7994858611825194E-2</v>
      </c>
      <c r="AC519">
        <v>4.6838407494145199E-4</v>
      </c>
      <c r="AD519">
        <v>15</v>
      </c>
      <c r="AE519">
        <v>3.8560411311053984E-2</v>
      </c>
      <c r="AF519">
        <v>1.0036801605888257E-3</v>
      </c>
    </row>
    <row r="520" spans="1:32" x14ac:dyDescent="0.2">
      <c r="A520">
        <v>1430.7471990740742</v>
      </c>
      <c r="B520">
        <v>1184</v>
      </c>
      <c r="C520">
        <v>45</v>
      </c>
      <c r="D520">
        <v>239</v>
      </c>
      <c r="E520">
        <v>9</v>
      </c>
      <c r="F520">
        <v>1</v>
      </c>
      <c r="G520">
        <v>92</v>
      </c>
      <c r="H520">
        <v>611</v>
      </c>
      <c r="I520">
        <v>25</v>
      </c>
      <c r="J520">
        <v>422</v>
      </c>
      <c r="K520">
        <v>153</v>
      </c>
      <c r="L520">
        <v>5319</v>
      </c>
      <c r="M520">
        <v>36</v>
      </c>
      <c r="N520">
        <v>6.7681895093062603E-3</v>
      </c>
      <c r="O520">
        <v>4</v>
      </c>
      <c r="P520">
        <v>0.1111111111111111</v>
      </c>
      <c r="Q520">
        <v>7.5202105658958454E-4</v>
      </c>
      <c r="R520">
        <v>15</v>
      </c>
      <c r="S520">
        <v>0.41666666666666669</v>
      </c>
      <c r="T520">
        <v>2.8200789622109417E-3</v>
      </c>
      <c r="U520">
        <v>4</v>
      </c>
      <c r="V520">
        <v>0.1111111111111111</v>
      </c>
      <c r="W520">
        <v>7.5202105658958454E-4</v>
      </c>
      <c r="X520">
        <v>11</v>
      </c>
      <c r="Y520">
        <v>0.30555555555555558</v>
      </c>
      <c r="Z520">
        <v>2.0680579056213573E-3</v>
      </c>
      <c r="AA520">
        <v>0</v>
      </c>
      <c r="AB520">
        <v>0</v>
      </c>
      <c r="AC520">
        <v>0</v>
      </c>
      <c r="AD520">
        <v>2</v>
      </c>
      <c r="AE520">
        <v>5.5555555555555552E-2</v>
      </c>
      <c r="AF520">
        <v>3.7601052829479227E-4</v>
      </c>
    </row>
    <row r="521" spans="1:32" x14ac:dyDescent="0.2">
      <c r="A521">
        <v>1027.8298842592631</v>
      </c>
      <c r="B521">
        <v>658</v>
      </c>
      <c r="C521">
        <v>28</v>
      </c>
      <c r="D521">
        <v>226</v>
      </c>
      <c r="E521">
        <v>0</v>
      </c>
      <c r="F521">
        <v>0</v>
      </c>
      <c r="G521">
        <v>54</v>
      </c>
      <c r="H521">
        <v>289</v>
      </c>
      <c r="I521">
        <v>15</v>
      </c>
      <c r="J521">
        <v>391</v>
      </c>
      <c r="K521">
        <v>164</v>
      </c>
      <c r="L521">
        <v>2345</v>
      </c>
      <c r="M521">
        <v>36</v>
      </c>
      <c r="N521">
        <v>1.535181236673774E-2</v>
      </c>
      <c r="O521">
        <v>4</v>
      </c>
      <c r="P521">
        <v>0.1111111111111111</v>
      </c>
      <c r="Q521">
        <v>1.7057569296375266E-3</v>
      </c>
      <c r="R521">
        <v>24</v>
      </c>
      <c r="S521">
        <v>0.66666666666666663</v>
      </c>
      <c r="T521">
        <v>1.0234541577825161E-2</v>
      </c>
      <c r="U521">
        <v>3</v>
      </c>
      <c r="V521">
        <v>8.3333333333333329E-2</v>
      </c>
      <c r="W521">
        <v>1.2793176972281451E-3</v>
      </c>
      <c r="X521">
        <v>5</v>
      </c>
      <c r="Y521">
        <v>0.1388888888888889</v>
      </c>
      <c r="Z521">
        <v>2.1321961620469083E-3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">
      <c r="A522">
        <v>1458.8545023148108</v>
      </c>
      <c r="B522">
        <v>906</v>
      </c>
      <c r="C522">
        <v>57</v>
      </c>
      <c r="D522">
        <v>501</v>
      </c>
      <c r="E522">
        <v>20</v>
      </c>
      <c r="F522">
        <v>20</v>
      </c>
      <c r="G522">
        <v>171</v>
      </c>
      <c r="H522">
        <v>1105</v>
      </c>
      <c r="I522">
        <v>11</v>
      </c>
      <c r="J522">
        <v>1020</v>
      </c>
      <c r="K522">
        <v>58</v>
      </c>
      <c r="L522">
        <v>959</v>
      </c>
      <c r="M522">
        <v>7</v>
      </c>
      <c r="N522">
        <v>7.2992700729927005E-3</v>
      </c>
      <c r="O522">
        <v>0</v>
      </c>
      <c r="P522">
        <v>0</v>
      </c>
      <c r="Q522">
        <v>0</v>
      </c>
      <c r="R522">
        <v>5</v>
      </c>
      <c r="S522">
        <v>0.7142857142857143</v>
      </c>
      <c r="T522">
        <v>5.2137643378519288E-3</v>
      </c>
      <c r="U522">
        <v>1</v>
      </c>
      <c r="V522">
        <v>0.14285714285714285</v>
      </c>
      <c r="W522">
        <v>1.0427528675703858E-3</v>
      </c>
      <c r="X522">
        <v>1</v>
      </c>
      <c r="Y522">
        <v>0.14285714285714285</v>
      </c>
      <c r="Z522">
        <v>1.0427528675703858E-3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">
      <c r="A523">
        <v>1926.9678124999991</v>
      </c>
      <c r="B523">
        <v>2248</v>
      </c>
      <c r="C523">
        <v>197</v>
      </c>
      <c r="D523">
        <v>1862</v>
      </c>
      <c r="E523">
        <v>0</v>
      </c>
      <c r="F523">
        <v>38</v>
      </c>
      <c r="G523">
        <v>42</v>
      </c>
      <c r="H523">
        <v>431</v>
      </c>
      <c r="I523">
        <v>19</v>
      </c>
      <c r="J523">
        <v>1768</v>
      </c>
      <c r="K523">
        <v>64</v>
      </c>
      <c r="L523">
        <v>4315</v>
      </c>
      <c r="M523">
        <v>240</v>
      </c>
      <c r="N523">
        <v>5.5619930475086905E-2</v>
      </c>
      <c r="O523">
        <v>65</v>
      </c>
      <c r="P523">
        <v>0.27083333333333331</v>
      </c>
      <c r="Q523">
        <v>1.5063731170336037E-2</v>
      </c>
      <c r="R523">
        <v>92</v>
      </c>
      <c r="S523">
        <v>0.38333333333333336</v>
      </c>
      <c r="T523">
        <v>2.1320973348783315E-2</v>
      </c>
      <c r="U523">
        <v>42</v>
      </c>
      <c r="V523">
        <v>0.17499999999999999</v>
      </c>
      <c r="W523">
        <v>9.7334878331402086E-3</v>
      </c>
      <c r="X523">
        <v>22</v>
      </c>
      <c r="Y523">
        <v>9.166666666666666E-2</v>
      </c>
      <c r="Z523">
        <v>5.0984936268829665E-3</v>
      </c>
      <c r="AA523">
        <v>11</v>
      </c>
      <c r="AB523">
        <v>4.583333333333333E-2</v>
      </c>
      <c r="AC523">
        <v>2.5492468134414832E-3</v>
      </c>
      <c r="AD523">
        <v>8</v>
      </c>
      <c r="AE523">
        <v>3.3333333333333333E-2</v>
      </c>
      <c r="AF523">
        <v>1.8539976825028969E-3</v>
      </c>
    </row>
    <row r="524" spans="1:32" x14ac:dyDescent="0.2">
      <c r="A524">
        <v>2187.0801157407404</v>
      </c>
      <c r="B524">
        <v>1593</v>
      </c>
      <c r="C524">
        <v>89</v>
      </c>
      <c r="D524">
        <v>685</v>
      </c>
      <c r="E524">
        <v>39</v>
      </c>
      <c r="F524">
        <v>8</v>
      </c>
      <c r="G524">
        <v>126</v>
      </c>
      <c r="H524">
        <v>735</v>
      </c>
      <c r="I524">
        <v>7</v>
      </c>
      <c r="J524">
        <v>254</v>
      </c>
      <c r="K524">
        <v>19</v>
      </c>
      <c r="L524">
        <v>2956</v>
      </c>
      <c r="M524">
        <v>22</v>
      </c>
      <c r="N524">
        <v>7.4424898511502033E-3</v>
      </c>
      <c r="O524">
        <v>1</v>
      </c>
      <c r="P524">
        <v>4.5454545454545456E-2</v>
      </c>
      <c r="Q524">
        <v>3.3829499323410016E-4</v>
      </c>
      <c r="R524">
        <v>11</v>
      </c>
      <c r="S524">
        <v>0.5</v>
      </c>
      <c r="T524">
        <v>3.7212449255751017E-3</v>
      </c>
      <c r="U524">
        <v>2</v>
      </c>
      <c r="V524">
        <v>9.0909090909090912E-2</v>
      </c>
      <c r="W524">
        <v>6.7658998646820032E-4</v>
      </c>
      <c r="X524">
        <v>6</v>
      </c>
      <c r="Y524">
        <v>0.27272727272727271</v>
      </c>
      <c r="Z524">
        <v>2.0297699594046007E-3</v>
      </c>
      <c r="AA524">
        <v>1</v>
      </c>
      <c r="AB524">
        <v>4.5454545454545456E-2</v>
      </c>
      <c r="AC524">
        <v>3.3829499323410016E-4</v>
      </c>
      <c r="AD524">
        <v>1</v>
      </c>
      <c r="AE524">
        <v>4.5454545454545456E-2</v>
      </c>
      <c r="AF524">
        <v>3.3829499323410016E-4</v>
      </c>
    </row>
    <row r="525" spans="1:32" x14ac:dyDescent="0.2">
      <c r="A525">
        <v>585.54555555555999</v>
      </c>
      <c r="B525">
        <v>499</v>
      </c>
      <c r="C525">
        <v>26</v>
      </c>
      <c r="D525">
        <v>74</v>
      </c>
      <c r="E525">
        <v>12</v>
      </c>
      <c r="F525">
        <v>0</v>
      </c>
      <c r="G525">
        <v>13</v>
      </c>
      <c r="H525">
        <v>23</v>
      </c>
      <c r="I525">
        <v>2</v>
      </c>
      <c r="J525">
        <v>17</v>
      </c>
      <c r="K525">
        <v>5</v>
      </c>
      <c r="L525">
        <v>6139</v>
      </c>
      <c r="M525">
        <v>105</v>
      </c>
      <c r="N525">
        <v>1.7103762827822121E-2</v>
      </c>
      <c r="O525">
        <v>16</v>
      </c>
      <c r="P525">
        <v>0.15238095238095239</v>
      </c>
      <c r="Q525">
        <v>2.6062876690014659E-3</v>
      </c>
      <c r="R525">
        <v>72</v>
      </c>
      <c r="S525">
        <v>0.68571428571428572</v>
      </c>
      <c r="T525">
        <v>1.1728294510506597E-2</v>
      </c>
      <c r="U525">
        <v>7</v>
      </c>
      <c r="V525">
        <v>6.6666666666666666E-2</v>
      </c>
      <c r="W525">
        <v>1.1402508551881414E-3</v>
      </c>
      <c r="X525">
        <v>10</v>
      </c>
      <c r="Y525">
        <v>9.5238095238095233E-2</v>
      </c>
      <c r="Z525">
        <v>1.6289297931259162E-3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">
      <c r="A526">
        <v>864.21652777778218</v>
      </c>
      <c r="B526">
        <v>1118</v>
      </c>
      <c r="C526">
        <v>62</v>
      </c>
      <c r="D526">
        <v>226</v>
      </c>
      <c r="E526">
        <v>3</v>
      </c>
      <c r="F526">
        <v>0</v>
      </c>
      <c r="G526">
        <v>9</v>
      </c>
      <c r="H526">
        <v>28</v>
      </c>
      <c r="I526">
        <v>0</v>
      </c>
      <c r="J526">
        <v>73</v>
      </c>
      <c r="K526">
        <v>3</v>
      </c>
      <c r="L526">
        <v>4381</v>
      </c>
      <c r="M526">
        <v>128</v>
      </c>
      <c r="N526">
        <v>2.9217073727459485E-2</v>
      </c>
      <c r="O526">
        <v>38</v>
      </c>
      <c r="P526">
        <v>0.296875</v>
      </c>
      <c r="Q526">
        <v>8.6738187628395344E-3</v>
      </c>
      <c r="R526">
        <v>64</v>
      </c>
      <c r="S526">
        <v>0.5</v>
      </c>
      <c r="T526">
        <v>1.4608536863729742E-2</v>
      </c>
      <c r="U526">
        <v>0</v>
      </c>
      <c r="V526">
        <v>0</v>
      </c>
      <c r="W526">
        <v>0</v>
      </c>
      <c r="X526">
        <v>26</v>
      </c>
      <c r="Y526">
        <v>0.203125</v>
      </c>
      <c r="Z526">
        <v>5.9347181008902079E-3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">
      <c r="A527">
        <v>70.274351851847314</v>
      </c>
      <c r="B527">
        <v>839</v>
      </c>
      <c r="C527">
        <v>37</v>
      </c>
      <c r="D527">
        <v>115</v>
      </c>
      <c r="E527">
        <v>3</v>
      </c>
      <c r="F527">
        <v>0</v>
      </c>
      <c r="G527">
        <v>4</v>
      </c>
      <c r="H527">
        <v>23</v>
      </c>
      <c r="I527">
        <v>2</v>
      </c>
      <c r="J527">
        <v>30</v>
      </c>
      <c r="K527">
        <v>9</v>
      </c>
      <c r="L527">
        <v>10601</v>
      </c>
      <c r="M527">
        <v>16</v>
      </c>
      <c r="N527">
        <v>1.5092915762663899E-3</v>
      </c>
      <c r="O527">
        <v>0</v>
      </c>
      <c r="P527">
        <v>0</v>
      </c>
      <c r="Q527">
        <v>0</v>
      </c>
      <c r="R527">
        <v>15</v>
      </c>
      <c r="S527">
        <v>0.9375</v>
      </c>
      <c r="T527">
        <v>1.4149608527497407E-3</v>
      </c>
      <c r="U527">
        <v>1</v>
      </c>
      <c r="V527">
        <v>6.25E-2</v>
      </c>
      <c r="W527">
        <v>9.433072351664937E-5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">
      <c r="A528">
        <v>1272.8207407407463</v>
      </c>
      <c r="B528">
        <v>1388</v>
      </c>
      <c r="C528">
        <v>35</v>
      </c>
      <c r="D528">
        <v>136</v>
      </c>
      <c r="E528">
        <v>101</v>
      </c>
      <c r="F528">
        <v>1</v>
      </c>
      <c r="G528">
        <v>42</v>
      </c>
      <c r="H528">
        <v>496</v>
      </c>
      <c r="I528">
        <v>28</v>
      </c>
      <c r="J528">
        <v>215</v>
      </c>
      <c r="K528">
        <v>63</v>
      </c>
      <c r="L528">
        <v>6710</v>
      </c>
      <c r="M528">
        <v>170</v>
      </c>
      <c r="N528">
        <v>2.533532041728763E-2</v>
      </c>
      <c r="O528">
        <v>96</v>
      </c>
      <c r="P528">
        <v>0.56470588235294117</v>
      </c>
      <c r="Q528">
        <v>1.4307004470938897E-2</v>
      </c>
      <c r="R528">
        <v>40</v>
      </c>
      <c r="S528">
        <v>0.23529411764705882</v>
      </c>
      <c r="T528">
        <v>5.9612518628912071E-3</v>
      </c>
      <c r="U528">
        <v>10</v>
      </c>
      <c r="V528">
        <v>5.8823529411764705E-2</v>
      </c>
      <c r="W528">
        <v>1.4903129657228018E-3</v>
      </c>
      <c r="X528">
        <v>17</v>
      </c>
      <c r="Y528">
        <v>0.1</v>
      </c>
      <c r="Z528">
        <v>2.533532041728763E-3</v>
      </c>
      <c r="AA528">
        <v>0</v>
      </c>
      <c r="AB528">
        <v>0</v>
      </c>
      <c r="AC528">
        <v>0</v>
      </c>
      <c r="AD528">
        <v>7</v>
      </c>
      <c r="AE528">
        <v>4.1176470588235294E-2</v>
      </c>
      <c r="AF528">
        <v>1.0432190760059613E-3</v>
      </c>
    </row>
    <row r="529" spans="1:32" x14ac:dyDescent="0.2">
      <c r="A529">
        <v>1715.8527546296318</v>
      </c>
      <c r="B529">
        <v>567</v>
      </c>
      <c r="C529">
        <v>15</v>
      </c>
      <c r="D529">
        <v>143</v>
      </c>
      <c r="E529">
        <v>0</v>
      </c>
      <c r="F529">
        <v>0</v>
      </c>
      <c r="G529">
        <v>8</v>
      </c>
      <c r="H529">
        <v>18</v>
      </c>
      <c r="I529">
        <v>0</v>
      </c>
      <c r="J529">
        <v>32</v>
      </c>
      <c r="K529">
        <v>5</v>
      </c>
      <c r="L529">
        <v>606</v>
      </c>
      <c r="M529">
        <v>1</v>
      </c>
      <c r="N529">
        <v>1.6501650165016502E-3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1.6501650165016502E-3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">
      <c r="A530">
        <v>733.23928240740497</v>
      </c>
      <c r="B530">
        <v>935</v>
      </c>
      <c r="C530">
        <v>19</v>
      </c>
      <c r="D530">
        <v>28</v>
      </c>
      <c r="E530">
        <v>9</v>
      </c>
      <c r="F530">
        <v>3</v>
      </c>
      <c r="G530">
        <v>12</v>
      </c>
      <c r="H530">
        <v>136</v>
      </c>
      <c r="I530">
        <v>1</v>
      </c>
      <c r="J530">
        <v>88</v>
      </c>
      <c r="K530">
        <v>49</v>
      </c>
      <c r="L530">
        <v>5007</v>
      </c>
      <c r="M530">
        <v>112</v>
      </c>
      <c r="N530">
        <v>2.2368683842620331E-2</v>
      </c>
      <c r="O530">
        <v>14</v>
      </c>
      <c r="P530">
        <v>0.125</v>
      </c>
      <c r="Q530">
        <v>2.7960854803275414E-3</v>
      </c>
      <c r="R530">
        <v>41</v>
      </c>
      <c r="S530">
        <v>0.36607142857142855</v>
      </c>
      <c r="T530">
        <v>8.1885360495306571E-3</v>
      </c>
      <c r="U530">
        <v>24</v>
      </c>
      <c r="V530">
        <v>0.21428571428571427</v>
      </c>
      <c r="W530">
        <v>4.793289394847214E-3</v>
      </c>
      <c r="X530">
        <v>16</v>
      </c>
      <c r="Y530">
        <v>0.14285714285714285</v>
      </c>
      <c r="Z530">
        <v>3.1955262632314759E-3</v>
      </c>
      <c r="AA530">
        <v>1</v>
      </c>
      <c r="AB530">
        <v>8.9285714285714281E-3</v>
      </c>
      <c r="AC530">
        <v>1.9972039145196724E-4</v>
      </c>
      <c r="AD530">
        <v>16</v>
      </c>
      <c r="AE530">
        <v>0.14285714285714285</v>
      </c>
      <c r="AF530">
        <v>3.1955262632314759E-3</v>
      </c>
    </row>
    <row r="531" spans="1:32" x14ac:dyDescent="0.2">
      <c r="A531">
        <v>1079.277604166673</v>
      </c>
      <c r="B531">
        <v>907</v>
      </c>
      <c r="C531">
        <v>22</v>
      </c>
      <c r="D531">
        <v>67</v>
      </c>
      <c r="E531">
        <v>9</v>
      </c>
      <c r="F531">
        <v>0</v>
      </c>
      <c r="G531">
        <v>2</v>
      </c>
      <c r="H531">
        <v>6</v>
      </c>
      <c r="I531">
        <v>3</v>
      </c>
      <c r="J531">
        <v>90</v>
      </c>
      <c r="K531">
        <v>72</v>
      </c>
      <c r="L531">
        <v>769</v>
      </c>
      <c r="M531">
        <v>13</v>
      </c>
      <c r="N531">
        <v>1.6905071521456438E-2</v>
      </c>
      <c r="O531">
        <v>0</v>
      </c>
      <c r="P531">
        <v>0</v>
      </c>
      <c r="Q531">
        <v>0</v>
      </c>
      <c r="R531">
        <v>11</v>
      </c>
      <c r="S531">
        <v>0.84615384615384615</v>
      </c>
      <c r="T531">
        <v>1.4304291287386216E-2</v>
      </c>
      <c r="U531">
        <v>0</v>
      </c>
      <c r="V531">
        <v>0</v>
      </c>
      <c r="W531">
        <v>0</v>
      </c>
      <c r="X531">
        <v>1</v>
      </c>
      <c r="Y531">
        <v>7.6923076923076927E-2</v>
      </c>
      <c r="Z531">
        <v>1.3003901170351106E-3</v>
      </c>
      <c r="AA531">
        <v>1</v>
      </c>
      <c r="AB531">
        <v>7.6923076923076927E-2</v>
      </c>
      <c r="AC531">
        <v>1.3003901170351106E-3</v>
      </c>
      <c r="AD531">
        <v>0</v>
      </c>
      <c r="AE531">
        <v>0</v>
      </c>
      <c r="AF531">
        <v>0</v>
      </c>
    </row>
    <row r="532" spans="1:32" x14ac:dyDescent="0.2">
      <c r="A532">
        <v>1083.7709027777819</v>
      </c>
      <c r="B532">
        <v>345</v>
      </c>
      <c r="C532">
        <v>18</v>
      </c>
      <c r="D532">
        <v>69</v>
      </c>
      <c r="E532">
        <v>0</v>
      </c>
      <c r="F532">
        <v>0</v>
      </c>
      <c r="G532">
        <v>7</v>
      </c>
      <c r="H532">
        <v>132</v>
      </c>
      <c r="I532">
        <v>1</v>
      </c>
      <c r="J532">
        <v>76</v>
      </c>
      <c r="K532">
        <v>7</v>
      </c>
      <c r="L532">
        <v>2379</v>
      </c>
      <c r="M532">
        <v>24</v>
      </c>
      <c r="N532">
        <v>1.0088272383354351E-2</v>
      </c>
      <c r="O532">
        <v>7</v>
      </c>
      <c r="P532">
        <v>0.29166666666666669</v>
      </c>
      <c r="Q532">
        <v>2.9424127784783522E-3</v>
      </c>
      <c r="R532">
        <v>9</v>
      </c>
      <c r="S532">
        <v>0.375</v>
      </c>
      <c r="T532">
        <v>3.7831021437578815E-3</v>
      </c>
      <c r="U532">
        <v>6</v>
      </c>
      <c r="V532">
        <v>0.25</v>
      </c>
      <c r="W532">
        <v>2.5220680958385876E-3</v>
      </c>
      <c r="X532">
        <v>2</v>
      </c>
      <c r="Y532">
        <v>8.3333333333333329E-2</v>
      </c>
      <c r="Z532">
        <v>8.4068936527952921E-4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">
      <c r="A533">
        <v>727.17054398148321</v>
      </c>
      <c r="B533">
        <v>355</v>
      </c>
      <c r="C533">
        <v>17</v>
      </c>
      <c r="D533">
        <v>71</v>
      </c>
      <c r="E533">
        <v>0</v>
      </c>
      <c r="F533">
        <v>0</v>
      </c>
      <c r="G533">
        <v>3</v>
      </c>
      <c r="H533">
        <v>24</v>
      </c>
      <c r="I533">
        <v>2</v>
      </c>
      <c r="J533">
        <v>98</v>
      </c>
      <c r="K533">
        <v>32</v>
      </c>
      <c r="L533">
        <v>4982</v>
      </c>
      <c r="M533">
        <v>17</v>
      </c>
      <c r="N533">
        <v>3.4122842232035327E-3</v>
      </c>
      <c r="O533">
        <v>0</v>
      </c>
      <c r="P533">
        <v>0</v>
      </c>
      <c r="Q533">
        <v>0</v>
      </c>
      <c r="R533">
        <v>16</v>
      </c>
      <c r="S533">
        <v>0.94117647058823528</v>
      </c>
      <c r="T533">
        <v>3.2115616218386192E-3</v>
      </c>
      <c r="U533">
        <v>0</v>
      </c>
      <c r="V533">
        <v>0</v>
      </c>
      <c r="W533">
        <v>0</v>
      </c>
      <c r="X533">
        <v>1</v>
      </c>
      <c r="Y533">
        <v>5.8823529411764705E-2</v>
      </c>
      <c r="Z533">
        <v>2.007226013649137E-4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">
      <c r="A534">
        <v>824.04924768518686</v>
      </c>
      <c r="B534">
        <v>582</v>
      </c>
      <c r="C534">
        <v>12</v>
      </c>
      <c r="D534">
        <v>73</v>
      </c>
      <c r="E534">
        <v>1</v>
      </c>
      <c r="F534">
        <v>0</v>
      </c>
      <c r="G534">
        <v>6</v>
      </c>
      <c r="H534">
        <v>88</v>
      </c>
      <c r="I534">
        <v>0</v>
      </c>
      <c r="J534">
        <v>65</v>
      </c>
      <c r="K534">
        <v>13</v>
      </c>
      <c r="L534">
        <v>1166</v>
      </c>
      <c r="M534">
        <v>63</v>
      </c>
      <c r="N534">
        <v>5.4030874785591765E-2</v>
      </c>
      <c r="O534">
        <v>8</v>
      </c>
      <c r="P534">
        <v>0.12698412698412698</v>
      </c>
      <c r="Q534">
        <v>6.8610634648370496E-3</v>
      </c>
      <c r="R534">
        <v>44</v>
      </c>
      <c r="S534">
        <v>0.69841269841269837</v>
      </c>
      <c r="T534">
        <v>3.7735849056603772E-2</v>
      </c>
      <c r="U534">
        <v>2</v>
      </c>
      <c r="V534">
        <v>3.1746031746031744E-2</v>
      </c>
      <c r="W534">
        <v>1.7152658662092624E-3</v>
      </c>
      <c r="X534">
        <v>9</v>
      </c>
      <c r="Y534">
        <v>0.14285714285714285</v>
      </c>
      <c r="Z534">
        <v>7.7186963979416811E-3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">
      <c r="A535">
        <v>1282.255520833336</v>
      </c>
      <c r="B535">
        <v>915</v>
      </c>
      <c r="C535">
        <v>48</v>
      </c>
      <c r="D535">
        <v>170</v>
      </c>
      <c r="E535">
        <v>22</v>
      </c>
      <c r="F535">
        <v>0</v>
      </c>
      <c r="G535">
        <v>13</v>
      </c>
      <c r="H535">
        <v>428</v>
      </c>
      <c r="I535">
        <v>3</v>
      </c>
      <c r="J535">
        <v>48</v>
      </c>
      <c r="K535">
        <v>6</v>
      </c>
      <c r="L535">
        <v>6622</v>
      </c>
      <c r="M535">
        <v>80</v>
      </c>
      <c r="N535">
        <v>1.2080942313500454E-2</v>
      </c>
      <c r="O535">
        <v>26</v>
      </c>
      <c r="P535">
        <v>0.32500000000000001</v>
      </c>
      <c r="Q535">
        <v>3.9263062518876471E-3</v>
      </c>
      <c r="R535">
        <v>39</v>
      </c>
      <c r="S535">
        <v>0.48749999999999999</v>
      </c>
      <c r="T535">
        <v>5.8894593778314706E-3</v>
      </c>
      <c r="U535">
        <v>7</v>
      </c>
      <c r="V535">
        <v>8.7499999999999994E-2</v>
      </c>
      <c r="W535">
        <v>1.0570824524312897E-3</v>
      </c>
      <c r="X535">
        <v>2</v>
      </c>
      <c r="Y535">
        <v>2.5000000000000001E-2</v>
      </c>
      <c r="Z535">
        <v>3.0202355783751132E-4</v>
      </c>
      <c r="AA535">
        <v>1</v>
      </c>
      <c r="AB535">
        <v>1.2500000000000001E-2</v>
      </c>
      <c r="AC535">
        <v>1.5101177891875566E-4</v>
      </c>
      <c r="AD535">
        <v>5</v>
      </c>
      <c r="AE535">
        <v>6.25E-2</v>
      </c>
      <c r="AF535">
        <v>7.5505889459377836E-4</v>
      </c>
    </row>
    <row r="536" spans="1:32" x14ac:dyDescent="0.2">
      <c r="A536">
        <v>717.59534722222452</v>
      </c>
      <c r="B536">
        <v>814</v>
      </c>
      <c r="C536">
        <v>39</v>
      </c>
      <c r="D536">
        <v>34</v>
      </c>
      <c r="E536">
        <v>0</v>
      </c>
      <c r="F536">
        <v>0</v>
      </c>
      <c r="G536">
        <v>551</v>
      </c>
      <c r="H536">
        <v>16</v>
      </c>
      <c r="I536">
        <v>1</v>
      </c>
      <c r="J536">
        <v>0</v>
      </c>
      <c r="K536">
        <v>0</v>
      </c>
      <c r="L536">
        <v>12608</v>
      </c>
      <c r="M536">
        <v>46</v>
      </c>
      <c r="N536">
        <v>3.6484771573604062E-3</v>
      </c>
      <c r="O536">
        <v>15</v>
      </c>
      <c r="P536">
        <v>0.32608695652173914</v>
      </c>
      <c r="Q536">
        <v>1.1897208121827412E-3</v>
      </c>
      <c r="R536">
        <v>2</v>
      </c>
      <c r="S536">
        <v>4.3478260869565216E-2</v>
      </c>
      <c r="T536">
        <v>1.5862944162436547E-4</v>
      </c>
      <c r="U536">
        <v>27</v>
      </c>
      <c r="V536">
        <v>0.58695652173913049</v>
      </c>
      <c r="W536">
        <v>2.1414974619289339E-3</v>
      </c>
      <c r="X536">
        <v>2</v>
      </c>
      <c r="Y536">
        <v>4.3478260869565216E-2</v>
      </c>
      <c r="Z536">
        <v>1.5862944162436547E-4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">
      <c r="A537">
        <v>1357.9232638888934</v>
      </c>
      <c r="B537">
        <v>449</v>
      </c>
      <c r="C537">
        <v>20</v>
      </c>
      <c r="D537">
        <v>42</v>
      </c>
      <c r="E537">
        <v>0</v>
      </c>
      <c r="F537">
        <v>16</v>
      </c>
      <c r="G537">
        <v>24</v>
      </c>
      <c r="H537">
        <v>843</v>
      </c>
      <c r="I537">
        <v>5</v>
      </c>
      <c r="J537">
        <v>163</v>
      </c>
      <c r="K537">
        <v>100</v>
      </c>
      <c r="L537">
        <v>22242</v>
      </c>
      <c r="M537">
        <v>8</v>
      </c>
      <c r="N537">
        <v>3.5967988490243682E-4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7</v>
      </c>
      <c r="V537">
        <v>0.875</v>
      </c>
      <c r="W537">
        <v>3.1471989928963222E-4</v>
      </c>
      <c r="X537">
        <v>1</v>
      </c>
      <c r="Y537">
        <v>0.125</v>
      </c>
      <c r="Z537">
        <v>4.4959985612804602E-5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">
      <c r="A538">
        <v>671.69489583333052</v>
      </c>
      <c r="B538">
        <v>2282</v>
      </c>
      <c r="C538">
        <v>66</v>
      </c>
      <c r="D538">
        <v>269</v>
      </c>
      <c r="E538">
        <v>2</v>
      </c>
      <c r="F538">
        <v>2</v>
      </c>
      <c r="G538">
        <v>31</v>
      </c>
      <c r="H538">
        <v>220</v>
      </c>
      <c r="I538">
        <v>16</v>
      </c>
      <c r="J538">
        <v>296</v>
      </c>
      <c r="K538">
        <v>141</v>
      </c>
      <c r="L538">
        <v>5752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">
      <c r="A539">
        <v>939.81340277777781</v>
      </c>
      <c r="B539">
        <v>465</v>
      </c>
      <c r="C539">
        <v>17</v>
      </c>
      <c r="D539">
        <v>176</v>
      </c>
      <c r="E539">
        <v>1</v>
      </c>
      <c r="F539">
        <v>0</v>
      </c>
      <c r="G539">
        <v>3</v>
      </c>
      <c r="H539">
        <v>20</v>
      </c>
      <c r="I539">
        <v>4</v>
      </c>
      <c r="J539">
        <v>2</v>
      </c>
      <c r="K539">
        <v>1</v>
      </c>
      <c r="L539">
        <v>3343</v>
      </c>
      <c r="M539">
        <v>54</v>
      </c>
      <c r="N539">
        <v>1.6153155848040682E-2</v>
      </c>
      <c r="O539">
        <v>0</v>
      </c>
      <c r="P539">
        <v>0</v>
      </c>
      <c r="Q539">
        <v>0</v>
      </c>
      <c r="R539">
        <v>38</v>
      </c>
      <c r="S539">
        <v>0.70370370370370372</v>
      </c>
      <c r="T539">
        <v>1.1367035596769369E-2</v>
      </c>
      <c r="U539">
        <v>2</v>
      </c>
      <c r="V539">
        <v>3.7037037037037035E-2</v>
      </c>
      <c r="W539">
        <v>5.9826503140891416E-4</v>
      </c>
      <c r="X539">
        <v>14</v>
      </c>
      <c r="Y539">
        <v>0.25925925925925924</v>
      </c>
      <c r="Z539">
        <v>4.187855219862399E-3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">
      <c r="A540">
        <v>1313.4914120370377</v>
      </c>
      <c r="B540">
        <v>857</v>
      </c>
      <c r="C540">
        <v>62</v>
      </c>
      <c r="D540">
        <v>212</v>
      </c>
      <c r="E540">
        <v>6</v>
      </c>
      <c r="F540">
        <v>2</v>
      </c>
      <c r="G540">
        <v>20</v>
      </c>
      <c r="H540">
        <v>46</v>
      </c>
      <c r="I540">
        <v>2</v>
      </c>
      <c r="J540">
        <v>80</v>
      </c>
      <c r="K540">
        <v>10</v>
      </c>
      <c r="L540">
        <v>1342</v>
      </c>
      <c r="M540">
        <v>69</v>
      </c>
      <c r="N540">
        <v>5.1415797317436659E-2</v>
      </c>
      <c r="O540">
        <v>15</v>
      </c>
      <c r="P540">
        <v>0.21739130434782608</v>
      </c>
      <c r="Q540">
        <v>1.1177347242921014E-2</v>
      </c>
      <c r="R540">
        <v>15</v>
      </c>
      <c r="S540">
        <v>0.21739130434782608</v>
      </c>
      <c r="T540">
        <v>1.1177347242921014E-2</v>
      </c>
      <c r="U540">
        <v>1</v>
      </c>
      <c r="V540">
        <v>1.4492753623188406E-2</v>
      </c>
      <c r="W540">
        <v>7.4515648286140089E-4</v>
      </c>
      <c r="X540">
        <v>36</v>
      </c>
      <c r="Y540">
        <v>0.52173913043478259</v>
      </c>
      <c r="Z540">
        <v>2.6825633383010434E-2</v>
      </c>
      <c r="AA540">
        <v>0</v>
      </c>
      <c r="AB540">
        <v>0</v>
      </c>
      <c r="AC540">
        <v>0</v>
      </c>
      <c r="AD540">
        <v>2</v>
      </c>
      <c r="AE540">
        <v>2.8985507246376812E-2</v>
      </c>
      <c r="AF540">
        <v>1.4903129657228018E-3</v>
      </c>
    </row>
    <row r="541" spans="1:32" x14ac:dyDescent="0.2">
      <c r="A541">
        <v>1728.4102777777807</v>
      </c>
      <c r="B541">
        <v>2068</v>
      </c>
      <c r="C541">
        <v>106</v>
      </c>
      <c r="D541">
        <v>236</v>
      </c>
      <c r="E541">
        <v>0</v>
      </c>
      <c r="F541">
        <v>8</v>
      </c>
      <c r="G541">
        <v>18</v>
      </c>
      <c r="H541">
        <v>266</v>
      </c>
      <c r="I541">
        <v>0</v>
      </c>
      <c r="J541">
        <v>130</v>
      </c>
      <c r="K541">
        <v>1</v>
      </c>
      <c r="L541">
        <v>1378</v>
      </c>
      <c r="M541">
        <v>1</v>
      </c>
      <c r="N541">
        <v>7.2568940493468795E-4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1</v>
      </c>
      <c r="Z541">
        <v>7.2568940493468795E-4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">
      <c r="A542">
        <v>2028.3787962962961</v>
      </c>
      <c r="B542">
        <v>1192</v>
      </c>
      <c r="C542">
        <v>35</v>
      </c>
      <c r="D542">
        <v>146</v>
      </c>
      <c r="E542">
        <v>0</v>
      </c>
      <c r="F542">
        <v>1</v>
      </c>
      <c r="G542">
        <v>7</v>
      </c>
      <c r="H542">
        <v>29</v>
      </c>
      <c r="I542">
        <v>16</v>
      </c>
      <c r="J542">
        <v>62</v>
      </c>
      <c r="K542">
        <v>45</v>
      </c>
      <c r="L542">
        <v>301</v>
      </c>
      <c r="M542">
        <v>12</v>
      </c>
      <c r="N542">
        <v>3.9867109634551492E-2</v>
      </c>
      <c r="O542">
        <v>0</v>
      </c>
      <c r="P542">
        <v>0</v>
      </c>
      <c r="Q542">
        <v>0</v>
      </c>
      <c r="R542">
        <v>3</v>
      </c>
      <c r="S542">
        <v>0.25</v>
      </c>
      <c r="T542">
        <v>9.9667774086378731E-3</v>
      </c>
      <c r="U542">
        <v>4</v>
      </c>
      <c r="V542">
        <v>0.33333333333333331</v>
      </c>
      <c r="W542">
        <v>1.3289036544850499E-2</v>
      </c>
      <c r="X542">
        <v>5</v>
      </c>
      <c r="Y542">
        <v>0.41666666666666669</v>
      </c>
      <c r="Z542">
        <v>1.6611295681063124E-2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">
      <c r="A543">
        <v>888.03311342593224</v>
      </c>
      <c r="B543">
        <v>353</v>
      </c>
      <c r="C543">
        <v>6</v>
      </c>
      <c r="D543">
        <v>95</v>
      </c>
      <c r="E543">
        <v>2</v>
      </c>
      <c r="F543">
        <v>0</v>
      </c>
      <c r="G543">
        <v>0</v>
      </c>
      <c r="H543">
        <v>2</v>
      </c>
      <c r="I543">
        <v>0</v>
      </c>
      <c r="J543">
        <v>37</v>
      </c>
      <c r="K543">
        <v>26</v>
      </c>
      <c r="L543">
        <v>1108</v>
      </c>
      <c r="M543">
        <v>22</v>
      </c>
      <c r="N543">
        <v>1.9855595667870037E-2</v>
      </c>
      <c r="O543">
        <v>0</v>
      </c>
      <c r="P543">
        <v>0</v>
      </c>
      <c r="Q543">
        <v>0</v>
      </c>
      <c r="R543">
        <v>22</v>
      </c>
      <c r="S543">
        <v>1</v>
      </c>
      <c r="T543">
        <v>1.9855595667870037E-2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">
      <c r="A544">
        <v>1682.5676620370359</v>
      </c>
      <c r="B544">
        <v>362</v>
      </c>
      <c r="C544">
        <v>11</v>
      </c>
      <c r="D544">
        <v>45</v>
      </c>
      <c r="E544">
        <v>6</v>
      </c>
      <c r="F544">
        <v>3</v>
      </c>
      <c r="G544">
        <v>15</v>
      </c>
      <c r="H544">
        <v>63</v>
      </c>
      <c r="I544">
        <v>5</v>
      </c>
      <c r="J544">
        <v>38</v>
      </c>
      <c r="K544">
        <v>17</v>
      </c>
      <c r="L544">
        <v>2501</v>
      </c>
      <c r="M544">
        <v>63</v>
      </c>
      <c r="N544">
        <v>2.5189924030387844E-2</v>
      </c>
      <c r="O544">
        <v>18</v>
      </c>
      <c r="P544">
        <v>0.2857142857142857</v>
      </c>
      <c r="Q544">
        <v>7.1971211515393842E-3</v>
      </c>
      <c r="R544">
        <v>23</v>
      </c>
      <c r="S544">
        <v>0.36507936507936506</v>
      </c>
      <c r="T544">
        <v>9.1963214714114363E-3</v>
      </c>
      <c r="U544">
        <v>11</v>
      </c>
      <c r="V544">
        <v>0.17460317460317459</v>
      </c>
      <c r="W544">
        <v>4.3982407037185126E-3</v>
      </c>
      <c r="X544">
        <v>3</v>
      </c>
      <c r="Y544">
        <v>4.7619047619047616E-2</v>
      </c>
      <c r="Z544">
        <v>1.1995201919232307E-3</v>
      </c>
      <c r="AA544">
        <v>0</v>
      </c>
      <c r="AB544">
        <v>0</v>
      </c>
      <c r="AC544">
        <v>0</v>
      </c>
      <c r="AD544">
        <v>8</v>
      </c>
      <c r="AE544">
        <v>0.12698412698412698</v>
      </c>
      <c r="AF544">
        <v>3.1987205117952819E-3</v>
      </c>
    </row>
    <row r="545" spans="1:32" x14ac:dyDescent="0.2">
      <c r="A545">
        <v>2228.551215277781</v>
      </c>
      <c r="B545">
        <v>4066</v>
      </c>
      <c r="C545">
        <v>108</v>
      </c>
      <c r="D545">
        <v>383</v>
      </c>
      <c r="E545">
        <v>146</v>
      </c>
      <c r="F545">
        <v>76</v>
      </c>
      <c r="G545">
        <v>110</v>
      </c>
      <c r="H545">
        <v>2023</v>
      </c>
      <c r="I545">
        <v>13</v>
      </c>
      <c r="J545">
        <v>731</v>
      </c>
      <c r="K545">
        <v>92</v>
      </c>
      <c r="L545">
        <v>21071</v>
      </c>
      <c r="M545">
        <v>71</v>
      </c>
      <c r="N545">
        <v>3.3695600588486544E-3</v>
      </c>
      <c r="O545">
        <v>4</v>
      </c>
      <c r="P545">
        <v>5.6338028169014086E-2</v>
      </c>
      <c r="Q545">
        <v>1.8983436951260026E-4</v>
      </c>
      <c r="R545">
        <v>18</v>
      </c>
      <c r="S545">
        <v>0.25352112676056338</v>
      </c>
      <c r="T545">
        <v>8.5425466280670116E-4</v>
      </c>
      <c r="U545">
        <v>31</v>
      </c>
      <c r="V545">
        <v>0.43661971830985913</v>
      </c>
      <c r="W545">
        <v>1.4712163637226521E-3</v>
      </c>
      <c r="X545">
        <v>12</v>
      </c>
      <c r="Y545">
        <v>0.16901408450704225</v>
      </c>
      <c r="Z545">
        <v>5.6950310853780078E-4</v>
      </c>
      <c r="AA545">
        <v>1</v>
      </c>
      <c r="AB545">
        <v>1.4084507042253521E-2</v>
      </c>
      <c r="AC545">
        <v>4.7458592378150065E-5</v>
      </c>
      <c r="AD545">
        <v>5</v>
      </c>
      <c r="AE545">
        <v>7.0422535211267609E-2</v>
      </c>
      <c r="AF545">
        <v>2.3729296189075032E-4</v>
      </c>
    </row>
    <row r="546" spans="1:32" x14ac:dyDescent="0.2">
      <c r="A546">
        <v>1410.8328240740739</v>
      </c>
      <c r="B546">
        <v>772</v>
      </c>
      <c r="C546">
        <v>96</v>
      </c>
      <c r="D546">
        <v>221</v>
      </c>
      <c r="E546">
        <v>0</v>
      </c>
      <c r="F546">
        <v>5</v>
      </c>
      <c r="G546">
        <v>9</v>
      </c>
      <c r="H546">
        <v>17</v>
      </c>
      <c r="I546">
        <v>1</v>
      </c>
      <c r="J546">
        <v>130</v>
      </c>
      <c r="K546">
        <v>10</v>
      </c>
      <c r="L546">
        <v>12579</v>
      </c>
      <c r="M546">
        <v>385</v>
      </c>
      <c r="N546">
        <v>3.0606566499721759E-2</v>
      </c>
      <c r="O546">
        <v>189</v>
      </c>
      <c r="P546">
        <v>0.49090909090909091</v>
      </c>
      <c r="Q546">
        <v>1.5025041736227046E-2</v>
      </c>
      <c r="R546">
        <v>62</v>
      </c>
      <c r="S546">
        <v>0.16103896103896104</v>
      </c>
      <c r="T546">
        <v>4.928849670085062E-3</v>
      </c>
      <c r="U546">
        <v>28</v>
      </c>
      <c r="V546">
        <v>7.2727272727272724E-2</v>
      </c>
      <c r="W546">
        <v>2.2259321090706734E-3</v>
      </c>
      <c r="X546">
        <v>40</v>
      </c>
      <c r="Y546">
        <v>0.1038961038961039</v>
      </c>
      <c r="Z546">
        <v>3.1799030129581046E-3</v>
      </c>
      <c r="AA546">
        <v>0</v>
      </c>
      <c r="AB546">
        <v>0</v>
      </c>
      <c r="AC546">
        <v>0</v>
      </c>
      <c r="AD546">
        <v>66</v>
      </c>
      <c r="AE546">
        <v>0.17142857142857143</v>
      </c>
      <c r="AF546">
        <v>5.246839971380873E-3</v>
      </c>
    </row>
    <row r="547" spans="1:32" x14ac:dyDescent="0.2">
      <c r="A547">
        <v>3419.5993171296286</v>
      </c>
      <c r="B547">
        <v>6436</v>
      </c>
      <c r="C547">
        <v>359</v>
      </c>
      <c r="D547">
        <v>1289</v>
      </c>
      <c r="E547">
        <v>10</v>
      </c>
      <c r="F547">
        <v>85</v>
      </c>
      <c r="G547">
        <v>189</v>
      </c>
      <c r="H547">
        <v>1302</v>
      </c>
      <c r="I547">
        <v>39</v>
      </c>
      <c r="J547">
        <v>1140</v>
      </c>
      <c r="K547">
        <v>219</v>
      </c>
      <c r="L547">
        <v>11091</v>
      </c>
      <c r="M547">
        <v>16</v>
      </c>
      <c r="N547">
        <v>1.4426111261383104E-3</v>
      </c>
      <c r="O547">
        <v>5</v>
      </c>
      <c r="P547">
        <v>0.3125</v>
      </c>
      <c r="Q547">
        <v>4.5081597691822196E-4</v>
      </c>
      <c r="R547">
        <v>9</v>
      </c>
      <c r="S547">
        <v>0.5625</v>
      </c>
      <c r="T547">
        <v>8.1146875845279957E-4</v>
      </c>
      <c r="U547">
        <v>1</v>
      </c>
      <c r="V547">
        <v>6.25E-2</v>
      </c>
      <c r="W547">
        <v>9.0163195383644401E-5</v>
      </c>
      <c r="X547">
        <v>1</v>
      </c>
      <c r="Y547">
        <v>6.25E-2</v>
      </c>
      <c r="Z547">
        <v>9.0163195383644401E-5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">
      <c r="A548">
        <v>2254.114456018513</v>
      </c>
      <c r="B548">
        <v>991</v>
      </c>
      <c r="C548">
        <v>96</v>
      </c>
      <c r="D548">
        <v>213</v>
      </c>
      <c r="E548">
        <v>274</v>
      </c>
      <c r="F548">
        <v>128</v>
      </c>
      <c r="G548">
        <v>23</v>
      </c>
      <c r="H548">
        <v>89</v>
      </c>
      <c r="I548">
        <v>2</v>
      </c>
      <c r="J548">
        <v>886</v>
      </c>
      <c r="K548">
        <v>37</v>
      </c>
      <c r="L548">
        <v>40242</v>
      </c>
      <c r="M548">
        <v>1317</v>
      </c>
      <c r="N548">
        <v>3.2727001640077531E-2</v>
      </c>
      <c r="O548">
        <v>473</v>
      </c>
      <c r="P548">
        <v>0.35914958238420652</v>
      </c>
      <c r="Q548">
        <v>1.1753888971721088E-2</v>
      </c>
      <c r="R548">
        <v>167</v>
      </c>
      <c r="S548">
        <v>0.12680334092634776</v>
      </c>
      <c r="T548">
        <v>4.1498931464638931E-3</v>
      </c>
      <c r="U548">
        <v>11</v>
      </c>
      <c r="V548">
        <v>8.3523158694001516E-3</v>
      </c>
      <c r="W548">
        <v>2.7334625515630434E-4</v>
      </c>
      <c r="X548">
        <v>451</v>
      </c>
      <c r="Y548">
        <v>0.3424449506454062</v>
      </c>
      <c r="Z548">
        <v>1.1207196461408478E-2</v>
      </c>
      <c r="AA548">
        <v>0</v>
      </c>
      <c r="AB548">
        <v>0</v>
      </c>
      <c r="AC548">
        <v>0</v>
      </c>
      <c r="AD548">
        <v>215</v>
      </c>
      <c r="AE548">
        <v>0.16324981017463933</v>
      </c>
      <c r="AF548">
        <v>5.3426768053277673E-3</v>
      </c>
    </row>
    <row r="549" spans="1:32" x14ac:dyDescent="0.2">
      <c r="A549">
        <v>514.1592013888876</v>
      </c>
      <c r="B549">
        <v>862</v>
      </c>
      <c r="C549">
        <v>40</v>
      </c>
      <c r="D549">
        <v>67</v>
      </c>
      <c r="E549">
        <v>0</v>
      </c>
      <c r="F549">
        <v>2</v>
      </c>
      <c r="G549">
        <v>7</v>
      </c>
      <c r="H549">
        <v>12</v>
      </c>
      <c r="I549">
        <v>2</v>
      </c>
      <c r="J549">
        <v>10</v>
      </c>
      <c r="K549">
        <v>4</v>
      </c>
      <c r="L549">
        <v>9298</v>
      </c>
      <c r="M549">
        <v>377</v>
      </c>
      <c r="N549">
        <v>4.0546354054635407E-2</v>
      </c>
      <c r="O549">
        <v>252</v>
      </c>
      <c r="P549">
        <v>0.66843501326259946</v>
      </c>
      <c r="Q549">
        <v>2.7102602710260271E-2</v>
      </c>
      <c r="R549">
        <v>36</v>
      </c>
      <c r="S549">
        <v>9.5490716180371346E-2</v>
      </c>
      <c r="T549">
        <v>3.8718003871800388E-3</v>
      </c>
      <c r="U549">
        <v>10</v>
      </c>
      <c r="V549">
        <v>2.6525198938992044E-2</v>
      </c>
      <c r="W549">
        <v>1.0755001075500108E-3</v>
      </c>
      <c r="X549">
        <v>31</v>
      </c>
      <c r="Y549">
        <v>8.2228116710875335E-2</v>
      </c>
      <c r="Z549">
        <v>3.3340503334050335E-3</v>
      </c>
      <c r="AA549">
        <v>1</v>
      </c>
      <c r="AB549">
        <v>2.6525198938992041E-3</v>
      </c>
      <c r="AC549">
        <v>1.0755001075500108E-4</v>
      </c>
      <c r="AD549">
        <v>47</v>
      </c>
      <c r="AE549">
        <v>0.12466843501326259</v>
      </c>
      <c r="AF549">
        <v>5.0548505054850501E-3</v>
      </c>
    </row>
    <row r="550" spans="1:32" x14ac:dyDescent="0.2">
      <c r="A550">
        <v>2166.7122916666704</v>
      </c>
      <c r="B550">
        <v>514</v>
      </c>
      <c r="C550">
        <v>21</v>
      </c>
      <c r="D550">
        <v>58</v>
      </c>
      <c r="E550">
        <v>0</v>
      </c>
      <c r="F550">
        <v>0</v>
      </c>
      <c r="G550">
        <v>4</v>
      </c>
      <c r="H550">
        <v>30</v>
      </c>
      <c r="I550">
        <v>19</v>
      </c>
      <c r="J550">
        <v>24</v>
      </c>
      <c r="K550">
        <v>18</v>
      </c>
      <c r="L550">
        <v>598</v>
      </c>
      <c r="M550">
        <v>3</v>
      </c>
      <c r="N550">
        <v>5.016722408026756E-3</v>
      </c>
      <c r="O550">
        <v>0</v>
      </c>
      <c r="P550">
        <v>0</v>
      </c>
      <c r="Q550">
        <v>0</v>
      </c>
      <c r="R550">
        <v>2</v>
      </c>
      <c r="S550">
        <v>0.66666666666666663</v>
      </c>
      <c r="T550">
        <v>3.3444816053511705E-3</v>
      </c>
      <c r="U550">
        <v>1</v>
      </c>
      <c r="V550">
        <v>0.33333333333333331</v>
      </c>
      <c r="W550">
        <v>1.6722408026755853E-3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">
      <c r="A551">
        <v>4114.9174421296339</v>
      </c>
      <c r="B551">
        <v>963</v>
      </c>
      <c r="C551">
        <v>79</v>
      </c>
      <c r="D551">
        <v>214</v>
      </c>
      <c r="E551">
        <v>0</v>
      </c>
      <c r="F551">
        <v>10</v>
      </c>
      <c r="G551">
        <v>25</v>
      </c>
      <c r="H551">
        <v>53</v>
      </c>
      <c r="I551">
        <v>6</v>
      </c>
      <c r="J551">
        <v>59</v>
      </c>
      <c r="K551">
        <v>26</v>
      </c>
      <c r="L551">
        <v>7590</v>
      </c>
      <c r="M551">
        <v>47</v>
      </c>
      <c r="N551">
        <v>6.1923583662714101E-3</v>
      </c>
      <c r="O551">
        <v>27</v>
      </c>
      <c r="P551">
        <v>0.57446808510638303</v>
      </c>
      <c r="Q551">
        <v>3.5573122529644267E-3</v>
      </c>
      <c r="R551">
        <v>6</v>
      </c>
      <c r="S551">
        <v>0.1276595744680851</v>
      </c>
      <c r="T551">
        <v>7.9051383399209485E-4</v>
      </c>
      <c r="U551">
        <v>8</v>
      </c>
      <c r="V551">
        <v>0.1702127659574468</v>
      </c>
      <c r="W551">
        <v>1.0540184453227931E-3</v>
      </c>
      <c r="X551">
        <v>6</v>
      </c>
      <c r="Y551">
        <v>0.1276595744680851</v>
      </c>
      <c r="Z551">
        <v>7.9051383399209485E-4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">
      <c r="A552">
        <v>2970.5784953703696</v>
      </c>
      <c r="B552">
        <v>1088</v>
      </c>
      <c r="C552">
        <v>45</v>
      </c>
      <c r="D552">
        <v>259</v>
      </c>
      <c r="E552">
        <v>26</v>
      </c>
      <c r="F552">
        <v>12</v>
      </c>
      <c r="G552">
        <v>80</v>
      </c>
      <c r="H552">
        <v>199</v>
      </c>
      <c r="I552">
        <v>6</v>
      </c>
      <c r="J552">
        <v>137</v>
      </c>
      <c r="K552">
        <v>9</v>
      </c>
      <c r="L552">
        <v>4110</v>
      </c>
      <c r="M552">
        <v>2</v>
      </c>
      <c r="N552">
        <v>4.8661800486618007E-4</v>
      </c>
      <c r="O552">
        <v>1</v>
      </c>
      <c r="P552">
        <v>0.5</v>
      </c>
      <c r="Q552">
        <v>2.4330900243309004E-4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0.5</v>
      </c>
      <c r="Z552">
        <v>2.4330900243309004E-4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">
      <c r="A553">
        <v>2808.1606481481504</v>
      </c>
      <c r="B553">
        <v>1853</v>
      </c>
      <c r="C553">
        <v>96</v>
      </c>
      <c r="D553">
        <v>264</v>
      </c>
      <c r="E553">
        <v>9</v>
      </c>
      <c r="F553">
        <v>146</v>
      </c>
      <c r="G553">
        <v>29</v>
      </c>
      <c r="H553">
        <v>202</v>
      </c>
      <c r="I553">
        <v>14</v>
      </c>
      <c r="J553">
        <v>3725</v>
      </c>
      <c r="K553">
        <v>1175</v>
      </c>
      <c r="L553">
        <v>240077</v>
      </c>
      <c r="M553">
        <v>3301</v>
      </c>
      <c r="N553">
        <v>1.374975528684547E-2</v>
      </c>
      <c r="O553">
        <v>1561</v>
      </c>
      <c r="P553">
        <v>0.47288700393820055</v>
      </c>
      <c r="Q553">
        <v>6.5020805824797879E-3</v>
      </c>
      <c r="R553">
        <v>600</v>
      </c>
      <c r="S553">
        <v>0.18176310209027569</v>
      </c>
      <c r="T553">
        <v>2.4991981739192009E-3</v>
      </c>
      <c r="U553">
        <v>415</v>
      </c>
      <c r="V553">
        <v>0.12571947894577401</v>
      </c>
      <c r="W553">
        <v>1.7286120702941139E-3</v>
      </c>
      <c r="X553">
        <v>420</v>
      </c>
      <c r="Y553">
        <v>0.12723417146319296</v>
      </c>
      <c r="Z553">
        <v>1.7494387217434407E-3</v>
      </c>
      <c r="AA553">
        <v>0</v>
      </c>
      <c r="AB553">
        <v>0</v>
      </c>
      <c r="AC553">
        <v>0</v>
      </c>
      <c r="AD553">
        <v>305</v>
      </c>
      <c r="AE553">
        <v>9.2396243562556796E-2</v>
      </c>
      <c r="AF553">
        <v>1.270425738408927E-3</v>
      </c>
    </row>
    <row r="554" spans="1:32" x14ac:dyDescent="0.2">
      <c r="A554">
        <v>960.65568287036876</v>
      </c>
      <c r="B554">
        <v>3811</v>
      </c>
      <c r="C554">
        <v>100</v>
      </c>
      <c r="D554">
        <v>368</v>
      </c>
      <c r="E554">
        <v>13</v>
      </c>
      <c r="F554">
        <v>8</v>
      </c>
      <c r="G554">
        <v>92</v>
      </c>
      <c r="H554">
        <v>582</v>
      </c>
      <c r="I554">
        <v>19</v>
      </c>
      <c r="J554">
        <v>364</v>
      </c>
      <c r="K554">
        <v>68</v>
      </c>
      <c r="L554">
        <v>24187</v>
      </c>
      <c r="M554">
        <v>22</v>
      </c>
      <c r="N554">
        <v>9.0957952619175595E-4</v>
      </c>
      <c r="O554">
        <v>3</v>
      </c>
      <c r="P554">
        <v>0.13636363636363635</v>
      </c>
      <c r="Q554">
        <v>1.2403357175342126E-4</v>
      </c>
      <c r="R554">
        <v>0</v>
      </c>
      <c r="S554">
        <v>0</v>
      </c>
      <c r="T554">
        <v>0</v>
      </c>
      <c r="U554">
        <v>19</v>
      </c>
      <c r="V554">
        <v>0.86363636363636365</v>
      </c>
      <c r="W554">
        <v>7.855459544383347E-4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">
      <c r="A555">
        <v>518.02827546296612</v>
      </c>
      <c r="B555">
        <v>556</v>
      </c>
      <c r="C555">
        <v>20</v>
      </c>
      <c r="D555">
        <v>61</v>
      </c>
      <c r="E555">
        <v>0</v>
      </c>
      <c r="F555">
        <v>2</v>
      </c>
      <c r="G555">
        <v>8</v>
      </c>
      <c r="H555">
        <v>21</v>
      </c>
      <c r="I555">
        <v>1</v>
      </c>
      <c r="J555">
        <v>78</v>
      </c>
      <c r="K555">
        <v>29</v>
      </c>
      <c r="L555">
        <v>1390</v>
      </c>
      <c r="M555">
        <v>14</v>
      </c>
      <c r="N555">
        <v>1.0071942446043165E-2</v>
      </c>
      <c r="O555">
        <v>0</v>
      </c>
      <c r="P555">
        <v>0</v>
      </c>
      <c r="Q555">
        <v>0</v>
      </c>
      <c r="R555">
        <v>11</v>
      </c>
      <c r="S555">
        <v>0.7857142857142857</v>
      </c>
      <c r="T555">
        <v>7.9136690647482015E-3</v>
      </c>
      <c r="U555">
        <v>0</v>
      </c>
      <c r="V555">
        <v>0</v>
      </c>
      <c r="W555">
        <v>0</v>
      </c>
      <c r="X555">
        <v>2</v>
      </c>
      <c r="Y555">
        <v>0.14285714285714285</v>
      </c>
      <c r="Z555">
        <v>1.4388489208633094E-3</v>
      </c>
      <c r="AA555">
        <v>1</v>
      </c>
      <c r="AB555">
        <v>7.1428571428571425E-2</v>
      </c>
      <c r="AC555">
        <v>7.1942446043165469E-4</v>
      </c>
      <c r="AD555">
        <v>0</v>
      </c>
      <c r="AE555">
        <v>0</v>
      </c>
      <c r="AF555">
        <v>0</v>
      </c>
    </row>
    <row r="556" spans="1:32" x14ac:dyDescent="0.2">
      <c r="A556">
        <v>3528.7616087962961</v>
      </c>
      <c r="B556">
        <v>2072</v>
      </c>
      <c r="C556">
        <v>114</v>
      </c>
      <c r="D556">
        <v>332</v>
      </c>
      <c r="E556">
        <v>35</v>
      </c>
      <c r="F556">
        <v>68</v>
      </c>
      <c r="G556">
        <v>79</v>
      </c>
      <c r="H556">
        <v>374</v>
      </c>
      <c r="I556">
        <v>23</v>
      </c>
      <c r="J556">
        <v>781</v>
      </c>
      <c r="K556">
        <v>261</v>
      </c>
      <c r="L556">
        <v>5597</v>
      </c>
      <c r="M556">
        <v>92</v>
      </c>
      <c r="N556">
        <v>1.6437377166339109E-2</v>
      </c>
      <c r="O556">
        <v>34</v>
      </c>
      <c r="P556">
        <v>0.36956521739130432</v>
      </c>
      <c r="Q556">
        <v>6.0746828658209753E-3</v>
      </c>
      <c r="R556">
        <v>19</v>
      </c>
      <c r="S556">
        <v>0.20652173913043478</v>
      </c>
      <c r="T556">
        <v>3.3946757191352511E-3</v>
      </c>
      <c r="U556">
        <v>32</v>
      </c>
      <c r="V556">
        <v>0.34782608695652173</v>
      </c>
      <c r="W556">
        <v>5.7173485795962119E-3</v>
      </c>
      <c r="X556">
        <v>7</v>
      </c>
      <c r="Y556">
        <v>7.6086956521739135E-2</v>
      </c>
      <c r="Z556">
        <v>1.2506700017866715E-3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">
      <c r="A557">
        <v>3099.7563078703752</v>
      </c>
      <c r="B557">
        <v>1512</v>
      </c>
      <c r="C557">
        <v>73</v>
      </c>
      <c r="D557">
        <v>98</v>
      </c>
      <c r="E557">
        <v>0</v>
      </c>
      <c r="F557">
        <v>8</v>
      </c>
      <c r="G557">
        <v>19</v>
      </c>
      <c r="H557">
        <v>41</v>
      </c>
      <c r="I557">
        <v>6</v>
      </c>
      <c r="J557">
        <v>106</v>
      </c>
      <c r="K557">
        <v>27</v>
      </c>
      <c r="L557">
        <v>4322</v>
      </c>
      <c r="M557">
        <v>103</v>
      </c>
      <c r="N557">
        <v>2.3831559463211475E-2</v>
      </c>
      <c r="O557">
        <v>30</v>
      </c>
      <c r="P557">
        <v>0.29126213592233008</v>
      </c>
      <c r="Q557">
        <v>6.9412309116149932E-3</v>
      </c>
      <c r="R557">
        <v>40</v>
      </c>
      <c r="S557">
        <v>0.38834951456310679</v>
      </c>
      <c r="T557">
        <v>9.2549745488199903E-3</v>
      </c>
      <c r="U557">
        <v>25</v>
      </c>
      <c r="V557">
        <v>0.24271844660194175</v>
      </c>
      <c r="W557">
        <v>5.7843590930124946E-3</v>
      </c>
      <c r="X557">
        <v>3</v>
      </c>
      <c r="Y557">
        <v>2.9126213592233011E-2</v>
      </c>
      <c r="Z557">
        <v>6.941230911614993E-4</v>
      </c>
      <c r="AA557">
        <v>0</v>
      </c>
      <c r="AB557">
        <v>0</v>
      </c>
      <c r="AC557">
        <v>0</v>
      </c>
      <c r="AD557">
        <v>5</v>
      </c>
      <c r="AE557">
        <v>4.8543689320388349E-2</v>
      </c>
      <c r="AF557">
        <v>1.1568718186024988E-3</v>
      </c>
    </row>
    <row r="558" spans="1:32" x14ac:dyDescent="0.2">
      <c r="A558">
        <v>2991.3472800925956</v>
      </c>
      <c r="B558">
        <v>555</v>
      </c>
      <c r="C558">
        <v>99</v>
      </c>
      <c r="D558">
        <v>155</v>
      </c>
      <c r="E558">
        <v>9</v>
      </c>
      <c r="F558">
        <v>1</v>
      </c>
      <c r="G558">
        <v>10</v>
      </c>
      <c r="H558">
        <v>69</v>
      </c>
      <c r="I558">
        <v>5</v>
      </c>
      <c r="J558">
        <v>116</v>
      </c>
      <c r="K558">
        <v>29</v>
      </c>
      <c r="L558">
        <v>555</v>
      </c>
      <c r="M558">
        <v>31</v>
      </c>
      <c r="N558">
        <v>5.5855855855855854E-2</v>
      </c>
      <c r="O558">
        <v>1</v>
      </c>
      <c r="P558">
        <v>3.2258064516129031E-2</v>
      </c>
      <c r="Q558">
        <v>1.8018018018018018E-3</v>
      </c>
      <c r="R558">
        <v>28</v>
      </c>
      <c r="S558">
        <v>0.90322580645161288</v>
      </c>
      <c r="T558">
        <v>5.0450450450450449E-2</v>
      </c>
      <c r="U558">
        <v>0</v>
      </c>
      <c r="V558">
        <v>0</v>
      </c>
      <c r="W558">
        <v>0</v>
      </c>
      <c r="X558">
        <v>2</v>
      </c>
      <c r="Y558">
        <v>6.4516129032258063E-2</v>
      </c>
      <c r="Z558">
        <v>3.6036036036036037E-3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">
      <c r="A559">
        <v>502.88695601851214</v>
      </c>
      <c r="B559">
        <v>805</v>
      </c>
      <c r="C559">
        <v>50</v>
      </c>
      <c r="D559">
        <v>217</v>
      </c>
      <c r="E559">
        <v>0</v>
      </c>
      <c r="F559">
        <v>0</v>
      </c>
      <c r="G559">
        <v>3</v>
      </c>
      <c r="H559">
        <v>7</v>
      </c>
      <c r="I559">
        <v>1</v>
      </c>
      <c r="J559">
        <v>83</v>
      </c>
      <c r="K559">
        <v>79</v>
      </c>
      <c r="L559">
        <v>10812</v>
      </c>
      <c r="M559">
        <v>22</v>
      </c>
      <c r="N559">
        <v>2.0347761746207916E-3</v>
      </c>
      <c r="O559">
        <v>0</v>
      </c>
      <c r="P559">
        <v>0</v>
      </c>
      <c r="Q559">
        <v>0</v>
      </c>
      <c r="R559">
        <v>22</v>
      </c>
      <c r="S559">
        <v>1</v>
      </c>
      <c r="T559">
        <v>2.0347761746207916E-3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">
      <c r="A560">
        <v>805.34846064815065</v>
      </c>
      <c r="B560">
        <v>340</v>
      </c>
      <c r="C560">
        <v>13</v>
      </c>
      <c r="D560">
        <v>62</v>
      </c>
      <c r="E560">
        <v>6</v>
      </c>
      <c r="F560">
        <v>0</v>
      </c>
      <c r="G560">
        <v>9</v>
      </c>
      <c r="H560">
        <v>224</v>
      </c>
      <c r="I560">
        <v>23</v>
      </c>
      <c r="J560">
        <v>103</v>
      </c>
      <c r="K560">
        <v>46</v>
      </c>
      <c r="L560">
        <v>4890</v>
      </c>
      <c r="M560">
        <v>193</v>
      </c>
      <c r="N560">
        <v>3.9468302658486706E-2</v>
      </c>
      <c r="O560">
        <v>9</v>
      </c>
      <c r="P560">
        <v>4.6632124352331605E-2</v>
      </c>
      <c r="Q560">
        <v>1.8404907975460123E-3</v>
      </c>
      <c r="R560">
        <v>139</v>
      </c>
      <c r="S560">
        <v>0.72020725388601037</v>
      </c>
      <c r="T560">
        <v>2.8425357873210634E-2</v>
      </c>
      <c r="U560">
        <v>8</v>
      </c>
      <c r="V560">
        <v>4.145077720207254E-2</v>
      </c>
      <c r="W560">
        <v>1.6359918200408998E-3</v>
      </c>
      <c r="X560">
        <v>16</v>
      </c>
      <c r="Y560">
        <v>8.2901554404145081E-2</v>
      </c>
      <c r="Z560">
        <v>3.2719836400817996E-3</v>
      </c>
      <c r="AA560">
        <v>0</v>
      </c>
      <c r="AB560">
        <v>0</v>
      </c>
      <c r="AC560">
        <v>0</v>
      </c>
      <c r="AD560">
        <v>21</v>
      </c>
      <c r="AE560">
        <v>0.10880829015544041</v>
      </c>
      <c r="AF560">
        <v>4.2944785276073623E-3</v>
      </c>
    </row>
    <row r="561" spans="1:32" x14ac:dyDescent="0.2">
      <c r="A561">
        <v>1063.0135879629597</v>
      </c>
      <c r="B561">
        <v>2087</v>
      </c>
      <c r="C561">
        <v>107</v>
      </c>
      <c r="D561">
        <v>854</v>
      </c>
      <c r="E561">
        <v>74</v>
      </c>
      <c r="F561">
        <v>41</v>
      </c>
      <c r="G561">
        <v>230</v>
      </c>
      <c r="H561">
        <v>3345</v>
      </c>
      <c r="I561">
        <v>69</v>
      </c>
      <c r="J561">
        <v>2090</v>
      </c>
      <c r="K561">
        <v>387</v>
      </c>
      <c r="L561">
        <v>42088</v>
      </c>
      <c r="M561">
        <v>313</v>
      </c>
      <c r="N561">
        <v>7.4367990876259265E-3</v>
      </c>
      <c r="O561">
        <v>7</v>
      </c>
      <c r="P561">
        <v>2.2364217252396165E-2</v>
      </c>
      <c r="Q561">
        <v>1.6631819045808782E-4</v>
      </c>
      <c r="R561">
        <v>207</v>
      </c>
      <c r="S561">
        <v>0.66134185303514381</v>
      </c>
      <c r="T561">
        <v>4.9182664892605966E-3</v>
      </c>
      <c r="U561">
        <v>41</v>
      </c>
      <c r="V561">
        <v>0.13099041533546327</v>
      </c>
      <c r="W561">
        <v>9.7414940125451432E-4</v>
      </c>
      <c r="X561">
        <v>48</v>
      </c>
      <c r="Y561">
        <v>0.15335463258785942</v>
      </c>
      <c r="Z561">
        <v>1.1404675917126021E-3</v>
      </c>
      <c r="AA561">
        <v>0</v>
      </c>
      <c r="AB561">
        <v>0</v>
      </c>
      <c r="AC561">
        <v>0</v>
      </c>
      <c r="AD561">
        <v>10</v>
      </c>
      <c r="AE561">
        <v>3.1948881789137379E-2</v>
      </c>
      <c r="AF561">
        <v>2.3759741494012545E-4</v>
      </c>
    </row>
    <row r="562" spans="1:32" x14ac:dyDescent="0.2">
      <c r="A562">
        <v>1619.7465625000041</v>
      </c>
      <c r="B562">
        <v>3592</v>
      </c>
      <c r="C562">
        <v>137</v>
      </c>
      <c r="D562">
        <v>1997</v>
      </c>
      <c r="E562">
        <v>50</v>
      </c>
      <c r="F562">
        <v>3</v>
      </c>
      <c r="G562">
        <v>83</v>
      </c>
      <c r="H562">
        <v>529</v>
      </c>
      <c r="I562">
        <v>16</v>
      </c>
      <c r="J562">
        <v>878</v>
      </c>
      <c r="K562">
        <v>82</v>
      </c>
      <c r="L562">
        <v>109162</v>
      </c>
      <c r="M562">
        <v>2</v>
      </c>
      <c r="N562">
        <v>1.8321393891647275E-5</v>
      </c>
      <c r="O562">
        <v>1</v>
      </c>
      <c r="P562">
        <v>0.5</v>
      </c>
      <c r="Q562">
        <v>9.1606969458236375E-6</v>
      </c>
      <c r="R562">
        <v>0</v>
      </c>
      <c r="S562">
        <v>0</v>
      </c>
      <c r="T562">
        <v>0</v>
      </c>
      <c r="U562">
        <v>1</v>
      </c>
      <c r="V562">
        <v>0.5</v>
      </c>
      <c r="W562">
        <v>9.1606969458236375E-6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">
      <c r="A563">
        <v>1278.4655787037045</v>
      </c>
      <c r="B563">
        <v>976</v>
      </c>
      <c r="C563">
        <v>57</v>
      </c>
      <c r="D563">
        <v>2942</v>
      </c>
      <c r="E563">
        <v>140</v>
      </c>
      <c r="F563">
        <v>43</v>
      </c>
      <c r="G563">
        <v>44</v>
      </c>
      <c r="H563">
        <v>295</v>
      </c>
      <c r="I563">
        <v>3</v>
      </c>
      <c r="J563">
        <v>603</v>
      </c>
      <c r="K563">
        <v>23</v>
      </c>
      <c r="L563">
        <v>5793</v>
      </c>
      <c r="M563">
        <v>231</v>
      </c>
      <c r="N563">
        <v>3.98757120662869E-2</v>
      </c>
      <c r="O563">
        <v>71</v>
      </c>
      <c r="P563">
        <v>0.30735930735930733</v>
      </c>
      <c r="Q563">
        <v>1.2256171241153116E-2</v>
      </c>
      <c r="R563">
        <v>60</v>
      </c>
      <c r="S563">
        <v>0.25974025974025972</v>
      </c>
      <c r="T563">
        <v>1.0357327809425169E-2</v>
      </c>
      <c r="U563">
        <v>60</v>
      </c>
      <c r="V563">
        <v>0.25974025974025972</v>
      </c>
      <c r="W563">
        <v>1.0357327809425169E-2</v>
      </c>
      <c r="X563">
        <v>21</v>
      </c>
      <c r="Y563">
        <v>9.0909090909090912E-2</v>
      </c>
      <c r="Z563">
        <v>3.6250647332988087E-3</v>
      </c>
      <c r="AA563">
        <v>17</v>
      </c>
      <c r="AB563">
        <v>7.3593073593073599E-2</v>
      </c>
      <c r="AC563">
        <v>2.9345762126704645E-3</v>
      </c>
      <c r="AD563">
        <v>2</v>
      </c>
      <c r="AE563">
        <v>8.658008658008658E-3</v>
      </c>
      <c r="AF563">
        <v>3.4524426031417227E-4</v>
      </c>
    </row>
    <row r="564" spans="1:32" x14ac:dyDescent="0.2">
      <c r="A564">
        <v>917.37488425926131</v>
      </c>
      <c r="B564">
        <v>409</v>
      </c>
      <c r="C564">
        <v>26</v>
      </c>
      <c r="D564">
        <v>76</v>
      </c>
      <c r="E564">
        <v>0</v>
      </c>
      <c r="F564">
        <v>9</v>
      </c>
      <c r="G564">
        <v>23</v>
      </c>
      <c r="H564">
        <v>413</v>
      </c>
      <c r="I564">
        <v>12</v>
      </c>
      <c r="J564">
        <v>296</v>
      </c>
      <c r="K564">
        <v>48</v>
      </c>
      <c r="L564">
        <v>5862</v>
      </c>
      <c r="M564">
        <v>11</v>
      </c>
      <c r="N564">
        <v>1.8764926646195838E-3</v>
      </c>
      <c r="O564">
        <v>0</v>
      </c>
      <c r="P564">
        <v>0</v>
      </c>
      <c r="Q564">
        <v>0</v>
      </c>
      <c r="R564">
        <v>1</v>
      </c>
      <c r="S564">
        <v>9.0909090909090912E-2</v>
      </c>
      <c r="T564">
        <v>1.7059024223814399E-4</v>
      </c>
      <c r="U564">
        <v>10</v>
      </c>
      <c r="V564">
        <v>0.90909090909090906</v>
      </c>
      <c r="W564">
        <v>1.7059024223814397E-3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">
      <c r="A565">
        <v>1641.5345370370414</v>
      </c>
      <c r="B565">
        <v>626</v>
      </c>
      <c r="C565">
        <v>57</v>
      </c>
      <c r="D565">
        <v>595</v>
      </c>
      <c r="E565">
        <v>1</v>
      </c>
      <c r="F565">
        <v>40</v>
      </c>
      <c r="G565">
        <v>146</v>
      </c>
      <c r="H565">
        <v>470</v>
      </c>
      <c r="I565">
        <v>3</v>
      </c>
      <c r="J565">
        <v>567</v>
      </c>
      <c r="K565">
        <v>18</v>
      </c>
      <c r="L565">
        <v>6485</v>
      </c>
      <c r="M565">
        <v>141</v>
      </c>
      <c r="N565">
        <v>2.1742482652274478E-2</v>
      </c>
      <c r="O565">
        <v>1</v>
      </c>
      <c r="P565">
        <v>7.0921985815602835E-3</v>
      </c>
      <c r="Q565">
        <v>1.5420200462606013E-4</v>
      </c>
      <c r="R565">
        <v>121</v>
      </c>
      <c r="S565">
        <v>0.85815602836879434</v>
      </c>
      <c r="T565">
        <v>1.8658442559753276E-2</v>
      </c>
      <c r="U565">
        <v>7</v>
      </c>
      <c r="V565">
        <v>4.9645390070921988E-2</v>
      </c>
      <c r="W565">
        <v>1.0794140323824211E-3</v>
      </c>
      <c r="X565">
        <v>8</v>
      </c>
      <c r="Y565">
        <v>5.6737588652482268E-2</v>
      </c>
      <c r="Z565">
        <v>1.233616037008481E-3</v>
      </c>
      <c r="AA565">
        <v>0</v>
      </c>
      <c r="AB565">
        <v>0</v>
      </c>
      <c r="AC565">
        <v>0</v>
      </c>
      <c r="AD565">
        <v>4</v>
      </c>
      <c r="AE565">
        <v>2.8368794326241134E-2</v>
      </c>
      <c r="AF565">
        <v>6.1680801850424051E-4</v>
      </c>
    </row>
    <row r="566" spans="1:32" x14ac:dyDescent="0.2">
      <c r="A566">
        <v>1127.4549652777787</v>
      </c>
      <c r="B566">
        <v>369</v>
      </c>
      <c r="C566">
        <v>22</v>
      </c>
      <c r="D566">
        <v>44</v>
      </c>
      <c r="E566">
        <v>10</v>
      </c>
      <c r="F566">
        <v>0</v>
      </c>
      <c r="G566">
        <v>11</v>
      </c>
      <c r="H566">
        <v>65</v>
      </c>
      <c r="I566">
        <v>4</v>
      </c>
      <c r="J566">
        <v>82</v>
      </c>
      <c r="K566">
        <v>38</v>
      </c>
      <c r="L566">
        <v>2222</v>
      </c>
      <c r="M566">
        <v>315</v>
      </c>
      <c r="N566">
        <v>0.14176417641764177</v>
      </c>
      <c r="O566">
        <v>132</v>
      </c>
      <c r="P566">
        <v>0.41904761904761906</v>
      </c>
      <c r="Q566">
        <v>5.9405940594059403E-2</v>
      </c>
      <c r="R566">
        <v>74</v>
      </c>
      <c r="S566">
        <v>0.23492063492063492</v>
      </c>
      <c r="T566">
        <v>3.3303330333033301E-2</v>
      </c>
      <c r="U566">
        <v>4</v>
      </c>
      <c r="V566">
        <v>1.2698412698412698E-2</v>
      </c>
      <c r="W566">
        <v>1.8001800180018001E-3</v>
      </c>
      <c r="X566">
        <v>45</v>
      </c>
      <c r="Y566">
        <v>0.14285714285714285</v>
      </c>
      <c r="Z566">
        <v>2.025202520252025E-2</v>
      </c>
      <c r="AA566">
        <v>0</v>
      </c>
      <c r="AB566">
        <v>0</v>
      </c>
      <c r="AC566">
        <v>0</v>
      </c>
      <c r="AD566">
        <v>60</v>
      </c>
      <c r="AE566">
        <v>0.19047619047619047</v>
      </c>
      <c r="AF566">
        <v>2.7002700270027002E-2</v>
      </c>
    </row>
    <row r="567" spans="1:32" x14ac:dyDescent="0.2">
      <c r="A567">
        <v>810.73989583333605</v>
      </c>
      <c r="B567">
        <v>1424</v>
      </c>
      <c r="C567">
        <v>17</v>
      </c>
      <c r="D567">
        <v>55</v>
      </c>
      <c r="E567">
        <v>29</v>
      </c>
      <c r="F567">
        <v>0</v>
      </c>
      <c r="G567">
        <v>17</v>
      </c>
      <c r="H567">
        <v>204</v>
      </c>
      <c r="I567">
        <v>3</v>
      </c>
      <c r="J567">
        <v>177</v>
      </c>
      <c r="K567">
        <v>58</v>
      </c>
      <c r="L567">
        <v>4034</v>
      </c>
      <c r="M567">
        <v>57</v>
      </c>
      <c r="N567">
        <v>1.412989588497769E-2</v>
      </c>
      <c r="O567">
        <v>22</v>
      </c>
      <c r="P567">
        <v>0.38596491228070173</v>
      </c>
      <c r="Q567">
        <v>5.4536440257808624E-3</v>
      </c>
      <c r="R567">
        <v>22</v>
      </c>
      <c r="S567">
        <v>0.38596491228070173</v>
      </c>
      <c r="T567">
        <v>5.4536440257808624E-3</v>
      </c>
      <c r="U567">
        <v>6</v>
      </c>
      <c r="V567">
        <v>0.10526315789473684</v>
      </c>
      <c r="W567">
        <v>1.4873574615765989E-3</v>
      </c>
      <c r="X567">
        <v>3</v>
      </c>
      <c r="Y567">
        <v>5.2631578947368418E-2</v>
      </c>
      <c r="Z567">
        <v>7.4367873078829945E-4</v>
      </c>
      <c r="AA567">
        <v>0</v>
      </c>
      <c r="AB567">
        <v>0</v>
      </c>
      <c r="AC567">
        <v>0</v>
      </c>
      <c r="AD567">
        <v>4</v>
      </c>
      <c r="AE567">
        <v>7.0175438596491224E-2</v>
      </c>
      <c r="AF567">
        <v>9.9157164105106587E-4</v>
      </c>
    </row>
    <row r="568" spans="1:32" x14ac:dyDescent="0.2">
      <c r="A568">
        <v>2184.4929166666625</v>
      </c>
      <c r="B568">
        <v>351</v>
      </c>
      <c r="C568">
        <v>32</v>
      </c>
      <c r="D568">
        <v>34</v>
      </c>
      <c r="E568">
        <v>0</v>
      </c>
      <c r="F568">
        <v>1</v>
      </c>
      <c r="G568">
        <v>5</v>
      </c>
      <c r="H568">
        <v>9</v>
      </c>
      <c r="I568">
        <v>0</v>
      </c>
      <c r="J568">
        <v>0</v>
      </c>
      <c r="K568">
        <v>0</v>
      </c>
      <c r="L568">
        <v>119</v>
      </c>
      <c r="M568">
        <v>6</v>
      </c>
      <c r="N568">
        <v>5.0420168067226892E-2</v>
      </c>
      <c r="O568">
        <v>3</v>
      </c>
      <c r="P568">
        <v>0.5</v>
      </c>
      <c r="Q568">
        <v>2.5210084033613446E-2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</v>
      </c>
      <c r="AE568">
        <v>0.5</v>
      </c>
      <c r="AF568">
        <v>2.5210084033613446E-2</v>
      </c>
    </row>
    <row r="569" spans="1:32" x14ac:dyDescent="0.2">
      <c r="A569">
        <v>677.47442129629781</v>
      </c>
      <c r="B569">
        <v>355</v>
      </c>
      <c r="C569">
        <v>19</v>
      </c>
      <c r="D569">
        <v>120</v>
      </c>
      <c r="E569">
        <v>0</v>
      </c>
      <c r="F569">
        <v>0</v>
      </c>
      <c r="G569">
        <v>0</v>
      </c>
      <c r="H569">
        <v>3</v>
      </c>
      <c r="I569">
        <v>3</v>
      </c>
      <c r="J569">
        <v>5</v>
      </c>
      <c r="K569">
        <v>1</v>
      </c>
      <c r="L569">
        <v>805</v>
      </c>
      <c r="M569">
        <v>30</v>
      </c>
      <c r="N569">
        <v>3.7267080745341616E-2</v>
      </c>
      <c r="O569">
        <v>23</v>
      </c>
      <c r="P569">
        <v>0.76666666666666672</v>
      </c>
      <c r="Q569">
        <v>2.8571428571428571E-2</v>
      </c>
      <c r="R569">
        <v>3</v>
      </c>
      <c r="S569">
        <v>0.1</v>
      </c>
      <c r="T569">
        <v>3.7267080745341614E-3</v>
      </c>
      <c r="U569">
        <v>1</v>
      </c>
      <c r="V569">
        <v>3.3333333333333333E-2</v>
      </c>
      <c r="W569">
        <v>1.2422360248447205E-3</v>
      </c>
      <c r="X569">
        <v>3</v>
      </c>
      <c r="Y569">
        <v>0.1</v>
      </c>
      <c r="Z569">
        <v>3.7267080745341614E-3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">
      <c r="A570">
        <v>2419.0514004629586</v>
      </c>
      <c r="B570">
        <v>2475</v>
      </c>
      <c r="C570">
        <v>150</v>
      </c>
      <c r="D570">
        <v>609</v>
      </c>
      <c r="E570">
        <v>0</v>
      </c>
      <c r="F570">
        <v>0</v>
      </c>
      <c r="G570">
        <v>10</v>
      </c>
      <c r="H570">
        <v>33</v>
      </c>
      <c r="I570">
        <v>4</v>
      </c>
      <c r="J570">
        <v>127</v>
      </c>
      <c r="K570">
        <v>14</v>
      </c>
      <c r="L570">
        <v>2851</v>
      </c>
      <c r="M570">
        <v>71</v>
      </c>
      <c r="N570">
        <v>2.4903542616625744E-2</v>
      </c>
      <c r="O570">
        <v>54</v>
      </c>
      <c r="P570">
        <v>0.76056338028169013</v>
      </c>
      <c r="Q570">
        <v>1.8940722553490004E-2</v>
      </c>
      <c r="R570">
        <v>12</v>
      </c>
      <c r="S570">
        <v>0.16901408450704225</v>
      </c>
      <c r="T570">
        <v>4.2090494563311121E-3</v>
      </c>
      <c r="U570">
        <v>3</v>
      </c>
      <c r="V570">
        <v>4.2253521126760563E-2</v>
      </c>
      <c r="W570">
        <v>1.052262364082778E-3</v>
      </c>
      <c r="X570">
        <v>1</v>
      </c>
      <c r="Y570">
        <v>1.4084507042253521E-2</v>
      </c>
      <c r="Z570">
        <v>3.5075412136092597E-4</v>
      </c>
      <c r="AA570">
        <v>0</v>
      </c>
      <c r="AB570">
        <v>0</v>
      </c>
      <c r="AC570">
        <v>0</v>
      </c>
      <c r="AD570">
        <v>1</v>
      </c>
      <c r="AE570">
        <v>1.4084507042253521E-2</v>
      </c>
      <c r="AF570">
        <v>3.5075412136092597E-4</v>
      </c>
    </row>
    <row r="571" spans="1:32" x14ac:dyDescent="0.2">
      <c r="A571">
        <v>872.07393518518802</v>
      </c>
      <c r="B571">
        <v>378</v>
      </c>
      <c r="C571">
        <v>16</v>
      </c>
      <c r="D571">
        <v>33</v>
      </c>
      <c r="E571">
        <v>0</v>
      </c>
      <c r="F571">
        <v>0</v>
      </c>
      <c r="G571">
        <v>3</v>
      </c>
      <c r="H571">
        <v>59</v>
      </c>
      <c r="I571">
        <v>6</v>
      </c>
      <c r="J571">
        <v>44</v>
      </c>
      <c r="K571">
        <v>13</v>
      </c>
      <c r="L571">
        <v>2552</v>
      </c>
      <c r="M571">
        <v>73</v>
      </c>
      <c r="N571">
        <v>2.8605015673981191E-2</v>
      </c>
      <c r="O571">
        <v>0</v>
      </c>
      <c r="P571">
        <v>0</v>
      </c>
      <c r="Q571">
        <v>0</v>
      </c>
      <c r="R571">
        <v>40</v>
      </c>
      <c r="S571">
        <v>0.54794520547945202</v>
      </c>
      <c r="T571">
        <v>1.5673981191222569E-2</v>
      </c>
      <c r="U571">
        <v>13</v>
      </c>
      <c r="V571">
        <v>0.17808219178082191</v>
      </c>
      <c r="W571">
        <v>5.0940438871473351E-3</v>
      </c>
      <c r="X571">
        <v>9</v>
      </c>
      <c r="Y571">
        <v>0.12328767123287671</v>
      </c>
      <c r="Z571">
        <v>3.5266457680250786E-3</v>
      </c>
      <c r="AA571">
        <v>0</v>
      </c>
      <c r="AB571">
        <v>0</v>
      </c>
      <c r="AC571">
        <v>0</v>
      </c>
      <c r="AD571">
        <v>11</v>
      </c>
      <c r="AE571">
        <v>0.15068493150684931</v>
      </c>
      <c r="AF571">
        <v>4.3103448275862068E-3</v>
      </c>
    </row>
    <row r="572" spans="1:32" x14ac:dyDescent="0.2">
      <c r="A572">
        <v>3130.7927662037036</v>
      </c>
      <c r="B572">
        <v>451</v>
      </c>
      <c r="C572">
        <v>70</v>
      </c>
      <c r="D572">
        <v>294</v>
      </c>
      <c r="E572">
        <v>25</v>
      </c>
      <c r="F572">
        <v>184</v>
      </c>
      <c r="G572">
        <v>80</v>
      </c>
      <c r="H572">
        <v>2736</v>
      </c>
      <c r="I572">
        <v>3</v>
      </c>
      <c r="J572">
        <v>2892</v>
      </c>
      <c r="K572">
        <v>73</v>
      </c>
      <c r="L572">
        <v>88684</v>
      </c>
      <c r="M572">
        <v>293</v>
      </c>
      <c r="N572">
        <v>3.3038654097695187E-3</v>
      </c>
      <c r="O572">
        <v>45</v>
      </c>
      <c r="P572">
        <v>0.15358361774744028</v>
      </c>
      <c r="Q572">
        <v>5.074196021830319E-4</v>
      </c>
      <c r="R572">
        <v>74</v>
      </c>
      <c r="S572">
        <v>0.25255972696245732</v>
      </c>
      <c r="T572">
        <v>8.3442334581209688E-4</v>
      </c>
      <c r="U572">
        <v>113</v>
      </c>
      <c r="V572">
        <v>0.38566552901023893</v>
      </c>
      <c r="W572">
        <v>1.2741870010373913E-3</v>
      </c>
      <c r="X572">
        <v>57</v>
      </c>
      <c r="Y572">
        <v>0.19453924914675769</v>
      </c>
      <c r="Z572">
        <v>6.4273149609850701E-4</v>
      </c>
      <c r="AA572">
        <v>0</v>
      </c>
      <c r="AB572">
        <v>0</v>
      </c>
      <c r="AC572">
        <v>0</v>
      </c>
      <c r="AD572">
        <v>4</v>
      </c>
      <c r="AE572">
        <v>1.3651877133105802E-2</v>
      </c>
      <c r="AF572">
        <v>4.5103964638491723E-5</v>
      </c>
    </row>
    <row r="573" spans="1:32" x14ac:dyDescent="0.2">
      <c r="A573">
        <v>2829.3605439814783</v>
      </c>
      <c r="B573">
        <v>329</v>
      </c>
      <c r="C573">
        <v>13</v>
      </c>
      <c r="D573">
        <v>45</v>
      </c>
      <c r="E573">
        <v>0</v>
      </c>
      <c r="F573">
        <v>0</v>
      </c>
      <c r="G573">
        <v>12</v>
      </c>
      <c r="H573">
        <v>22</v>
      </c>
      <c r="I573">
        <v>0</v>
      </c>
      <c r="J573">
        <v>27</v>
      </c>
      <c r="K573">
        <v>0</v>
      </c>
      <c r="L573">
        <v>172</v>
      </c>
      <c r="M573">
        <v>32</v>
      </c>
      <c r="N573">
        <v>0.18604651162790697</v>
      </c>
      <c r="O573">
        <v>0</v>
      </c>
      <c r="P573">
        <v>0</v>
      </c>
      <c r="Q573">
        <v>0</v>
      </c>
      <c r="R573">
        <v>27</v>
      </c>
      <c r="S573">
        <v>0.84375</v>
      </c>
      <c r="T573">
        <v>0.15697674418604651</v>
      </c>
      <c r="U573">
        <v>0</v>
      </c>
      <c r="V573">
        <v>0</v>
      </c>
      <c r="W573">
        <v>0</v>
      </c>
      <c r="X573">
        <v>5</v>
      </c>
      <c r="Y573">
        <v>0.15625</v>
      </c>
      <c r="Z573">
        <v>2.9069767441860465E-2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">
      <c r="A574">
        <v>1902.5068518518456</v>
      </c>
      <c r="B574">
        <v>534</v>
      </c>
      <c r="C574">
        <v>16</v>
      </c>
      <c r="D574">
        <v>50</v>
      </c>
      <c r="E574">
        <v>10</v>
      </c>
      <c r="F574">
        <v>18</v>
      </c>
      <c r="G574">
        <v>13</v>
      </c>
      <c r="H574">
        <v>142</v>
      </c>
      <c r="I574">
        <v>0</v>
      </c>
      <c r="J574">
        <v>0</v>
      </c>
      <c r="K574">
        <v>0</v>
      </c>
      <c r="L574">
        <v>1531</v>
      </c>
      <c r="M574">
        <v>1</v>
      </c>
      <c r="N574">
        <v>6.5316786414108428E-4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6.5316786414108428E-4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">
      <c r="A575">
        <v>1618.5326736111092</v>
      </c>
      <c r="B575">
        <v>3711</v>
      </c>
      <c r="C575">
        <v>172</v>
      </c>
      <c r="D575">
        <v>1788</v>
      </c>
      <c r="E575">
        <v>14</v>
      </c>
      <c r="F575">
        <v>2</v>
      </c>
      <c r="G575">
        <v>9</v>
      </c>
      <c r="H575">
        <v>196</v>
      </c>
      <c r="I575">
        <v>2</v>
      </c>
      <c r="J575">
        <v>257</v>
      </c>
      <c r="K575">
        <v>21</v>
      </c>
      <c r="L575">
        <v>4034</v>
      </c>
      <c r="M575">
        <v>55</v>
      </c>
      <c r="N575">
        <v>1.3634110064452157E-2</v>
      </c>
      <c r="O575">
        <v>1</v>
      </c>
      <c r="P575">
        <v>1.8181818181818181E-2</v>
      </c>
      <c r="Q575">
        <v>2.4789291026276647E-4</v>
      </c>
      <c r="R575">
        <v>24</v>
      </c>
      <c r="S575">
        <v>0.43636363636363634</v>
      </c>
      <c r="T575">
        <v>5.9494298463063956E-3</v>
      </c>
      <c r="U575">
        <v>4</v>
      </c>
      <c r="V575">
        <v>7.2727272727272724E-2</v>
      </c>
      <c r="W575">
        <v>9.9157164105106587E-4</v>
      </c>
      <c r="X575">
        <v>26</v>
      </c>
      <c r="Y575">
        <v>0.47272727272727272</v>
      </c>
      <c r="Z575">
        <v>6.4452156668319289E-3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">
      <c r="A576">
        <v>2148.501898148148</v>
      </c>
      <c r="B576">
        <v>1037</v>
      </c>
      <c r="C576">
        <v>44</v>
      </c>
      <c r="D576">
        <v>146</v>
      </c>
      <c r="E576">
        <v>0</v>
      </c>
      <c r="F576">
        <v>44</v>
      </c>
      <c r="G576">
        <v>368</v>
      </c>
      <c r="H576">
        <v>986</v>
      </c>
      <c r="I576">
        <v>15</v>
      </c>
      <c r="J576">
        <v>1001</v>
      </c>
      <c r="K576">
        <v>429</v>
      </c>
      <c r="L576">
        <v>18629</v>
      </c>
      <c r="M576">
        <v>31</v>
      </c>
      <c r="N576">
        <v>1.6640721455794729E-3</v>
      </c>
      <c r="O576">
        <v>10</v>
      </c>
      <c r="P576">
        <v>0.32258064516129031</v>
      </c>
      <c r="Q576">
        <v>5.3679746631595904E-4</v>
      </c>
      <c r="R576">
        <v>6</v>
      </c>
      <c r="S576">
        <v>0.19354838709677419</v>
      </c>
      <c r="T576">
        <v>3.2207847978957537E-4</v>
      </c>
      <c r="U576">
        <v>6</v>
      </c>
      <c r="V576">
        <v>0.19354838709677419</v>
      </c>
      <c r="W576">
        <v>3.2207847978957537E-4</v>
      </c>
      <c r="X576">
        <v>9</v>
      </c>
      <c r="Y576">
        <v>0.29032258064516131</v>
      </c>
      <c r="Z576">
        <v>4.8311771968436308E-4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">
      <c r="A577">
        <v>1592.0416319444485</v>
      </c>
      <c r="B577">
        <v>443</v>
      </c>
      <c r="C577">
        <v>32</v>
      </c>
      <c r="D577">
        <v>66</v>
      </c>
      <c r="E577">
        <v>0</v>
      </c>
      <c r="F577">
        <v>0</v>
      </c>
      <c r="G577">
        <v>3</v>
      </c>
      <c r="H577">
        <v>11</v>
      </c>
      <c r="I577">
        <v>0</v>
      </c>
      <c r="J577">
        <v>9</v>
      </c>
      <c r="K577">
        <v>4</v>
      </c>
      <c r="L577">
        <v>10323</v>
      </c>
      <c r="M577">
        <v>28</v>
      </c>
      <c r="N577">
        <v>2.7123898091640027E-3</v>
      </c>
      <c r="O577">
        <v>19</v>
      </c>
      <c r="P577">
        <v>0.6785714285714286</v>
      </c>
      <c r="Q577">
        <v>1.8405502276470018E-3</v>
      </c>
      <c r="R577">
        <v>1</v>
      </c>
      <c r="S577">
        <v>3.5714285714285712E-2</v>
      </c>
      <c r="T577">
        <v>9.6871064613000092E-5</v>
      </c>
      <c r="U577">
        <v>8</v>
      </c>
      <c r="V577">
        <v>0.2857142857142857</v>
      </c>
      <c r="W577">
        <v>7.7496851690400073E-4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">
      <c r="A578">
        <v>1407.2141435185185</v>
      </c>
      <c r="B578">
        <v>1823</v>
      </c>
      <c r="C578">
        <v>38</v>
      </c>
      <c r="D578">
        <v>71</v>
      </c>
      <c r="E578">
        <v>5</v>
      </c>
      <c r="F578">
        <v>0</v>
      </c>
      <c r="G578">
        <v>14</v>
      </c>
      <c r="H578">
        <v>316</v>
      </c>
      <c r="I578">
        <v>10</v>
      </c>
      <c r="J578">
        <v>80</v>
      </c>
      <c r="K578">
        <v>27</v>
      </c>
      <c r="L578">
        <v>2777</v>
      </c>
      <c r="M578">
        <v>21</v>
      </c>
      <c r="N578">
        <v>7.562117392870004E-3</v>
      </c>
      <c r="O578">
        <v>16</v>
      </c>
      <c r="P578">
        <v>0.76190476190476186</v>
      </c>
      <c r="Q578">
        <v>5.7616132517104793E-3</v>
      </c>
      <c r="R578">
        <v>5</v>
      </c>
      <c r="S578">
        <v>0.23809523809523808</v>
      </c>
      <c r="T578">
        <v>1.8005041411595247E-3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">
      <c r="A579">
        <v>1710.9363773148143</v>
      </c>
      <c r="B579">
        <v>764</v>
      </c>
      <c r="C579">
        <v>54</v>
      </c>
      <c r="D579">
        <v>123</v>
      </c>
      <c r="E579">
        <v>43</v>
      </c>
      <c r="F579">
        <v>0</v>
      </c>
      <c r="G579">
        <v>13</v>
      </c>
      <c r="H579">
        <v>260</v>
      </c>
      <c r="I579">
        <v>13</v>
      </c>
      <c r="J579">
        <v>79</v>
      </c>
      <c r="K579">
        <v>18</v>
      </c>
      <c r="L579">
        <v>3837</v>
      </c>
      <c r="M579">
        <v>96</v>
      </c>
      <c r="N579">
        <v>2.5019546520719312E-2</v>
      </c>
      <c r="O579">
        <v>37</v>
      </c>
      <c r="P579">
        <v>0.38541666666666669</v>
      </c>
      <c r="Q579">
        <v>9.6429502215272349E-3</v>
      </c>
      <c r="R579">
        <v>29</v>
      </c>
      <c r="S579">
        <v>0.30208333333333331</v>
      </c>
      <c r="T579">
        <v>7.5579880114672923E-3</v>
      </c>
      <c r="U579">
        <v>22</v>
      </c>
      <c r="V579">
        <v>0.22916666666666666</v>
      </c>
      <c r="W579">
        <v>5.7336460776648427E-3</v>
      </c>
      <c r="X579">
        <v>4</v>
      </c>
      <c r="Y579">
        <v>4.1666666666666664E-2</v>
      </c>
      <c r="Z579">
        <v>1.0424811050299713E-3</v>
      </c>
      <c r="AA579">
        <v>0</v>
      </c>
      <c r="AB579">
        <v>0</v>
      </c>
      <c r="AC579">
        <v>0</v>
      </c>
      <c r="AD579">
        <v>4</v>
      </c>
      <c r="AE579">
        <v>4.1666666666666664E-2</v>
      </c>
      <c r="AF579">
        <v>1.0424811050299713E-3</v>
      </c>
    </row>
    <row r="580" spans="1:32" x14ac:dyDescent="0.2">
      <c r="A580">
        <v>1527.2754976851793</v>
      </c>
      <c r="B580">
        <v>405</v>
      </c>
      <c r="C580">
        <v>17</v>
      </c>
      <c r="D580">
        <v>88</v>
      </c>
      <c r="E580">
        <v>4</v>
      </c>
      <c r="F580">
        <v>2</v>
      </c>
      <c r="G580">
        <v>43</v>
      </c>
      <c r="H580">
        <v>308</v>
      </c>
      <c r="I580">
        <v>6</v>
      </c>
      <c r="J580">
        <v>226</v>
      </c>
      <c r="K580">
        <v>77</v>
      </c>
      <c r="L580">
        <v>11606</v>
      </c>
      <c r="M580">
        <v>160</v>
      </c>
      <c r="N580">
        <v>1.3785972772703775E-2</v>
      </c>
      <c r="O580">
        <v>98</v>
      </c>
      <c r="P580">
        <v>0.61250000000000004</v>
      </c>
      <c r="Q580">
        <v>8.4439083232810616E-3</v>
      </c>
      <c r="R580">
        <v>4</v>
      </c>
      <c r="S580">
        <v>2.5000000000000001E-2</v>
      </c>
      <c r="T580">
        <v>3.4464931931759432E-4</v>
      </c>
      <c r="U580">
        <v>54</v>
      </c>
      <c r="V580">
        <v>0.33750000000000002</v>
      </c>
      <c r="W580">
        <v>4.6527658107875236E-3</v>
      </c>
      <c r="X580">
        <v>3</v>
      </c>
      <c r="Y580">
        <v>1.8749999999999999E-2</v>
      </c>
      <c r="Z580">
        <v>2.5848698948819574E-4</v>
      </c>
      <c r="AA580">
        <v>1</v>
      </c>
      <c r="AB580">
        <v>6.2500000000000003E-3</v>
      </c>
      <c r="AC580">
        <v>8.6162329829398581E-5</v>
      </c>
      <c r="AD580">
        <v>0</v>
      </c>
      <c r="AE580">
        <v>0</v>
      </c>
      <c r="AF580">
        <v>0</v>
      </c>
    </row>
    <row r="581" spans="1:32" x14ac:dyDescent="0.2">
      <c r="A581">
        <v>1531.0944328703699</v>
      </c>
      <c r="B581">
        <v>602</v>
      </c>
      <c r="C581">
        <v>38</v>
      </c>
      <c r="D581">
        <v>107</v>
      </c>
      <c r="E581">
        <v>35</v>
      </c>
      <c r="F581">
        <v>2</v>
      </c>
      <c r="G581">
        <v>24</v>
      </c>
      <c r="H581">
        <v>528</v>
      </c>
      <c r="I581">
        <v>5</v>
      </c>
      <c r="J581">
        <v>79</v>
      </c>
      <c r="K581">
        <v>27</v>
      </c>
      <c r="L581">
        <v>11428</v>
      </c>
      <c r="M581">
        <v>468</v>
      </c>
      <c r="N581">
        <v>4.0952047602380116E-2</v>
      </c>
      <c r="O581">
        <v>21</v>
      </c>
      <c r="P581">
        <v>4.4871794871794872E-2</v>
      </c>
      <c r="Q581">
        <v>1.8375918795939796E-3</v>
      </c>
      <c r="R581">
        <v>163</v>
      </c>
      <c r="S581">
        <v>0.34829059829059827</v>
      </c>
      <c r="T581">
        <v>1.4263213160658032E-2</v>
      </c>
      <c r="U581">
        <v>89</v>
      </c>
      <c r="V581">
        <v>0.19017094017094016</v>
      </c>
      <c r="W581">
        <v>7.7878893944697235E-3</v>
      </c>
      <c r="X581">
        <v>61</v>
      </c>
      <c r="Y581">
        <v>0.13034188034188035</v>
      </c>
      <c r="Z581">
        <v>5.337766888344417E-3</v>
      </c>
      <c r="AA581">
        <v>1</v>
      </c>
      <c r="AB581">
        <v>2.136752136752137E-3</v>
      </c>
      <c r="AC581">
        <v>8.7504375218760936E-5</v>
      </c>
      <c r="AD581">
        <v>133</v>
      </c>
      <c r="AE581">
        <v>0.28418803418803418</v>
      </c>
      <c r="AF581">
        <v>1.1638081904095205E-2</v>
      </c>
    </row>
    <row r="582" spans="1:32" x14ac:dyDescent="0.2">
      <c r="A582">
        <v>1431.8863657407419</v>
      </c>
      <c r="B582">
        <v>712</v>
      </c>
      <c r="C582">
        <v>47</v>
      </c>
      <c r="D582">
        <v>144</v>
      </c>
      <c r="E582">
        <v>23</v>
      </c>
      <c r="F582">
        <v>1</v>
      </c>
      <c r="G582">
        <v>30</v>
      </c>
      <c r="H582">
        <v>252</v>
      </c>
      <c r="I582">
        <v>3</v>
      </c>
      <c r="J582">
        <v>93</v>
      </c>
      <c r="K582">
        <v>42</v>
      </c>
      <c r="L582">
        <v>7446</v>
      </c>
      <c r="M582">
        <v>96</v>
      </c>
      <c r="N582">
        <v>1.2892828364222401E-2</v>
      </c>
      <c r="O582">
        <v>28</v>
      </c>
      <c r="P582">
        <v>0.29166666666666669</v>
      </c>
      <c r="Q582">
        <v>3.7604082728982004E-3</v>
      </c>
      <c r="R582">
        <v>38</v>
      </c>
      <c r="S582">
        <v>0.39583333333333331</v>
      </c>
      <c r="T582">
        <v>5.1034112275047004E-3</v>
      </c>
      <c r="U582">
        <v>6</v>
      </c>
      <c r="V582">
        <v>6.25E-2</v>
      </c>
      <c r="W582">
        <v>8.0580177276390005E-4</v>
      </c>
      <c r="X582">
        <v>12</v>
      </c>
      <c r="Y582">
        <v>0.125</v>
      </c>
      <c r="Z582">
        <v>1.6116035455278001E-3</v>
      </c>
      <c r="AA582">
        <v>0</v>
      </c>
      <c r="AB582">
        <v>0</v>
      </c>
      <c r="AC582">
        <v>0</v>
      </c>
      <c r="AD582">
        <v>12</v>
      </c>
      <c r="AE582">
        <v>0.125</v>
      </c>
      <c r="AF582">
        <v>1.6116035455278001E-3</v>
      </c>
    </row>
    <row r="583" spans="1:32" x14ac:dyDescent="0.2">
      <c r="A583">
        <v>2511.206608796303</v>
      </c>
      <c r="B583">
        <v>416</v>
      </c>
      <c r="C583">
        <v>47</v>
      </c>
      <c r="D583">
        <v>98</v>
      </c>
      <c r="E583">
        <v>0</v>
      </c>
      <c r="F583">
        <v>0</v>
      </c>
      <c r="G583">
        <v>14</v>
      </c>
      <c r="H583">
        <v>20</v>
      </c>
      <c r="I583">
        <v>3</v>
      </c>
      <c r="J583">
        <v>138</v>
      </c>
      <c r="K583">
        <v>88</v>
      </c>
      <c r="L583">
        <v>65569</v>
      </c>
      <c r="M583">
        <v>1581</v>
      </c>
      <c r="N583">
        <v>2.411200414830179E-2</v>
      </c>
      <c r="O583">
        <v>594</v>
      </c>
      <c r="P583">
        <v>0.37571157495256169</v>
      </c>
      <c r="Q583">
        <v>9.0591590538211652E-3</v>
      </c>
      <c r="R583">
        <v>242</v>
      </c>
      <c r="S583">
        <v>0.15306767868437698</v>
      </c>
      <c r="T583">
        <v>3.690768503408623E-3</v>
      </c>
      <c r="U583">
        <v>182</v>
      </c>
      <c r="V583">
        <v>0.11511701454775458</v>
      </c>
      <c r="W583">
        <v>2.7757019323155761E-3</v>
      </c>
      <c r="X583">
        <v>226</v>
      </c>
      <c r="Y583">
        <v>0.14294750158127767</v>
      </c>
      <c r="Z583">
        <v>3.4467507511171439E-3</v>
      </c>
      <c r="AA583">
        <v>3</v>
      </c>
      <c r="AB583">
        <v>1.8975332068311196E-3</v>
      </c>
      <c r="AC583">
        <v>4.575332855465235E-5</v>
      </c>
      <c r="AD583">
        <v>334</v>
      </c>
      <c r="AE583">
        <v>0.21125869702719799</v>
      </c>
      <c r="AF583">
        <v>5.0938705790846287E-3</v>
      </c>
    </row>
    <row r="584" spans="1:32" x14ac:dyDescent="0.2">
      <c r="A584">
        <v>1849.1444212962961</v>
      </c>
      <c r="B584">
        <v>971</v>
      </c>
      <c r="C584">
        <v>100</v>
      </c>
      <c r="D584">
        <v>581</v>
      </c>
      <c r="E584">
        <v>0</v>
      </c>
      <c r="F584">
        <v>0</v>
      </c>
      <c r="G584">
        <v>0</v>
      </c>
      <c r="H584">
        <v>3</v>
      </c>
      <c r="I584">
        <v>1</v>
      </c>
      <c r="J584">
        <v>14</v>
      </c>
      <c r="K584">
        <v>7</v>
      </c>
      <c r="L584">
        <v>228</v>
      </c>
      <c r="M584">
        <v>3</v>
      </c>
      <c r="N584">
        <v>1.3157894736842105E-2</v>
      </c>
      <c r="O584">
        <v>0</v>
      </c>
      <c r="P584">
        <v>0</v>
      </c>
      <c r="Q584">
        <v>0</v>
      </c>
      <c r="R584">
        <v>1</v>
      </c>
      <c r="S584">
        <v>0.33333333333333331</v>
      </c>
      <c r="T584">
        <v>4.3859649122807015E-3</v>
      </c>
      <c r="U584">
        <v>0</v>
      </c>
      <c r="V584">
        <v>0</v>
      </c>
      <c r="W584">
        <v>0</v>
      </c>
      <c r="X584">
        <v>2</v>
      </c>
      <c r="Y584">
        <v>0.66666666666666663</v>
      </c>
      <c r="Z584">
        <v>8.771929824561403E-3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">
      <c r="A585">
        <v>2568.8206828703696</v>
      </c>
      <c r="B585">
        <v>387</v>
      </c>
      <c r="C585">
        <v>26</v>
      </c>
      <c r="D585">
        <v>138</v>
      </c>
      <c r="E585">
        <v>1</v>
      </c>
      <c r="F585">
        <v>11</v>
      </c>
      <c r="G585">
        <v>17</v>
      </c>
      <c r="H585">
        <v>129</v>
      </c>
      <c r="I585">
        <v>15</v>
      </c>
      <c r="J585">
        <v>86</v>
      </c>
      <c r="K585">
        <v>32</v>
      </c>
      <c r="L585">
        <v>1852</v>
      </c>
      <c r="M585">
        <v>19</v>
      </c>
      <c r="N585">
        <v>1.0259179265658747E-2</v>
      </c>
      <c r="O585">
        <v>8</v>
      </c>
      <c r="P585">
        <v>0.42105263157894735</v>
      </c>
      <c r="Q585">
        <v>4.3196544276457886E-3</v>
      </c>
      <c r="R585">
        <v>1</v>
      </c>
      <c r="S585">
        <v>5.2631578947368418E-2</v>
      </c>
      <c r="T585">
        <v>5.3995680345572358E-4</v>
      </c>
      <c r="U585">
        <v>8</v>
      </c>
      <c r="V585">
        <v>0.42105263157894735</v>
      </c>
      <c r="W585">
        <v>4.3196544276457886E-3</v>
      </c>
      <c r="X585">
        <v>2</v>
      </c>
      <c r="Y585">
        <v>0.10526315789473684</v>
      </c>
      <c r="Z585">
        <v>1.0799136069114472E-3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">
      <c r="A586">
        <v>735.51819444444845</v>
      </c>
      <c r="B586">
        <v>353</v>
      </c>
      <c r="C586">
        <v>25</v>
      </c>
      <c r="D586">
        <v>251</v>
      </c>
      <c r="E586">
        <v>0</v>
      </c>
      <c r="F586">
        <v>0</v>
      </c>
      <c r="G586">
        <v>3</v>
      </c>
      <c r="H586">
        <v>3</v>
      </c>
      <c r="I586">
        <v>0</v>
      </c>
      <c r="J586">
        <v>18</v>
      </c>
      <c r="K586">
        <v>15</v>
      </c>
      <c r="L586">
        <v>845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">
      <c r="A587">
        <v>2126.8665162037069</v>
      </c>
      <c r="B587">
        <v>681</v>
      </c>
      <c r="C587">
        <v>138</v>
      </c>
      <c r="D587">
        <v>145</v>
      </c>
      <c r="E587">
        <v>0</v>
      </c>
      <c r="F587">
        <v>2</v>
      </c>
      <c r="G587">
        <v>17</v>
      </c>
      <c r="H587">
        <v>51</v>
      </c>
      <c r="I587">
        <v>12</v>
      </c>
      <c r="J587">
        <v>28</v>
      </c>
      <c r="K587">
        <v>13</v>
      </c>
      <c r="L587">
        <v>4373</v>
      </c>
      <c r="M587">
        <v>165</v>
      </c>
      <c r="N587">
        <v>3.7731534415732904E-2</v>
      </c>
      <c r="O587">
        <v>136</v>
      </c>
      <c r="P587">
        <v>0.82424242424242422</v>
      </c>
      <c r="Q587">
        <v>3.1099931397210154E-2</v>
      </c>
      <c r="R587">
        <v>2</v>
      </c>
      <c r="S587">
        <v>1.2121212121212121E-2</v>
      </c>
      <c r="T587">
        <v>4.5735193231191402E-4</v>
      </c>
      <c r="U587">
        <v>3</v>
      </c>
      <c r="V587">
        <v>1.8181818181818181E-2</v>
      </c>
      <c r="W587">
        <v>6.8602789846787104E-4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24</v>
      </c>
      <c r="AE587">
        <v>0.14545454545454545</v>
      </c>
      <c r="AF587">
        <v>5.4882231877429683E-3</v>
      </c>
    </row>
    <row r="588" spans="1:32" x14ac:dyDescent="0.2">
      <c r="A588">
        <v>1626.100555555553</v>
      </c>
      <c r="B588">
        <v>29528</v>
      </c>
      <c r="C588">
        <v>461</v>
      </c>
      <c r="D588">
        <v>2265</v>
      </c>
      <c r="E588">
        <v>29</v>
      </c>
      <c r="F588">
        <v>15</v>
      </c>
      <c r="G588">
        <v>337</v>
      </c>
      <c r="H588">
        <v>1461</v>
      </c>
      <c r="I588">
        <v>18</v>
      </c>
      <c r="J588">
        <v>2379</v>
      </c>
      <c r="K588">
        <v>254</v>
      </c>
      <c r="L588">
        <v>28746</v>
      </c>
      <c r="M588">
        <v>271</v>
      </c>
      <c r="N588">
        <v>9.4273985945870723E-3</v>
      </c>
      <c r="O588">
        <v>91</v>
      </c>
      <c r="P588">
        <v>0.33579335793357934</v>
      </c>
      <c r="Q588">
        <v>3.1656578306546996E-3</v>
      </c>
      <c r="R588">
        <v>71</v>
      </c>
      <c r="S588">
        <v>0.26199261992619927</v>
      </c>
      <c r="T588">
        <v>2.4699088568844361E-3</v>
      </c>
      <c r="U588">
        <v>88</v>
      </c>
      <c r="V588">
        <v>0.32472324723247231</v>
      </c>
      <c r="W588">
        <v>3.0612954845891604E-3</v>
      </c>
      <c r="X588">
        <v>20</v>
      </c>
      <c r="Y588">
        <v>7.3800738007380073E-2</v>
      </c>
      <c r="Z588">
        <v>6.9574897377026369E-4</v>
      </c>
      <c r="AA588">
        <v>0</v>
      </c>
      <c r="AB588">
        <v>0</v>
      </c>
      <c r="AC588">
        <v>0</v>
      </c>
      <c r="AD588">
        <v>1</v>
      </c>
      <c r="AE588">
        <v>3.6900369003690036E-3</v>
      </c>
      <c r="AF588">
        <v>3.4787448688513187E-5</v>
      </c>
    </row>
    <row r="589" spans="1:32" x14ac:dyDescent="0.2">
      <c r="A589">
        <v>3703.3181481481515</v>
      </c>
      <c r="B589">
        <v>15789</v>
      </c>
      <c r="C589">
        <v>452</v>
      </c>
      <c r="D589">
        <v>2034</v>
      </c>
      <c r="E589">
        <v>41</v>
      </c>
      <c r="F589">
        <v>39</v>
      </c>
      <c r="G589">
        <v>166</v>
      </c>
      <c r="H589">
        <v>612</v>
      </c>
      <c r="I589">
        <v>3</v>
      </c>
      <c r="J589">
        <v>1126</v>
      </c>
      <c r="K589">
        <v>51</v>
      </c>
      <c r="L589">
        <v>8212</v>
      </c>
      <c r="M589">
        <v>103</v>
      </c>
      <c r="N589">
        <v>1.2542620555284949E-2</v>
      </c>
      <c r="O589">
        <v>10</v>
      </c>
      <c r="P589">
        <v>9.7087378640776698E-2</v>
      </c>
      <c r="Q589">
        <v>1.2177301509985387E-3</v>
      </c>
      <c r="R589">
        <v>61</v>
      </c>
      <c r="S589">
        <v>0.59223300970873782</v>
      </c>
      <c r="T589">
        <v>7.4281539210910861E-3</v>
      </c>
      <c r="U589">
        <v>12</v>
      </c>
      <c r="V589">
        <v>0.11650485436893204</v>
      </c>
      <c r="W589">
        <v>1.4612761811982464E-3</v>
      </c>
      <c r="X589">
        <v>19</v>
      </c>
      <c r="Y589">
        <v>0.18446601941747573</v>
      </c>
      <c r="Z589">
        <v>2.3136872868972235E-3</v>
      </c>
      <c r="AA589">
        <v>0</v>
      </c>
      <c r="AB589">
        <v>0</v>
      </c>
      <c r="AC589">
        <v>0</v>
      </c>
      <c r="AD589">
        <v>1</v>
      </c>
      <c r="AE589">
        <v>9.7087378640776691E-3</v>
      </c>
      <c r="AF589">
        <v>1.2177301509985388E-4</v>
      </c>
    </row>
    <row r="590" spans="1:32" x14ac:dyDescent="0.2">
      <c r="A590">
        <v>2403.7273495370391</v>
      </c>
      <c r="B590">
        <v>1074</v>
      </c>
      <c r="C590">
        <v>83</v>
      </c>
      <c r="D590">
        <v>235</v>
      </c>
      <c r="E590">
        <v>34</v>
      </c>
      <c r="F590">
        <v>5</v>
      </c>
      <c r="G590">
        <v>67</v>
      </c>
      <c r="H590">
        <v>1858</v>
      </c>
      <c r="I590">
        <v>8</v>
      </c>
      <c r="J590">
        <v>1686</v>
      </c>
      <c r="K590">
        <v>276</v>
      </c>
      <c r="L590">
        <v>60593</v>
      </c>
      <c r="M590">
        <v>434</v>
      </c>
      <c r="N590">
        <v>7.1625435281303124E-3</v>
      </c>
      <c r="O590">
        <v>202</v>
      </c>
      <c r="P590">
        <v>0.46543778801843316</v>
      </c>
      <c r="Q590">
        <v>3.3337184163187168E-3</v>
      </c>
      <c r="R590">
        <v>14</v>
      </c>
      <c r="S590">
        <v>3.2258064516129031E-2</v>
      </c>
      <c r="T590">
        <v>2.3104979123001008E-4</v>
      </c>
      <c r="U590">
        <v>110</v>
      </c>
      <c r="V590">
        <v>0.25345622119815669</v>
      </c>
      <c r="W590">
        <v>1.8153912168072219E-3</v>
      </c>
      <c r="X590">
        <v>103</v>
      </c>
      <c r="Y590">
        <v>0.23732718894009217</v>
      </c>
      <c r="Z590">
        <v>1.6998663211922169E-3</v>
      </c>
      <c r="AA590">
        <v>0</v>
      </c>
      <c r="AB590">
        <v>0</v>
      </c>
      <c r="AC590">
        <v>0</v>
      </c>
      <c r="AD590">
        <v>5</v>
      </c>
      <c r="AE590">
        <v>1.1520737327188941E-2</v>
      </c>
      <c r="AF590">
        <v>8.2517782582146448E-5</v>
      </c>
    </row>
    <row r="591" spans="1:32" x14ac:dyDescent="0.2">
      <c r="A591">
        <v>525.2956597222219</v>
      </c>
      <c r="B591">
        <v>409</v>
      </c>
      <c r="C591">
        <v>25</v>
      </c>
      <c r="D591">
        <v>167</v>
      </c>
      <c r="E591">
        <v>13</v>
      </c>
      <c r="F591">
        <v>41</v>
      </c>
      <c r="G591">
        <v>10</v>
      </c>
      <c r="H591">
        <v>2025</v>
      </c>
      <c r="I591">
        <v>0</v>
      </c>
      <c r="J591">
        <v>155</v>
      </c>
      <c r="K591">
        <v>0</v>
      </c>
      <c r="L591">
        <v>12698</v>
      </c>
      <c r="M591">
        <v>112</v>
      </c>
      <c r="N591">
        <v>8.8202866593164279E-3</v>
      </c>
      <c r="O591">
        <v>40</v>
      </c>
      <c r="P591">
        <v>0.35714285714285715</v>
      </c>
      <c r="Q591">
        <v>3.1501023783272958E-3</v>
      </c>
      <c r="R591">
        <v>34</v>
      </c>
      <c r="S591">
        <v>0.30357142857142855</v>
      </c>
      <c r="T591">
        <v>2.6775870215782014E-3</v>
      </c>
      <c r="U591">
        <v>12</v>
      </c>
      <c r="V591">
        <v>0.10714285714285714</v>
      </c>
      <c r="W591">
        <v>9.4503071349818872E-4</v>
      </c>
      <c r="X591">
        <v>22</v>
      </c>
      <c r="Y591">
        <v>0.19642857142857142</v>
      </c>
      <c r="Z591">
        <v>1.7325563080800126E-3</v>
      </c>
      <c r="AA591">
        <v>4</v>
      </c>
      <c r="AB591">
        <v>3.5714285714285712E-2</v>
      </c>
      <c r="AC591">
        <v>3.1501023783272954E-4</v>
      </c>
      <c r="AD591">
        <v>0</v>
      </c>
      <c r="AE591">
        <v>0</v>
      </c>
      <c r="AF591">
        <v>0</v>
      </c>
    </row>
    <row r="592" spans="1:32" x14ac:dyDescent="0.2">
      <c r="A592">
        <v>1354.9747222222213</v>
      </c>
      <c r="B592">
        <v>382</v>
      </c>
      <c r="C592">
        <v>21</v>
      </c>
      <c r="D592">
        <v>44</v>
      </c>
      <c r="E592">
        <v>3</v>
      </c>
      <c r="F592">
        <v>1</v>
      </c>
      <c r="G592">
        <v>10</v>
      </c>
      <c r="H592">
        <v>74</v>
      </c>
      <c r="I592">
        <v>0</v>
      </c>
      <c r="J592">
        <v>120</v>
      </c>
      <c r="K592">
        <v>45</v>
      </c>
      <c r="L592">
        <v>3275</v>
      </c>
      <c r="M592">
        <v>41</v>
      </c>
      <c r="N592">
        <v>1.2519083969465649E-2</v>
      </c>
      <c r="O592">
        <v>0</v>
      </c>
      <c r="P592">
        <v>0</v>
      </c>
      <c r="Q592">
        <v>0</v>
      </c>
      <c r="R592">
        <v>14</v>
      </c>
      <c r="S592">
        <v>0.34146341463414637</v>
      </c>
      <c r="T592">
        <v>4.2748091603053437E-3</v>
      </c>
      <c r="U592">
        <v>23</v>
      </c>
      <c r="V592">
        <v>0.56097560975609762</v>
      </c>
      <c r="W592">
        <v>7.0229007633587784E-3</v>
      </c>
      <c r="X592">
        <v>0</v>
      </c>
      <c r="Y592">
        <v>0</v>
      </c>
      <c r="Z592">
        <v>0</v>
      </c>
      <c r="AA592">
        <v>2</v>
      </c>
      <c r="AB592">
        <v>4.878048780487805E-2</v>
      </c>
      <c r="AC592">
        <v>6.1068702290076337E-4</v>
      </c>
      <c r="AD592">
        <v>2</v>
      </c>
      <c r="AE592">
        <v>4.878048780487805E-2</v>
      </c>
      <c r="AF592">
        <v>6.1068702290076337E-4</v>
      </c>
    </row>
    <row r="593" spans="1:32" x14ac:dyDescent="0.2">
      <c r="A593">
        <v>1986.8765393518479</v>
      </c>
      <c r="B593">
        <v>925</v>
      </c>
      <c r="C593">
        <v>38</v>
      </c>
      <c r="D593">
        <v>208</v>
      </c>
      <c r="E593">
        <v>8</v>
      </c>
      <c r="F593">
        <v>30</v>
      </c>
      <c r="G593">
        <v>14</v>
      </c>
      <c r="H593">
        <v>99</v>
      </c>
      <c r="I593">
        <v>9</v>
      </c>
      <c r="J593">
        <v>191</v>
      </c>
      <c r="K593">
        <v>122</v>
      </c>
      <c r="L593">
        <v>1138</v>
      </c>
      <c r="M593">
        <v>16</v>
      </c>
      <c r="N593">
        <v>1.4059753954305799E-2</v>
      </c>
      <c r="O593">
        <v>2</v>
      </c>
      <c r="P593">
        <v>0.125</v>
      </c>
      <c r="Q593">
        <v>1.7574692442882249E-3</v>
      </c>
      <c r="R593">
        <v>13</v>
      </c>
      <c r="S593">
        <v>0.8125</v>
      </c>
      <c r="T593">
        <v>1.1423550087873463E-2</v>
      </c>
      <c r="U593">
        <v>0</v>
      </c>
      <c r="V593">
        <v>0</v>
      </c>
      <c r="W593">
        <v>0</v>
      </c>
      <c r="X593">
        <v>1</v>
      </c>
      <c r="Y593">
        <v>6.25E-2</v>
      </c>
      <c r="Z593">
        <v>8.7873462214411243E-4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">
      <c r="A594">
        <v>1325.024733796301</v>
      </c>
      <c r="B594">
        <v>450</v>
      </c>
      <c r="C594">
        <v>17</v>
      </c>
      <c r="D594">
        <v>66</v>
      </c>
      <c r="E594">
        <v>0</v>
      </c>
      <c r="F594">
        <v>0</v>
      </c>
      <c r="G594">
        <v>4</v>
      </c>
      <c r="H594">
        <v>8</v>
      </c>
      <c r="I594">
        <v>3</v>
      </c>
      <c r="J594">
        <v>65</v>
      </c>
      <c r="K594">
        <v>38</v>
      </c>
      <c r="L594">
        <v>410</v>
      </c>
      <c r="M594">
        <v>5</v>
      </c>
      <c r="N594">
        <v>1.2195121951219513E-2</v>
      </c>
      <c r="O594">
        <v>3</v>
      </c>
      <c r="P594">
        <v>0.6</v>
      </c>
      <c r="Q594">
        <v>7.3170731707317077E-3</v>
      </c>
      <c r="R594">
        <v>2</v>
      </c>
      <c r="S594">
        <v>0.4</v>
      </c>
      <c r="T594">
        <v>4.8780487804878049E-3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">
      <c r="A595">
        <v>1929.2935300925892</v>
      </c>
      <c r="B595">
        <v>436</v>
      </c>
      <c r="C595">
        <v>36</v>
      </c>
      <c r="D595">
        <v>80</v>
      </c>
      <c r="E595">
        <v>0</v>
      </c>
      <c r="F595">
        <v>2</v>
      </c>
      <c r="G595">
        <v>8</v>
      </c>
      <c r="H595">
        <v>34</v>
      </c>
      <c r="I595">
        <v>4</v>
      </c>
      <c r="J595">
        <v>76</v>
      </c>
      <c r="K595">
        <v>46</v>
      </c>
      <c r="L595">
        <v>3443</v>
      </c>
      <c r="M595">
        <v>28</v>
      </c>
      <c r="N595">
        <v>8.1324426372349698E-3</v>
      </c>
      <c r="O595">
        <v>0</v>
      </c>
      <c r="P595">
        <v>0</v>
      </c>
      <c r="Q595">
        <v>0</v>
      </c>
      <c r="R595">
        <v>4</v>
      </c>
      <c r="S595">
        <v>0.14285714285714285</v>
      </c>
      <c r="T595">
        <v>1.1617775196049957E-3</v>
      </c>
      <c r="U595">
        <v>0</v>
      </c>
      <c r="V595">
        <v>0</v>
      </c>
      <c r="W595">
        <v>0</v>
      </c>
      <c r="X595">
        <v>24</v>
      </c>
      <c r="Y595">
        <v>0.8571428571428571</v>
      </c>
      <c r="Z595">
        <v>6.9706651176299735E-3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">
      <c r="A596">
        <v>833.07494212962774</v>
      </c>
      <c r="B596">
        <v>7638</v>
      </c>
      <c r="C596">
        <v>183</v>
      </c>
      <c r="D596">
        <v>861</v>
      </c>
      <c r="E596">
        <v>10</v>
      </c>
      <c r="F596">
        <v>54</v>
      </c>
      <c r="G596">
        <v>87</v>
      </c>
      <c r="H596">
        <v>613</v>
      </c>
      <c r="I596">
        <v>18</v>
      </c>
      <c r="J596">
        <v>529</v>
      </c>
      <c r="K596">
        <v>107</v>
      </c>
      <c r="L596">
        <v>19805</v>
      </c>
      <c r="M596">
        <v>377</v>
      </c>
      <c r="N596">
        <v>1.9035597071446603E-2</v>
      </c>
      <c r="O596">
        <v>136</v>
      </c>
      <c r="P596">
        <v>0.36074270557029176</v>
      </c>
      <c r="Q596">
        <v>6.8669527896995704E-3</v>
      </c>
      <c r="R596">
        <v>157</v>
      </c>
      <c r="S596">
        <v>0.41644562334217505</v>
      </c>
      <c r="T596">
        <v>7.927291088109063E-3</v>
      </c>
      <c r="U596">
        <v>26</v>
      </c>
      <c r="V596">
        <v>6.8965517241379309E-2</v>
      </c>
      <c r="W596">
        <v>1.3127997980308002E-3</v>
      </c>
      <c r="X596">
        <v>46</v>
      </c>
      <c r="Y596">
        <v>0.1220159151193634</v>
      </c>
      <c r="Z596">
        <v>2.3226457965160314E-3</v>
      </c>
      <c r="AA596">
        <v>4</v>
      </c>
      <c r="AB596">
        <v>1.0610079575596816E-2</v>
      </c>
      <c r="AC596">
        <v>2.019691996970462E-4</v>
      </c>
      <c r="AD596">
        <v>8</v>
      </c>
      <c r="AE596">
        <v>2.1220159151193633E-2</v>
      </c>
      <c r="AF596">
        <v>4.039383993940924E-4</v>
      </c>
    </row>
    <row r="597" spans="1:32" x14ac:dyDescent="0.2">
      <c r="A597">
        <v>2036.1250347222231</v>
      </c>
      <c r="B597">
        <v>1633</v>
      </c>
      <c r="C597">
        <v>297</v>
      </c>
      <c r="D597">
        <v>88</v>
      </c>
      <c r="E597">
        <v>7</v>
      </c>
      <c r="F597">
        <v>6</v>
      </c>
      <c r="G597">
        <v>23</v>
      </c>
      <c r="H597">
        <v>231</v>
      </c>
      <c r="I597">
        <v>10</v>
      </c>
      <c r="J597">
        <v>87</v>
      </c>
      <c r="K597">
        <v>23</v>
      </c>
      <c r="L597">
        <v>5486</v>
      </c>
      <c r="M597">
        <v>130</v>
      </c>
      <c r="N597">
        <v>2.3696682464454975E-2</v>
      </c>
      <c r="O597">
        <v>11</v>
      </c>
      <c r="P597">
        <v>8.461538461538462E-2</v>
      </c>
      <c r="Q597">
        <v>2.0051039008384978E-3</v>
      </c>
      <c r="R597">
        <v>38</v>
      </c>
      <c r="S597">
        <v>0.29230769230769232</v>
      </c>
      <c r="T597">
        <v>6.926722566532993E-3</v>
      </c>
      <c r="U597">
        <v>38</v>
      </c>
      <c r="V597">
        <v>0.29230769230769232</v>
      </c>
      <c r="W597">
        <v>6.926722566532993E-3</v>
      </c>
      <c r="X597">
        <v>30</v>
      </c>
      <c r="Y597">
        <v>0.23076923076923078</v>
      </c>
      <c r="Z597">
        <v>5.4684651841049947E-3</v>
      </c>
      <c r="AA597">
        <v>0</v>
      </c>
      <c r="AB597">
        <v>0</v>
      </c>
      <c r="AC597">
        <v>0</v>
      </c>
      <c r="AD597">
        <v>13</v>
      </c>
      <c r="AE597">
        <v>0.1</v>
      </c>
      <c r="AF597">
        <v>2.3696682464454978E-3</v>
      </c>
    </row>
    <row r="598" spans="1:32" x14ac:dyDescent="0.2">
      <c r="A598">
        <v>1862.9897337962975</v>
      </c>
      <c r="B598">
        <v>412</v>
      </c>
      <c r="C598">
        <v>235</v>
      </c>
      <c r="D598">
        <v>56</v>
      </c>
      <c r="E598">
        <v>0</v>
      </c>
      <c r="F598">
        <v>0</v>
      </c>
      <c r="G598">
        <v>34</v>
      </c>
      <c r="H598">
        <v>74</v>
      </c>
      <c r="I598">
        <v>3</v>
      </c>
      <c r="J598">
        <v>31</v>
      </c>
      <c r="K598">
        <v>6</v>
      </c>
      <c r="L598">
        <v>665</v>
      </c>
      <c r="M598">
        <v>24</v>
      </c>
      <c r="N598">
        <v>3.6090225563909777E-2</v>
      </c>
      <c r="O598">
        <v>10</v>
      </c>
      <c r="P598">
        <v>0.41666666666666669</v>
      </c>
      <c r="Q598">
        <v>1.5037593984962405E-2</v>
      </c>
      <c r="R598">
        <v>1</v>
      </c>
      <c r="S598">
        <v>4.1666666666666664E-2</v>
      </c>
      <c r="T598">
        <v>1.5037593984962407E-3</v>
      </c>
      <c r="U598">
        <v>0</v>
      </c>
      <c r="V598">
        <v>0</v>
      </c>
      <c r="W598">
        <v>0</v>
      </c>
      <c r="X598">
        <v>11</v>
      </c>
      <c r="Y598">
        <v>0.45833333333333331</v>
      </c>
      <c r="Z598">
        <v>1.6541353383458645E-2</v>
      </c>
      <c r="AA598">
        <v>0</v>
      </c>
      <c r="AB598">
        <v>0</v>
      </c>
      <c r="AC598">
        <v>0</v>
      </c>
      <c r="AD598">
        <v>2</v>
      </c>
      <c r="AE598">
        <v>8.3333333333333329E-2</v>
      </c>
      <c r="AF598">
        <v>3.0075187969924814E-3</v>
      </c>
    </row>
    <row r="599" spans="1:32" x14ac:dyDescent="0.2">
      <c r="A599">
        <v>565.57049768518482</v>
      </c>
      <c r="B599">
        <v>395</v>
      </c>
      <c r="C599">
        <v>48</v>
      </c>
      <c r="D599">
        <v>710</v>
      </c>
      <c r="E599">
        <v>3</v>
      </c>
      <c r="F599">
        <v>11</v>
      </c>
      <c r="G599">
        <v>13</v>
      </c>
      <c r="H599">
        <v>70</v>
      </c>
      <c r="I599">
        <v>8</v>
      </c>
      <c r="J599">
        <v>146</v>
      </c>
      <c r="K599">
        <v>27</v>
      </c>
      <c r="L599">
        <v>2324</v>
      </c>
      <c r="M599">
        <v>67</v>
      </c>
      <c r="N599">
        <v>2.8829604130808949E-2</v>
      </c>
      <c r="O599">
        <v>2</v>
      </c>
      <c r="P599">
        <v>2.9850746268656716E-2</v>
      </c>
      <c r="Q599">
        <v>8.6058519793459555E-4</v>
      </c>
      <c r="R599">
        <v>48</v>
      </c>
      <c r="S599">
        <v>0.71641791044776115</v>
      </c>
      <c r="T599">
        <v>2.0654044750430294E-2</v>
      </c>
      <c r="U599">
        <v>3</v>
      </c>
      <c r="V599">
        <v>4.4776119402985072E-2</v>
      </c>
      <c r="W599">
        <v>1.2908777969018934E-3</v>
      </c>
      <c r="X599">
        <v>14</v>
      </c>
      <c r="Y599">
        <v>0.20895522388059701</v>
      </c>
      <c r="Z599">
        <v>6.024096385542169E-3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">
      <c r="A600">
        <v>1813.7988773148099</v>
      </c>
      <c r="B600">
        <v>1060</v>
      </c>
      <c r="C600">
        <v>82</v>
      </c>
      <c r="D600">
        <v>307</v>
      </c>
      <c r="E600">
        <v>0</v>
      </c>
      <c r="F600">
        <v>0</v>
      </c>
      <c r="G600">
        <v>6</v>
      </c>
      <c r="H600">
        <v>11</v>
      </c>
      <c r="I600">
        <v>1</v>
      </c>
      <c r="J600">
        <v>36</v>
      </c>
      <c r="K600">
        <v>9</v>
      </c>
      <c r="L600">
        <v>3740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">
      <c r="A601">
        <v>1784.384421296294</v>
      </c>
      <c r="B601">
        <v>382</v>
      </c>
      <c r="C601">
        <v>29</v>
      </c>
      <c r="D601">
        <v>55</v>
      </c>
      <c r="E601">
        <v>8</v>
      </c>
      <c r="F601">
        <v>0</v>
      </c>
      <c r="G601">
        <v>3</v>
      </c>
      <c r="H601">
        <v>87</v>
      </c>
      <c r="I601">
        <v>0</v>
      </c>
      <c r="J601">
        <v>40</v>
      </c>
      <c r="K601">
        <v>4</v>
      </c>
      <c r="L601">
        <v>1921</v>
      </c>
      <c r="M601">
        <v>94</v>
      </c>
      <c r="N601">
        <v>4.8932847475273294E-2</v>
      </c>
      <c r="O601">
        <v>54</v>
      </c>
      <c r="P601">
        <v>0.57446808510638303</v>
      </c>
      <c r="Q601">
        <v>2.8110359187922956E-2</v>
      </c>
      <c r="R601">
        <v>19</v>
      </c>
      <c r="S601">
        <v>0.20212765957446807</v>
      </c>
      <c r="T601">
        <v>9.8906819364914106E-3</v>
      </c>
      <c r="U601">
        <v>10</v>
      </c>
      <c r="V601">
        <v>0.10638297872340426</v>
      </c>
      <c r="W601">
        <v>5.2056220718375845E-3</v>
      </c>
      <c r="X601">
        <v>11</v>
      </c>
      <c r="Y601">
        <v>0.11702127659574468</v>
      </c>
      <c r="Z601">
        <v>5.726184279021343E-3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">
      <c r="A602">
        <v>1096.9041319444441</v>
      </c>
      <c r="B602">
        <v>503</v>
      </c>
      <c r="C602">
        <v>25</v>
      </c>
      <c r="D602">
        <v>156</v>
      </c>
      <c r="E602">
        <v>1</v>
      </c>
      <c r="F602">
        <v>0</v>
      </c>
      <c r="G602">
        <v>4</v>
      </c>
      <c r="H602">
        <v>16</v>
      </c>
      <c r="I602">
        <v>0</v>
      </c>
      <c r="J602">
        <v>116</v>
      </c>
      <c r="K602">
        <v>2</v>
      </c>
      <c r="L602">
        <v>446</v>
      </c>
      <c r="M602">
        <v>18</v>
      </c>
      <c r="N602">
        <v>4.0358744394618833E-2</v>
      </c>
      <c r="O602">
        <v>0</v>
      </c>
      <c r="P602">
        <v>0</v>
      </c>
      <c r="Q602">
        <v>0</v>
      </c>
      <c r="R602">
        <v>18</v>
      </c>
      <c r="S602">
        <v>1</v>
      </c>
      <c r="T602">
        <v>4.0358744394618833E-2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">
      <c r="A603">
        <v>1180.5946527777778</v>
      </c>
      <c r="B603">
        <v>2615</v>
      </c>
      <c r="C603">
        <v>84</v>
      </c>
      <c r="D603">
        <v>433</v>
      </c>
      <c r="E603">
        <v>0</v>
      </c>
      <c r="F603">
        <v>0</v>
      </c>
      <c r="G603">
        <v>5</v>
      </c>
      <c r="H603">
        <v>8</v>
      </c>
      <c r="I603">
        <v>2</v>
      </c>
      <c r="J603">
        <v>176</v>
      </c>
      <c r="K603">
        <v>111</v>
      </c>
      <c r="L603">
        <v>6671</v>
      </c>
      <c r="M603">
        <v>1</v>
      </c>
      <c r="N603">
        <v>1.4990256333383302E-4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1.4990256333383302E-4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">
      <c r="A604">
        <v>1513.1346296296324</v>
      </c>
      <c r="B604">
        <v>439</v>
      </c>
      <c r="C604">
        <v>19</v>
      </c>
      <c r="D604">
        <v>121</v>
      </c>
      <c r="E604">
        <v>4</v>
      </c>
      <c r="F604">
        <v>0</v>
      </c>
      <c r="G604">
        <v>3</v>
      </c>
      <c r="H604">
        <v>37</v>
      </c>
      <c r="I604">
        <v>0</v>
      </c>
      <c r="J604">
        <v>19</v>
      </c>
      <c r="K604">
        <v>1</v>
      </c>
      <c r="L604">
        <v>3654</v>
      </c>
      <c r="M604">
        <v>9</v>
      </c>
      <c r="N604">
        <v>2.4630541871921183E-3</v>
      </c>
      <c r="O604">
        <v>0</v>
      </c>
      <c r="P604">
        <v>0</v>
      </c>
      <c r="Q604">
        <v>0</v>
      </c>
      <c r="R604">
        <v>3</v>
      </c>
      <c r="S604">
        <v>0.33333333333333331</v>
      </c>
      <c r="T604">
        <v>8.2101806239737272E-4</v>
      </c>
      <c r="U604">
        <v>0</v>
      </c>
      <c r="V604">
        <v>0</v>
      </c>
      <c r="W604">
        <v>0</v>
      </c>
      <c r="X604">
        <v>3</v>
      </c>
      <c r="Y604">
        <v>0.33333333333333331</v>
      </c>
      <c r="Z604">
        <v>8.2101806239737272E-4</v>
      </c>
      <c r="AA604">
        <v>0</v>
      </c>
      <c r="AB604">
        <v>0</v>
      </c>
      <c r="AC604">
        <v>0</v>
      </c>
      <c r="AD604">
        <v>3</v>
      </c>
      <c r="AE604">
        <v>0.33333333333333331</v>
      </c>
      <c r="AF604">
        <v>8.2101806239737272E-4</v>
      </c>
    </row>
    <row r="605" spans="1:32" x14ac:dyDescent="0.2">
      <c r="A605">
        <v>3447.8703009259261</v>
      </c>
      <c r="B605">
        <v>8374</v>
      </c>
      <c r="C605">
        <v>414</v>
      </c>
      <c r="D605">
        <v>1003</v>
      </c>
      <c r="E605">
        <v>8</v>
      </c>
      <c r="F605">
        <v>60</v>
      </c>
      <c r="G605">
        <v>166</v>
      </c>
      <c r="H605">
        <v>600</v>
      </c>
      <c r="I605">
        <v>17</v>
      </c>
      <c r="J605">
        <v>1685</v>
      </c>
      <c r="K605">
        <v>382</v>
      </c>
      <c r="L605">
        <v>38343</v>
      </c>
      <c r="M605">
        <v>193</v>
      </c>
      <c r="N605">
        <v>5.0335132879534726E-3</v>
      </c>
      <c r="O605">
        <v>108</v>
      </c>
      <c r="P605">
        <v>0.55958549222797926</v>
      </c>
      <c r="Q605">
        <v>2.8166810108755185E-3</v>
      </c>
      <c r="R605">
        <v>9</v>
      </c>
      <c r="S605">
        <v>4.6632124352331605E-2</v>
      </c>
      <c r="T605">
        <v>2.3472341757295988E-4</v>
      </c>
      <c r="U605">
        <v>48</v>
      </c>
      <c r="V605">
        <v>0.24870466321243523</v>
      </c>
      <c r="W605">
        <v>1.2518582270557859E-3</v>
      </c>
      <c r="X605">
        <v>27</v>
      </c>
      <c r="Y605">
        <v>0.13989637305699482</v>
      </c>
      <c r="Z605">
        <v>7.0417025271887963E-4</v>
      </c>
      <c r="AA605">
        <v>0</v>
      </c>
      <c r="AB605">
        <v>0</v>
      </c>
      <c r="AC605">
        <v>0</v>
      </c>
      <c r="AD605">
        <v>1</v>
      </c>
      <c r="AE605">
        <v>5.1813471502590676E-3</v>
      </c>
      <c r="AF605">
        <v>2.6080379730328874E-5</v>
      </c>
    </row>
    <row r="606" spans="1:32" x14ac:dyDescent="0.2">
      <c r="A606">
        <v>1914.6073495370365</v>
      </c>
      <c r="B606">
        <v>2611</v>
      </c>
      <c r="C606">
        <v>86</v>
      </c>
      <c r="D606">
        <v>482</v>
      </c>
      <c r="E606">
        <v>2</v>
      </c>
      <c r="F606">
        <v>24</v>
      </c>
      <c r="G606">
        <v>133</v>
      </c>
      <c r="H606">
        <v>680</v>
      </c>
      <c r="I606">
        <v>39</v>
      </c>
      <c r="J606">
        <v>1118</v>
      </c>
      <c r="K606">
        <v>126</v>
      </c>
      <c r="L606">
        <v>3170</v>
      </c>
      <c r="M606">
        <v>5</v>
      </c>
      <c r="N606">
        <v>1.5772870662460567E-3</v>
      </c>
      <c r="O606">
        <v>0</v>
      </c>
      <c r="P606">
        <v>0</v>
      </c>
      <c r="Q606">
        <v>0</v>
      </c>
      <c r="R606">
        <v>5</v>
      </c>
      <c r="S606">
        <v>1</v>
      </c>
      <c r="T606">
        <v>1.5772870662460567E-3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">
      <c r="A607">
        <v>1217.1465856481518</v>
      </c>
      <c r="B607">
        <v>349</v>
      </c>
      <c r="C607">
        <v>31</v>
      </c>
      <c r="D607">
        <v>131</v>
      </c>
      <c r="E607">
        <v>0</v>
      </c>
      <c r="F607">
        <v>0</v>
      </c>
      <c r="G607">
        <v>14</v>
      </c>
      <c r="H607">
        <v>204</v>
      </c>
      <c r="I607">
        <v>2</v>
      </c>
      <c r="J607">
        <v>23</v>
      </c>
      <c r="K607">
        <v>7</v>
      </c>
      <c r="L607">
        <v>9092</v>
      </c>
      <c r="M607">
        <v>209</v>
      </c>
      <c r="N607">
        <v>2.2987241531016278E-2</v>
      </c>
      <c r="O607">
        <v>82</v>
      </c>
      <c r="P607">
        <v>0.3923444976076555</v>
      </c>
      <c r="Q607">
        <v>9.0189177298724155E-3</v>
      </c>
      <c r="R607">
        <v>93</v>
      </c>
      <c r="S607">
        <v>0.44497607655502391</v>
      </c>
      <c r="T607">
        <v>1.0228772547294325E-2</v>
      </c>
      <c r="U607">
        <v>24</v>
      </c>
      <c r="V607">
        <v>0.11483253588516747</v>
      </c>
      <c r="W607">
        <v>2.6396832380114386E-3</v>
      </c>
      <c r="X607">
        <v>4</v>
      </c>
      <c r="Y607">
        <v>1.9138755980861243E-2</v>
      </c>
      <c r="Z607">
        <v>4.399472063352398E-4</v>
      </c>
      <c r="AA607">
        <v>0</v>
      </c>
      <c r="AB607">
        <v>0</v>
      </c>
      <c r="AC607">
        <v>0</v>
      </c>
      <c r="AD607">
        <v>6</v>
      </c>
      <c r="AE607">
        <v>2.8708133971291867E-2</v>
      </c>
      <c r="AF607">
        <v>6.5992080950285964E-4</v>
      </c>
    </row>
    <row r="608" spans="1:32" x14ac:dyDescent="0.2">
      <c r="A608">
        <v>1018.1868171296301</v>
      </c>
      <c r="B608">
        <v>1502</v>
      </c>
      <c r="C608">
        <v>58</v>
      </c>
      <c r="D608">
        <v>119</v>
      </c>
      <c r="E608">
        <v>0</v>
      </c>
      <c r="F608">
        <v>32</v>
      </c>
      <c r="G608">
        <v>43</v>
      </c>
      <c r="H608">
        <v>370</v>
      </c>
      <c r="I608">
        <v>0</v>
      </c>
      <c r="J608">
        <v>245</v>
      </c>
      <c r="K608">
        <v>5</v>
      </c>
      <c r="L608">
        <v>4262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">
      <c r="A609">
        <v>325.06383101852407</v>
      </c>
      <c r="B609">
        <v>2021</v>
      </c>
      <c r="C609">
        <v>35</v>
      </c>
      <c r="D609">
        <v>230</v>
      </c>
      <c r="E609">
        <v>6</v>
      </c>
      <c r="F609">
        <v>10</v>
      </c>
      <c r="G609">
        <v>163</v>
      </c>
      <c r="H609">
        <v>771</v>
      </c>
      <c r="I609">
        <v>29</v>
      </c>
      <c r="J609">
        <v>523</v>
      </c>
      <c r="K609">
        <v>127</v>
      </c>
      <c r="L609">
        <v>19313</v>
      </c>
      <c r="M609">
        <v>70</v>
      </c>
      <c r="N609">
        <v>3.6245016310257339E-3</v>
      </c>
      <c r="O609">
        <v>19</v>
      </c>
      <c r="P609">
        <v>0.27142857142857141</v>
      </c>
      <c r="Q609">
        <v>9.8379329984984217E-4</v>
      </c>
      <c r="R609">
        <v>19</v>
      </c>
      <c r="S609">
        <v>0.27142857142857141</v>
      </c>
      <c r="T609">
        <v>9.8379329984984217E-4</v>
      </c>
      <c r="U609">
        <v>22</v>
      </c>
      <c r="V609">
        <v>0.31428571428571428</v>
      </c>
      <c r="W609">
        <v>1.1391290840366592E-3</v>
      </c>
      <c r="X609">
        <v>10</v>
      </c>
      <c r="Y609">
        <v>0.14285714285714285</v>
      </c>
      <c r="Z609">
        <v>5.1778594728939058E-4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">
      <c r="A610">
        <v>2253.2292708333334</v>
      </c>
      <c r="B610">
        <v>3050</v>
      </c>
      <c r="C610">
        <v>201</v>
      </c>
      <c r="D610">
        <v>418</v>
      </c>
      <c r="E610">
        <v>29</v>
      </c>
      <c r="F610">
        <v>156</v>
      </c>
      <c r="G610">
        <v>103</v>
      </c>
      <c r="H610">
        <v>1063</v>
      </c>
      <c r="I610">
        <v>14</v>
      </c>
      <c r="J610">
        <v>969</v>
      </c>
      <c r="K610">
        <v>158</v>
      </c>
      <c r="L610">
        <v>1877</v>
      </c>
      <c r="M610">
        <v>31</v>
      </c>
      <c r="N610">
        <v>1.6515716568993075E-2</v>
      </c>
      <c r="O610">
        <v>0</v>
      </c>
      <c r="P610">
        <v>0</v>
      </c>
      <c r="Q610">
        <v>0</v>
      </c>
      <c r="R610">
        <v>13</v>
      </c>
      <c r="S610">
        <v>0.41935483870967744</v>
      </c>
      <c r="T610">
        <v>6.9259456579648373E-3</v>
      </c>
      <c r="U610">
        <v>11</v>
      </c>
      <c r="V610">
        <v>0.35483870967741937</v>
      </c>
      <c r="W610">
        <v>5.8604155567394782E-3</v>
      </c>
      <c r="X610">
        <v>5</v>
      </c>
      <c r="Y610">
        <v>0.16129032258064516</v>
      </c>
      <c r="Z610">
        <v>2.6638252530633991E-3</v>
      </c>
      <c r="AA610">
        <v>2</v>
      </c>
      <c r="AB610">
        <v>6.4516129032258063E-2</v>
      </c>
      <c r="AC610">
        <v>1.0655301012253596E-3</v>
      </c>
      <c r="AD610">
        <v>0</v>
      </c>
      <c r="AE610">
        <v>0</v>
      </c>
      <c r="AF610">
        <v>0</v>
      </c>
    </row>
    <row r="611" spans="1:32" x14ac:dyDescent="0.2">
      <c r="A611">
        <v>2662.4467129629629</v>
      </c>
      <c r="B611">
        <v>481</v>
      </c>
      <c r="C611">
        <v>20</v>
      </c>
      <c r="D611">
        <v>90</v>
      </c>
      <c r="E611">
        <v>28</v>
      </c>
      <c r="F611">
        <v>3</v>
      </c>
      <c r="G611">
        <v>34</v>
      </c>
      <c r="H611">
        <v>100</v>
      </c>
      <c r="I611">
        <v>1</v>
      </c>
      <c r="J611">
        <v>114</v>
      </c>
      <c r="K611">
        <v>3</v>
      </c>
      <c r="L611">
        <v>8058</v>
      </c>
      <c r="M611">
        <v>279</v>
      </c>
      <c r="N611">
        <v>3.4623976172747581E-2</v>
      </c>
      <c r="O611">
        <v>103</v>
      </c>
      <c r="P611">
        <v>0.36917562724014336</v>
      </c>
      <c r="Q611">
        <v>1.2782328121121867E-2</v>
      </c>
      <c r="R611">
        <v>77</v>
      </c>
      <c r="S611">
        <v>0.27598566308243727</v>
      </c>
      <c r="T611">
        <v>9.5557210225862502E-3</v>
      </c>
      <c r="U611">
        <v>41</v>
      </c>
      <c r="V611">
        <v>0.14695340501792115</v>
      </c>
      <c r="W611">
        <v>5.0881111938446263E-3</v>
      </c>
      <c r="X611">
        <v>50</v>
      </c>
      <c r="Y611">
        <v>0.17921146953405018</v>
      </c>
      <c r="Z611">
        <v>6.2050136510300325E-3</v>
      </c>
      <c r="AA611">
        <v>0</v>
      </c>
      <c r="AB611">
        <v>0</v>
      </c>
      <c r="AC611">
        <v>0</v>
      </c>
      <c r="AD611">
        <v>8</v>
      </c>
      <c r="AE611">
        <v>2.8673835125448029E-2</v>
      </c>
      <c r="AF611">
        <v>9.9280218416480524E-4</v>
      </c>
    </row>
    <row r="612" spans="1:32" x14ac:dyDescent="0.2">
      <c r="A612">
        <v>999.89127314814687</v>
      </c>
      <c r="B612">
        <v>364</v>
      </c>
      <c r="C612">
        <v>33</v>
      </c>
      <c r="D612">
        <v>59</v>
      </c>
      <c r="E612">
        <v>0</v>
      </c>
      <c r="F612">
        <v>0</v>
      </c>
      <c r="G612">
        <v>2</v>
      </c>
      <c r="H612">
        <v>10</v>
      </c>
      <c r="I612">
        <v>0</v>
      </c>
      <c r="J612">
        <v>13</v>
      </c>
      <c r="K612">
        <v>11</v>
      </c>
      <c r="L612">
        <v>4383</v>
      </c>
      <c r="M612">
        <v>15</v>
      </c>
      <c r="N612">
        <v>3.4223134839151265E-3</v>
      </c>
      <c r="O612">
        <v>0</v>
      </c>
      <c r="P612">
        <v>0</v>
      </c>
      <c r="Q612">
        <v>0</v>
      </c>
      <c r="R612">
        <v>12</v>
      </c>
      <c r="S612">
        <v>0.8</v>
      </c>
      <c r="T612">
        <v>2.7378507871321013E-3</v>
      </c>
      <c r="U612">
        <v>3</v>
      </c>
      <c r="V612">
        <v>0.2</v>
      </c>
      <c r="W612">
        <v>6.8446269678302531E-4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">
      <c r="A613">
        <v>1470.1916435185194</v>
      </c>
      <c r="B613">
        <v>587</v>
      </c>
      <c r="C613">
        <v>61</v>
      </c>
      <c r="D613">
        <v>109</v>
      </c>
      <c r="E613">
        <v>6</v>
      </c>
      <c r="F613">
        <v>15</v>
      </c>
      <c r="G613">
        <v>41</v>
      </c>
      <c r="H613">
        <v>130</v>
      </c>
      <c r="I613">
        <v>0</v>
      </c>
      <c r="J613">
        <v>383</v>
      </c>
      <c r="K613">
        <v>4</v>
      </c>
      <c r="L613">
        <v>2183</v>
      </c>
      <c r="M613">
        <v>100</v>
      </c>
      <c r="N613">
        <v>4.5808520384791572E-2</v>
      </c>
      <c r="O613">
        <v>14</v>
      </c>
      <c r="P613">
        <v>0.14000000000000001</v>
      </c>
      <c r="Q613">
        <v>6.4131928538708203E-3</v>
      </c>
      <c r="R613">
        <v>80</v>
      </c>
      <c r="S613">
        <v>0.8</v>
      </c>
      <c r="T613">
        <v>3.6646816307833258E-2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6</v>
      </c>
      <c r="AE613">
        <v>0.06</v>
      </c>
      <c r="AF613">
        <v>2.7485112230874941E-3</v>
      </c>
    </row>
    <row r="614" spans="1:32" x14ac:dyDescent="0.2">
      <c r="A614">
        <v>855.33581018518453</v>
      </c>
      <c r="B614">
        <v>2085</v>
      </c>
      <c r="C614">
        <v>86</v>
      </c>
      <c r="D614">
        <v>245</v>
      </c>
      <c r="E614">
        <v>78</v>
      </c>
      <c r="F614">
        <v>0</v>
      </c>
      <c r="G614">
        <v>19</v>
      </c>
      <c r="H614">
        <v>1290</v>
      </c>
      <c r="I614">
        <v>2</v>
      </c>
      <c r="J614">
        <v>793</v>
      </c>
      <c r="K614">
        <v>116</v>
      </c>
      <c r="L614">
        <v>127646</v>
      </c>
      <c r="M614">
        <v>271</v>
      </c>
      <c r="N614">
        <v>2.1230590852827349E-3</v>
      </c>
      <c r="O614">
        <v>153</v>
      </c>
      <c r="P614">
        <v>0.56457564575645758</v>
      </c>
      <c r="Q614">
        <v>1.1986274540526144E-3</v>
      </c>
      <c r="R614">
        <v>22</v>
      </c>
      <c r="S614">
        <v>8.1180811808118078E-2</v>
      </c>
      <c r="T614">
        <v>1.7235166005985302E-4</v>
      </c>
      <c r="U614">
        <v>64</v>
      </c>
      <c r="V614">
        <v>0.23616236162361623</v>
      </c>
      <c r="W614">
        <v>5.013866474468452E-4</v>
      </c>
      <c r="X614">
        <v>11</v>
      </c>
      <c r="Y614">
        <v>4.0590405904059039E-2</v>
      </c>
      <c r="Z614">
        <v>8.6175830029926512E-5</v>
      </c>
      <c r="AA614">
        <v>0</v>
      </c>
      <c r="AB614">
        <v>0</v>
      </c>
      <c r="AC614">
        <v>0</v>
      </c>
      <c r="AD614">
        <v>21</v>
      </c>
      <c r="AE614">
        <v>7.7490774907749083E-2</v>
      </c>
      <c r="AF614">
        <v>1.6451749369349609E-4</v>
      </c>
    </row>
    <row r="615" spans="1:32" x14ac:dyDescent="0.2">
      <c r="A615">
        <v>1148.5155902777769</v>
      </c>
      <c r="B615">
        <v>1660</v>
      </c>
      <c r="C615">
        <v>105</v>
      </c>
      <c r="D615">
        <v>367</v>
      </c>
      <c r="E615">
        <v>0</v>
      </c>
      <c r="F615">
        <v>2</v>
      </c>
      <c r="G615">
        <v>7</v>
      </c>
      <c r="H615">
        <v>13</v>
      </c>
      <c r="I615">
        <v>2</v>
      </c>
      <c r="J615">
        <v>109</v>
      </c>
      <c r="K615">
        <v>39</v>
      </c>
      <c r="L615">
        <v>3094</v>
      </c>
      <c r="M615">
        <v>24</v>
      </c>
      <c r="N615">
        <v>7.7569489334195219E-3</v>
      </c>
      <c r="O615">
        <v>9</v>
      </c>
      <c r="P615">
        <v>0.375</v>
      </c>
      <c r="Q615">
        <v>2.9088558500323207E-3</v>
      </c>
      <c r="R615">
        <v>7</v>
      </c>
      <c r="S615">
        <v>0.29166666666666669</v>
      </c>
      <c r="T615">
        <v>2.2624434389140274E-3</v>
      </c>
      <c r="U615">
        <v>0</v>
      </c>
      <c r="V615">
        <v>0</v>
      </c>
      <c r="W615">
        <v>0</v>
      </c>
      <c r="X615">
        <v>8</v>
      </c>
      <c r="Y615">
        <v>0.33333333333333331</v>
      </c>
      <c r="Z615">
        <v>2.5856496444731738E-3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">
      <c r="A616">
        <v>2913.17359953704</v>
      </c>
      <c r="B616">
        <v>564</v>
      </c>
      <c r="C616">
        <v>26</v>
      </c>
      <c r="D616">
        <v>93</v>
      </c>
      <c r="E616">
        <v>0</v>
      </c>
      <c r="F616">
        <v>2</v>
      </c>
      <c r="G616">
        <v>0</v>
      </c>
      <c r="H616">
        <v>37</v>
      </c>
      <c r="I616">
        <v>9</v>
      </c>
      <c r="J616">
        <v>171</v>
      </c>
      <c r="K616">
        <v>64</v>
      </c>
      <c r="L616">
        <v>3873</v>
      </c>
      <c r="M616">
        <v>2</v>
      </c>
      <c r="N616">
        <v>5.1639555899819257E-4</v>
      </c>
      <c r="O616">
        <v>1</v>
      </c>
      <c r="P616">
        <v>0.5</v>
      </c>
      <c r="Q616">
        <v>2.5819777949909629E-4</v>
      </c>
      <c r="R616">
        <v>1</v>
      </c>
      <c r="S616">
        <v>0.5</v>
      </c>
      <c r="T616">
        <v>2.5819777949909629E-4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">
      <c r="A617">
        <v>2432.3256249999977</v>
      </c>
      <c r="B617">
        <v>7704</v>
      </c>
      <c r="C617">
        <v>251</v>
      </c>
      <c r="D617">
        <v>1339</v>
      </c>
      <c r="E617">
        <v>321</v>
      </c>
      <c r="F617">
        <v>59</v>
      </c>
      <c r="G617">
        <v>296</v>
      </c>
      <c r="H617">
        <v>5728</v>
      </c>
      <c r="I617">
        <v>59</v>
      </c>
      <c r="J617">
        <v>4013</v>
      </c>
      <c r="K617">
        <v>1200</v>
      </c>
      <c r="L617">
        <v>84319</v>
      </c>
      <c r="M617">
        <v>1242</v>
      </c>
      <c r="N617">
        <v>1.4729776207023327E-2</v>
      </c>
      <c r="O617">
        <v>355</v>
      </c>
      <c r="P617">
        <v>0.285829307568438</v>
      </c>
      <c r="Q617">
        <v>4.2102017338915311E-3</v>
      </c>
      <c r="R617">
        <v>460</v>
      </c>
      <c r="S617">
        <v>0.37037037037037035</v>
      </c>
      <c r="T617">
        <v>5.4554726692678992E-3</v>
      </c>
      <c r="U617">
        <v>272</v>
      </c>
      <c r="V617">
        <v>0.21900161030595813</v>
      </c>
      <c r="W617">
        <v>3.2258447087844971E-3</v>
      </c>
      <c r="X617">
        <v>58</v>
      </c>
      <c r="Y617">
        <v>4.6698872785829307E-2</v>
      </c>
      <c r="Z617">
        <v>6.8786394525551778E-4</v>
      </c>
      <c r="AA617">
        <v>1</v>
      </c>
      <c r="AB617">
        <v>8.0515297906602254E-4</v>
      </c>
      <c r="AC617">
        <v>1.1859723194060651E-5</v>
      </c>
      <c r="AD617">
        <v>96</v>
      </c>
      <c r="AE617">
        <v>7.7294685990338161E-2</v>
      </c>
      <c r="AF617">
        <v>1.1385334266298226E-3</v>
      </c>
    </row>
    <row r="618" spans="1:32" x14ac:dyDescent="0.2">
      <c r="A618">
        <v>2837.0365972222207</v>
      </c>
      <c r="B618">
        <v>1566</v>
      </c>
      <c r="C618">
        <v>60</v>
      </c>
      <c r="D618">
        <v>237</v>
      </c>
      <c r="E618">
        <v>0</v>
      </c>
      <c r="F618">
        <v>0</v>
      </c>
      <c r="G618">
        <v>4</v>
      </c>
      <c r="H618">
        <v>15</v>
      </c>
      <c r="I618">
        <v>7</v>
      </c>
      <c r="J618">
        <v>36</v>
      </c>
      <c r="K618">
        <v>18</v>
      </c>
      <c r="L618">
        <v>1011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">
      <c r="A619">
        <v>2900.341458333336</v>
      </c>
      <c r="B619">
        <v>5838</v>
      </c>
      <c r="C619">
        <v>257</v>
      </c>
      <c r="D619">
        <v>1413</v>
      </c>
      <c r="E619">
        <v>14</v>
      </c>
      <c r="F619">
        <v>4</v>
      </c>
      <c r="G619">
        <v>63</v>
      </c>
      <c r="H619">
        <v>504</v>
      </c>
      <c r="I619">
        <v>9</v>
      </c>
      <c r="J619">
        <v>273</v>
      </c>
      <c r="K619">
        <v>50</v>
      </c>
      <c r="L619">
        <v>10424</v>
      </c>
      <c r="M619">
        <v>60</v>
      </c>
      <c r="N619">
        <v>5.7559478127398311E-3</v>
      </c>
      <c r="O619">
        <v>26</v>
      </c>
      <c r="P619">
        <v>0.43333333333333335</v>
      </c>
      <c r="Q619">
        <v>2.4942440521872602E-3</v>
      </c>
      <c r="R619">
        <v>6</v>
      </c>
      <c r="S619">
        <v>0.1</v>
      </c>
      <c r="T619">
        <v>5.7559478127398314E-4</v>
      </c>
      <c r="U619">
        <v>15</v>
      </c>
      <c r="V619">
        <v>0.25</v>
      </c>
      <c r="W619">
        <v>1.4389869531849578E-3</v>
      </c>
      <c r="X619">
        <v>13</v>
      </c>
      <c r="Y619">
        <v>0.21666666666666667</v>
      </c>
      <c r="Z619">
        <v>1.2471220260936301E-3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">
      <c r="A620">
        <v>1537.9426273148201</v>
      </c>
      <c r="B620">
        <v>5927</v>
      </c>
      <c r="C620">
        <v>291</v>
      </c>
      <c r="D620">
        <v>822</v>
      </c>
      <c r="E620">
        <v>0</v>
      </c>
      <c r="F620">
        <v>1</v>
      </c>
      <c r="G620">
        <v>0</v>
      </c>
      <c r="H620">
        <v>11</v>
      </c>
      <c r="I620">
        <v>8</v>
      </c>
      <c r="J620">
        <v>56</v>
      </c>
      <c r="K620">
        <v>25</v>
      </c>
      <c r="L620">
        <v>1646</v>
      </c>
      <c r="M620">
        <v>119</v>
      </c>
      <c r="N620">
        <v>7.2296476306196844E-2</v>
      </c>
      <c r="O620">
        <v>45</v>
      </c>
      <c r="P620">
        <v>0.37815126050420167</v>
      </c>
      <c r="Q620">
        <v>2.7339003645200487E-2</v>
      </c>
      <c r="R620">
        <v>9</v>
      </c>
      <c r="S620">
        <v>7.5630252100840331E-2</v>
      </c>
      <c r="T620">
        <v>5.4678007290400975E-3</v>
      </c>
      <c r="U620">
        <v>27</v>
      </c>
      <c r="V620">
        <v>0.22689075630252101</v>
      </c>
      <c r="W620">
        <v>1.6403402187120292E-2</v>
      </c>
      <c r="X620">
        <v>37</v>
      </c>
      <c r="Y620">
        <v>0.31092436974789917</v>
      </c>
      <c r="Z620">
        <v>2.2478736330498177E-2</v>
      </c>
      <c r="AA620">
        <v>1</v>
      </c>
      <c r="AB620">
        <v>8.4033613445378148E-3</v>
      </c>
      <c r="AC620">
        <v>6.0753341433778852E-4</v>
      </c>
      <c r="AD620">
        <v>0</v>
      </c>
      <c r="AE620">
        <v>0</v>
      </c>
      <c r="AF620">
        <v>0</v>
      </c>
    </row>
    <row r="621" spans="1:32" x14ac:dyDescent="0.2">
      <c r="A621">
        <v>3709.6732523148166</v>
      </c>
      <c r="B621">
        <v>1863</v>
      </c>
      <c r="C621">
        <v>138</v>
      </c>
      <c r="D621">
        <v>689</v>
      </c>
      <c r="E621">
        <v>0</v>
      </c>
      <c r="F621">
        <v>362</v>
      </c>
      <c r="G621">
        <v>285</v>
      </c>
      <c r="H621">
        <v>6450</v>
      </c>
      <c r="I621">
        <v>11</v>
      </c>
      <c r="J621">
        <v>1230</v>
      </c>
      <c r="K621">
        <v>203</v>
      </c>
      <c r="L621">
        <v>28089</v>
      </c>
      <c r="M621">
        <v>82</v>
      </c>
      <c r="N621">
        <v>2.9192922496350886E-3</v>
      </c>
      <c r="O621">
        <v>15</v>
      </c>
      <c r="P621">
        <v>0.18292682926829268</v>
      </c>
      <c r="Q621">
        <v>5.3401687493324793E-4</v>
      </c>
      <c r="R621">
        <v>34</v>
      </c>
      <c r="S621">
        <v>0.41463414634146339</v>
      </c>
      <c r="T621">
        <v>1.2104382498486952E-3</v>
      </c>
      <c r="U621">
        <v>15</v>
      </c>
      <c r="V621">
        <v>0.18292682926829268</v>
      </c>
      <c r="W621">
        <v>5.3401687493324793E-4</v>
      </c>
      <c r="X621">
        <v>18</v>
      </c>
      <c r="Y621">
        <v>0.21951219512195122</v>
      </c>
      <c r="Z621">
        <v>6.4082024991989745E-4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">
      <c r="A622">
        <v>2822.5192129629577</v>
      </c>
      <c r="B622">
        <v>433</v>
      </c>
      <c r="C622">
        <v>34</v>
      </c>
      <c r="D622">
        <v>253</v>
      </c>
      <c r="E622">
        <v>0</v>
      </c>
      <c r="F622">
        <v>8</v>
      </c>
      <c r="G622">
        <v>50</v>
      </c>
      <c r="H622">
        <v>119</v>
      </c>
      <c r="I622">
        <v>31</v>
      </c>
      <c r="J622">
        <v>444</v>
      </c>
      <c r="K622">
        <v>192</v>
      </c>
      <c r="L622">
        <v>1661</v>
      </c>
      <c r="M622">
        <v>54</v>
      </c>
      <c r="N622">
        <v>3.2510535821794098E-2</v>
      </c>
      <c r="O622">
        <v>21</v>
      </c>
      <c r="P622">
        <v>0.3888888888888889</v>
      </c>
      <c r="Q622">
        <v>1.2642986152919929E-2</v>
      </c>
      <c r="R622">
        <v>9</v>
      </c>
      <c r="S622">
        <v>0.16666666666666666</v>
      </c>
      <c r="T622">
        <v>5.4184226369656833E-3</v>
      </c>
      <c r="U622">
        <v>3</v>
      </c>
      <c r="V622">
        <v>5.5555555555555552E-2</v>
      </c>
      <c r="W622">
        <v>1.8061408789885611E-3</v>
      </c>
      <c r="X622">
        <v>17</v>
      </c>
      <c r="Y622">
        <v>0.31481481481481483</v>
      </c>
      <c r="Z622">
        <v>1.0234798314268514E-2</v>
      </c>
      <c r="AA622">
        <v>3</v>
      </c>
      <c r="AB622">
        <v>5.5555555555555552E-2</v>
      </c>
      <c r="AC622">
        <v>1.8061408789885611E-3</v>
      </c>
      <c r="AD622">
        <v>1</v>
      </c>
      <c r="AE622">
        <v>1.8518518518518517E-2</v>
      </c>
      <c r="AF622">
        <v>6.020469596628537E-4</v>
      </c>
    </row>
    <row r="623" spans="1:32" x14ac:dyDescent="0.2">
      <c r="A623">
        <v>28.488935185188893</v>
      </c>
      <c r="B623">
        <v>516</v>
      </c>
      <c r="C623">
        <v>25</v>
      </c>
      <c r="D623">
        <v>63</v>
      </c>
      <c r="E623">
        <v>0</v>
      </c>
      <c r="F623">
        <v>0</v>
      </c>
      <c r="G623">
        <v>2</v>
      </c>
      <c r="H623">
        <v>1</v>
      </c>
      <c r="I623">
        <v>1</v>
      </c>
      <c r="J623">
        <v>20</v>
      </c>
      <c r="K623">
        <v>3</v>
      </c>
      <c r="L623">
        <v>29969</v>
      </c>
      <c r="M623">
        <v>216</v>
      </c>
      <c r="N623">
        <v>7.2074476959524845E-3</v>
      </c>
      <c r="O623">
        <v>0</v>
      </c>
      <c r="P623">
        <v>0</v>
      </c>
      <c r="Q623">
        <v>0</v>
      </c>
      <c r="R623">
        <v>154</v>
      </c>
      <c r="S623">
        <v>0.71296296296296291</v>
      </c>
      <c r="T623">
        <v>5.1386432647068641E-3</v>
      </c>
      <c r="U623">
        <v>49</v>
      </c>
      <c r="V623">
        <v>0.22685185185185186</v>
      </c>
      <c r="W623">
        <v>1.635022856952184E-3</v>
      </c>
      <c r="X623">
        <v>12</v>
      </c>
      <c r="Y623">
        <v>5.5555555555555552E-2</v>
      </c>
      <c r="Z623">
        <v>4.004137608862491E-4</v>
      </c>
      <c r="AA623">
        <v>0</v>
      </c>
      <c r="AB623">
        <v>0</v>
      </c>
      <c r="AC623">
        <v>0</v>
      </c>
      <c r="AD623">
        <v>1</v>
      </c>
      <c r="AE623">
        <v>4.6296296296296294E-3</v>
      </c>
      <c r="AF623">
        <v>3.3367813407187425E-5</v>
      </c>
    </row>
    <row r="624" spans="1:32" x14ac:dyDescent="0.2">
      <c r="A624">
        <v>464.87900462962716</v>
      </c>
      <c r="B624">
        <v>554</v>
      </c>
      <c r="C624">
        <v>25</v>
      </c>
      <c r="D624">
        <v>136</v>
      </c>
      <c r="E624">
        <v>0</v>
      </c>
      <c r="F624">
        <v>0</v>
      </c>
      <c r="G624">
        <v>4</v>
      </c>
      <c r="H624">
        <v>96</v>
      </c>
      <c r="I624">
        <v>0</v>
      </c>
      <c r="J624">
        <v>92</v>
      </c>
      <c r="K624">
        <v>8</v>
      </c>
      <c r="L624">
        <v>14624</v>
      </c>
      <c r="M624">
        <v>196</v>
      </c>
      <c r="N624">
        <v>1.3402625820568928E-2</v>
      </c>
      <c r="O624">
        <v>20</v>
      </c>
      <c r="P624">
        <v>0.10204081632653061</v>
      </c>
      <c r="Q624">
        <v>1.3676148796498905E-3</v>
      </c>
      <c r="R624">
        <v>147</v>
      </c>
      <c r="S624">
        <v>0.75</v>
      </c>
      <c r="T624">
        <v>1.0051969365426695E-2</v>
      </c>
      <c r="U624">
        <v>6</v>
      </c>
      <c r="V624">
        <v>3.0612244897959183E-2</v>
      </c>
      <c r="W624">
        <v>4.1028446389496716E-4</v>
      </c>
      <c r="X624">
        <v>23</v>
      </c>
      <c r="Y624">
        <v>0.11734693877551021</v>
      </c>
      <c r="Z624">
        <v>1.5727571115973743E-3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">
      <c r="A625">
        <v>1001.1019212963001</v>
      </c>
      <c r="B625">
        <v>678</v>
      </c>
      <c r="C625">
        <v>37</v>
      </c>
      <c r="D625">
        <v>143</v>
      </c>
      <c r="E625">
        <v>132</v>
      </c>
      <c r="F625">
        <v>0</v>
      </c>
      <c r="G625">
        <v>13</v>
      </c>
      <c r="H625">
        <v>358</v>
      </c>
      <c r="I625">
        <v>3</v>
      </c>
      <c r="J625">
        <v>123</v>
      </c>
      <c r="K625">
        <v>38</v>
      </c>
      <c r="L625">
        <v>4933</v>
      </c>
      <c r="M625">
        <v>67</v>
      </c>
      <c r="N625">
        <v>1.3581998783701602E-2</v>
      </c>
      <c r="O625">
        <v>15</v>
      </c>
      <c r="P625">
        <v>0.22388059701492538</v>
      </c>
      <c r="Q625">
        <v>3.040745996351105E-3</v>
      </c>
      <c r="R625">
        <v>9</v>
      </c>
      <c r="S625">
        <v>0.13432835820895522</v>
      </c>
      <c r="T625">
        <v>1.8244475978106628E-3</v>
      </c>
      <c r="U625">
        <v>20</v>
      </c>
      <c r="V625">
        <v>0.29850746268656714</v>
      </c>
      <c r="W625">
        <v>4.0543279951348061E-3</v>
      </c>
      <c r="X625">
        <v>23</v>
      </c>
      <c r="Y625">
        <v>0.34328358208955223</v>
      </c>
      <c r="Z625">
        <v>4.6624771944050276E-3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">
      <c r="A626">
        <v>1954.5912615740672</v>
      </c>
      <c r="B626">
        <v>458</v>
      </c>
      <c r="C626">
        <v>78</v>
      </c>
      <c r="D626">
        <v>196</v>
      </c>
      <c r="E626">
        <v>0</v>
      </c>
      <c r="F626">
        <v>3</v>
      </c>
      <c r="G626">
        <v>20</v>
      </c>
      <c r="H626">
        <v>115</v>
      </c>
      <c r="I626">
        <v>4</v>
      </c>
      <c r="J626">
        <v>104</v>
      </c>
      <c r="K626">
        <v>7</v>
      </c>
      <c r="L626">
        <v>2756</v>
      </c>
      <c r="M626">
        <v>6</v>
      </c>
      <c r="N626">
        <v>2.1770682148040637E-3</v>
      </c>
      <c r="O626">
        <v>4</v>
      </c>
      <c r="P626">
        <v>0.66666666666666663</v>
      </c>
      <c r="Q626">
        <v>1.4513788098693759E-3</v>
      </c>
      <c r="R626">
        <v>1</v>
      </c>
      <c r="S626">
        <v>0.16666666666666666</v>
      </c>
      <c r="T626">
        <v>3.6284470246734398E-4</v>
      </c>
      <c r="U626">
        <v>1</v>
      </c>
      <c r="V626">
        <v>0.16666666666666666</v>
      </c>
      <c r="W626">
        <v>3.6284470246734398E-4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">
      <c r="A627">
        <v>1985.2154282407428</v>
      </c>
      <c r="B627">
        <v>425</v>
      </c>
      <c r="C627">
        <v>42</v>
      </c>
      <c r="D627">
        <v>274</v>
      </c>
      <c r="E627">
        <v>0</v>
      </c>
      <c r="F627">
        <v>0</v>
      </c>
      <c r="G627">
        <v>42</v>
      </c>
      <c r="H627">
        <v>18</v>
      </c>
      <c r="I627">
        <v>3</v>
      </c>
      <c r="J627">
        <v>73</v>
      </c>
      <c r="K627">
        <v>43</v>
      </c>
      <c r="L627">
        <v>3196</v>
      </c>
      <c r="M627">
        <v>113</v>
      </c>
      <c r="N627">
        <v>3.53566958698373E-2</v>
      </c>
      <c r="O627">
        <v>24</v>
      </c>
      <c r="P627">
        <v>0.21238938053097345</v>
      </c>
      <c r="Q627">
        <v>7.5093867334167707E-3</v>
      </c>
      <c r="R627">
        <v>15</v>
      </c>
      <c r="S627">
        <v>0.13274336283185842</v>
      </c>
      <c r="T627">
        <v>4.6933667083854822E-3</v>
      </c>
      <c r="U627">
        <v>35</v>
      </c>
      <c r="V627">
        <v>0.30973451327433627</v>
      </c>
      <c r="W627">
        <v>1.095118898623279E-2</v>
      </c>
      <c r="X627">
        <v>39</v>
      </c>
      <c r="Y627">
        <v>0.34513274336283184</v>
      </c>
      <c r="Z627">
        <v>1.2202753441802253E-2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">
      <c r="A628">
        <v>2036.368761574071</v>
      </c>
      <c r="B628">
        <v>10823</v>
      </c>
      <c r="C628">
        <v>533</v>
      </c>
      <c r="D628">
        <v>2576</v>
      </c>
      <c r="E628">
        <v>20</v>
      </c>
      <c r="F628">
        <v>3</v>
      </c>
      <c r="G628">
        <v>50</v>
      </c>
      <c r="H628">
        <v>227</v>
      </c>
      <c r="I628">
        <v>8</v>
      </c>
      <c r="J628">
        <v>939</v>
      </c>
      <c r="K628">
        <v>365</v>
      </c>
      <c r="L628">
        <v>4597</v>
      </c>
      <c r="M628">
        <v>71</v>
      </c>
      <c r="N628">
        <v>1.5444855340439417E-2</v>
      </c>
      <c r="O628">
        <v>0</v>
      </c>
      <c r="P628">
        <v>0</v>
      </c>
      <c r="Q628">
        <v>0</v>
      </c>
      <c r="R628">
        <v>56</v>
      </c>
      <c r="S628">
        <v>0.78873239436619713</v>
      </c>
      <c r="T628">
        <v>1.218185773330433E-2</v>
      </c>
      <c r="U628">
        <v>1</v>
      </c>
      <c r="V628">
        <v>1.4084507042253521E-2</v>
      </c>
      <c r="W628">
        <v>2.1753317380900588E-4</v>
      </c>
      <c r="X628">
        <v>10</v>
      </c>
      <c r="Y628">
        <v>0.14084507042253522</v>
      </c>
      <c r="Z628">
        <v>2.1753317380900587E-3</v>
      </c>
      <c r="AA628">
        <v>0</v>
      </c>
      <c r="AB628">
        <v>0</v>
      </c>
      <c r="AC628">
        <v>0</v>
      </c>
      <c r="AD628">
        <v>4</v>
      </c>
      <c r="AE628">
        <v>5.6338028169014086E-2</v>
      </c>
      <c r="AF628">
        <v>8.7013269523602351E-4</v>
      </c>
    </row>
    <row r="629" spans="1:32" x14ac:dyDescent="0.2">
      <c r="A629">
        <v>1036.4202777777828</v>
      </c>
      <c r="B629">
        <v>347</v>
      </c>
      <c r="C629">
        <v>8</v>
      </c>
      <c r="D629">
        <v>21</v>
      </c>
      <c r="E629">
        <v>1</v>
      </c>
      <c r="F629">
        <v>0</v>
      </c>
      <c r="G629">
        <v>2</v>
      </c>
      <c r="H629">
        <v>13</v>
      </c>
      <c r="I629">
        <v>0</v>
      </c>
      <c r="J629">
        <v>11</v>
      </c>
      <c r="K629">
        <v>7</v>
      </c>
      <c r="L629">
        <v>834003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">
      <c r="A630">
        <v>1987.6100000000006</v>
      </c>
      <c r="B630">
        <v>449</v>
      </c>
      <c r="C630">
        <v>147</v>
      </c>
      <c r="D630">
        <v>280</v>
      </c>
      <c r="E630">
        <v>52</v>
      </c>
      <c r="F630">
        <v>9</v>
      </c>
      <c r="G630">
        <v>78</v>
      </c>
      <c r="H630">
        <v>359</v>
      </c>
      <c r="I630">
        <v>4</v>
      </c>
      <c r="J630">
        <v>317</v>
      </c>
      <c r="K630">
        <v>81</v>
      </c>
      <c r="L630">
        <v>4445</v>
      </c>
      <c r="M630">
        <v>136</v>
      </c>
      <c r="N630">
        <v>3.0596175478065243E-2</v>
      </c>
      <c r="O630">
        <v>50</v>
      </c>
      <c r="P630">
        <v>0.36764705882352944</v>
      </c>
      <c r="Q630">
        <v>1.1248593925759279E-2</v>
      </c>
      <c r="R630">
        <v>44</v>
      </c>
      <c r="S630">
        <v>0.3235294117647059</v>
      </c>
      <c r="T630">
        <v>9.8987626546681671E-3</v>
      </c>
      <c r="U630">
        <v>15</v>
      </c>
      <c r="V630">
        <v>0.11029411764705882</v>
      </c>
      <c r="W630">
        <v>3.3745781777277839E-3</v>
      </c>
      <c r="X630">
        <v>17</v>
      </c>
      <c r="Y630">
        <v>0.125</v>
      </c>
      <c r="Z630">
        <v>3.8245219347581554E-3</v>
      </c>
      <c r="AA630">
        <v>0</v>
      </c>
      <c r="AB630">
        <v>0</v>
      </c>
      <c r="AC630">
        <v>0</v>
      </c>
      <c r="AD630">
        <v>10</v>
      </c>
      <c r="AE630">
        <v>7.3529411764705885E-2</v>
      </c>
      <c r="AF630">
        <v>2.2497187851518562E-3</v>
      </c>
    </row>
    <row r="631" spans="1:32" x14ac:dyDescent="0.2">
      <c r="A631">
        <v>2042.255775462967</v>
      </c>
      <c r="B631">
        <v>425</v>
      </c>
      <c r="C631">
        <v>31</v>
      </c>
      <c r="D631">
        <v>90</v>
      </c>
      <c r="E631">
        <v>93</v>
      </c>
      <c r="F631">
        <v>90</v>
      </c>
      <c r="G631">
        <v>57</v>
      </c>
      <c r="H631">
        <v>1381</v>
      </c>
      <c r="I631">
        <v>25</v>
      </c>
      <c r="J631">
        <v>0</v>
      </c>
      <c r="K631">
        <v>0</v>
      </c>
      <c r="L631">
        <v>24195</v>
      </c>
      <c r="M631">
        <v>450</v>
      </c>
      <c r="N631">
        <v>1.8598884066955982E-2</v>
      </c>
      <c r="O631">
        <v>63</v>
      </c>
      <c r="P631">
        <v>0.14000000000000001</v>
      </c>
      <c r="Q631">
        <v>2.6038437693738374E-3</v>
      </c>
      <c r="R631">
        <v>151</v>
      </c>
      <c r="S631">
        <v>0.33555555555555555</v>
      </c>
      <c r="T631">
        <v>6.2409588758007856E-3</v>
      </c>
      <c r="U631">
        <v>11</v>
      </c>
      <c r="V631">
        <v>2.4444444444444446E-2</v>
      </c>
      <c r="W631">
        <v>4.5463938830336847E-4</v>
      </c>
      <c r="X631">
        <v>180</v>
      </c>
      <c r="Y631">
        <v>0.4</v>
      </c>
      <c r="Z631">
        <v>7.4395536267823931E-3</v>
      </c>
      <c r="AA631">
        <v>45</v>
      </c>
      <c r="AB631">
        <v>0.1</v>
      </c>
      <c r="AC631">
        <v>1.8598884066955983E-3</v>
      </c>
      <c r="AD631">
        <v>0</v>
      </c>
      <c r="AE631">
        <v>0</v>
      </c>
      <c r="AF631">
        <v>0</v>
      </c>
    </row>
    <row r="632" spans="1:32" x14ac:dyDescent="0.2">
      <c r="A632">
        <v>1952.5772800925915</v>
      </c>
      <c r="B632">
        <v>1731</v>
      </c>
      <c r="C632">
        <v>252</v>
      </c>
      <c r="D632">
        <v>647</v>
      </c>
      <c r="E632">
        <v>1</v>
      </c>
      <c r="F632">
        <v>6</v>
      </c>
      <c r="G632">
        <v>14</v>
      </c>
      <c r="H632">
        <v>152</v>
      </c>
      <c r="I632">
        <v>10</v>
      </c>
      <c r="J632">
        <v>215</v>
      </c>
      <c r="K632">
        <v>88</v>
      </c>
      <c r="L632">
        <v>3813</v>
      </c>
      <c r="M632">
        <v>6</v>
      </c>
      <c r="N632">
        <v>1.5735641227380016E-3</v>
      </c>
      <c r="O632">
        <v>0</v>
      </c>
      <c r="P632">
        <v>0</v>
      </c>
      <c r="Q632">
        <v>0</v>
      </c>
      <c r="R632">
        <v>6</v>
      </c>
      <c r="S632">
        <v>1</v>
      </c>
      <c r="T632">
        <v>1.5735641227380016E-3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">
      <c r="A633">
        <v>3195.8711574074114</v>
      </c>
      <c r="B633">
        <v>4715</v>
      </c>
      <c r="C633">
        <v>143</v>
      </c>
      <c r="D633">
        <v>785</v>
      </c>
      <c r="E633">
        <v>0</v>
      </c>
      <c r="F633">
        <v>33</v>
      </c>
      <c r="G633">
        <v>158</v>
      </c>
      <c r="H633">
        <v>334</v>
      </c>
      <c r="I633">
        <v>6</v>
      </c>
      <c r="J633">
        <v>755</v>
      </c>
      <c r="K633">
        <v>46</v>
      </c>
      <c r="L633">
        <v>3042</v>
      </c>
      <c r="M633">
        <v>51</v>
      </c>
      <c r="N633">
        <v>1.6765285996055226E-2</v>
      </c>
      <c r="O633">
        <v>16</v>
      </c>
      <c r="P633">
        <v>0.31372549019607843</v>
      </c>
      <c r="Q633">
        <v>5.2596975673898753E-3</v>
      </c>
      <c r="R633">
        <v>16</v>
      </c>
      <c r="S633">
        <v>0.31372549019607843</v>
      </c>
      <c r="T633">
        <v>5.2596975673898753E-3</v>
      </c>
      <c r="U633">
        <v>1</v>
      </c>
      <c r="V633">
        <v>1.9607843137254902E-2</v>
      </c>
      <c r="W633">
        <v>3.2873109796186721E-4</v>
      </c>
      <c r="X633">
        <v>15</v>
      </c>
      <c r="Y633">
        <v>0.29411764705882354</v>
      </c>
      <c r="Z633">
        <v>4.9309664694280079E-3</v>
      </c>
      <c r="AA633">
        <v>0</v>
      </c>
      <c r="AB633">
        <v>0</v>
      </c>
      <c r="AC633">
        <v>0</v>
      </c>
      <c r="AD633">
        <v>3</v>
      </c>
      <c r="AE633">
        <v>5.8823529411764705E-2</v>
      </c>
      <c r="AF633">
        <v>9.8619329388560163E-4</v>
      </c>
    </row>
    <row r="634" spans="1:32" x14ac:dyDescent="0.2">
      <c r="A634">
        <v>1210.6440972222263</v>
      </c>
      <c r="B634">
        <v>3033</v>
      </c>
      <c r="C634">
        <v>63</v>
      </c>
      <c r="D634">
        <v>137</v>
      </c>
      <c r="E634">
        <v>88</v>
      </c>
      <c r="F634">
        <v>0</v>
      </c>
      <c r="G634">
        <v>11</v>
      </c>
      <c r="H634">
        <v>30</v>
      </c>
      <c r="I634">
        <v>4</v>
      </c>
      <c r="J634">
        <v>202</v>
      </c>
      <c r="K634">
        <v>43</v>
      </c>
      <c r="L634">
        <v>2186</v>
      </c>
      <c r="M634">
        <v>25</v>
      </c>
      <c r="N634">
        <v>1.1436413540713633E-2</v>
      </c>
      <c r="O634">
        <v>0</v>
      </c>
      <c r="P634">
        <v>0</v>
      </c>
      <c r="Q634">
        <v>0</v>
      </c>
      <c r="R634">
        <v>21</v>
      </c>
      <c r="S634">
        <v>0.84</v>
      </c>
      <c r="T634">
        <v>9.6065873741994507E-3</v>
      </c>
      <c r="U634">
        <v>1</v>
      </c>
      <c r="V634">
        <v>0.04</v>
      </c>
      <c r="W634">
        <v>4.5745654162854531E-4</v>
      </c>
      <c r="X634">
        <v>3</v>
      </c>
      <c r="Y634">
        <v>0.12</v>
      </c>
      <c r="Z634">
        <v>1.3723696248856359E-3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">
      <c r="A635">
        <v>2301.1664814814794</v>
      </c>
      <c r="B635">
        <v>1262</v>
      </c>
      <c r="C635">
        <v>55</v>
      </c>
      <c r="D635">
        <v>122</v>
      </c>
      <c r="E635">
        <v>0</v>
      </c>
      <c r="F635">
        <v>1</v>
      </c>
      <c r="G635">
        <v>6</v>
      </c>
      <c r="H635">
        <v>53</v>
      </c>
      <c r="I635">
        <v>8</v>
      </c>
      <c r="J635">
        <v>47</v>
      </c>
      <c r="K635">
        <v>22</v>
      </c>
      <c r="L635">
        <v>1895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">
      <c r="A636">
        <v>1182.7853125000038</v>
      </c>
      <c r="B636">
        <v>461</v>
      </c>
      <c r="C636">
        <v>74</v>
      </c>
      <c r="D636">
        <v>175</v>
      </c>
      <c r="E636">
        <v>13</v>
      </c>
      <c r="F636">
        <v>3</v>
      </c>
      <c r="G636">
        <v>56</v>
      </c>
      <c r="H636">
        <v>619</v>
      </c>
      <c r="I636">
        <v>9</v>
      </c>
      <c r="J636">
        <v>1004</v>
      </c>
      <c r="K636">
        <v>140</v>
      </c>
      <c r="L636">
        <v>28737</v>
      </c>
      <c r="M636">
        <v>44</v>
      </c>
      <c r="N636">
        <v>1.5311271183491666E-3</v>
      </c>
      <c r="O636">
        <v>1</v>
      </c>
      <c r="P636">
        <v>2.2727272727272728E-2</v>
      </c>
      <c r="Q636">
        <v>3.4798343598844697E-5</v>
      </c>
      <c r="R636">
        <v>33</v>
      </c>
      <c r="S636">
        <v>0.75</v>
      </c>
      <c r="T636">
        <v>1.1483453387618749E-3</v>
      </c>
      <c r="U636">
        <v>6</v>
      </c>
      <c r="V636">
        <v>0.13636363636363635</v>
      </c>
      <c r="W636">
        <v>2.0879006159306817E-4</v>
      </c>
      <c r="X636">
        <v>4</v>
      </c>
      <c r="Y636">
        <v>9.0909090909090912E-2</v>
      </c>
      <c r="Z636">
        <v>1.3919337439537879E-4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">
      <c r="A637">
        <v>304.49581018518802</v>
      </c>
      <c r="B637">
        <v>581</v>
      </c>
      <c r="C637">
        <v>31</v>
      </c>
      <c r="D637">
        <v>74</v>
      </c>
      <c r="E637">
        <v>1</v>
      </c>
      <c r="F637">
        <v>2</v>
      </c>
      <c r="G637">
        <v>7</v>
      </c>
      <c r="H637">
        <v>13</v>
      </c>
      <c r="I637">
        <v>2</v>
      </c>
      <c r="J637">
        <v>36</v>
      </c>
      <c r="K637">
        <v>15</v>
      </c>
      <c r="L637">
        <v>3587</v>
      </c>
      <c r="M637">
        <v>20</v>
      </c>
      <c r="N637">
        <v>5.5756899916364648E-3</v>
      </c>
      <c r="O637">
        <v>0</v>
      </c>
      <c r="P637">
        <v>0</v>
      </c>
      <c r="Q637">
        <v>0</v>
      </c>
      <c r="R637">
        <v>17</v>
      </c>
      <c r="S637">
        <v>0.85</v>
      </c>
      <c r="T637">
        <v>4.7393364928909956E-3</v>
      </c>
      <c r="U637">
        <v>2</v>
      </c>
      <c r="V637">
        <v>0.1</v>
      </c>
      <c r="W637">
        <v>5.575689991636465E-4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0.05</v>
      </c>
      <c r="AF637">
        <v>2.7878449958182325E-4</v>
      </c>
    </row>
    <row r="638" spans="1:32" x14ac:dyDescent="0.2">
      <c r="A638">
        <v>441.3910300925927</v>
      </c>
      <c r="B638">
        <v>4620</v>
      </c>
      <c r="C638">
        <v>105</v>
      </c>
      <c r="D638">
        <v>427</v>
      </c>
      <c r="E638">
        <v>7</v>
      </c>
      <c r="F638">
        <v>8</v>
      </c>
      <c r="G638">
        <v>50</v>
      </c>
      <c r="H638">
        <v>539</v>
      </c>
      <c r="I638">
        <v>27</v>
      </c>
      <c r="J638">
        <v>391</v>
      </c>
      <c r="K638">
        <v>172</v>
      </c>
      <c r="L638">
        <v>19342</v>
      </c>
      <c r="M638">
        <v>153</v>
      </c>
      <c r="N638">
        <v>7.9102471305966295E-3</v>
      </c>
      <c r="O638">
        <v>0</v>
      </c>
      <c r="P638">
        <v>0</v>
      </c>
      <c r="Q638">
        <v>0</v>
      </c>
      <c r="R638">
        <v>121</v>
      </c>
      <c r="S638">
        <v>0.79084967320261434</v>
      </c>
      <c r="T638">
        <v>6.2558163581842626E-3</v>
      </c>
      <c r="U638">
        <v>29</v>
      </c>
      <c r="V638">
        <v>0.18954248366013071</v>
      </c>
      <c r="W638">
        <v>1.4993278874987075E-3</v>
      </c>
      <c r="X638">
        <v>3</v>
      </c>
      <c r="Y638">
        <v>1.9607843137254902E-2</v>
      </c>
      <c r="Z638">
        <v>1.5510288491365939E-4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">
      <c r="A639">
        <v>219.85442129629519</v>
      </c>
      <c r="B639">
        <v>488</v>
      </c>
      <c r="C639">
        <v>17</v>
      </c>
      <c r="D639">
        <v>23</v>
      </c>
      <c r="E639">
        <v>1</v>
      </c>
      <c r="F639">
        <v>0</v>
      </c>
      <c r="G639">
        <v>193</v>
      </c>
      <c r="H639">
        <v>1</v>
      </c>
      <c r="I639">
        <v>0</v>
      </c>
      <c r="J639">
        <v>12</v>
      </c>
      <c r="K639">
        <v>5</v>
      </c>
      <c r="L639">
        <v>56777</v>
      </c>
      <c r="M639">
        <v>955</v>
      </c>
      <c r="N639">
        <v>1.6820191274635857E-2</v>
      </c>
      <c r="O639">
        <v>48</v>
      </c>
      <c r="P639">
        <v>5.0261780104712044E-2</v>
      </c>
      <c r="Q639">
        <v>8.4541275516494352E-4</v>
      </c>
      <c r="R639">
        <v>734</v>
      </c>
      <c r="S639">
        <v>0.76858638743455499</v>
      </c>
      <c r="T639">
        <v>1.2927770047730595E-2</v>
      </c>
      <c r="U639">
        <v>109</v>
      </c>
      <c r="V639">
        <v>0.11413612565445026</v>
      </c>
      <c r="W639">
        <v>1.9197914648537259E-3</v>
      </c>
      <c r="X639">
        <v>55</v>
      </c>
      <c r="Y639">
        <v>5.7591623036649213E-2</v>
      </c>
      <c r="Z639">
        <v>9.6870211529316444E-4</v>
      </c>
      <c r="AA639">
        <v>0</v>
      </c>
      <c r="AB639">
        <v>0</v>
      </c>
      <c r="AC639">
        <v>0</v>
      </c>
      <c r="AD639">
        <v>9</v>
      </c>
      <c r="AE639">
        <v>9.4240837696335077E-3</v>
      </c>
      <c r="AF639">
        <v>1.5851489159342692E-4</v>
      </c>
    </row>
    <row r="640" spans="1:32" x14ac:dyDescent="0.2">
      <c r="A640">
        <v>467.81275462963094</v>
      </c>
      <c r="B640">
        <v>385</v>
      </c>
      <c r="C640">
        <v>20</v>
      </c>
      <c r="D640">
        <v>61</v>
      </c>
      <c r="E640">
        <v>7</v>
      </c>
      <c r="F640">
        <v>1</v>
      </c>
      <c r="G640">
        <v>20</v>
      </c>
      <c r="H640">
        <v>287</v>
      </c>
      <c r="I640">
        <v>9</v>
      </c>
      <c r="J640">
        <v>31</v>
      </c>
      <c r="K640">
        <v>5</v>
      </c>
      <c r="L640">
        <v>20475</v>
      </c>
      <c r="M640">
        <v>195</v>
      </c>
      <c r="N640">
        <v>9.5238095238095247E-3</v>
      </c>
      <c r="O640">
        <v>37</v>
      </c>
      <c r="P640">
        <v>0.18974358974358974</v>
      </c>
      <c r="Q640">
        <v>1.8070818070818071E-3</v>
      </c>
      <c r="R640">
        <v>93</v>
      </c>
      <c r="S640">
        <v>0.47692307692307695</v>
      </c>
      <c r="T640">
        <v>4.5421245421245421E-3</v>
      </c>
      <c r="U640">
        <v>45</v>
      </c>
      <c r="V640">
        <v>0.23076923076923078</v>
      </c>
      <c r="W640">
        <v>2.1978021978021978E-3</v>
      </c>
      <c r="X640">
        <v>18</v>
      </c>
      <c r="Y640">
        <v>9.2307692307692313E-2</v>
      </c>
      <c r="Z640">
        <v>8.7912087912087912E-4</v>
      </c>
      <c r="AA640">
        <v>2</v>
      </c>
      <c r="AB640">
        <v>1.0256410256410256E-2</v>
      </c>
      <c r="AC640">
        <v>9.768009768009768E-5</v>
      </c>
      <c r="AD640">
        <v>0</v>
      </c>
      <c r="AE640">
        <v>0</v>
      </c>
      <c r="AF640">
        <v>0</v>
      </c>
    </row>
    <row r="641" spans="1:32" x14ac:dyDescent="0.2">
      <c r="A641">
        <v>733.90670138889254</v>
      </c>
      <c r="B641">
        <v>5457</v>
      </c>
      <c r="C641">
        <v>186</v>
      </c>
      <c r="D641">
        <v>762</v>
      </c>
      <c r="E641">
        <v>5</v>
      </c>
      <c r="F641">
        <v>2</v>
      </c>
      <c r="G641">
        <v>38</v>
      </c>
      <c r="H641">
        <v>417</v>
      </c>
      <c r="I641">
        <v>2</v>
      </c>
      <c r="J641">
        <v>200</v>
      </c>
      <c r="K641">
        <v>54</v>
      </c>
      <c r="L641">
        <v>12077</v>
      </c>
      <c r="M641">
        <v>199</v>
      </c>
      <c r="N641">
        <v>1.6477602053490106E-2</v>
      </c>
      <c r="O641">
        <v>30</v>
      </c>
      <c r="P641">
        <v>0.15075376884422109</v>
      </c>
      <c r="Q641">
        <v>2.4840606110789103E-3</v>
      </c>
      <c r="R641">
        <v>143</v>
      </c>
      <c r="S641">
        <v>0.71859296482412061</v>
      </c>
      <c r="T641">
        <v>1.1840688912809472E-2</v>
      </c>
      <c r="U641">
        <v>18</v>
      </c>
      <c r="V641">
        <v>9.0452261306532666E-2</v>
      </c>
      <c r="W641">
        <v>1.4904363666473461E-3</v>
      </c>
      <c r="X641">
        <v>8</v>
      </c>
      <c r="Y641">
        <v>4.0201005025125629E-2</v>
      </c>
      <c r="Z641">
        <v>6.624161629543761E-4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">
      <c r="A642">
        <v>1042.8707291666724</v>
      </c>
      <c r="B642">
        <v>9425</v>
      </c>
      <c r="C642">
        <v>272</v>
      </c>
      <c r="D642">
        <v>1249</v>
      </c>
      <c r="E642">
        <v>28</v>
      </c>
      <c r="F642">
        <v>4</v>
      </c>
      <c r="G642">
        <v>120</v>
      </c>
      <c r="H642">
        <v>2335</v>
      </c>
      <c r="I642">
        <v>23</v>
      </c>
      <c r="J642">
        <v>1166</v>
      </c>
      <c r="K642">
        <v>241</v>
      </c>
      <c r="L642">
        <v>55944</v>
      </c>
      <c r="M642">
        <v>895</v>
      </c>
      <c r="N642">
        <v>1.5998140998140998E-2</v>
      </c>
      <c r="O642">
        <v>343</v>
      </c>
      <c r="P642">
        <v>0.38324022346368714</v>
      </c>
      <c r="Q642">
        <v>6.1311311311311309E-3</v>
      </c>
      <c r="R642">
        <v>413</v>
      </c>
      <c r="S642">
        <v>0.46145251396648046</v>
      </c>
      <c r="T642">
        <v>7.3823823823823825E-3</v>
      </c>
      <c r="U642">
        <v>86</v>
      </c>
      <c r="V642">
        <v>9.6089385474860331E-2</v>
      </c>
      <c r="W642">
        <v>1.5372515372515372E-3</v>
      </c>
      <c r="X642">
        <v>13</v>
      </c>
      <c r="Y642">
        <v>1.452513966480447E-2</v>
      </c>
      <c r="Z642">
        <v>2.3237523237523239E-4</v>
      </c>
      <c r="AA642">
        <v>1</v>
      </c>
      <c r="AB642">
        <v>1.1173184357541898E-3</v>
      </c>
      <c r="AC642">
        <v>1.7875017875017876E-5</v>
      </c>
      <c r="AD642">
        <v>39</v>
      </c>
      <c r="AE642">
        <v>4.357541899441341E-2</v>
      </c>
      <c r="AF642">
        <v>6.9712569712569717E-4</v>
      </c>
    </row>
    <row r="643" spans="1:32" x14ac:dyDescent="0.2">
      <c r="A643">
        <v>1070.1808449074015</v>
      </c>
      <c r="B643">
        <v>1335</v>
      </c>
      <c r="C643">
        <v>53</v>
      </c>
      <c r="D643">
        <v>192</v>
      </c>
      <c r="E643">
        <v>16</v>
      </c>
      <c r="F643">
        <v>1</v>
      </c>
      <c r="G643">
        <v>34</v>
      </c>
      <c r="H643">
        <v>500</v>
      </c>
      <c r="I643">
        <v>7</v>
      </c>
      <c r="J643">
        <v>129</v>
      </c>
      <c r="K643">
        <v>8</v>
      </c>
      <c r="L643">
        <v>4355</v>
      </c>
      <c r="M643">
        <v>55</v>
      </c>
      <c r="N643">
        <v>1.2629161882893225E-2</v>
      </c>
      <c r="O643">
        <v>19</v>
      </c>
      <c r="P643">
        <v>0.34545454545454546</v>
      </c>
      <c r="Q643">
        <v>4.3628013777267513E-3</v>
      </c>
      <c r="R643">
        <v>19</v>
      </c>
      <c r="S643">
        <v>0.34545454545454546</v>
      </c>
      <c r="T643">
        <v>4.3628013777267513E-3</v>
      </c>
      <c r="U643">
        <v>7</v>
      </c>
      <c r="V643">
        <v>0.12727272727272726</v>
      </c>
      <c r="W643">
        <v>1.6073478760045925E-3</v>
      </c>
      <c r="X643">
        <v>10</v>
      </c>
      <c r="Y643">
        <v>0.18181818181818182</v>
      </c>
      <c r="Z643">
        <v>2.2962112514351321E-3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">
      <c r="A644">
        <v>932.25653935185255</v>
      </c>
      <c r="B644">
        <v>9469</v>
      </c>
      <c r="C644">
        <v>243</v>
      </c>
      <c r="D644">
        <v>1621</v>
      </c>
      <c r="E644">
        <v>7</v>
      </c>
      <c r="F644">
        <v>11</v>
      </c>
      <c r="G644">
        <v>71</v>
      </c>
      <c r="H644">
        <v>810</v>
      </c>
      <c r="I644">
        <v>6</v>
      </c>
      <c r="J644">
        <v>559</v>
      </c>
      <c r="K644">
        <v>119</v>
      </c>
      <c r="L644">
        <v>14717</v>
      </c>
      <c r="M644">
        <v>196</v>
      </c>
      <c r="N644">
        <v>1.331793164367738E-2</v>
      </c>
      <c r="O644">
        <v>94</v>
      </c>
      <c r="P644">
        <v>0.47959183673469385</v>
      </c>
      <c r="Q644">
        <v>6.3871712984983351E-3</v>
      </c>
      <c r="R644">
        <v>78</v>
      </c>
      <c r="S644">
        <v>0.39795918367346939</v>
      </c>
      <c r="T644">
        <v>5.2999932051369164E-3</v>
      </c>
      <c r="U644">
        <v>15</v>
      </c>
      <c r="V644">
        <v>7.6530612244897961E-2</v>
      </c>
      <c r="W644">
        <v>1.0192294625263301E-3</v>
      </c>
      <c r="X644">
        <v>7</v>
      </c>
      <c r="Y644">
        <v>3.5714285714285712E-2</v>
      </c>
      <c r="Z644">
        <v>4.7564041584562073E-4</v>
      </c>
      <c r="AA644">
        <v>0</v>
      </c>
      <c r="AB644">
        <v>0</v>
      </c>
      <c r="AC644">
        <v>0</v>
      </c>
      <c r="AD644">
        <v>2</v>
      </c>
      <c r="AE644">
        <v>1.020408163265306E-2</v>
      </c>
      <c r="AF644">
        <v>1.3589726167017734E-4</v>
      </c>
    </row>
    <row r="645" spans="1:32" x14ac:dyDescent="0.2">
      <c r="A645">
        <v>257.18878472222423</v>
      </c>
      <c r="B645">
        <v>741</v>
      </c>
      <c r="C645">
        <v>26</v>
      </c>
      <c r="D645">
        <v>74</v>
      </c>
      <c r="E645">
        <v>0</v>
      </c>
      <c r="F645">
        <v>0</v>
      </c>
      <c r="G645">
        <v>9</v>
      </c>
      <c r="H645">
        <v>90</v>
      </c>
      <c r="I645">
        <v>2</v>
      </c>
      <c r="J645">
        <v>94</v>
      </c>
      <c r="K645">
        <v>25</v>
      </c>
      <c r="L645">
        <v>9569</v>
      </c>
      <c r="M645">
        <v>3</v>
      </c>
      <c r="N645">
        <v>3.1351238373915769E-4</v>
      </c>
      <c r="O645">
        <v>0</v>
      </c>
      <c r="P645">
        <v>0</v>
      </c>
      <c r="Q645">
        <v>0</v>
      </c>
      <c r="R645">
        <v>1</v>
      </c>
      <c r="S645">
        <v>0.33333333333333331</v>
      </c>
      <c r="T645">
        <v>1.0450412791305256E-4</v>
      </c>
      <c r="U645">
        <v>1</v>
      </c>
      <c r="V645">
        <v>0.33333333333333331</v>
      </c>
      <c r="W645">
        <v>1.0450412791305256E-4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0.33333333333333331</v>
      </c>
      <c r="AF645">
        <v>1.0450412791305256E-4</v>
      </c>
    </row>
    <row r="646" spans="1:32" x14ac:dyDescent="0.2">
      <c r="A646">
        <v>1015.5907754629588</v>
      </c>
      <c r="B646">
        <v>901</v>
      </c>
      <c r="C646">
        <v>40</v>
      </c>
      <c r="D646">
        <v>133</v>
      </c>
      <c r="E646">
        <v>9</v>
      </c>
      <c r="F646">
        <v>1</v>
      </c>
      <c r="G646">
        <v>24</v>
      </c>
      <c r="H646">
        <v>197</v>
      </c>
      <c r="I646">
        <v>7</v>
      </c>
      <c r="J646">
        <v>58</v>
      </c>
      <c r="K646">
        <v>10</v>
      </c>
      <c r="L646">
        <v>13944</v>
      </c>
      <c r="M646">
        <v>18</v>
      </c>
      <c r="N646">
        <v>1.2908777969018934E-3</v>
      </c>
      <c r="O646">
        <v>4</v>
      </c>
      <c r="P646">
        <v>0.22222222222222221</v>
      </c>
      <c r="Q646">
        <v>2.8686173264486515E-4</v>
      </c>
      <c r="R646">
        <v>7</v>
      </c>
      <c r="S646">
        <v>0.3888888888888889</v>
      </c>
      <c r="T646">
        <v>5.0200803212851401E-4</v>
      </c>
      <c r="U646">
        <v>3</v>
      </c>
      <c r="V646">
        <v>0.16666666666666666</v>
      </c>
      <c r="W646">
        <v>2.1514629948364889E-4</v>
      </c>
      <c r="X646">
        <v>1</v>
      </c>
      <c r="Y646">
        <v>5.5555555555555552E-2</v>
      </c>
      <c r="Z646">
        <v>7.1715433161216287E-5</v>
      </c>
      <c r="AA646">
        <v>3</v>
      </c>
      <c r="AB646">
        <v>0.16666666666666666</v>
      </c>
      <c r="AC646">
        <v>2.1514629948364889E-4</v>
      </c>
      <c r="AD646">
        <v>0</v>
      </c>
      <c r="AE646">
        <v>0</v>
      </c>
      <c r="AF646">
        <v>0</v>
      </c>
    </row>
    <row r="647" spans="1:32" x14ac:dyDescent="0.2">
      <c r="A647">
        <v>2662.2600925925944</v>
      </c>
      <c r="B647">
        <v>7171</v>
      </c>
      <c r="C647">
        <v>408</v>
      </c>
      <c r="D647">
        <v>3718</v>
      </c>
      <c r="E647">
        <v>0</v>
      </c>
      <c r="F647">
        <v>133</v>
      </c>
      <c r="G647">
        <v>0</v>
      </c>
      <c r="H647">
        <v>62</v>
      </c>
      <c r="I647">
        <v>11</v>
      </c>
      <c r="J647">
        <v>444</v>
      </c>
      <c r="K647">
        <v>1</v>
      </c>
      <c r="L647">
        <v>1744</v>
      </c>
      <c r="M647">
        <v>1</v>
      </c>
      <c r="N647">
        <v>5.7339449541284407E-4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1</v>
      </c>
      <c r="W647">
        <v>5.7339449541284407E-4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">
      <c r="A648">
        <v>3033.4905439814756</v>
      </c>
      <c r="B648">
        <v>3531</v>
      </c>
      <c r="C648">
        <v>180</v>
      </c>
      <c r="D648">
        <v>1238</v>
      </c>
      <c r="E648">
        <v>0</v>
      </c>
      <c r="F648">
        <v>19</v>
      </c>
      <c r="G648">
        <v>0</v>
      </c>
      <c r="H648">
        <v>35</v>
      </c>
      <c r="I648">
        <v>3</v>
      </c>
      <c r="J648">
        <v>257</v>
      </c>
      <c r="K648">
        <v>9</v>
      </c>
      <c r="L648">
        <v>1089</v>
      </c>
      <c r="M648">
        <v>3</v>
      </c>
      <c r="N648">
        <v>2.7548209366391185E-3</v>
      </c>
      <c r="O648">
        <v>0</v>
      </c>
      <c r="P648">
        <v>0</v>
      </c>
      <c r="Q648">
        <v>0</v>
      </c>
      <c r="R648">
        <v>2</v>
      </c>
      <c r="S648">
        <v>0.66666666666666663</v>
      </c>
      <c r="T648">
        <v>1.8365472910927456E-3</v>
      </c>
      <c r="U648">
        <v>0</v>
      </c>
      <c r="V648">
        <v>0</v>
      </c>
      <c r="W648">
        <v>0</v>
      </c>
      <c r="X648">
        <v>1</v>
      </c>
      <c r="Y648">
        <v>0.33333333333333331</v>
      </c>
      <c r="Z648">
        <v>9.1827364554637281E-4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">
      <c r="A649">
        <v>1204.3515625</v>
      </c>
      <c r="B649">
        <v>374</v>
      </c>
      <c r="C649">
        <v>38</v>
      </c>
      <c r="D649">
        <v>94</v>
      </c>
      <c r="E649">
        <v>2</v>
      </c>
      <c r="F649">
        <v>4</v>
      </c>
      <c r="G649">
        <v>21</v>
      </c>
      <c r="H649">
        <v>59</v>
      </c>
      <c r="I649">
        <v>2</v>
      </c>
      <c r="J649">
        <v>152</v>
      </c>
      <c r="K649">
        <v>41</v>
      </c>
      <c r="L649">
        <v>90</v>
      </c>
      <c r="M649">
        <v>2</v>
      </c>
      <c r="N649">
        <v>2.2222222222222223E-2</v>
      </c>
      <c r="O649">
        <v>2</v>
      </c>
      <c r="P649">
        <v>1</v>
      </c>
      <c r="Q649">
        <v>2.2222222222222223E-2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">
      <c r="A650">
        <v>2809.610520833332</v>
      </c>
      <c r="B650">
        <v>1337</v>
      </c>
      <c r="C650">
        <v>41</v>
      </c>
      <c r="D650">
        <v>309</v>
      </c>
      <c r="E650">
        <v>316</v>
      </c>
      <c r="F650">
        <v>13</v>
      </c>
      <c r="G650">
        <v>80</v>
      </c>
      <c r="H650">
        <v>389</v>
      </c>
      <c r="I650">
        <v>1</v>
      </c>
      <c r="J650">
        <v>823</v>
      </c>
      <c r="K650">
        <v>118</v>
      </c>
      <c r="L650">
        <v>25957</v>
      </c>
      <c r="M650">
        <v>204</v>
      </c>
      <c r="N650">
        <v>7.8591516739222565E-3</v>
      </c>
      <c r="O650">
        <v>55</v>
      </c>
      <c r="P650">
        <v>0.26960784313725489</v>
      </c>
      <c r="Q650">
        <v>2.1188889316947259E-3</v>
      </c>
      <c r="R650">
        <v>38</v>
      </c>
      <c r="S650">
        <v>0.18627450980392157</v>
      </c>
      <c r="T650">
        <v>1.4639596255345379E-3</v>
      </c>
      <c r="U650">
        <v>88</v>
      </c>
      <c r="V650">
        <v>0.43137254901960786</v>
      </c>
      <c r="W650">
        <v>3.3902222907115616E-3</v>
      </c>
      <c r="X650">
        <v>23</v>
      </c>
      <c r="Y650">
        <v>0.11274509803921569</v>
      </c>
      <c r="Z650">
        <v>8.8608082598143085E-4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">
      <c r="A651">
        <v>1026.7645601851837</v>
      </c>
      <c r="B651">
        <v>748</v>
      </c>
      <c r="C651">
        <v>39</v>
      </c>
      <c r="D651">
        <v>114</v>
      </c>
      <c r="E651">
        <v>0</v>
      </c>
      <c r="F651">
        <v>5</v>
      </c>
      <c r="G651">
        <v>6</v>
      </c>
      <c r="H651">
        <v>24</v>
      </c>
      <c r="I651">
        <v>3</v>
      </c>
      <c r="J651">
        <v>45</v>
      </c>
      <c r="K651">
        <v>21</v>
      </c>
      <c r="L651">
        <v>1262</v>
      </c>
      <c r="M651">
        <v>1</v>
      </c>
      <c r="N651">
        <v>7.9239302694136295E-4</v>
      </c>
      <c r="O651">
        <v>1</v>
      </c>
      <c r="P651">
        <v>1</v>
      </c>
      <c r="Q651">
        <v>7.9239302694136295E-4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">
      <c r="A652">
        <v>1462.0736921296339</v>
      </c>
      <c r="B652">
        <v>1808</v>
      </c>
      <c r="C652">
        <v>61</v>
      </c>
      <c r="D652">
        <v>142</v>
      </c>
      <c r="E652">
        <v>9</v>
      </c>
      <c r="F652">
        <v>6</v>
      </c>
      <c r="G652">
        <v>13</v>
      </c>
      <c r="H652">
        <v>558</v>
      </c>
      <c r="I652">
        <v>11</v>
      </c>
      <c r="J652">
        <v>387</v>
      </c>
      <c r="K652">
        <v>66</v>
      </c>
      <c r="L652">
        <v>29157</v>
      </c>
      <c r="M652">
        <v>88</v>
      </c>
      <c r="N652">
        <v>3.018143156017423E-3</v>
      </c>
      <c r="O652">
        <v>49</v>
      </c>
      <c r="P652">
        <v>0.55681818181818177</v>
      </c>
      <c r="Q652">
        <v>1.6805569846006104E-3</v>
      </c>
      <c r="R652">
        <v>0</v>
      </c>
      <c r="S652">
        <v>0</v>
      </c>
      <c r="T652">
        <v>0</v>
      </c>
      <c r="U652">
        <v>34</v>
      </c>
      <c r="V652">
        <v>0.38636363636363635</v>
      </c>
      <c r="W652">
        <v>1.1661007648249135E-3</v>
      </c>
      <c r="X652">
        <v>5</v>
      </c>
      <c r="Y652">
        <v>5.6818181818181816E-2</v>
      </c>
      <c r="Z652">
        <v>1.7148540659189904E-4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">
      <c r="A653">
        <v>919.3395833333343</v>
      </c>
      <c r="B653">
        <v>502</v>
      </c>
      <c r="C653">
        <v>36</v>
      </c>
      <c r="D653">
        <v>92</v>
      </c>
      <c r="E653">
        <v>0</v>
      </c>
      <c r="F653">
        <v>0</v>
      </c>
      <c r="G653">
        <v>11</v>
      </c>
      <c r="H653">
        <v>70</v>
      </c>
      <c r="I653">
        <v>0</v>
      </c>
      <c r="J653">
        <v>38</v>
      </c>
      <c r="K653">
        <v>2</v>
      </c>
      <c r="L653">
        <v>4748</v>
      </c>
      <c r="M653">
        <v>68</v>
      </c>
      <c r="N653">
        <v>1.4321819713563605E-2</v>
      </c>
      <c r="O653">
        <v>0</v>
      </c>
      <c r="P653">
        <v>0</v>
      </c>
      <c r="Q653">
        <v>0</v>
      </c>
      <c r="R653">
        <v>65</v>
      </c>
      <c r="S653">
        <v>0.95588235294117652</v>
      </c>
      <c r="T653">
        <v>1.3689974726200505E-2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3</v>
      </c>
      <c r="AE653">
        <v>4.4117647058823532E-2</v>
      </c>
      <c r="AF653">
        <v>6.3184498736310025E-4</v>
      </c>
    </row>
    <row r="654" spans="1:32" x14ac:dyDescent="0.2">
      <c r="A654">
        <v>363.79531249999854</v>
      </c>
      <c r="B654">
        <v>1318</v>
      </c>
      <c r="C654">
        <v>19</v>
      </c>
      <c r="D654">
        <v>57</v>
      </c>
      <c r="E654">
        <v>30</v>
      </c>
      <c r="F654">
        <v>2</v>
      </c>
      <c r="G654">
        <v>18</v>
      </c>
      <c r="H654">
        <v>27</v>
      </c>
      <c r="I654">
        <v>2</v>
      </c>
      <c r="J654">
        <v>88</v>
      </c>
      <c r="K654">
        <v>28</v>
      </c>
      <c r="L654">
        <v>1094</v>
      </c>
      <c r="M654">
        <v>9</v>
      </c>
      <c r="N654">
        <v>8.2266910420475316E-3</v>
      </c>
      <c r="O654">
        <v>6</v>
      </c>
      <c r="P654">
        <v>0.66666666666666663</v>
      </c>
      <c r="Q654">
        <v>5.4844606946983544E-3</v>
      </c>
      <c r="R654">
        <v>0</v>
      </c>
      <c r="S654">
        <v>0</v>
      </c>
      <c r="T654">
        <v>0</v>
      </c>
      <c r="U654">
        <v>1</v>
      </c>
      <c r="V654">
        <v>0.1111111111111111</v>
      </c>
      <c r="W654">
        <v>9.1407678244972577E-4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</v>
      </c>
      <c r="AE654">
        <v>0.22222222222222221</v>
      </c>
      <c r="AF654">
        <v>1.8281535648994515E-3</v>
      </c>
    </row>
    <row r="655" spans="1:32" x14ac:dyDescent="0.2">
      <c r="A655">
        <v>607.88399305555504</v>
      </c>
      <c r="B655">
        <v>402</v>
      </c>
      <c r="C655">
        <v>17</v>
      </c>
      <c r="D655">
        <v>156</v>
      </c>
      <c r="E655">
        <v>0</v>
      </c>
      <c r="F655">
        <v>1</v>
      </c>
      <c r="G655">
        <v>17</v>
      </c>
      <c r="H655">
        <v>355</v>
      </c>
      <c r="I655">
        <v>0</v>
      </c>
      <c r="J655">
        <v>68</v>
      </c>
      <c r="K655">
        <v>6</v>
      </c>
      <c r="L655">
        <v>42989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">
      <c r="A656">
        <v>465.62146990740439</v>
      </c>
      <c r="B656">
        <v>1042</v>
      </c>
      <c r="C656">
        <v>29</v>
      </c>
      <c r="D656">
        <v>83</v>
      </c>
      <c r="E656">
        <v>9</v>
      </c>
      <c r="F656">
        <v>0</v>
      </c>
      <c r="G656">
        <v>5</v>
      </c>
      <c r="H656">
        <v>10</v>
      </c>
      <c r="I656">
        <v>1</v>
      </c>
      <c r="J656">
        <v>102</v>
      </c>
      <c r="K656">
        <v>65</v>
      </c>
      <c r="L656">
        <v>759</v>
      </c>
      <c r="M656">
        <v>23</v>
      </c>
      <c r="N656">
        <v>3.0303030303030304E-2</v>
      </c>
      <c r="O656">
        <v>0</v>
      </c>
      <c r="P656">
        <v>0</v>
      </c>
      <c r="Q656">
        <v>0</v>
      </c>
      <c r="R656">
        <v>20</v>
      </c>
      <c r="S656">
        <v>0.86956521739130432</v>
      </c>
      <c r="T656">
        <v>2.6350461133069828E-2</v>
      </c>
      <c r="U656">
        <v>3</v>
      </c>
      <c r="V656">
        <v>0.13043478260869565</v>
      </c>
      <c r="W656">
        <v>3.952569169960474E-3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">
      <c r="A657">
        <v>1106.4300810185159</v>
      </c>
      <c r="B657">
        <v>2014</v>
      </c>
      <c r="C657">
        <v>68</v>
      </c>
      <c r="D657">
        <v>204</v>
      </c>
      <c r="E657">
        <v>0</v>
      </c>
      <c r="F657">
        <v>0</v>
      </c>
      <c r="G657">
        <v>4</v>
      </c>
      <c r="H657">
        <v>8</v>
      </c>
      <c r="I657">
        <v>4</v>
      </c>
      <c r="J657">
        <v>8</v>
      </c>
      <c r="K657">
        <v>8</v>
      </c>
      <c r="L657">
        <v>2241</v>
      </c>
      <c r="M657">
        <v>1</v>
      </c>
      <c r="N657">
        <v>4.4622936189201248E-4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4.4622936189201248E-4</v>
      </c>
    </row>
    <row r="658" spans="1:32" x14ac:dyDescent="0.2">
      <c r="A658">
        <v>2977.437384259254</v>
      </c>
      <c r="B658">
        <v>10812</v>
      </c>
      <c r="C658">
        <v>365</v>
      </c>
      <c r="D658">
        <v>3522</v>
      </c>
      <c r="E658">
        <v>70</v>
      </c>
      <c r="F658">
        <v>73</v>
      </c>
      <c r="G658">
        <v>169</v>
      </c>
      <c r="H658">
        <v>3985</v>
      </c>
      <c r="I658">
        <v>24</v>
      </c>
      <c r="J658">
        <v>2924</v>
      </c>
      <c r="K658">
        <v>180</v>
      </c>
      <c r="L658">
        <v>85315</v>
      </c>
      <c r="M658">
        <v>44</v>
      </c>
      <c r="N658">
        <v>5.1573580261384281E-4</v>
      </c>
      <c r="O658">
        <v>3</v>
      </c>
      <c r="P658">
        <v>6.8181818181818177E-2</v>
      </c>
      <c r="Q658">
        <v>3.5163804723671104E-5</v>
      </c>
      <c r="R658">
        <v>4</v>
      </c>
      <c r="S658">
        <v>9.0909090909090912E-2</v>
      </c>
      <c r="T658">
        <v>4.6885072964894803E-5</v>
      </c>
      <c r="U658">
        <v>21</v>
      </c>
      <c r="V658">
        <v>0.47727272727272729</v>
      </c>
      <c r="W658">
        <v>2.4614663306569772E-4</v>
      </c>
      <c r="X658">
        <v>5</v>
      </c>
      <c r="Y658">
        <v>0.11363636363636363</v>
      </c>
      <c r="Z658">
        <v>5.8606341206118502E-5</v>
      </c>
      <c r="AA658">
        <v>0</v>
      </c>
      <c r="AB658">
        <v>0</v>
      </c>
      <c r="AC658">
        <v>0</v>
      </c>
      <c r="AD658">
        <v>11</v>
      </c>
      <c r="AE658">
        <v>0.25</v>
      </c>
      <c r="AF658">
        <v>1.289339506534607E-4</v>
      </c>
    </row>
    <row r="659" spans="1:32" x14ac:dyDescent="0.2">
      <c r="A659">
        <v>297.47125000000233</v>
      </c>
      <c r="B659">
        <v>722</v>
      </c>
      <c r="C659">
        <v>15</v>
      </c>
      <c r="D659">
        <v>95</v>
      </c>
      <c r="E659">
        <v>0</v>
      </c>
      <c r="F659">
        <v>0</v>
      </c>
      <c r="G659">
        <v>3</v>
      </c>
      <c r="H659">
        <v>1</v>
      </c>
      <c r="I659">
        <v>0</v>
      </c>
      <c r="J659">
        <v>60</v>
      </c>
      <c r="K659">
        <v>7</v>
      </c>
      <c r="L659">
        <v>18681</v>
      </c>
      <c r="M659">
        <v>154</v>
      </c>
      <c r="N659">
        <v>8.2436700390771372E-3</v>
      </c>
      <c r="O659">
        <v>5</v>
      </c>
      <c r="P659">
        <v>3.2467532467532464E-2</v>
      </c>
      <c r="Q659">
        <v>2.6765162464536157E-4</v>
      </c>
      <c r="R659">
        <v>128</v>
      </c>
      <c r="S659">
        <v>0.83116883116883122</v>
      </c>
      <c r="T659">
        <v>6.851881590921257E-3</v>
      </c>
      <c r="U659">
        <v>13</v>
      </c>
      <c r="V659">
        <v>8.4415584415584416E-2</v>
      </c>
      <c r="W659">
        <v>6.9589422407794019E-4</v>
      </c>
      <c r="X659">
        <v>7</v>
      </c>
      <c r="Y659">
        <v>4.5454545454545456E-2</v>
      </c>
      <c r="Z659">
        <v>3.7471227450350622E-4</v>
      </c>
      <c r="AA659">
        <v>0</v>
      </c>
      <c r="AB659">
        <v>0</v>
      </c>
      <c r="AC659">
        <v>0</v>
      </c>
      <c r="AD659">
        <v>1</v>
      </c>
      <c r="AE659">
        <v>6.4935064935064939E-3</v>
      </c>
      <c r="AF659">
        <v>5.353032492907232E-5</v>
      </c>
    </row>
    <row r="660" spans="1:32" x14ac:dyDescent="0.2">
      <c r="A660">
        <v>4069.8682870370394</v>
      </c>
      <c r="B660">
        <v>22018</v>
      </c>
      <c r="C660">
        <v>594</v>
      </c>
      <c r="D660">
        <v>2701</v>
      </c>
      <c r="E660">
        <v>38</v>
      </c>
      <c r="F660">
        <v>81</v>
      </c>
      <c r="G660">
        <v>341</v>
      </c>
      <c r="H660">
        <v>2041</v>
      </c>
      <c r="I660">
        <v>10</v>
      </c>
      <c r="J660">
        <v>2501</v>
      </c>
      <c r="K660">
        <v>227</v>
      </c>
      <c r="L660">
        <v>36342</v>
      </c>
      <c r="M660">
        <v>130</v>
      </c>
      <c r="N660">
        <v>3.5771283913928788E-3</v>
      </c>
      <c r="O660">
        <v>11</v>
      </c>
      <c r="P660">
        <v>8.461538461538462E-2</v>
      </c>
      <c r="Q660">
        <v>3.0268009465632054E-4</v>
      </c>
      <c r="R660">
        <v>32</v>
      </c>
      <c r="S660">
        <v>0.24615384615384617</v>
      </c>
      <c r="T660">
        <v>8.8052391172747783E-4</v>
      </c>
      <c r="U660">
        <v>45</v>
      </c>
      <c r="V660">
        <v>0.34615384615384615</v>
      </c>
      <c r="W660">
        <v>1.2382367508667657E-3</v>
      </c>
      <c r="X660">
        <v>42</v>
      </c>
      <c r="Y660">
        <v>0.32307692307692309</v>
      </c>
      <c r="Z660">
        <v>1.1556876341423147E-3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">
      <c r="A661">
        <v>1227.0174074074093</v>
      </c>
      <c r="B661">
        <v>2551</v>
      </c>
      <c r="C661">
        <v>138</v>
      </c>
      <c r="D661">
        <v>494</v>
      </c>
      <c r="E661">
        <v>23</v>
      </c>
      <c r="F661">
        <v>8</v>
      </c>
      <c r="G661">
        <v>57</v>
      </c>
      <c r="H661">
        <v>1714</v>
      </c>
      <c r="I661">
        <v>6</v>
      </c>
      <c r="J661">
        <v>361</v>
      </c>
      <c r="K661">
        <v>6</v>
      </c>
      <c r="L661">
        <v>6753</v>
      </c>
      <c r="M661">
        <v>121</v>
      </c>
      <c r="N661">
        <v>1.7917962387087219E-2</v>
      </c>
      <c r="O661">
        <v>47</v>
      </c>
      <c r="P661">
        <v>0.38842975206611569</v>
      </c>
      <c r="Q661">
        <v>6.9598696875462756E-3</v>
      </c>
      <c r="R661">
        <v>5</v>
      </c>
      <c r="S661">
        <v>4.1322314049586778E-2</v>
      </c>
      <c r="T661">
        <v>7.4041166888790162E-4</v>
      </c>
      <c r="U661">
        <v>32</v>
      </c>
      <c r="V661">
        <v>0.26446280991735538</v>
      </c>
      <c r="W661">
        <v>4.7386346808825711E-3</v>
      </c>
      <c r="X661">
        <v>37</v>
      </c>
      <c r="Y661">
        <v>0.30578512396694213</v>
      </c>
      <c r="Z661">
        <v>5.4790463497704726E-3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">
      <c r="A662">
        <v>2178.1706018518526</v>
      </c>
      <c r="B662">
        <v>496</v>
      </c>
      <c r="C662">
        <v>57</v>
      </c>
      <c r="D662">
        <v>110</v>
      </c>
      <c r="E662">
        <v>7</v>
      </c>
      <c r="F662">
        <v>1</v>
      </c>
      <c r="G662">
        <v>15</v>
      </c>
      <c r="H662">
        <v>136</v>
      </c>
      <c r="I662">
        <v>4</v>
      </c>
      <c r="J662">
        <v>72</v>
      </c>
      <c r="K662">
        <v>31</v>
      </c>
      <c r="L662">
        <v>8869</v>
      </c>
      <c r="M662">
        <v>15</v>
      </c>
      <c r="N662">
        <v>1.6912842485060323E-3</v>
      </c>
      <c r="O662">
        <v>5</v>
      </c>
      <c r="P662">
        <v>0.33333333333333331</v>
      </c>
      <c r="Q662">
        <v>5.637614161686774E-4</v>
      </c>
      <c r="R662">
        <v>3</v>
      </c>
      <c r="S662">
        <v>0.2</v>
      </c>
      <c r="T662">
        <v>3.3825684970120647E-4</v>
      </c>
      <c r="U662">
        <v>2</v>
      </c>
      <c r="V662">
        <v>0.13333333333333333</v>
      </c>
      <c r="W662">
        <v>2.2550456646747095E-4</v>
      </c>
      <c r="X662">
        <v>3</v>
      </c>
      <c r="Y662">
        <v>0.2</v>
      </c>
      <c r="Z662">
        <v>3.3825684970120647E-4</v>
      </c>
      <c r="AA662">
        <v>0</v>
      </c>
      <c r="AB662">
        <v>0</v>
      </c>
      <c r="AC662">
        <v>0</v>
      </c>
      <c r="AD662">
        <v>2</v>
      </c>
      <c r="AE662">
        <v>0.13333333333333333</v>
      </c>
      <c r="AF662">
        <v>2.2550456646747095E-4</v>
      </c>
    </row>
    <row r="663" spans="1:32" x14ac:dyDescent="0.2">
      <c r="A663">
        <v>3104.1103587962934</v>
      </c>
      <c r="B663">
        <v>444</v>
      </c>
      <c r="C663">
        <v>72</v>
      </c>
      <c r="D663">
        <v>87</v>
      </c>
      <c r="E663">
        <v>2</v>
      </c>
      <c r="F663">
        <v>4</v>
      </c>
      <c r="G663">
        <v>17</v>
      </c>
      <c r="H663">
        <v>40</v>
      </c>
      <c r="I663">
        <v>3</v>
      </c>
      <c r="J663">
        <v>26</v>
      </c>
      <c r="K663">
        <v>10</v>
      </c>
      <c r="L663">
        <v>9076</v>
      </c>
      <c r="M663">
        <v>20</v>
      </c>
      <c r="N663">
        <v>2.2036139268400176E-3</v>
      </c>
      <c r="O663">
        <v>7</v>
      </c>
      <c r="P663">
        <v>0.35</v>
      </c>
      <c r="Q663">
        <v>7.7126487439400622E-4</v>
      </c>
      <c r="R663">
        <v>11</v>
      </c>
      <c r="S663">
        <v>0.55000000000000004</v>
      </c>
      <c r="T663">
        <v>1.2119876597620097E-3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0.1</v>
      </c>
      <c r="AC663">
        <v>2.2036139268400177E-4</v>
      </c>
      <c r="AD663">
        <v>0</v>
      </c>
      <c r="AE663">
        <v>0</v>
      </c>
      <c r="AF663">
        <v>0</v>
      </c>
    </row>
    <row r="664" spans="1:32" x14ac:dyDescent="0.2">
      <c r="A664">
        <v>504.8229513888873</v>
      </c>
      <c r="B664">
        <v>406</v>
      </c>
      <c r="C664">
        <v>44</v>
      </c>
      <c r="D664">
        <v>183</v>
      </c>
      <c r="E664">
        <v>1</v>
      </c>
      <c r="F664">
        <v>1</v>
      </c>
      <c r="G664">
        <v>61</v>
      </c>
      <c r="H664">
        <v>1763</v>
      </c>
      <c r="I664">
        <v>0</v>
      </c>
      <c r="J664">
        <v>1334</v>
      </c>
      <c r="K664">
        <v>3</v>
      </c>
      <c r="L664">
        <v>6171</v>
      </c>
      <c r="M664">
        <v>28</v>
      </c>
      <c r="N664">
        <v>4.5373521309350186E-3</v>
      </c>
      <c r="O664">
        <v>0</v>
      </c>
      <c r="P664">
        <v>0</v>
      </c>
      <c r="Q664">
        <v>0</v>
      </c>
      <c r="R664">
        <v>24</v>
      </c>
      <c r="S664">
        <v>0.8571428571428571</v>
      </c>
      <c r="T664">
        <v>3.889158969372873E-3</v>
      </c>
      <c r="U664">
        <v>2</v>
      </c>
      <c r="V664">
        <v>7.1428571428571425E-2</v>
      </c>
      <c r="W664">
        <v>3.2409658078107277E-4</v>
      </c>
      <c r="X664">
        <v>2</v>
      </c>
      <c r="Y664">
        <v>7.1428571428571425E-2</v>
      </c>
      <c r="Z664">
        <v>3.2409658078107277E-4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">
      <c r="A665">
        <v>938.8309606481489</v>
      </c>
      <c r="B665">
        <v>423</v>
      </c>
      <c r="C665">
        <v>60</v>
      </c>
      <c r="D665">
        <v>229</v>
      </c>
      <c r="E665">
        <v>1</v>
      </c>
      <c r="F665">
        <v>12</v>
      </c>
      <c r="G665">
        <v>62</v>
      </c>
      <c r="H665">
        <v>511</v>
      </c>
      <c r="I665">
        <v>13</v>
      </c>
      <c r="J665">
        <v>396</v>
      </c>
      <c r="K665">
        <v>47</v>
      </c>
      <c r="L665">
        <v>14822</v>
      </c>
      <c r="M665">
        <v>163</v>
      </c>
      <c r="N665">
        <v>1.099716637430846E-2</v>
      </c>
      <c r="O665">
        <v>0</v>
      </c>
      <c r="P665">
        <v>0</v>
      </c>
      <c r="Q665">
        <v>0</v>
      </c>
      <c r="R665">
        <v>85</v>
      </c>
      <c r="S665">
        <v>0.5214723926380368</v>
      </c>
      <c r="T665">
        <v>5.7347186614491973E-3</v>
      </c>
      <c r="U665">
        <v>11</v>
      </c>
      <c r="V665">
        <v>6.7484662576687116E-2</v>
      </c>
      <c r="W665">
        <v>7.4214006206989606E-4</v>
      </c>
      <c r="X665">
        <v>67</v>
      </c>
      <c r="Y665">
        <v>0.41104294478527609</v>
      </c>
      <c r="Z665">
        <v>4.5203076507893672E-3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">
      <c r="A666">
        <v>1105.6564583333384</v>
      </c>
      <c r="B666">
        <v>1131</v>
      </c>
      <c r="C666">
        <v>129</v>
      </c>
      <c r="D666">
        <v>383</v>
      </c>
      <c r="E666">
        <v>1</v>
      </c>
      <c r="F666">
        <v>5</v>
      </c>
      <c r="G666">
        <v>40</v>
      </c>
      <c r="H666">
        <v>256</v>
      </c>
      <c r="I666">
        <v>83</v>
      </c>
      <c r="J666">
        <v>203</v>
      </c>
      <c r="K666">
        <v>131</v>
      </c>
      <c r="L666">
        <v>36671</v>
      </c>
      <c r="M666">
        <v>461</v>
      </c>
      <c r="N666">
        <v>1.2571241580540482E-2</v>
      </c>
      <c r="O666">
        <v>1</v>
      </c>
      <c r="P666">
        <v>2.1691973969631237E-3</v>
      </c>
      <c r="Q666">
        <v>2.7269504513102996E-5</v>
      </c>
      <c r="R666">
        <v>434</v>
      </c>
      <c r="S666">
        <v>0.9414316702819957</v>
      </c>
      <c r="T666">
        <v>1.1834964958686701E-2</v>
      </c>
      <c r="U666">
        <v>17</v>
      </c>
      <c r="V666">
        <v>3.6876355748373099E-2</v>
      </c>
      <c r="W666">
        <v>4.6358157672275095E-4</v>
      </c>
      <c r="X666">
        <v>9</v>
      </c>
      <c r="Y666">
        <v>1.9522776572668113E-2</v>
      </c>
      <c r="Z666">
        <v>2.4542554061792696E-4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">
      <c r="A667">
        <v>1038.449652777781</v>
      </c>
      <c r="B667">
        <v>8726</v>
      </c>
      <c r="C667">
        <v>264</v>
      </c>
      <c r="D667">
        <v>1899</v>
      </c>
      <c r="E667">
        <v>38</v>
      </c>
      <c r="F667">
        <v>35</v>
      </c>
      <c r="G667">
        <v>292</v>
      </c>
      <c r="H667">
        <v>2585</v>
      </c>
      <c r="I667">
        <v>169</v>
      </c>
      <c r="J667">
        <v>1648</v>
      </c>
      <c r="K667">
        <v>587</v>
      </c>
      <c r="L667">
        <v>47853</v>
      </c>
      <c r="M667">
        <v>206</v>
      </c>
      <c r="N667">
        <v>4.3048502706204417E-3</v>
      </c>
      <c r="O667">
        <v>15</v>
      </c>
      <c r="P667">
        <v>7.281553398058252E-2</v>
      </c>
      <c r="Q667">
        <v>3.1345997116168263E-4</v>
      </c>
      <c r="R667">
        <v>108</v>
      </c>
      <c r="S667">
        <v>0.52427184466019416</v>
      </c>
      <c r="T667">
        <v>2.2569117923641152E-3</v>
      </c>
      <c r="U667">
        <v>65</v>
      </c>
      <c r="V667">
        <v>0.3155339805825243</v>
      </c>
      <c r="W667">
        <v>1.3583265417006249E-3</v>
      </c>
      <c r="X667">
        <v>9</v>
      </c>
      <c r="Y667">
        <v>4.3689320388349516E-2</v>
      </c>
      <c r="Z667">
        <v>1.880759826970096E-4</v>
      </c>
      <c r="AA667">
        <v>2</v>
      </c>
      <c r="AB667">
        <v>9.7087378640776691E-3</v>
      </c>
      <c r="AC667">
        <v>4.179466282155769E-5</v>
      </c>
      <c r="AD667">
        <v>7</v>
      </c>
      <c r="AE667">
        <v>3.3980582524271843E-2</v>
      </c>
      <c r="AF667">
        <v>1.462813198754519E-4</v>
      </c>
    </row>
    <row r="668" spans="1:32" x14ac:dyDescent="0.2">
      <c r="A668">
        <v>2585.8638888888891</v>
      </c>
      <c r="B668">
        <v>605</v>
      </c>
      <c r="C668">
        <v>86</v>
      </c>
      <c r="D668">
        <v>161</v>
      </c>
      <c r="E668">
        <v>5</v>
      </c>
      <c r="F668">
        <v>8</v>
      </c>
      <c r="G668">
        <v>10</v>
      </c>
      <c r="H668">
        <v>77</v>
      </c>
      <c r="I668">
        <v>10</v>
      </c>
      <c r="J668">
        <v>100</v>
      </c>
      <c r="K668">
        <v>36</v>
      </c>
      <c r="L668">
        <v>817</v>
      </c>
      <c r="M668">
        <v>50</v>
      </c>
      <c r="N668">
        <v>6.1199510403916767E-2</v>
      </c>
      <c r="O668">
        <v>0</v>
      </c>
      <c r="P668">
        <v>0</v>
      </c>
      <c r="Q668">
        <v>0</v>
      </c>
      <c r="R668">
        <v>30</v>
      </c>
      <c r="S668">
        <v>0.6</v>
      </c>
      <c r="T668">
        <v>3.6719706242350061E-2</v>
      </c>
      <c r="U668">
        <v>0</v>
      </c>
      <c r="V668">
        <v>0</v>
      </c>
      <c r="W668">
        <v>0</v>
      </c>
      <c r="X668">
        <v>20</v>
      </c>
      <c r="Y668">
        <v>0.4</v>
      </c>
      <c r="Z668">
        <v>2.4479804161566709E-2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">
      <c r="A669">
        <v>894.40091435184877</v>
      </c>
      <c r="B669">
        <v>940</v>
      </c>
      <c r="C669">
        <v>29</v>
      </c>
      <c r="D669">
        <v>218</v>
      </c>
      <c r="E669">
        <v>0</v>
      </c>
      <c r="F669">
        <v>3</v>
      </c>
      <c r="G669">
        <v>3</v>
      </c>
      <c r="H669">
        <v>4</v>
      </c>
      <c r="I669">
        <v>1</v>
      </c>
      <c r="J669">
        <v>93</v>
      </c>
      <c r="K669">
        <v>20</v>
      </c>
      <c r="L669">
        <v>9948</v>
      </c>
      <c r="M669">
        <v>258</v>
      </c>
      <c r="N669">
        <v>2.5934861278648975E-2</v>
      </c>
      <c r="O669">
        <v>48</v>
      </c>
      <c r="P669">
        <v>0.18604651162790697</v>
      </c>
      <c r="Q669">
        <v>4.8250904704463205E-3</v>
      </c>
      <c r="R669">
        <v>69</v>
      </c>
      <c r="S669">
        <v>0.26744186046511625</v>
      </c>
      <c r="T669">
        <v>6.936067551266586E-3</v>
      </c>
      <c r="U669">
        <v>62</v>
      </c>
      <c r="V669">
        <v>0.24031007751937986</v>
      </c>
      <c r="W669">
        <v>6.2324085243264981E-3</v>
      </c>
      <c r="X669">
        <v>79</v>
      </c>
      <c r="Y669">
        <v>0.30620155038759689</v>
      </c>
      <c r="Z669">
        <v>7.94129473260957E-3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">
      <c r="A670">
        <v>2259.9694560185162</v>
      </c>
      <c r="B670">
        <v>8522</v>
      </c>
      <c r="C670">
        <v>478</v>
      </c>
      <c r="D670">
        <v>2008</v>
      </c>
      <c r="E670">
        <v>37</v>
      </c>
      <c r="F670">
        <v>28</v>
      </c>
      <c r="G670">
        <v>66</v>
      </c>
      <c r="H670">
        <v>608</v>
      </c>
      <c r="I670">
        <v>1</v>
      </c>
      <c r="J670">
        <v>1098</v>
      </c>
      <c r="K670">
        <v>5</v>
      </c>
      <c r="L670">
        <v>8353</v>
      </c>
      <c r="M670">
        <v>513</v>
      </c>
      <c r="N670">
        <v>6.1415060457320723E-2</v>
      </c>
      <c r="O670">
        <v>1</v>
      </c>
      <c r="P670">
        <v>1.9493177387914229E-3</v>
      </c>
      <c r="Q670">
        <v>1.1971746677840296E-4</v>
      </c>
      <c r="R670">
        <v>283</v>
      </c>
      <c r="S670">
        <v>0.55165692007797273</v>
      </c>
      <c r="T670">
        <v>3.3880043098288043E-2</v>
      </c>
      <c r="U670">
        <v>35</v>
      </c>
      <c r="V670">
        <v>6.8226120857699801E-2</v>
      </c>
      <c r="W670">
        <v>4.190111337244104E-3</v>
      </c>
      <c r="X670">
        <v>61</v>
      </c>
      <c r="Y670">
        <v>0.1189083820662768</v>
      </c>
      <c r="Z670">
        <v>7.3027654734825814E-3</v>
      </c>
      <c r="AA670">
        <v>0</v>
      </c>
      <c r="AB670">
        <v>0</v>
      </c>
      <c r="AC670">
        <v>0</v>
      </c>
      <c r="AD670">
        <v>133</v>
      </c>
      <c r="AE670">
        <v>0.25925925925925924</v>
      </c>
      <c r="AF670">
        <v>1.5922423081527595E-2</v>
      </c>
    </row>
    <row r="671" spans="1:32" x14ac:dyDescent="0.2">
      <c r="A671">
        <v>142.97954861111066</v>
      </c>
      <c r="B671">
        <v>671</v>
      </c>
      <c r="C671">
        <v>38</v>
      </c>
      <c r="D671">
        <v>122</v>
      </c>
      <c r="E671">
        <v>1</v>
      </c>
      <c r="F671">
        <v>5</v>
      </c>
      <c r="G671">
        <v>21</v>
      </c>
      <c r="H671">
        <v>238</v>
      </c>
      <c r="I671">
        <v>5</v>
      </c>
      <c r="J671">
        <v>58</v>
      </c>
      <c r="K671">
        <v>14</v>
      </c>
      <c r="L671">
        <v>3493</v>
      </c>
      <c r="M671">
        <v>13</v>
      </c>
      <c r="N671">
        <v>3.7217291726309764E-3</v>
      </c>
      <c r="O671">
        <v>2</v>
      </c>
      <c r="P671">
        <v>0.15384615384615385</v>
      </c>
      <c r="Q671">
        <v>5.7257371886630399E-4</v>
      </c>
      <c r="R671">
        <v>8</v>
      </c>
      <c r="S671">
        <v>0.61538461538461542</v>
      </c>
      <c r="T671">
        <v>2.290294875465216E-3</v>
      </c>
      <c r="U671">
        <v>1</v>
      </c>
      <c r="V671">
        <v>7.6923076923076927E-2</v>
      </c>
      <c r="W671">
        <v>2.8628685943315199E-4</v>
      </c>
      <c r="X671">
        <v>2</v>
      </c>
      <c r="Y671">
        <v>0.15384615384615385</v>
      </c>
      <c r="Z671">
        <v>5.7257371886630399E-4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">
      <c r="A672">
        <v>1021.8646759259282</v>
      </c>
      <c r="B672">
        <v>5943</v>
      </c>
      <c r="C672">
        <v>106</v>
      </c>
      <c r="D672">
        <v>408</v>
      </c>
      <c r="E672">
        <v>35</v>
      </c>
      <c r="F672">
        <v>24</v>
      </c>
      <c r="G672">
        <v>75</v>
      </c>
      <c r="H672">
        <v>1305</v>
      </c>
      <c r="I672">
        <v>40</v>
      </c>
      <c r="J672">
        <v>1658</v>
      </c>
      <c r="K672">
        <v>465</v>
      </c>
      <c r="L672">
        <v>33105</v>
      </c>
      <c r="M672">
        <v>97</v>
      </c>
      <c r="N672">
        <v>2.9300709862558525E-3</v>
      </c>
      <c r="O672">
        <v>16</v>
      </c>
      <c r="P672">
        <v>0.16494845360824742</v>
      </c>
      <c r="Q672">
        <v>4.8331067814529527E-4</v>
      </c>
      <c r="R672">
        <v>47</v>
      </c>
      <c r="S672">
        <v>0.4845360824742268</v>
      </c>
      <c r="T672">
        <v>1.4197251170518048E-3</v>
      </c>
      <c r="U672">
        <v>34</v>
      </c>
      <c r="V672">
        <v>0.35051546391752575</v>
      </c>
      <c r="W672">
        <v>1.0270351910587525E-3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">
      <c r="A673">
        <v>2914.1362615740727</v>
      </c>
      <c r="B673">
        <v>1786</v>
      </c>
      <c r="C673">
        <v>90</v>
      </c>
      <c r="D673">
        <v>249</v>
      </c>
      <c r="E673">
        <v>4</v>
      </c>
      <c r="F673">
        <v>27</v>
      </c>
      <c r="G673">
        <v>77</v>
      </c>
      <c r="H673">
        <v>534</v>
      </c>
      <c r="I673">
        <v>10</v>
      </c>
      <c r="J673">
        <v>1539</v>
      </c>
      <c r="K673">
        <v>68</v>
      </c>
      <c r="L673">
        <v>16822</v>
      </c>
      <c r="M673">
        <v>28</v>
      </c>
      <c r="N673">
        <v>1.6644869813339674E-3</v>
      </c>
      <c r="O673">
        <v>5</v>
      </c>
      <c r="P673">
        <v>0.17857142857142858</v>
      </c>
      <c r="Q673">
        <v>2.9722981809535132E-4</v>
      </c>
      <c r="R673">
        <v>12</v>
      </c>
      <c r="S673">
        <v>0.42857142857142855</v>
      </c>
      <c r="T673">
        <v>7.1335156342884317E-4</v>
      </c>
      <c r="U673">
        <v>4</v>
      </c>
      <c r="V673">
        <v>0.14285714285714285</v>
      </c>
      <c r="W673">
        <v>2.3778385447628106E-4</v>
      </c>
      <c r="X673">
        <v>4</v>
      </c>
      <c r="Y673">
        <v>0.14285714285714285</v>
      </c>
      <c r="Z673">
        <v>2.3778385447628106E-4</v>
      </c>
      <c r="AA673">
        <v>3</v>
      </c>
      <c r="AB673">
        <v>0.10714285714285714</v>
      </c>
      <c r="AC673">
        <v>1.7833789085721079E-4</v>
      </c>
      <c r="AD673">
        <v>0</v>
      </c>
      <c r="AE673">
        <v>0</v>
      </c>
      <c r="AF673">
        <v>0</v>
      </c>
    </row>
    <row r="674" spans="1:32" x14ac:dyDescent="0.2">
      <c r="A674">
        <v>861.78700231482071</v>
      </c>
      <c r="B674">
        <v>445</v>
      </c>
      <c r="C674">
        <v>31</v>
      </c>
      <c r="D674">
        <v>140</v>
      </c>
      <c r="E674">
        <v>0</v>
      </c>
      <c r="F674">
        <v>0</v>
      </c>
      <c r="G674">
        <v>16</v>
      </c>
      <c r="H674">
        <v>52</v>
      </c>
      <c r="I674">
        <v>2</v>
      </c>
      <c r="J674">
        <v>38</v>
      </c>
      <c r="K674">
        <v>9</v>
      </c>
      <c r="L674">
        <v>3442</v>
      </c>
      <c r="M674">
        <v>6</v>
      </c>
      <c r="N674">
        <v>1.7431725740848344E-3</v>
      </c>
      <c r="O674">
        <v>0</v>
      </c>
      <c r="P674">
        <v>0</v>
      </c>
      <c r="Q674">
        <v>0</v>
      </c>
      <c r="R674">
        <v>3</v>
      </c>
      <c r="S674">
        <v>0.5</v>
      </c>
      <c r="T674">
        <v>8.7158628704241722E-4</v>
      </c>
      <c r="U674">
        <v>3</v>
      </c>
      <c r="V674">
        <v>0.5</v>
      </c>
      <c r="W674">
        <v>8.7158628704241722E-4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">
      <c r="A675">
        <v>664.69910879629606</v>
      </c>
      <c r="B675">
        <v>2412</v>
      </c>
      <c r="C675">
        <v>84</v>
      </c>
      <c r="D675">
        <v>663</v>
      </c>
      <c r="E675">
        <v>0</v>
      </c>
      <c r="F675">
        <v>4</v>
      </c>
      <c r="G675">
        <v>6</v>
      </c>
      <c r="H675">
        <v>27</v>
      </c>
      <c r="I675">
        <v>1</v>
      </c>
      <c r="J675">
        <v>43</v>
      </c>
      <c r="K675">
        <v>1</v>
      </c>
      <c r="L675">
        <v>5526</v>
      </c>
      <c r="M675">
        <v>37</v>
      </c>
      <c r="N675">
        <v>6.6956207021353605E-3</v>
      </c>
      <c r="O675">
        <v>2</v>
      </c>
      <c r="P675">
        <v>5.4054054054054057E-2</v>
      </c>
      <c r="Q675">
        <v>3.6192544335866811E-4</v>
      </c>
      <c r="R675">
        <v>10</v>
      </c>
      <c r="S675">
        <v>0.27027027027027029</v>
      </c>
      <c r="T675">
        <v>1.8096272167933405E-3</v>
      </c>
      <c r="U675">
        <v>0</v>
      </c>
      <c r="V675">
        <v>0</v>
      </c>
      <c r="W675">
        <v>0</v>
      </c>
      <c r="X675">
        <v>21</v>
      </c>
      <c r="Y675">
        <v>0.56756756756756754</v>
      </c>
      <c r="Z675">
        <v>3.8002171552660152E-3</v>
      </c>
      <c r="AA675">
        <v>0</v>
      </c>
      <c r="AB675">
        <v>0</v>
      </c>
      <c r="AC675">
        <v>0</v>
      </c>
      <c r="AD675">
        <v>4</v>
      </c>
      <c r="AE675">
        <v>0.10810810810810811</v>
      </c>
      <c r="AF675">
        <v>7.2385088671733622E-4</v>
      </c>
    </row>
    <row r="676" spans="1:32" x14ac:dyDescent="0.2">
      <c r="A676">
        <v>437.83513888889138</v>
      </c>
      <c r="B676">
        <v>508</v>
      </c>
      <c r="C676">
        <v>25</v>
      </c>
      <c r="D676">
        <v>40</v>
      </c>
      <c r="E676">
        <v>0</v>
      </c>
      <c r="F676">
        <v>10</v>
      </c>
      <c r="G676">
        <v>24</v>
      </c>
      <c r="H676">
        <v>573</v>
      </c>
      <c r="I676">
        <v>11</v>
      </c>
      <c r="J676">
        <v>341</v>
      </c>
      <c r="K676">
        <v>67</v>
      </c>
      <c r="L676">
        <v>12762</v>
      </c>
      <c r="M676">
        <v>4</v>
      </c>
      <c r="N676">
        <v>3.1343049678733741E-4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4</v>
      </c>
      <c r="AE676">
        <v>1</v>
      </c>
      <c r="AF676">
        <v>3.1343049678733741E-4</v>
      </c>
    </row>
    <row r="677" spans="1:32" x14ac:dyDescent="0.2">
      <c r="A677">
        <v>3514.9228240740704</v>
      </c>
      <c r="B677">
        <v>510</v>
      </c>
      <c r="C677">
        <v>38</v>
      </c>
      <c r="D677">
        <v>216</v>
      </c>
      <c r="E677">
        <v>192</v>
      </c>
      <c r="F677">
        <v>56</v>
      </c>
      <c r="G677">
        <v>107</v>
      </c>
      <c r="H677">
        <v>5738</v>
      </c>
      <c r="I677">
        <v>0</v>
      </c>
      <c r="J677">
        <v>0</v>
      </c>
      <c r="K677">
        <v>0</v>
      </c>
      <c r="L677">
        <v>22839</v>
      </c>
      <c r="M677">
        <v>136</v>
      </c>
      <c r="N677">
        <v>5.9547265642103421E-3</v>
      </c>
      <c r="O677">
        <v>40</v>
      </c>
      <c r="P677">
        <v>0.29411764705882354</v>
      </c>
      <c r="Q677">
        <v>1.7513901659442182E-3</v>
      </c>
      <c r="R677">
        <v>38</v>
      </c>
      <c r="S677">
        <v>0.27941176470588236</v>
      </c>
      <c r="T677">
        <v>1.6638206576470073E-3</v>
      </c>
      <c r="U677">
        <v>26</v>
      </c>
      <c r="V677">
        <v>0.19117647058823528</v>
      </c>
      <c r="W677">
        <v>1.1384036078637418E-3</v>
      </c>
      <c r="X677">
        <v>21</v>
      </c>
      <c r="Y677">
        <v>0.15441176470588236</v>
      </c>
      <c r="Z677">
        <v>9.1947983712071461E-4</v>
      </c>
      <c r="AA677">
        <v>3</v>
      </c>
      <c r="AB677">
        <v>2.2058823529411766E-2</v>
      </c>
      <c r="AC677">
        <v>1.3135426244581636E-4</v>
      </c>
      <c r="AD677">
        <v>8</v>
      </c>
      <c r="AE677">
        <v>5.8823529411764705E-2</v>
      </c>
      <c r="AF677">
        <v>3.5027803318884364E-4</v>
      </c>
    </row>
    <row r="678" spans="1:32" x14ac:dyDescent="0.2">
      <c r="A678">
        <v>2612.4987731481524</v>
      </c>
      <c r="B678">
        <v>1336</v>
      </c>
      <c r="C678">
        <v>72</v>
      </c>
      <c r="D678">
        <v>115</v>
      </c>
      <c r="E678">
        <v>0</v>
      </c>
      <c r="F678">
        <v>4</v>
      </c>
      <c r="G678">
        <v>41</v>
      </c>
      <c r="H678">
        <v>88</v>
      </c>
      <c r="I678">
        <v>0</v>
      </c>
      <c r="J678">
        <v>184</v>
      </c>
      <c r="K678">
        <v>55</v>
      </c>
      <c r="L678">
        <v>332</v>
      </c>
      <c r="M678">
        <v>1</v>
      </c>
      <c r="N678">
        <v>3.0120481927710845E-3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3.0120481927710845E-3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">
      <c r="A679">
        <v>2624.2432291666628</v>
      </c>
      <c r="B679">
        <v>707</v>
      </c>
      <c r="C679">
        <v>84</v>
      </c>
      <c r="D679">
        <v>445</v>
      </c>
      <c r="E679">
        <v>0</v>
      </c>
      <c r="F679">
        <v>122</v>
      </c>
      <c r="G679">
        <v>612</v>
      </c>
      <c r="H679">
        <v>10581</v>
      </c>
      <c r="I679">
        <v>21</v>
      </c>
      <c r="J679">
        <v>6212</v>
      </c>
      <c r="K679">
        <v>193</v>
      </c>
      <c r="L679">
        <v>87501</v>
      </c>
      <c r="M679">
        <v>464</v>
      </c>
      <c r="N679">
        <v>5.3027965394681206E-3</v>
      </c>
      <c r="O679">
        <v>7</v>
      </c>
      <c r="P679">
        <v>1.5086206896551725E-2</v>
      </c>
      <c r="Q679">
        <v>7.999908572473458E-5</v>
      </c>
      <c r="R679">
        <v>349</v>
      </c>
      <c r="S679">
        <v>0.75215517241379315</v>
      </c>
      <c r="T679">
        <v>3.9885258454189091E-3</v>
      </c>
      <c r="U679">
        <v>20</v>
      </c>
      <c r="V679">
        <v>4.3103448275862072E-2</v>
      </c>
      <c r="W679">
        <v>2.2856881635638449E-4</v>
      </c>
      <c r="X679">
        <v>57</v>
      </c>
      <c r="Y679">
        <v>0.12284482758620689</v>
      </c>
      <c r="Z679">
        <v>6.514211266156958E-4</v>
      </c>
      <c r="AA679">
        <v>5</v>
      </c>
      <c r="AB679">
        <v>1.0775862068965518E-2</v>
      </c>
      <c r="AC679">
        <v>5.7142204089096124E-5</v>
      </c>
      <c r="AD679">
        <v>26</v>
      </c>
      <c r="AE679">
        <v>5.6034482758620691E-2</v>
      </c>
      <c r="AF679">
        <v>2.9713946126329983E-4</v>
      </c>
    </row>
    <row r="680" spans="1:32" x14ac:dyDescent="0.2">
      <c r="A680">
        <v>1122.9813657407358</v>
      </c>
      <c r="B680">
        <v>336</v>
      </c>
      <c r="C680">
        <v>19</v>
      </c>
      <c r="D680">
        <v>214</v>
      </c>
      <c r="E680">
        <v>0</v>
      </c>
      <c r="F680">
        <v>86</v>
      </c>
      <c r="G680">
        <v>77</v>
      </c>
      <c r="H680">
        <v>1530</v>
      </c>
      <c r="I680">
        <v>9</v>
      </c>
      <c r="J680">
        <v>752</v>
      </c>
      <c r="K680">
        <v>215</v>
      </c>
      <c r="L680">
        <v>12300</v>
      </c>
      <c r="M680">
        <v>250</v>
      </c>
      <c r="N680">
        <v>2.032520325203252E-2</v>
      </c>
      <c r="O680">
        <v>14</v>
      </c>
      <c r="P680">
        <v>5.6000000000000001E-2</v>
      </c>
      <c r="Q680">
        <v>1.1382113821138211E-3</v>
      </c>
      <c r="R680">
        <v>214</v>
      </c>
      <c r="S680">
        <v>0.85599999999999998</v>
      </c>
      <c r="T680">
        <v>1.7398373983739838E-2</v>
      </c>
      <c r="U680">
        <v>18</v>
      </c>
      <c r="V680">
        <v>7.1999999999999995E-2</v>
      </c>
      <c r="W680">
        <v>1.4634146341463415E-3</v>
      </c>
      <c r="X680">
        <v>4</v>
      </c>
      <c r="Y680">
        <v>1.6E-2</v>
      </c>
      <c r="Z680">
        <v>3.2520325203252032E-4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">
      <c r="A681">
        <v>3597.329270833332</v>
      </c>
      <c r="B681">
        <v>768</v>
      </c>
      <c r="C681">
        <v>48</v>
      </c>
      <c r="D681">
        <v>193</v>
      </c>
      <c r="E681">
        <v>0</v>
      </c>
      <c r="F681">
        <v>22</v>
      </c>
      <c r="G681">
        <v>57</v>
      </c>
      <c r="H681">
        <v>613</v>
      </c>
      <c r="I681">
        <v>20</v>
      </c>
      <c r="J681">
        <v>88</v>
      </c>
      <c r="K681">
        <v>37</v>
      </c>
      <c r="L681">
        <v>8786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">
      <c r="A682">
        <v>1885.3665162036996</v>
      </c>
      <c r="B682">
        <v>1552</v>
      </c>
      <c r="C682">
        <v>64</v>
      </c>
      <c r="D682">
        <v>125</v>
      </c>
      <c r="E682">
        <v>0</v>
      </c>
      <c r="F682">
        <v>10</v>
      </c>
      <c r="G682">
        <v>19</v>
      </c>
      <c r="H682">
        <v>243</v>
      </c>
      <c r="I682">
        <v>11</v>
      </c>
      <c r="J682">
        <v>198</v>
      </c>
      <c r="K682">
        <v>57</v>
      </c>
      <c r="L682">
        <v>2514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">
      <c r="A683">
        <v>2905.0363078703667</v>
      </c>
      <c r="B683">
        <v>445</v>
      </c>
      <c r="C683">
        <v>51</v>
      </c>
      <c r="D683">
        <v>124</v>
      </c>
      <c r="E683">
        <v>2</v>
      </c>
      <c r="F683">
        <v>22</v>
      </c>
      <c r="G683">
        <v>35</v>
      </c>
      <c r="H683">
        <v>1014</v>
      </c>
      <c r="I683">
        <v>13</v>
      </c>
      <c r="J683">
        <v>542</v>
      </c>
      <c r="K683">
        <v>70</v>
      </c>
      <c r="L683">
        <v>16147</v>
      </c>
      <c r="M683">
        <v>60</v>
      </c>
      <c r="N683">
        <v>3.715860531368056E-3</v>
      </c>
      <c r="O683">
        <v>17</v>
      </c>
      <c r="P683">
        <v>0.28333333333333333</v>
      </c>
      <c r="Q683">
        <v>1.0528271505542825E-3</v>
      </c>
      <c r="R683">
        <v>32</v>
      </c>
      <c r="S683">
        <v>0.53333333333333333</v>
      </c>
      <c r="T683">
        <v>1.9817922833962965E-3</v>
      </c>
      <c r="U683">
        <v>5</v>
      </c>
      <c r="V683">
        <v>8.3333333333333329E-2</v>
      </c>
      <c r="W683">
        <v>3.0965504428067135E-4</v>
      </c>
      <c r="X683">
        <v>6</v>
      </c>
      <c r="Y683">
        <v>0.1</v>
      </c>
      <c r="Z683">
        <v>3.7158605313680559E-4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">
      <c r="A684">
        <v>4089.7598495370403</v>
      </c>
      <c r="B684">
        <v>761</v>
      </c>
      <c r="C684">
        <v>266</v>
      </c>
      <c r="D684">
        <v>533</v>
      </c>
      <c r="E684">
        <v>4</v>
      </c>
      <c r="F684">
        <v>1297</v>
      </c>
      <c r="G684">
        <v>109</v>
      </c>
      <c r="H684">
        <v>4089</v>
      </c>
      <c r="I684">
        <v>16</v>
      </c>
      <c r="J684">
        <v>504</v>
      </c>
      <c r="K684">
        <v>50</v>
      </c>
      <c r="L684">
        <v>41725</v>
      </c>
      <c r="M684">
        <v>149</v>
      </c>
      <c r="N684">
        <v>3.5710005991611742E-3</v>
      </c>
      <c r="O684">
        <v>29</v>
      </c>
      <c r="P684">
        <v>0.19463087248322147</v>
      </c>
      <c r="Q684">
        <v>6.9502696225284604E-4</v>
      </c>
      <c r="R684">
        <v>66</v>
      </c>
      <c r="S684">
        <v>0.44295302013422821</v>
      </c>
      <c r="T684">
        <v>1.5817855002995807E-3</v>
      </c>
      <c r="U684">
        <v>24</v>
      </c>
      <c r="V684">
        <v>0.16107382550335569</v>
      </c>
      <c r="W684">
        <v>5.7519472738166565E-4</v>
      </c>
      <c r="X684">
        <v>18</v>
      </c>
      <c r="Y684">
        <v>0.12080536912751678</v>
      </c>
      <c r="Z684">
        <v>4.3139604553624927E-4</v>
      </c>
      <c r="AA684">
        <v>1</v>
      </c>
      <c r="AB684">
        <v>6.7114093959731542E-3</v>
      </c>
      <c r="AC684">
        <v>2.396644697423607E-5</v>
      </c>
      <c r="AD684">
        <v>11</v>
      </c>
      <c r="AE684">
        <v>7.3825503355704702E-2</v>
      </c>
      <c r="AF684">
        <v>2.6363091671659678E-4</v>
      </c>
    </row>
    <row r="685" spans="1:32" x14ac:dyDescent="0.2">
      <c r="A685">
        <v>2599.163495370376</v>
      </c>
      <c r="B685">
        <v>2106</v>
      </c>
      <c r="C685">
        <v>154</v>
      </c>
      <c r="D685">
        <v>273</v>
      </c>
      <c r="E685">
        <v>52</v>
      </c>
      <c r="F685">
        <v>8</v>
      </c>
      <c r="G685">
        <v>40</v>
      </c>
      <c r="H685">
        <v>1320</v>
      </c>
      <c r="I685">
        <v>8</v>
      </c>
      <c r="J685">
        <v>387</v>
      </c>
      <c r="K685">
        <v>70</v>
      </c>
      <c r="L685">
        <v>19260</v>
      </c>
      <c r="M685">
        <v>343</v>
      </c>
      <c r="N685">
        <v>1.7808930425752857E-2</v>
      </c>
      <c r="O685">
        <v>134</v>
      </c>
      <c r="P685">
        <v>0.39067055393586003</v>
      </c>
      <c r="Q685">
        <v>6.9574247144340599E-3</v>
      </c>
      <c r="R685">
        <v>46</v>
      </c>
      <c r="S685">
        <v>0.13411078717201166</v>
      </c>
      <c r="T685">
        <v>2.3883696780893043E-3</v>
      </c>
      <c r="U685">
        <v>4</v>
      </c>
      <c r="V685">
        <v>1.1661807580174927E-2</v>
      </c>
      <c r="W685">
        <v>2.0768431983385254E-4</v>
      </c>
      <c r="X685">
        <v>110</v>
      </c>
      <c r="Y685">
        <v>0.32069970845481049</v>
      </c>
      <c r="Z685">
        <v>5.711318795430945E-3</v>
      </c>
      <c r="AA685">
        <v>0</v>
      </c>
      <c r="AB685">
        <v>0</v>
      </c>
      <c r="AC685">
        <v>0</v>
      </c>
      <c r="AD685">
        <v>49</v>
      </c>
      <c r="AE685">
        <v>0.14285714285714285</v>
      </c>
      <c r="AF685">
        <v>2.5441329179646936E-3</v>
      </c>
    </row>
    <row r="686" spans="1:32" x14ac:dyDescent="0.2">
      <c r="A686">
        <v>2491.8107060185212</v>
      </c>
      <c r="B686">
        <v>1118</v>
      </c>
      <c r="C686">
        <v>61</v>
      </c>
      <c r="D686">
        <v>232</v>
      </c>
      <c r="E686">
        <v>18</v>
      </c>
      <c r="F686">
        <v>6</v>
      </c>
      <c r="G686">
        <v>46</v>
      </c>
      <c r="H686">
        <v>373</v>
      </c>
      <c r="I686">
        <v>7</v>
      </c>
      <c r="J686">
        <v>503</v>
      </c>
      <c r="K686">
        <v>117</v>
      </c>
      <c r="L686">
        <v>5982</v>
      </c>
      <c r="M686">
        <v>142</v>
      </c>
      <c r="N686">
        <v>2.3737880307589436E-2</v>
      </c>
      <c r="O686">
        <v>55</v>
      </c>
      <c r="P686">
        <v>0.38732394366197181</v>
      </c>
      <c r="Q686">
        <v>9.1942494149114002E-3</v>
      </c>
      <c r="R686">
        <v>41</v>
      </c>
      <c r="S686">
        <v>0.28873239436619719</v>
      </c>
      <c r="T686">
        <v>6.8538950183884987E-3</v>
      </c>
      <c r="U686">
        <v>9</v>
      </c>
      <c r="V686">
        <v>6.3380281690140844E-2</v>
      </c>
      <c r="W686">
        <v>1.5045135406218655E-3</v>
      </c>
      <c r="X686">
        <v>29</v>
      </c>
      <c r="Y686">
        <v>0.20422535211267606</v>
      </c>
      <c r="Z686">
        <v>4.8478769642260116E-3</v>
      </c>
      <c r="AA686">
        <v>8</v>
      </c>
      <c r="AB686">
        <v>5.6338028169014086E-2</v>
      </c>
      <c r="AC686">
        <v>1.3373453694416582E-3</v>
      </c>
      <c r="AD686">
        <v>0</v>
      </c>
      <c r="AE686">
        <v>0</v>
      </c>
      <c r="AF686">
        <v>0</v>
      </c>
    </row>
    <row r="687" spans="1:32" x14ac:dyDescent="0.2">
      <c r="A687">
        <v>4166.7863888888896</v>
      </c>
      <c r="B687">
        <v>478</v>
      </c>
      <c r="C687">
        <v>29</v>
      </c>
      <c r="D687">
        <v>228</v>
      </c>
      <c r="E687">
        <v>9</v>
      </c>
      <c r="F687">
        <v>6258</v>
      </c>
      <c r="G687">
        <v>185</v>
      </c>
      <c r="H687">
        <v>3521</v>
      </c>
      <c r="I687">
        <v>0</v>
      </c>
      <c r="J687">
        <v>0</v>
      </c>
      <c r="K687">
        <v>0</v>
      </c>
      <c r="L687">
        <v>70096</v>
      </c>
      <c r="M687">
        <v>463</v>
      </c>
      <c r="N687">
        <v>6.6052271170965529E-3</v>
      </c>
      <c r="O687">
        <v>40</v>
      </c>
      <c r="P687">
        <v>8.6393088552915762E-2</v>
      </c>
      <c r="Q687">
        <v>5.7064597123944309E-4</v>
      </c>
      <c r="R687">
        <v>286</v>
      </c>
      <c r="S687">
        <v>0.6177105831533477</v>
      </c>
      <c r="T687">
        <v>4.0801186943620182E-3</v>
      </c>
      <c r="U687">
        <v>17</v>
      </c>
      <c r="V687">
        <v>3.6717062634989202E-2</v>
      </c>
      <c r="W687">
        <v>2.4252453777676329E-4</v>
      </c>
      <c r="X687">
        <v>114</v>
      </c>
      <c r="Y687">
        <v>0.24622030237580994</v>
      </c>
      <c r="Z687">
        <v>1.6263410180324127E-3</v>
      </c>
      <c r="AA687">
        <v>2</v>
      </c>
      <c r="AB687">
        <v>4.3196544276457886E-3</v>
      </c>
      <c r="AC687">
        <v>2.8532298561972153E-5</v>
      </c>
      <c r="AD687">
        <v>4</v>
      </c>
      <c r="AE687">
        <v>8.6393088552915772E-3</v>
      </c>
      <c r="AF687">
        <v>5.7064597123944306E-5</v>
      </c>
    </row>
    <row r="688" spans="1:32" x14ac:dyDescent="0.2">
      <c r="A688">
        <v>2194.8953356481434</v>
      </c>
      <c r="B688">
        <v>417</v>
      </c>
      <c r="C688">
        <v>27</v>
      </c>
      <c r="D688">
        <v>76</v>
      </c>
      <c r="E688">
        <v>3</v>
      </c>
      <c r="F688">
        <v>0</v>
      </c>
      <c r="G688">
        <v>11</v>
      </c>
      <c r="H688">
        <v>17</v>
      </c>
      <c r="I688">
        <v>4</v>
      </c>
      <c r="J688">
        <v>17</v>
      </c>
      <c r="K688">
        <v>4</v>
      </c>
      <c r="L688">
        <v>852</v>
      </c>
      <c r="M688">
        <v>41</v>
      </c>
      <c r="N688">
        <v>4.8122065727699531E-2</v>
      </c>
      <c r="O688">
        <v>2</v>
      </c>
      <c r="P688">
        <v>4.878048780487805E-2</v>
      </c>
      <c r="Q688">
        <v>2.3474178403755869E-3</v>
      </c>
      <c r="R688">
        <v>5</v>
      </c>
      <c r="S688">
        <v>0.12195121951219512</v>
      </c>
      <c r="T688">
        <v>5.8685446009389668E-3</v>
      </c>
      <c r="U688">
        <v>5</v>
      </c>
      <c r="V688">
        <v>0.12195121951219512</v>
      </c>
      <c r="W688">
        <v>5.8685446009389668E-3</v>
      </c>
      <c r="X688">
        <v>29</v>
      </c>
      <c r="Y688">
        <v>0.70731707317073167</v>
      </c>
      <c r="Z688">
        <v>3.4037558685446008E-2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">
      <c r="A689">
        <v>2621.9113425925898</v>
      </c>
      <c r="B689">
        <v>6654</v>
      </c>
      <c r="C689">
        <v>200</v>
      </c>
      <c r="D689">
        <v>539</v>
      </c>
      <c r="E689">
        <v>27</v>
      </c>
      <c r="F689">
        <v>30</v>
      </c>
      <c r="G689">
        <v>87</v>
      </c>
      <c r="H689">
        <v>251</v>
      </c>
      <c r="I689">
        <v>27</v>
      </c>
      <c r="J689">
        <v>905</v>
      </c>
      <c r="K689">
        <v>297</v>
      </c>
      <c r="L689">
        <v>5285</v>
      </c>
      <c r="M689">
        <v>4</v>
      </c>
      <c r="N689">
        <v>7.5685903500473037E-4</v>
      </c>
      <c r="O689">
        <v>1</v>
      </c>
      <c r="P689">
        <v>0.25</v>
      </c>
      <c r="Q689">
        <v>1.8921475875118259E-4</v>
      </c>
      <c r="R689">
        <v>3</v>
      </c>
      <c r="S689">
        <v>0.75</v>
      </c>
      <c r="T689">
        <v>5.6764427625354778E-4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">
      <c r="A690">
        <v>1149.4746180555521</v>
      </c>
      <c r="B690">
        <v>850</v>
      </c>
      <c r="C690">
        <v>57</v>
      </c>
      <c r="D690">
        <v>340</v>
      </c>
      <c r="E690">
        <v>0</v>
      </c>
      <c r="F690">
        <v>0</v>
      </c>
      <c r="G690">
        <v>2</v>
      </c>
      <c r="H690">
        <v>34</v>
      </c>
      <c r="I690">
        <v>21</v>
      </c>
      <c r="J690">
        <v>20</v>
      </c>
      <c r="K690">
        <v>2</v>
      </c>
      <c r="L690">
        <v>14574</v>
      </c>
      <c r="M690">
        <v>5</v>
      </c>
      <c r="N690">
        <v>3.4307671195279267E-4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3</v>
      </c>
      <c r="V690">
        <v>0.6</v>
      </c>
      <c r="W690">
        <v>2.0584602717167559E-4</v>
      </c>
      <c r="X690">
        <v>2</v>
      </c>
      <c r="Y690">
        <v>0.4</v>
      </c>
      <c r="Z690">
        <v>1.3723068478111705E-4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">
      <c r="A691">
        <v>1797.3832638888853</v>
      </c>
      <c r="B691">
        <v>1705</v>
      </c>
      <c r="C691">
        <v>190</v>
      </c>
      <c r="D691">
        <v>696</v>
      </c>
      <c r="E691">
        <v>4</v>
      </c>
      <c r="F691">
        <v>19</v>
      </c>
      <c r="G691">
        <v>60</v>
      </c>
      <c r="H691">
        <v>184</v>
      </c>
      <c r="I691">
        <v>30</v>
      </c>
      <c r="J691">
        <v>814</v>
      </c>
      <c r="K691">
        <v>421</v>
      </c>
      <c r="L691">
        <v>1781</v>
      </c>
      <c r="M691">
        <v>12</v>
      </c>
      <c r="N691">
        <v>6.7377877596855699E-3</v>
      </c>
      <c r="O691">
        <v>2</v>
      </c>
      <c r="P691">
        <v>0.16666666666666666</v>
      </c>
      <c r="Q691">
        <v>1.1229646266142617E-3</v>
      </c>
      <c r="R691">
        <v>8</v>
      </c>
      <c r="S691">
        <v>0.66666666666666663</v>
      </c>
      <c r="T691">
        <v>4.4918585064570469E-3</v>
      </c>
      <c r="U691">
        <v>0</v>
      </c>
      <c r="V691">
        <v>0</v>
      </c>
      <c r="W691">
        <v>0</v>
      </c>
      <c r="X691">
        <v>1</v>
      </c>
      <c r="Y691">
        <v>8.3333333333333329E-2</v>
      </c>
      <c r="Z691">
        <v>5.6148231330713087E-4</v>
      </c>
      <c r="AA691">
        <v>1</v>
      </c>
      <c r="AB691">
        <v>8.3333333333333329E-2</v>
      </c>
      <c r="AC691">
        <v>5.6148231330713087E-4</v>
      </c>
      <c r="AD691">
        <v>0</v>
      </c>
      <c r="AE691">
        <v>0</v>
      </c>
      <c r="AF691">
        <v>0</v>
      </c>
    </row>
    <row r="692" spans="1:32" x14ac:dyDescent="0.2">
      <c r="A692">
        <v>1185.2203472222172</v>
      </c>
      <c r="B692">
        <v>650</v>
      </c>
      <c r="C692">
        <v>29</v>
      </c>
      <c r="D692">
        <v>185</v>
      </c>
      <c r="E692">
        <v>0</v>
      </c>
      <c r="F692">
        <v>4</v>
      </c>
      <c r="G692">
        <v>32</v>
      </c>
      <c r="H692">
        <v>131</v>
      </c>
      <c r="I692">
        <v>7</v>
      </c>
      <c r="J692">
        <v>108</v>
      </c>
      <c r="K692">
        <v>9</v>
      </c>
      <c r="L692">
        <v>3684</v>
      </c>
      <c r="M692">
        <v>29</v>
      </c>
      <c r="N692">
        <v>7.8718783930510315E-3</v>
      </c>
      <c r="O692">
        <v>0</v>
      </c>
      <c r="P692">
        <v>0</v>
      </c>
      <c r="Q692">
        <v>0</v>
      </c>
      <c r="R692">
        <v>24</v>
      </c>
      <c r="S692">
        <v>0.82758620689655171</v>
      </c>
      <c r="T692">
        <v>6.5146579804560263E-3</v>
      </c>
      <c r="U692">
        <v>5</v>
      </c>
      <c r="V692">
        <v>0.17241379310344829</v>
      </c>
      <c r="W692">
        <v>1.3572204125950054E-3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">
      <c r="A693">
        <v>2936.3276620370307</v>
      </c>
      <c r="B693">
        <v>860</v>
      </c>
      <c r="C693">
        <v>91</v>
      </c>
      <c r="D693">
        <v>314</v>
      </c>
      <c r="E693">
        <v>2</v>
      </c>
      <c r="F693">
        <v>86</v>
      </c>
      <c r="G693">
        <v>42</v>
      </c>
      <c r="H693">
        <v>192</v>
      </c>
      <c r="I693">
        <v>7</v>
      </c>
      <c r="J693">
        <v>361</v>
      </c>
      <c r="K693">
        <v>93</v>
      </c>
      <c r="L693">
        <v>11316</v>
      </c>
      <c r="M693">
        <v>382</v>
      </c>
      <c r="N693">
        <v>3.3757511488158358E-2</v>
      </c>
      <c r="O693">
        <v>94</v>
      </c>
      <c r="P693">
        <v>0.24607329842931938</v>
      </c>
      <c r="Q693">
        <v>8.30682219865677E-3</v>
      </c>
      <c r="R693">
        <v>209</v>
      </c>
      <c r="S693">
        <v>0.54712041884816753</v>
      </c>
      <c r="T693">
        <v>1.846942382467303E-2</v>
      </c>
      <c r="U693">
        <v>39</v>
      </c>
      <c r="V693">
        <v>0.10209424083769633</v>
      </c>
      <c r="W693">
        <v>3.4464475079533405E-3</v>
      </c>
      <c r="X693">
        <v>23</v>
      </c>
      <c r="Y693">
        <v>6.0209424083769635E-2</v>
      </c>
      <c r="Z693">
        <v>2.0325203252032522E-3</v>
      </c>
      <c r="AA693">
        <v>2</v>
      </c>
      <c r="AB693">
        <v>5.235602094240838E-3</v>
      </c>
      <c r="AC693">
        <v>1.7674089784376105E-4</v>
      </c>
      <c r="AD693">
        <v>15</v>
      </c>
      <c r="AE693">
        <v>3.9267015706806283E-2</v>
      </c>
      <c r="AF693">
        <v>1.3255567338282079E-3</v>
      </c>
    </row>
    <row r="694" spans="1:32" x14ac:dyDescent="0.2">
      <c r="A694">
        <v>3063.2084027777746</v>
      </c>
      <c r="B694">
        <v>447</v>
      </c>
      <c r="C694">
        <v>52</v>
      </c>
      <c r="D694">
        <v>151</v>
      </c>
      <c r="E694">
        <v>1</v>
      </c>
      <c r="F694">
        <v>67</v>
      </c>
      <c r="G694">
        <v>40</v>
      </c>
      <c r="H694">
        <v>96</v>
      </c>
      <c r="I694">
        <v>1</v>
      </c>
      <c r="J694">
        <v>209</v>
      </c>
      <c r="K694">
        <v>1</v>
      </c>
      <c r="L694">
        <v>4024</v>
      </c>
      <c r="M694">
        <v>109</v>
      </c>
      <c r="N694">
        <v>2.7087475149105367E-2</v>
      </c>
      <c r="O694">
        <v>14</v>
      </c>
      <c r="P694">
        <v>0.12844036697247707</v>
      </c>
      <c r="Q694">
        <v>3.4791252485089465E-3</v>
      </c>
      <c r="R694">
        <v>23</v>
      </c>
      <c r="S694">
        <v>0.21100917431192662</v>
      </c>
      <c r="T694">
        <v>5.7157057654075548E-3</v>
      </c>
      <c r="U694">
        <v>46</v>
      </c>
      <c r="V694">
        <v>0.42201834862385323</v>
      </c>
      <c r="W694">
        <v>1.143141153081511E-2</v>
      </c>
      <c r="X694">
        <v>13</v>
      </c>
      <c r="Y694">
        <v>0.11926605504587157</v>
      </c>
      <c r="Z694">
        <v>3.2306163021868788E-3</v>
      </c>
      <c r="AA694">
        <v>0</v>
      </c>
      <c r="AB694">
        <v>0</v>
      </c>
      <c r="AC694">
        <v>0</v>
      </c>
      <c r="AD694">
        <v>13</v>
      </c>
      <c r="AE694">
        <v>0.11926605504587157</v>
      </c>
      <c r="AF694">
        <v>3.2306163021868788E-3</v>
      </c>
    </row>
    <row r="695" spans="1:32" x14ac:dyDescent="0.2">
      <c r="A695">
        <v>3265.312326388892</v>
      </c>
      <c r="B695">
        <v>371</v>
      </c>
      <c r="C695">
        <v>18</v>
      </c>
      <c r="D695">
        <v>107</v>
      </c>
      <c r="E695">
        <v>0</v>
      </c>
      <c r="F695">
        <v>7</v>
      </c>
      <c r="G695">
        <v>36</v>
      </c>
      <c r="H695">
        <v>106</v>
      </c>
      <c r="I695">
        <v>10</v>
      </c>
      <c r="J695">
        <v>110</v>
      </c>
      <c r="K695">
        <v>34</v>
      </c>
      <c r="L695">
        <v>2695</v>
      </c>
      <c r="M695">
        <v>18</v>
      </c>
      <c r="N695">
        <v>6.6790352504638223E-3</v>
      </c>
      <c r="O695">
        <v>1</v>
      </c>
      <c r="P695">
        <v>5.5555555555555552E-2</v>
      </c>
      <c r="Q695">
        <v>3.7105751391465676E-4</v>
      </c>
      <c r="R695">
        <v>14</v>
      </c>
      <c r="S695">
        <v>0.77777777777777779</v>
      </c>
      <c r="T695">
        <v>5.1948051948051948E-3</v>
      </c>
      <c r="U695">
        <v>0</v>
      </c>
      <c r="V695">
        <v>0</v>
      </c>
      <c r="W695">
        <v>0</v>
      </c>
      <c r="X695">
        <v>2</v>
      </c>
      <c r="Y695">
        <v>0.1111111111111111</v>
      </c>
      <c r="Z695">
        <v>7.4211502782931351E-4</v>
      </c>
      <c r="AA695">
        <v>0</v>
      </c>
      <c r="AB695">
        <v>0</v>
      </c>
      <c r="AC695">
        <v>0</v>
      </c>
      <c r="AD695">
        <v>1</v>
      </c>
      <c r="AE695">
        <v>5.5555555555555552E-2</v>
      </c>
      <c r="AF695">
        <v>3.7105751391465676E-4</v>
      </c>
    </row>
    <row r="696" spans="1:32" x14ac:dyDescent="0.2">
      <c r="A696">
        <v>2615.6803472222236</v>
      </c>
      <c r="B696">
        <v>358</v>
      </c>
      <c r="C696">
        <v>10</v>
      </c>
      <c r="D696">
        <v>47</v>
      </c>
      <c r="E696">
        <v>27</v>
      </c>
      <c r="F696">
        <v>2</v>
      </c>
      <c r="G696">
        <v>22</v>
      </c>
      <c r="H696">
        <v>84</v>
      </c>
      <c r="I696">
        <v>2</v>
      </c>
      <c r="J696">
        <v>81</v>
      </c>
      <c r="K696">
        <v>13</v>
      </c>
      <c r="L696">
        <v>908</v>
      </c>
      <c r="M696">
        <v>5</v>
      </c>
      <c r="N696">
        <v>5.5066079295154188E-3</v>
      </c>
      <c r="O696">
        <v>2</v>
      </c>
      <c r="P696">
        <v>0.4</v>
      </c>
      <c r="Q696">
        <v>2.2026431718061676E-3</v>
      </c>
      <c r="R696">
        <v>0</v>
      </c>
      <c r="S696">
        <v>0</v>
      </c>
      <c r="T696">
        <v>0</v>
      </c>
      <c r="U696">
        <v>1</v>
      </c>
      <c r="V696">
        <v>0.2</v>
      </c>
      <c r="W696">
        <v>1.1013215859030838E-3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2</v>
      </c>
      <c r="AE696">
        <v>0.4</v>
      </c>
      <c r="AF696">
        <v>2.2026431718061676E-3</v>
      </c>
    </row>
    <row r="697" spans="1:32" x14ac:dyDescent="0.2">
      <c r="A697">
        <v>1803.8145486111098</v>
      </c>
      <c r="B697">
        <v>566</v>
      </c>
      <c r="C697">
        <v>33</v>
      </c>
      <c r="D697">
        <v>82</v>
      </c>
      <c r="E697">
        <v>7</v>
      </c>
      <c r="F697">
        <v>2</v>
      </c>
      <c r="G697">
        <v>15</v>
      </c>
      <c r="H697">
        <v>97</v>
      </c>
      <c r="I697">
        <v>6</v>
      </c>
      <c r="J697">
        <v>56</v>
      </c>
      <c r="K697">
        <v>14</v>
      </c>
      <c r="L697">
        <v>4140</v>
      </c>
      <c r="M697">
        <v>45</v>
      </c>
      <c r="N697">
        <v>1.0869565217391304E-2</v>
      </c>
      <c r="O697">
        <v>14</v>
      </c>
      <c r="P697">
        <v>0.31111111111111112</v>
      </c>
      <c r="Q697">
        <v>3.3816425120772949E-3</v>
      </c>
      <c r="R697">
        <v>10</v>
      </c>
      <c r="S697">
        <v>0.22222222222222221</v>
      </c>
      <c r="T697">
        <v>2.4154589371980675E-3</v>
      </c>
      <c r="U697">
        <v>4</v>
      </c>
      <c r="V697">
        <v>8.8888888888888892E-2</v>
      </c>
      <c r="W697">
        <v>9.6618357487922703E-4</v>
      </c>
      <c r="X697">
        <v>14</v>
      </c>
      <c r="Y697">
        <v>0.31111111111111112</v>
      </c>
      <c r="Z697">
        <v>3.3816425120772949E-3</v>
      </c>
      <c r="AA697">
        <v>0</v>
      </c>
      <c r="AB697">
        <v>0</v>
      </c>
      <c r="AC697">
        <v>0</v>
      </c>
      <c r="AD697">
        <v>3</v>
      </c>
      <c r="AE697">
        <v>6.6666666666666666E-2</v>
      </c>
      <c r="AF697">
        <v>7.246376811594203E-4</v>
      </c>
    </row>
    <row r="698" spans="1:32" x14ac:dyDescent="0.2">
      <c r="A698">
        <v>1784.3780324074032</v>
      </c>
      <c r="B698">
        <v>5023</v>
      </c>
      <c r="C698">
        <v>297</v>
      </c>
      <c r="D698">
        <v>1026</v>
      </c>
      <c r="E698">
        <v>125</v>
      </c>
      <c r="F698">
        <v>17</v>
      </c>
      <c r="G698">
        <v>148</v>
      </c>
      <c r="H698">
        <v>1913</v>
      </c>
      <c r="I698">
        <v>35</v>
      </c>
      <c r="J698">
        <v>940</v>
      </c>
      <c r="K698">
        <v>108</v>
      </c>
      <c r="L698">
        <v>20423</v>
      </c>
      <c r="M698">
        <v>459</v>
      </c>
      <c r="N698">
        <v>2.2474660921510063E-2</v>
      </c>
      <c r="O698">
        <v>100</v>
      </c>
      <c r="P698">
        <v>0.2178649237472767</v>
      </c>
      <c r="Q698">
        <v>4.8964402879106885E-3</v>
      </c>
      <c r="R698">
        <v>155</v>
      </c>
      <c r="S698">
        <v>0.33769063180827885</v>
      </c>
      <c r="T698">
        <v>7.5894824462615675E-3</v>
      </c>
      <c r="U698">
        <v>51</v>
      </c>
      <c r="V698">
        <v>0.1111111111111111</v>
      </c>
      <c r="W698">
        <v>2.4971845468344514E-3</v>
      </c>
      <c r="X698">
        <v>89</v>
      </c>
      <c r="Y698">
        <v>0.19389978213507625</v>
      </c>
      <c r="Z698">
        <v>4.3578318562405129E-3</v>
      </c>
      <c r="AA698">
        <v>0</v>
      </c>
      <c r="AB698">
        <v>0</v>
      </c>
      <c r="AC698">
        <v>0</v>
      </c>
      <c r="AD698">
        <v>64</v>
      </c>
      <c r="AE698">
        <v>0.13943355119825709</v>
      </c>
      <c r="AF698">
        <v>3.1337217842628408E-3</v>
      </c>
    </row>
    <row r="699" spans="1:32" x14ac:dyDescent="0.2">
      <c r="A699">
        <v>925.19346064814454</v>
      </c>
      <c r="B699">
        <v>356</v>
      </c>
      <c r="C699">
        <v>24</v>
      </c>
      <c r="D699">
        <v>68</v>
      </c>
      <c r="E699">
        <v>0</v>
      </c>
      <c r="F699">
        <v>0</v>
      </c>
      <c r="G699">
        <v>8</v>
      </c>
      <c r="H699">
        <v>15</v>
      </c>
      <c r="I699">
        <v>1</v>
      </c>
      <c r="J699">
        <v>0</v>
      </c>
      <c r="K699">
        <v>0</v>
      </c>
      <c r="L699">
        <v>992</v>
      </c>
      <c r="M699">
        <v>2</v>
      </c>
      <c r="N699">
        <v>2.0161290322580645E-3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>
        <v>1</v>
      </c>
      <c r="Z699">
        <v>2.0161290322580645E-3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">
      <c r="A700">
        <v>2424.9814814814818</v>
      </c>
      <c r="B700">
        <v>2449</v>
      </c>
      <c r="C700">
        <v>143</v>
      </c>
      <c r="D700">
        <v>340</v>
      </c>
      <c r="E700">
        <v>57</v>
      </c>
      <c r="F700">
        <v>10</v>
      </c>
      <c r="G700">
        <v>47</v>
      </c>
      <c r="H700">
        <v>93</v>
      </c>
      <c r="I700">
        <v>0</v>
      </c>
      <c r="J700">
        <v>425</v>
      </c>
      <c r="K700">
        <v>21</v>
      </c>
      <c r="L700">
        <v>6150</v>
      </c>
      <c r="M700">
        <v>14</v>
      </c>
      <c r="N700">
        <v>2.2764227642276423E-3</v>
      </c>
      <c r="O700">
        <v>0</v>
      </c>
      <c r="P700">
        <v>0</v>
      </c>
      <c r="Q700">
        <v>0</v>
      </c>
      <c r="R700">
        <v>2</v>
      </c>
      <c r="S700">
        <v>0.14285714285714285</v>
      </c>
      <c r="T700">
        <v>3.2520325203252032E-4</v>
      </c>
      <c r="U700">
        <v>12</v>
      </c>
      <c r="V700">
        <v>0.8571428571428571</v>
      </c>
      <c r="W700">
        <v>1.9512195121951219E-3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">
      <c r="A701">
        <v>778.30146990740468</v>
      </c>
      <c r="B701">
        <v>1680</v>
      </c>
      <c r="C701">
        <v>59</v>
      </c>
      <c r="D701">
        <v>341</v>
      </c>
      <c r="E701">
        <v>0</v>
      </c>
      <c r="F701">
        <v>11</v>
      </c>
      <c r="G701">
        <v>16</v>
      </c>
      <c r="H701">
        <v>58</v>
      </c>
      <c r="I701">
        <v>1</v>
      </c>
      <c r="J701">
        <v>150</v>
      </c>
      <c r="K701">
        <v>11</v>
      </c>
      <c r="L701">
        <v>10174</v>
      </c>
      <c r="M701">
        <v>118</v>
      </c>
      <c r="N701">
        <v>1.1598191468448987E-2</v>
      </c>
      <c r="O701">
        <v>0</v>
      </c>
      <c r="P701">
        <v>0</v>
      </c>
      <c r="Q701">
        <v>0</v>
      </c>
      <c r="R701">
        <v>104</v>
      </c>
      <c r="S701">
        <v>0.88135593220338981</v>
      </c>
      <c r="T701">
        <v>1.0222134853548261E-2</v>
      </c>
      <c r="U701">
        <v>9</v>
      </c>
      <c r="V701">
        <v>7.6271186440677971E-2</v>
      </c>
      <c r="W701">
        <v>8.8460782386475326E-4</v>
      </c>
      <c r="X701">
        <v>5</v>
      </c>
      <c r="Y701">
        <v>4.2372881355932202E-2</v>
      </c>
      <c r="Z701">
        <v>4.9144879103597404E-4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">
      <c r="A702">
        <v>3418.8988888888925</v>
      </c>
      <c r="B702">
        <v>1394</v>
      </c>
      <c r="C702">
        <v>87</v>
      </c>
      <c r="D702">
        <v>152</v>
      </c>
      <c r="E702">
        <v>148</v>
      </c>
      <c r="F702">
        <v>16</v>
      </c>
      <c r="G702">
        <v>35</v>
      </c>
      <c r="H702">
        <v>127</v>
      </c>
      <c r="I702">
        <v>1</v>
      </c>
      <c r="J702">
        <v>799</v>
      </c>
      <c r="K702">
        <v>26</v>
      </c>
      <c r="L702">
        <v>8647</v>
      </c>
      <c r="M702">
        <v>41</v>
      </c>
      <c r="N702">
        <v>4.7415288539377817E-3</v>
      </c>
      <c r="O702">
        <v>1</v>
      </c>
      <c r="P702">
        <v>2.4390243902439025E-2</v>
      </c>
      <c r="Q702">
        <v>1.1564704521799469E-4</v>
      </c>
      <c r="R702">
        <v>34</v>
      </c>
      <c r="S702">
        <v>0.82926829268292679</v>
      </c>
      <c r="T702">
        <v>3.9319995374118193E-3</v>
      </c>
      <c r="U702">
        <v>0</v>
      </c>
      <c r="V702">
        <v>0</v>
      </c>
      <c r="W702">
        <v>0</v>
      </c>
      <c r="X702">
        <v>2</v>
      </c>
      <c r="Y702">
        <v>4.878048780487805E-2</v>
      </c>
      <c r="Z702">
        <v>2.3129409043598937E-4</v>
      </c>
      <c r="AA702">
        <v>0</v>
      </c>
      <c r="AB702">
        <v>0</v>
      </c>
      <c r="AC702">
        <v>0</v>
      </c>
      <c r="AD702">
        <v>4</v>
      </c>
      <c r="AE702">
        <v>9.7560975609756101E-2</v>
      </c>
      <c r="AF702">
        <v>4.6258818087197874E-4</v>
      </c>
    </row>
    <row r="703" spans="1:32" x14ac:dyDescent="0.2">
      <c r="A703">
        <v>2206.2549652777743</v>
      </c>
      <c r="B703">
        <v>1661</v>
      </c>
      <c r="C703">
        <v>171</v>
      </c>
      <c r="D703">
        <v>447</v>
      </c>
      <c r="E703">
        <v>31</v>
      </c>
      <c r="F703">
        <v>5</v>
      </c>
      <c r="G703">
        <v>142</v>
      </c>
      <c r="H703">
        <v>919</v>
      </c>
      <c r="I703">
        <v>5</v>
      </c>
      <c r="J703">
        <v>496</v>
      </c>
      <c r="K703">
        <v>99</v>
      </c>
      <c r="L703">
        <v>12166</v>
      </c>
      <c r="M703">
        <v>55</v>
      </c>
      <c r="N703">
        <v>4.5207956600361665E-3</v>
      </c>
      <c r="O703">
        <v>32</v>
      </c>
      <c r="P703">
        <v>0.58181818181818179</v>
      </c>
      <c r="Q703">
        <v>2.6302811112937697E-3</v>
      </c>
      <c r="R703">
        <v>0</v>
      </c>
      <c r="S703">
        <v>0</v>
      </c>
      <c r="T703">
        <v>0</v>
      </c>
      <c r="U703">
        <v>1</v>
      </c>
      <c r="V703">
        <v>1.8181818181818181E-2</v>
      </c>
      <c r="W703">
        <v>8.2196284727930303E-5</v>
      </c>
      <c r="X703">
        <v>22</v>
      </c>
      <c r="Y703">
        <v>0.4</v>
      </c>
      <c r="Z703">
        <v>1.8083182640144665E-3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">
      <c r="A704">
        <v>969.81784722222073</v>
      </c>
      <c r="B704">
        <v>872</v>
      </c>
      <c r="C704">
        <v>34</v>
      </c>
      <c r="D704">
        <v>171</v>
      </c>
      <c r="E704">
        <v>64</v>
      </c>
      <c r="F704">
        <v>11</v>
      </c>
      <c r="G704">
        <v>74</v>
      </c>
      <c r="H704">
        <v>1404</v>
      </c>
      <c r="I704">
        <v>68</v>
      </c>
      <c r="J704">
        <v>1118</v>
      </c>
      <c r="K704">
        <v>445</v>
      </c>
      <c r="L704">
        <v>45183</v>
      </c>
      <c r="M704">
        <v>103</v>
      </c>
      <c r="N704">
        <v>2.2796184405639288E-3</v>
      </c>
      <c r="O704">
        <v>26</v>
      </c>
      <c r="P704">
        <v>0.25242718446601942</v>
      </c>
      <c r="Q704">
        <v>5.7543766460837044E-4</v>
      </c>
      <c r="R704">
        <v>20</v>
      </c>
      <c r="S704">
        <v>0.1941747572815534</v>
      </c>
      <c r="T704">
        <v>4.4264435739105416E-4</v>
      </c>
      <c r="U704">
        <v>53</v>
      </c>
      <c r="V704">
        <v>0.5145631067961165</v>
      </c>
      <c r="W704">
        <v>1.1730075470862936E-3</v>
      </c>
      <c r="X704">
        <v>4</v>
      </c>
      <c r="Y704">
        <v>3.8834951456310676E-2</v>
      </c>
      <c r="Z704">
        <v>8.8528871478210834E-5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">
      <c r="A705">
        <v>639.99447916666395</v>
      </c>
      <c r="B705">
        <v>362</v>
      </c>
      <c r="C705">
        <v>10</v>
      </c>
      <c r="D705">
        <v>40</v>
      </c>
      <c r="E705">
        <v>2</v>
      </c>
      <c r="F705">
        <v>0</v>
      </c>
      <c r="G705">
        <v>4</v>
      </c>
      <c r="H705">
        <v>26</v>
      </c>
      <c r="I705">
        <v>10</v>
      </c>
      <c r="J705">
        <v>31</v>
      </c>
      <c r="K705">
        <v>9</v>
      </c>
      <c r="L705">
        <v>725</v>
      </c>
      <c r="M705">
        <v>5</v>
      </c>
      <c r="N705">
        <v>6.8965517241379309E-3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0.2</v>
      </c>
      <c r="W705">
        <v>1.3793103448275861E-3</v>
      </c>
      <c r="X705">
        <v>4</v>
      </c>
      <c r="Y705">
        <v>0.8</v>
      </c>
      <c r="Z705">
        <v>5.5172413793103444E-3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">
      <c r="A706">
        <v>1063.1776388888902</v>
      </c>
      <c r="B706">
        <v>336</v>
      </c>
      <c r="C706">
        <v>15</v>
      </c>
      <c r="D706">
        <v>51</v>
      </c>
      <c r="E706">
        <v>18</v>
      </c>
      <c r="F706">
        <v>14</v>
      </c>
      <c r="G706">
        <v>15</v>
      </c>
      <c r="H706">
        <v>441</v>
      </c>
      <c r="I706">
        <v>4</v>
      </c>
      <c r="J706">
        <v>293</v>
      </c>
      <c r="K706">
        <v>71</v>
      </c>
      <c r="L706">
        <v>4256</v>
      </c>
      <c r="M706">
        <v>60</v>
      </c>
      <c r="N706">
        <v>1.4097744360902255E-2</v>
      </c>
      <c r="O706">
        <v>0</v>
      </c>
      <c r="P706">
        <v>0</v>
      </c>
      <c r="Q706">
        <v>0</v>
      </c>
      <c r="R706">
        <v>27</v>
      </c>
      <c r="S706">
        <v>0.45</v>
      </c>
      <c r="T706">
        <v>6.3439849624060147E-3</v>
      </c>
      <c r="U706">
        <v>22</v>
      </c>
      <c r="V706">
        <v>0.36666666666666664</v>
      </c>
      <c r="W706">
        <v>5.1691729323308268E-3</v>
      </c>
      <c r="X706">
        <v>9</v>
      </c>
      <c r="Y706">
        <v>0.15</v>
      </c>
      <c r="Z706">
        <v>2.1146616541353382E-3</v>
      </c>
      <c r="AA706">
        <v>2</v>
      </c>
      <c r="AB706">
        <v>3.3333333333333333E-2</v>
      </c>
      <c r="AC706">
        <v>4.6992481203007516E-4</v>
      </c>
      <c r="AD706">
        <v>0</v>
      </c>
      <c r="AE706">
        <v>0</v>
      </c>
      <c r="AF706">
        <v>0</v>
      </c>
    </row>
    <row r="707" spans="1:32" x14ac:dyDescent="0.2">
      <c r="A707">
        <v>891.21722222222161</v>
      </c>
      <c r="B707">
        <v>3031</v>
      </c>
      <c r="C707">
        <v>95</v>
      </c>
      <c r="D707">
        <v>429</v>
      </c>
      <c r="E707">
        <v>28</v>
      </c>
      <c r="F707">
        <v>3</v>
      </c>
      <c r="G707">
        <v>36</v>
      </c>
      <c r="H707">
        <v>562</v>
      </c>
      <c r="I707">
        <v>11</v>
      </c>
      <c r="J707">
        <v>651</v>
      </c>
      <c r="K707">
        <v>169</v>
      </c>
      <c r="L707">
        <v>12490</v>
      </c>
      <c r="M707">
        <v>11</v>
      </c>
      <c r="N707">
        <v>8.807045636509207E-4</v>
      </c>
      <c r="O707">
        <v>1</v>
      </c>
      <c r="P707">
        <v>9.0909090909090912E-2</v>
      </c>
      <c r="Q707">
        <v>8.0064051240992797E-5</v>
      </c>
      <c r="R707">
        <v>1</v>
      </c>
      <c r="S707">
        <v>9.0909090909090912E-2</v>
      </c>
      <c r="T707">
        <v>8.0064051240992797E-5</v>
      </c>
      <c r="U707">
        <v>0</v>
      </c>
      <c r="V707">
        <v>0</v>
      </c>
      <c r="W707">
        <v>0</v>
      </c>
      <c r="X707">
        <v>8</v>
      </c>
      <c r="Y707">
        <v>0.72727272727272729</v>
      </c>
      <c r="Z707">
        <v>6.4051240992794238E-4</v>
      </c>
      <c r="AA707">
        <v>0</v>
      </c>
      <c r="AB707">
        <v>0</v>
      </c>
      <c r="AC707">
        <v>0</v>
      </c>
      <c r="AD707">
        <v>1</v>
      </c>
      <c r="AE707">
        <v>9.0909090909090912E-2</v>
      </c>
      <c r="AF707">
        <v>8.0064051240992797E-5</v>
      </c>
    </row>
    <row r="708" spans="1:32" x14ac:dyDescent="0.2">
      <c r="A708">
        <v>2007.6314930555527</v>
      </c>
      <c r="B708">
        <v>1215</v>
      </c>
      <c r="C708">
        <v>109</v>
      </c>
      <c r="D708">
        <v>302</v>
      </c>
      <c r="E708">
        <v>0</v>
      </c>
      <c r="F708">
        <v>0</v>
      </c>
      <c r="G708">
        <v>3</v>
      </c>
      <c r="H708">
        <v>10</v>
      </c>
      <c r="I708">
        <v>0</v>
      </c>
      <c r="J708">
        <v>74</v>
      </c>
      <c r="K708">
        <v>12</v>
      </c>
      <c r="L708">
        <v>1422</v>
      </c>
      <c r="M708">
        <v>10</v>
      </c>
      <c r="N708">
        <v>7.0323488045007029E-3</v>
      </c>
      <c r="O708">
        <v>0</v>
      </c>
      <c r="P708">
        <v>0</v>
      </c>
      <c r="Q708">
        <v>0</v>
      </c>
      <c r="R708">
        <v>4</v>
      </c>
      <c r="S708">
        <v>0.4</v>
      </c>
      <c r="T708">
        <v>2.8129395218002813E-3</v>
      </c>
      <c r="U708">
        <v>0</v>
      </c>
      <c r="V708">
        <v>0</v>
      </c>
      <c r="W708">
        <v>0</v>
      </c>
      <c r="X708">
        <v>2</v>
      </c>
      <c r="Y708">
        <v>0.2</v>
      </c>
      <c r="Z708">
        <v>1.4064697609001407E-3</v>
      </c>
      <c r="AA708">
        <v>4</v>
      </c>
      <c r="AB708">
        <v>0.4</v>
      </c>
      <c r="AC708">
        <v>2.8129395218002813E-3</v>
      </c>
      <c r="AD708">
        <v>0</v>
      </c>
      <c r="AE708">
        <v>0</v>
      </c>
      <c r="AF708">
        <v>0</v>
      </c>
    </row>
    <row r="709" spans="1:32" x14ac:dyDescent="0.2">
      <c r="A709">
        <v>1601.1507523148102</v>
      </c>
      <c r="B709">
        <v>709</v>
      </c>
      <c r="C709">
        <v>29</v>
      </c>
      <c r="D709">
        <v>61</v>
      </c>
      <c r="E709">
        <v>25</v>
      </c>
      <c r="F709">
        <v>0</v>
      </c>
      <c r="G709">
        <v>7</v>
      </c>
      <c r="H709">
        <v>20</v>
      </c>
      <c r="I709">
        <v>2</v>
      </c>
      <c r="J709">
        <v>150</v>
      </c>
      <c r="K709">
        <v>26</v>
      </c>
      <c r="L709">
        <v>2114</v>
      </c>
      <c r="M709">
        <v>4</v>
      </c>
      <c r="N709">
        <v>1.8921475875118259E-3</v>
      </c>
      <c r="O709">
        <v>1</v>
      </c>
      <c r="P709">
        <v>0.25</v>
      </c>
      <c r="Q709">
        <v>4.7303689687795648E-4</v>
      </c>
      <c r="R709">
        <v>1</v>
      </c>
      <c r="S709">
        <v>0.25</v>
      </c>
      <c r="T709">
        <v>4.7303689687795648E-4</v>
      </c>
      <c r="U709">
        <v>2</v>
      </c>
      <c r="V709">
        <v>0.5</v>
      </c>
      <c r="W709">
        <v>9.4607379375591296E-4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">
      <c r="A710">
        <v>2164.1042361111176</v>
      </c>
      <c r="B710">
        <v>613</v>
      </c>
      <c r="C710">
        <v>88</v>
      </c>
      <c r="D710">
        <v>134</v>
      </c>
      <c r="E710">
        <v>46</v>
      </c>
      <c r="F710">
        <v>0</v>
      </c>
      <c r="G710">
        <v>24</v>
      </c>
      <c r="H710">
        <v>354</v>
      </c>
      <c r="I710">
        <v>5</v>
      </c>
      <c r="J710">
        <v>176</v>
      </c>
      <c r="K710">
        <v>3</v>
      </c>
      <c r="L710">
        <v>12611</v>
      </c>
      <c r="M710">
        <v>77</v>
      </c>
      <c r="N710">
        <v>6.1057806676710806E-3</v>
      </c>
      <c r="O710">
        <v>66</v>
      </c>
      <c r="P710">
        <v>0.8571428571428571</v>
      </c>
      <c r="Q710">
        <v>5.233526286575212E-3</v>
      </c>
      <c r="R710">
        <v>0</v>
      </c>
      <c r="S710">
        <v>0</v>
      </c>
      <c r="T710">
        <v>0</v>
      </c>
      <c r="U710">
        <v>1</v>
      </c>
      <c r="V710">
        <v>1.2987012987012988E-2</v>
      </c>
      <c r="W710">
        <v>7.9295852826897147E-5</v>
      </c>
      <c r="X710">
        <v>10</v>
      </c>
      <c r="Y710">
        <v>0.12987012987012986</v>
      </c>
      <c r="Z710">
        <v>7.929585282689715E-4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">
      <c r="A711">
        <v>3277.7133217592636</v>
      </c>
      <c r="B711">
        <v>560</v>
      </c>
      <c r="C711">
        <v>93</v>
      </c>
      <c r="D711">
        <v>196</v>
      </c>
      <c r="E711">
        <v>172</v>
      </c>
      <c r="F711">
        <v>14</v>
      </c>
      <c r="G711">
        <v>36</v>
      </c>
      <c r="H711">
        <v>511</v>
      </c>
      <c r="I711">
        <v>30</v>
      </c>
      <c r="J711">
        <v>535</v>
      </c>
      <c r="K711">
        <v>228</v>
      </c>
      <c r="L711">
        <v>66162</v>
      </c>
      <c r="M711">
        <v>273</v>
      </c>
      <c r="N711">
        <v>4.1262356035186359E-3</v>
      </c>
      <c r="O711">
        <v>85</v>
      </c>
      <c r="P711">
        <v>0.31135531135531136</v>
      </c>
      <c r="Q711">
        <v>1.284725371058916E-3</v>
      </c>
      <c r="R711">
        <v>66</v>
      </c>
      <c r="S711">
        <v>0.24175824175824176</v>
      </c>
      <c r="T711">
        <v>9.9755146458692292E-4</v>
      </c>
      <c r="U711">
        <v>86</v>
      </c>
      <c r="V711">
        <v>0.31501831501831501</v>
      </c>
      <c r="W711">
        <v>1.2998397871890209E-3</v>
      </c>
      <c r="X711">
        <v>20</v>
      </c>
      <c r="Y711">
        <v>7.3260073260073263E-2</v>
      </c>
      <c r="Z711">
        <v>3.0228832260209787E-4</v>
      </c>
      <c r="AA711">
        <v>5</v>
      </c>
      <c r="AB711">
        <v>1.8315018315018316E-2</v>
      </c>
      <c r="AC711">
        <v>7.5572080650524468E-5</v>
      </c>
      <c r="AD711">
        <v>11</v>
      </c>
      <c r="AE711">
        <v>4.0293040293040296E-2</v>
      </c>
      <c r="AF711">
        <v>1.6625857743115383E-4</v>
      </c>
    </row>
    <row r="712" spans="1:32" x14ac:dyDescent="0.2">
      <c r="A712">
        <v>2355.9775578703702</v>
      </c>
      <c r="B712">
        <v>3851</v>
      </c>
      <c r="C712">
        <v>340</v>
      </c>
      <c r="D712">
        <v>812</v>
      </c>
      <c r="E712">
        <v>32</v>
      </c>
      <c r="F712">
        <v>6</v>
      </c>
      <c r="G712">
        <v>80</v>
      </c>
      <c r="H712">
        <v>89</v>
      </c>
      <c r="I712">
        <v>9</v>
      </c>
      <c r="J712">
        <v>387</v>
      </c>
      <c r="K712">
        <v>82</v>
      </c>
      <c r="L712">
        <v>34992</v>
      </c>
      <c r="M712">
        <v>73</v>
      </c>
      <c r="N712">
        <v>2.0861911294010058E-3</v>
      </c>
      <c r="O712">
        <v>6</v>
      </c>
      <c r="P712">
        <v>8.2191780821917804E-2</v>
      </c>
      <c r="Q712">
        <v>1.7146776406035664E-4</v>
      </c>
      <c r="R712">
        <v>23</v>
      </c>
      <c r="S712">
        <v>0.31506849315068491</v>
      </c>
      <c r="T712">
        <v>6.5729309556470045E-4</v>
      </c>
      <c r="U712">
        <v>27</v>
      </c>
      <c r="V712">
        <v>0.36986301369863012</v>
      </c>
      <c r="W712">
        <v>7.716049382716049E-4</v>
      </c>
      <c r="X712">
        <v>10</v>
      </c>
      <c r="Y712">
        <v>0.13698630136986301</v>
      </c>
      <c r="Z712">
        <v>2.8577960676726111E-4</v>
      </c>
      <c r="AA712">
        <v>0</v>
      </c>
      <c r="AB712">
        <v>0</v>
      </c>
      <c r="AC712">
        <v>0</v>
      </c>
      <c r="AD712">
        <v>7</v>
      </c>
      <c r="AE712">
        <v>9.5890410958904104E-2</v>
      </c>
      <c r="AF712">
        <v>2.0004572473708275E-4</v>
      </c>
    </row>
    <row r="713" spans="1:32" x14ac:dyDescent="0.2">
      <c r="A713">
        <v>1652.7544328703661</v>
      </c>
      <c r="B713">
        <v>1403</v>
      </c>
      <c r="C713">
        <v>87</v>
      </c>
      <c r="D713">
        <v>383</v>
      </c>
      <c r="E713">
        <v>0</v>
      </c>
      <c r="F713">
        <v>0</v>
      </c>
      <c r="G713">
        <v>5</v>
      </c>
      <c r="H713">
        <v>8</v>
      </c>
      <c r="I713">
        <v>1</v>
      </c>
      <c r="J713">
        <v>49</v>
      </c>
      <c r="K713">
        <v>13</v>
      </c>
      <c r="L713">
        <v>1197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">
      <c r="A714">
        <v>1405.1324189814768</v>
      </c>
      <c r="B714">
        <v>382</v>
      </c>
      <c r="C714">
        <v>127</v>
      </c>
      <c r="D714">
        <v>61</v>
      </c>
      <c r="E714">
        <v>2</v>
      </c>
      <c r="F714">
        <v>1</v>
      </c>
      <c r="G714">
        <v>21</v>
      </c>
      <c r="H714">
        <v>104</v>
      </c>
      <c r="I714">
        <v>5</v>
      </c>
      <c r="J714">
        <v>26</v>
      </c>
      <c r="K714">
        <v>4</v>
      </c>
      <c r="L714">
        <v>1208</v>
      </c>
      <c r="M714">
        <v>57</v>
      </c>
      <c r="N714">
        <v>4.7185430463576157E-2</v>
      </c>
      <c r="O714">
        <v>8</v>
      </c>
      <c r="P714">
        <v>0.14035087719298245</v>
      </c>
      <c r="Q714">
        <v>6.6225165562913907E-3</v>
      </c>
      <c r="R714">
        <v>30</v>
      </c>
      <c r="S714">
        <v>0.52631578947368418</v>
      </c>
      <c r="T714">
        <v>2.4834437086092714E-2</v>
      </c>
      <c r="U714">
        <v>7</v>
      </c>
      <c r="V714">
        <v>0.12280701754385964</v>
      </c>
      <c r="W714">
        <v>5.794701986754967E-3</v>
      </c>
      <c r="X714">
        <v>9</v>
      </c>
      <c r="Y714">
        <v>0.15789473684210525</v>
      </c>
      <c r="Z714">
        <v>7.4503311258278145E-3</v>
      </c>
      <c r="AA714">
        <v>0</v>
      </c>
      <c r="AB714">
        <v>0</v>
      </c>
      <c r="AC714">
        <v>0</v>
      </c>
      <c r="AD714">
        <v>3</v>
      </c>
      <c r="AE714">
        <v>5.2631578947368418E-2</v>
      </c>
      <c r="AF714">
        <v>2.4834437086092716E-3</v>
      </c>
    </row>
    <row r="715" spans="1:32" x14ac:dyDescent="0.2">
      <c r="A715">
        <v>1549.9725000000035</v>
      </c>
      <c r="B715">
        <v>1940</v>
      </c>
      <c r="C715">
        <v>353</v>
      </c>
      <c r="D715">
        <v>106</v>
      </c>
      <c r="E715">
        <v>0</v>
      </c>
      <c r="F715">
        <v>1</v>
      </c>
      <c r="G715">
        <v>6</v>
      </c>
      <c r="H715">
        <v>93</v>
      </c>
      <c r="I715">
        <v>8</v>
      </c>
      <c r="J715">
        <v>37</v>
      </c>
      <c r="K715">
        <v>14</v>
      </c>
      <c r="L715">
        <v>4318</v>
      </c>
      <c r="M715">
        <v>82</v>
      </c>
      <c r="N715">
        <v>1.8990273274664196E-2</v>
      </c>
      <c r="O715">
        <v>41</v>
      </c>
      <c r="P715">
        <v>0.5</v>
      </c>
      <c r="Q715">
        <v>9.4951366373320981E-3</v>
      </c>
      <c r="R715">
        <v>8</v>
      </c>
      <c r="S715">
        <v>9.7560975609756101E-2</v>
      </c>
      <c r="T715">
        <v>1.8527095877721167E-3</v>
      </c>
      <c r="U715">
        <v>13</v>
      </c>
      <c r="V715">
        <v>0.15853658536585366</v>
      </c>
      <c r="W715">
        <v>3.0106530801296896E-3</v>
      </c>
      <c r="X715">
        <v>10</v>
      </c>
      <c r="Y715">
        <v>0.12195121951219512</v>
      </c>
      <c r="Z715">
        <v>2.3158869847151459E-3</v>
      </c>
      <c r="AA715">
        <v>1</v>
      </c>
      <c r="AB715">
        <v>1.2195121951219513E-2</v>
      </c>
      <c r="AC715">
        <v>2.3158869847151459E-4</v>
      </c>
      <c r="AD715">
        <v>9</v>
      </c>
      <c r="AE715">
        <v>0.10975609756097561</v>
      </c>
      <c r="AF715">
        <v>2.0842982862436313E-3</v>
      </c>
    </row>
    <row r="716" spans="1:32" x14ac:dyDescent="0.2">
      <c r="A716">
        <v>512.53729166666744</v>
      </c>
      <c r="B716">
        <v>1771</v>
      </c>
      <c r="C716">
        <v>63</v>
      </c>
      <c r="D716">
        <v>92</v>
      </c>
      <c r="E716">
        <v>6</v>
      </c>
      <c r="F716">
        <v>1</v>
      </c>
      <c r="G716">
        <v>23</v>
      </c>
      <c r="H716">
        <v>353</v>
      </c>
      <c r="I716">
        <v>5</v>
      </c>
      <c r="J716">
        <v>49</v>
      </c>
      <c r="K716">
        <v>19</v>
      </c>
      <c r="L716">
        <v>12912</v>
      </c>
      <c r="M716">
        <v>328</v>
      </c>
      <c r="N716">
        <v>2.5402726146220571E-2</v>
      </c>
      <c r="O716">
        <v>122</v>
      </c>
      <c r="P716">
        <v>0.37195121951219512</v>
      </c>
      <c r="Q716">
        <v>9.448574969021066E-3</v>
      </c>
      <c r="R716">
        <v>25</v>
      </c>
      <c r="S716">
        <v>7.621951219512195E-2</v>
      </c>
      <c r="T716">
        <v>1.9361833952912021E-3</v>
      </c>
      <c r="U716">
        <v>25</v>
      </c>
      <c r="V716">
        <v>7.621951219512195E-2</v>
      </c>
      <c r="W716">
        <v>1.9361833952912021E-3</v>
      </c>
      <c r="X716">
        <v>156</v>
      </c>
      <c r="Y716">
        <v>0.47560975609756095</v>
      </c>
      <c r="Z716">
        <v>1.2081784386617101E-2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">
      <c r="A717">
        <v>423.27866898148204</v>
      </c>
      <c r="B717">
        <v>2840</v>
      </c>
      <c r="C717">
        <v>157</v>
      </c>
      <c r="D717">
        <v>237</v>
      </c>
      <c r="E717">
        <v>19</v>
      </c>
      <c r="F717">
        <v>8</v>
      </c>
      <c r="G717">
        <v>42</v>
      </c>
      <c r="H717">
        <v>841</v>
      </c>
      <c r="I717">
        <v>5</v>
      </c>
      <c r="J717">
        <v>154</v>
      </c>
      <c r="K717">
        <v>6</v>
      </c>
      <c r="L717">
        <v>13930</v>
      </c>
      <c r="M717">
        <v>169</v>
      </c>
      <c r="N717">
        <v>1.2132089016511126E-2</v>
      </c>
      <c r="O717">
        <v>72</v>
      </c>
      <c r="P717">
        <v>0.42603550295857989</v>
      </c>
      <c r="Q717">
        <v>5.168700646087581E-3</v>
      </c>
      <c r="R717">
        <v>16</v>
      </c>
      <c r="S717">
        <v>9.4674556213017749E-2</v>
      </c>
      <c r="T717">
        <v>1.148600143575018E-3</v>
      </c>
      <c r="U717">
        <v>49</v>
      </c>
      <c r="V717">
        <v>0.28994082840236685</v>
      </c>
      <c r="W717">
        <v>3.5175879396984926E-3</v>
      </c>
      <c r="X717">
        <v>10</v>
      </c>
      <c r="Y717">
        <v>5.9171597633136092E-2</v>
      </c>
      <c r="Z717">
        <v>7.1787508973438624E-4</v>
      </c>
      <c r="AA717">
        <v>0</v>
      </c>
      <c r="AB717">
        <v>0</v>
      </c>
      <c r="AC717">
        <v>0</v>
      </c>
      <c r="AD717">
        <v>22</v>
      </c>
      <c r="AE717">
        <v>0.13017751479289941</v>
      </c>
      <c r="AF717">
        <v>1.5793251974156497E-3</v>
      </c>
    </row>
    <row r="718" spans="1:32" x14ac:dyDescent="0.2">
      <c r="A718">
        <v>2123.2887499999997</v>
      </c>
      <c r="B718">
        <v>1458</v>
      </c>
      <c r="C718">
        <v>369</v>
      </c>
      <c r="D718">
        <v>268</v>
      </c>
      <c r="E718">
        <v>16</v>
      </c>
      <c r="F718">
        <v>8</v>
      </c>
      <c r="G718">
        <v>111</v>
      </c>
      <c r="H718">
        <v>3012</v>
      </c>
      <c r="I718">
        <v>3</v>
      </c>
      <c r="J718">
        <v>455</v>
      </c>
      <c r="K718">
        <v>96</v>
      </c>
      <c r="L718">
        <v>17281</v>
      </c>
      <c r="M718">
        <v>321</v>
      </c>
      <c r="N718">
        <v>1.8575313928592095E-2</v>
      </c>
      <c r="O718">
        <v>149</v>
      </c>
      <c r="P718">
        <v>0.46417445482866043</v>
      </c>
      <c r="Q718">
        <v>8.6221862160754583E-3</v>
      </c>
      <c r="R718">
        <v>56</v>
      </c>
      <c r="S718">
        <v>0.17445482866043613</v>
      </c>
      <c r="T718">
        <v>3.2405532087263467E-3</v>
      </c>
      <c r="U718">
        <v>34</v>
      </c>
      <c r="V718">
        <v>0.1059190031152648</v>
      </c>
      <c r="W718">
        <v>1.9674787338695679E-3</v>
      </c>
      <c r="X718">
        <v>61</v>
      </c>
      <c r="Y718">
        <v>0.19003115264797507</v>
      </c>
      <c r="Z718">
        <v>3.5298883166483422E-3</v>
      </c>
      <c r="AA718">
        <v>0</v>
      </c>
      <c r="AB718">
        <v>0</v>
      </c>
      <c r="AC718">
        <v>0</v>
      </c>
      <c r="AD718">
        <v>21</v>
      </c>
      <c r="AE718">
        <v>6.5420560747663545E-2</v>
      </c>
      <c r="AF718">
        <v>1.21520745327238E-3</v>
      </c>
    </row>
    <row r="719" spans="1:32" x14ac:dyDescent="0.2">
      <c r="A719">
        <v>1413.7191435185159</v>
      </c>
      <c r="B719">
        <v>886</v>
      </c>
      <c r="C719">
        <v>304</v>
      </c>
      <c r="D719">
        <v>81</v>
      </c>
      <c r="E719">
        <v>28</v>
      </c>
      <c r="F719">
        <v>0</v>
      </c>
      <c r="G719">
        <v>17</v>
      </c>
      <c r="H719">
        <v>199</v>
      </c>
      <c r="I719">
        <v>4</v>
      </c>
      <c r="J719">
        <v>28</v>
      </c>
      <c r="K719">
        <v>9</v>
      </c>
      <c r="L719">
        <v>3321</v>
      </c>
      <c r="M719">
        <v>84</v>
      </c>
      <c r="N719">
        <v>2.5293586269196026E-2</v>
      </c>
      <c r="O719">
        <v>18</v>
      </c>
      <c r="P719">
        <v>0.21428571428571427</v>
      </c>
      <c r="Q719">
        <v>5.4200542005420054E-3</v>
      </c>
      <c r="R719">
        <v>30</v>
      </c>
      <c r="S719">
        <v>0.35714285714285715</v>
      </c>
      <c r="T719">
        <v>9.0334236675700084E-3</v>
      </c>
      <c r="U719">
        <v>10</v>
      </c>
      <c r="V719">
        <v>0.11904761904761904</v>
      </c>
      <c r="W719">
        <v>3.0111412225233363E-3</v>
      </c>
      <c r="X719">
        <v>21</v>
      </c>
      <c r="Y719">
        <v>0.25</v>
      </c>
      <c r="Z719">
        <v>6.3233965672990066E-3</v>
      </c>
      <c r="AA719">
        <v>3</v>
      </c>
      <c r="AB719">
        <v>3.5714285714285712E-2</v>
      </c>
      <c r="AC719">
        <v>9.0334236675700087E-4</v>
      </c>
      <c r="AD719">
        <v>2</v>
      </c>
      <c r="AE719">
        <v>2.3809523809523808E-2</v>
      </c>
      <c r="AF719">
        <v>6.0222824450466728E-4</v>
      </c>
    </row>
    <row r="720" spans="1:32" x14ac:dyDescent="0.2">
      <c r="A720">
        <v>2477.207777777774</v>
      </c>
      <c r="B720">
        <v>4154</v>
      </c>
      <c r="C720">
        <v>577</v>
      </c>
      <c r="D720">
        <v>740</v>
      </c>
      <c r="E720">
        <v>18</v>
      </c>
      <c r="F720">
        <v>21</v>
      </c>
      <c r="G720">
        <v>109</v>
      </c>
      <c r="H720">
        <v>688</v>
      </c>
      <c r="I720">
        <v>5</v>
      </c>
      <c r="J720">
        <v>547</v>
      </c>
      <c r="K720">
        <v>80</v>
      </c>
      <c r="L720">
        <v>19790</v>
      </c>
      <c r="M720">
        <v>399</v>
      </c>
      <c r="N720">
        <v>2.0161697827185448E-2</v>
      </c>
      <c r="O720">
        <v>204</v>
      </c>
      <c r="P720">
        <v>0.51127819548872178</v>
      </c>
      <c r="Q720">
        <v>1.0308236483072259E-2</v>
      </c>
      <c r="R720">
        <v>108</v>
      </c>
      <c r="S720">
        <v>0.27067669172932329</v>
      </c>
      <c r="T720">
        <v>5.4573016675088428E-3</v>
      </c>
      <c r="U720">
        <v>18</v>
      </c>
      <c r="V720">
        <v>4.5112781954887216E-2</v>
      </c>
      <c r="W720">
        <v>9.095502779181405E-4</v>
      </c>
      <c r="X720">
        <v>57</v>
      </c>
      <c r="Y720">
        <v>0.14285714285714285</v>
      </c>
      <c r="Z720">
        <v>2.880242546740778E-3</v>
      </c>
      <c r="AA720">
        <v>0</v>
      </c>
      <c r="AB720">
        <v>0</v>
      </c>
      <c r="AC720">
        <v>0</v>
      </c>
      <c r="AD720">
        <v>12</v>
      </c>
      <c r="AE720">
        <v>3.007518796992481E-2</v>
      </c>
      <c r="AF720">
        <v>6.0636685194542697E-4</v>
      </c>
    </row>
    <row r="721" spans="1:32" x14ac:dyDescent="0.2">
      <c r="A721">
        <v>1886.3523726851854</v>
      </c>
      <c r="B721">
        <v>2253</v>
      </c>
      <c r="C721">
        <v>428</v>
      </c>
      <c r="D721">
        <v>493</v>
      </c>
      <c r="E721">
        <v>17</v>
      </c>
      <c r="F721">
        <v>33</v>
      </c>
      <c r="G721">
        <v>66</v>
      </c>
      <c r="H721">
        <v>483</v>
      </c>
      <c r="I721">
        <v>9</v>
      </c>
      <c r="J721">
        <v>368</v>
      </c>
      <c r="K721">
        <v>64</v>
      </c>
      <c r="L721">
        <v>17623</v>
      </c>
      <c r="M721">
        <v>22</v>
      </c>
      <c r="N721">
        <v>1.2483686092038813E-3</v>
      </c>
      <c r="O721">
        <v>0</v>
      </c>
      <c r="P721">
        <v>0</v>
      </c>
      <c r="Q721">
        <v>0</v>
      </c>
      <c r="R721">
        <v>21</v>
      </c>
      <c r="S721">
        <v>0.95454545454545459</v>
      </c>
      <c r="T721">
        <v>1.1916245815127959E-3</v>
      </c>
      <c r="U721">
        <v>1</v>
      </c>
      <c r="V721">
        <v>4.5454545454545456E-2</v>
      </c>
      <c r="W721">
        <v>5.6744027691085513E-5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">
      <c r="A722">
        <v>3215.1136805555579</v>
      </c>
      <c r="B722">
        <v>587</v>
      </c>
      <c r="C722">
        <v>46</v>
      </c>
      <c r="D722">
        <v>132</v>
      </c>
      <c r="E722">
        <v>3</v>
      </c>
      <c r="F722">
        <v>0</v>
      </c>
      <c r="G722">
        <v>21</v>
      </c>
      <c r="H722">
        <v>111</v>
      </c>
      <c r="I722">
        <v>8</v>
      </c>
      <c r="J722">
        <v>59</v>
      </c>
      <c r="K722">
        <v>40</v>
      </c>
      <c r="L722">
        <v>14878</v>
      </c>
      <c r="M722">
        <v>250</v>
      </c>
      <c r="N722">
        <v>1.6803333781422233E-2</v>
      </c>
      <c r="O722">
        <v>159</v>
      </c>
      <c r="P722">
        <v>0.63600000000000001</v>
      </c>
      <c r="Q722">
        <v>1.068692028498454E-2</v>
      </c>
      <c r="R722">
        <v>37</v>
      </c>
      <c r="S722">
        <v>0.14799999999999999</v>
      </c>
      <c r="T722">
        <v>2.4868933996504907E-3</v>
      </c>
      <c r="U722">
        <v>32</v>
      </c>
      <c r="V722">
        <v>0.128</v>
      </c>
      <c r="W722">
        <v>2.1508267240220461E-3</v>
      </c>
      <c r="X722">
        <v>22</v>
      </c>
      <c r="Y722">
        <v>8.7999999999999995E-2</v>
      </c>
      <c r="Z722">
        <v>1.4786933727651565E-3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">
      <c r="A723">
        <v>1763.189074074071</v>
      </c>
      <c r="B723">
        <v>1938</v>
      </c>
      <c r="C723">
        <v>42</v>
      </c>
      <c r="D723">
        <v>349</v>
      </c>
      <c r="E723">
        <v>27</v>
      </c>
      <c r="F723">
        <v>4</v>
      </c>
      <c r="G723">
        <v>19</v>
      </c>
      <c r="H723">
        <v>71</v>
      </c>
      <c r="I723">
        <v>3</v>
      </c>
      <c r="J723">
        <v>170</v>
      </c>
      <c r="K723">
        <v>21</v>
      </c>
      <c r="L723">
        <v>1095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">
      <c r="A724">
        <v>2108.4077430555553</v>
      </c>
      <c r="B724">
        <v>1151</v>
      </c>
      <c r="C724">
        <v>64</v>
      </c>
      <c r="D724">
        <v>340</v>
      </c>
      <c r="E724">
        <v>35</v>
      </c>
      <c r="F724">
        <v>87</v>
      </c>
      <c r="G724">
        <v>109</v>
      </c>
      <c r="H724">
        <v>880</v>
      </c>
      <c r="I724">
        <v>26</v>
      </c>
      <c r="J724">
        <v>1567</v>
      </c>
      <c r="K724">
        <v>518</v>
      </c>
      <c r="L724">
        <v>50122</v>
      </c>
      <c r="M724">
        <v>202</v>
      </c>
      <c r="N724">
        <v>4.0301663939986436E-3</v>
      </c>
      <c r="O724">
        <v>39</v>
      </c>
      <c r="P724">
        <v>0.19306930693069307</v>
      </c>
      <c r="Q724">
        <v>7.7810143250468854E-4</v>
      </c>
      <c r="R724">
        <v>47</v>
      </c>
      <c r="S724">
        <v>0.23267326732673269</v>
      </c>
      <c r="T724">
        <v>9.3771198276206057E-4</v>
      </c>
      <c r="U724">
        <v>52</v>
      </c>
      <c r="V724">
        <v>0.25742574257425743</v>
      </c>
      <c r="W724">
        <v>1.0374685766729181E-3</v>
      </c>
      <c r="X724">
        <v>64</v>
      </c>
      <c r="Y724">
        <v>0.31683168316831684</v>
      </c>
      <c r="Z724">
        <v>1.276884402058976E-3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">
      <c r="A725">
        <v>2072.468287037038</v>
      </c>
      <c r="B725">
        <v>962</v>
      </c>
      <c r="C725">
        <v>53</v>
      </c>
      <c r="D725">
        <v>147</v>
      </c>
      <c r="E725">
        <v>3</v>
      </c>
      <c r="F725">
        <v>0</v>
      </c>
      <c r="G725">
        <v>13</v>
      </c>
      <c r="H725">
        <v>41</v>
      </c>
      <c r="I725">
        <v>15</v>
      </c>
      <c r="J725">
        <v>53</v>
      </c>
      <c r="K725">
        <v>27</v>
      </c>
      <c r="L725">
        <v>1365</v>
      </c>
      <c r="M725">
        <v>8</v>
      </c>
      <c r="N725">
        <v>5.8608058608058608E-3</v>
      </c>
      <c r="O725">
        <v>0</v>
      </c>
      <c r="P725">
        <v>0</v>
      </c>
      <c r="Q725">
        <v>0</v>
      </c>
      <c r="R725">
        <v>4</v>
      </c>
      <c r="S725">
        <v>0.5</v>
      </c>
      <c r="T725">
        <v>2.9304029304029304E-3</v>
      </c>
      <c r="U725">
        <v>3</v>
      </c>
      <c r="V725">
        <v>0.375</v>
      </c>
      <c r="W725">
        <v>2.1978021978021978E-3</v>
      </c>
      <c r="X725">
        <v>1</v>
      </c>
      <c r="Y725">
        <v>0.125</v>
      </c>
      <c r="Z725">
        <v>7.326007326007326E-4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">
      <c r="A726">
        <v>2530.3355902777839</v>
      </c>
      <c r="B726">
        <v>14631</v>
      </c>
      <c r="C726">
        <v>293</v>
      </c>
      <c r="D726">
        <v>2383</v>
      </c>
      <c r="E726">
        <v>0</v>
      </c>
      <c r="F726">
        <v>15</v>
      </c>
      <c r="G726">
        <v>90</v>
      </c>
      <c r="H726">
        <v>415</v>
      </c>
      <c r="I726">
        <v>91</v>
      </c>
      <c r="J726">
        <v>1165</v>
      </c>
      <c r="K726">
        <v>577</v>
      </c>
      <c r="L726">
        <v>959</v>
      </c>
      <c r="M726">
        <v>25</v>
      </c>
      <c r="N726">
        <v>2.6068821689259645E-2</v>
      </c>
      <c r="O726">
        <v>7</v>
      </c>
      <c r="P726">
        <v>0.28000000000000003</v>
      </c>
      <c r="Q726">
        <v>7.2992700729927005E-3</v>
      </c>
      <c r="R726">
        <v>13</v>
      </c>
      <c r="S726">
        <v>0.52</v>
      </c>
      <c r="T726">
        <v>1.3555787278415016E-2</v>
      </c>
      <c r="U726">
        <v>4</v>
      </c>
      <c r="V726">
        <v>0.16</v>
      </c>
      <c r="W726">
        <v>4.1710114702815434E-3</v>
      </c>
      <c r="X726">
        <v>1</v>
      </c>
      <c r="Y726">
        <v>0.04</v>
      </c>
      <c r="Z726">
        <v>1.0427528675703858E-3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">
      <c r="A727">
        <v>1943.7316319444435</v>
      </c>
      <c r="B727">
        <v>1191</v>
      </c>
      <c r="C727">
        <v>89</v>
      </c>
      <c r="D727">
        <v>397</v>
      </c>
      <c r="E727">
        <v>5</v>
      </c>
      <c r="F727">
        <v>10</v>
      </c>
      <c r="G727">
        <v>90</v>
      </c>
      <c r="H727">
        <v>280</v>
      </c>
      <c r="I727">
        <v>10</v>
      </c>
      <c r="J727">
        <v>635</v>
      </c>
      <c r="K727">
        <v>215</v>
      </c>
      <c r="L727">
        <v>6891</v>
      </c>
      <c r="M727">
        <v>300</v>
      </c>
      <c r="N727">
        <v>4.3535045711797997E-2</v>
      </c>
      <c r="O727">
        <v>105</v>
      </c>
      <c r="P727">
        <v>0.35</v>
      </c>
      <c r="Q727">
        <v>1.5237265999129298E-2</v>
      </c>
      <c r="R727">
        <v>54</v>
      </c>
      <c r="S727">
        <v>0.18</v>
      </c>
      <c r="T727">
        <v>7.8363082281236399E-3</v>
      </c>
      <c r="U727">
        <v>11</v>
      </c>
      <c r="V727">
        <v>3.6666666666666667E-2</v>
      </c>
      <c r="W727">
        <v>1.5962850094325932E-3</v>
      </c>
      <c r="X727">
        <v>129</v>
      </c>
      <c r="Y727">
        <v>0.43</v>
      </c>
      <c r="Z727">
        <v>1.8720069656073139E-2</v>
      </c>
      <c r="AA727">
        <v>0</v>
      </c>
      <c r="AB727">
        <v>0</v>
      </c>
      <c r="AC727">
        <v>0</v>
      </c>
      <c r="AD727">
        <v>1</v>
      </c>
      <c r="AE727">
        <v>3.3333333333333335E-3</v>
      </c>
      <c r="AF727">
        <v>1.4511681903932666E-4</v>
      </c>
    </row>
    <row r="728" spans="1:32" x14ac:dyDescent="0.2">
      <c r="A728">
        <v>3413.7268981481466</v>
      </c>
      <c r="B728">
        <v>18151</v>
      </c>
      <c r="C728">
        <v>508</v>
      </c>
      <c r="D728">
        <v>1163</v>
      </c>
      <c r="E728">
        <v>21</v>
      </c>
      <c r="F728">
        <v>82</v>
      </c>
      <c r="G728">
        <v>126</v>
      </c>
      <c r="H728">
        <v>487</v>
      </c>
      <c r="I728">
        <v>0</v>
      </c>
      <c r="J728">
        <v>1343</v>
      </c>
      <c r="K728">
        <v>202</v>
      </c>
      <c r="L728">
        <v>10986</v>
      </c>
      <c r="M728">
        <v>361</v>
      </c>
      <c r="N728">
        <v>3.2860003640997636E-2</v>
      </c>
      <c r="O728">
        <v>194</v>
      </c>
      <c r="P728">
        <v>0.53739612188365649</v>
      </c>
      <c r="Q728">
        <v>1.7658838521754962E-2</v>
      </c>
      <c r="R728">
        <v>56</v>
      </c>
      <c r="S728">
        <v>0.15512465373961218</v>
      </c>
      <c r="T728">
        <v>5.0973966866921534E-3</v>
      </c>
      <c r="U728">
        <v>27</v>
      </c>
      <c r="V728">
        <v>7.4792243767313013E-2</v>
      </c>
      <c r="W728">
        <v>2.4576734025122883E-3</v>
      </c>
      <c r="X728">
        <v>50</v>
      </c>
      <c r="Y728">
        <v>0.13850415512465375</v>
      </c>
      <c r="Z728">
        <v>4.5512470416894232E-3</v>
      </c>
      <c r="AA728">
        <v>34</v>
      </c>
      <c r="AB728">
        <v>9.4182825484764546E-2</v>
      </c>
      <c r="AC728">
        <v>3.0948479883488077E-3</v>
      </c>
      <c r="AD728">
        <v>0</v>
      </c>
      <c r="AE728">
        <v>0</v>
      </c>
      <c r="AF728">
        <v>0</v>
      </c>
    </row>
    <row r="729" spans="1:32" x14ac:dyDescent="0.2">
      <c r="A729">
        <v>489.02701388888818</v>
      </c>
      <c r="B729">
        <v>1175</v>
      </c>
      <c r="C729">
        <v>45</v>
      </c>
      <c r="D729">
        <v>171</v>
      </c>
      <c r="E729">
        <v>10</v>
      </c>
      <c r="F729">
        <v>7</v>
      </c>
      <c r="G729">
        <v>16</v>
      </c>
      <c r="H729">
        <v>364</v>
      </c>
      <c r="I729">
        <v>12</v>
      </c>
      <c r="J729">
        <v>218</v>
      </c>
      <c r="K729">
        <v>46</v>
      </c>
      <c r="L729">
        <v>20812</v>
      </c>
      <c r="M729">
        <v>159</v>
      </c>
      <c r="N729">
        <v>7.6398231789352299E-3</v>
      </c>
      <c r="O729">
        <v>3</v>
      </c>
      <c r="P729">
        <v>1.8867924528301886E-2</v>
      </c>
      <c r="Q729">
        <v>1.4414760714972133E-4</v>
      </c>
      <c r="R729">
        <v>118</v>
      </c>
      <c r="S729">
        <v>0.74213836477987416</v>
      </c>
      <c r="T729">
        <v>5.669805881222372E-3</v>
      </c>
      <c r="U729">
        <v>31</v>
      </c>
      <c r="V729">
        <v>0.19496855345911951</v>
      </c>
      <c r="W729">
        <v>1.4895252738804535E-3</v>
      </c>
      <c r="X729">
        <v>3</v>
      </c>
      <c r="Y729">
        <v>1.8867924528301886E-2</v>
      </c>
      <c r="Z729">
        <v>1.4414760714972133E-4</v>
      </c>
      <c r="AA729">
        <v>0</v>
      </c>
      <c r="AB729">
        <v>0</v>
      </c>
      <c r="AC729">
        <v>0</v>
      </c>
      <c r="AD729">
        <v>4</v>
      </c>
      <c r="AE729">
        <v>2.5157232704402517E-2</v>
      </c>
      <c r="AF729">
        <v>1.9219680953296174E-4</v>
      </c>
    </row>
    <row r="730" spans="1:32" x14ac:dyDescent="0.2">
      <c r="A730">
        <v>223.31315972222365</v>
      </c>
      <c r="B730">
        <v>2624</v>
      </c>
      <c r="C730">
        <v>68</v>
      </c>
      <c r="D730">
        <v>122</v>
      </c>
      <c r="E730">
        <v>9</v>
      </c>
      <c r="F730">
        <v>5</v>
      </c>
      <c r="G730">
        <v>11</v>
      </c>
      <c r="H730">
        <v>23</v>
      </c>
      <c r="I730">
        <v>0</v>
      </c>
      <c r="J730">
        <v>32</v>
      </c>
      <c r="K730">
        <v>7</v>
      </c>
      <c r="L730">
        <v>889</v>
      </c>
      <c r="M730">
        <v>63</v>
      </c>
      <c r="N730">
        <v>7.0866141732283464E-2</v>
      </c>
      <c r="O730">
        <v>1</v>
      </c>
      <c r="P730">
        <v>1.5873015873015872E-2</v>
      </c>
      <c r="Q730">
        <v>1.1248593925759281E-3</v>
      </c>
      <c r="R730">
        <v>54</v>
      </c>
      <c r="S730">
        <v>0.8571428571428571</v>
      </c>
      <c r="T730">
        <v>6.074240719910011E-2</v>
      </c>
      <c r="U730">
        <v>2</v>
      </c>
      <c r="V730">
        <v>3.1746031746031744E-2</v>
      </c>
      <c r="W730">
        <v>2.2497187851518562E-3</v>
      </c>
      <c r="X730">
        <v>1</v>
      </c>
      <c r="Y730">
        <v>1.5873015873015872E-2</v>
      </c>
      <c r="Z730">
        <v>1.1248593925759281E-3</v>
      </c>
      <c r="AA730">
        <v>0</v>
      </c>
      <c r="AB730">
        <v>0</v>
      </c>
      <c r="AC730">
        <v>0</v>
      </c>
      <c r="AD730">
        <v>5</v>
      </c>
      <c r="AE730">
        <v>7.9365079365079361E-2</v>
      </c>
      <c r="AF730">
        <v>5.6242969628796397E-3</v>
      </c>
    </row>
    <row r="731" spans="1:32" x14ac:dyDescent="0.2">
      <c r="A731">
        <v>1794.868333333332</v>
      </c>
      <c r="B731">
        <v>441</v>
      </c>
      <c r="C731">
        <v>35</v>
      </c>
      <c r="D731">
        <v>113</v>
      </c>
      <c r="E731">
        <v>0</v>
      </c>
      <c r="F731">
        <v>1</v>
      </c>
      <c r="G731">
        <v>13</v>
      </c>
      <c r="H731">
        <v>26</v>
      </c>
      <c r="I731">
        <v>0</v>
      </c>
      <c r="J731">
        <v>30</v>
      </c>
      <c r="K731">
        <v>0</v>
      </c>
      <c r="L731">
        <v>2331</v>
      </c>
      <c r="M731">
        <v>11</v>
      </c>
      <c r="N731">
        <v>4.7190047190047192E-3</v>
      </c>
      <c r="O731">
        <v>4</v>
      </c>
      <c r="P731">
        <v>0.36363636363636365</v>
      </c>
      <c r="Q731">
        <v>1.716001716001716E-3</v>
      </c>
      <c r="R731">
        <v>2</v>
      </c>
      <c r="S731">
        <v>0.18181818181818182</v>
      </c>
      <c r="T731">
        <v>8.5800085800085801E-4</v>
      </c>
      <c r="U731">
        <v>0</v>
      </c>
      <c r="V731">
        <v>0</v>
      </c>
      <c r="W731">
        <v>0</v>
      </c>
      <c r="X731">
        <v>5</v>
      </c>
      <c r="Y731">
        <v>0.45454545454545453</v>
      </c>
      <c r="Z731">
        <v>2.1450021450021449E-3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">
      <c r="A732">
        <v>1573.5530092592599</v>
      </c>
      <c r="B732">
        <v>1010</v>
      </c>
      <c r="C732">
        <v>109</v>
      </c>
      <c r="D732">
        <v>402</v>
      </c>
      <c r="E732">
        <v>0</v>
      </c>
      <c r="F732">
        <v>0</v>
      </c>
      <c r="G732">
        <v>3</v>
      </c>
      <c r="H732">
        <v>4</v>
      </c>
      <c r="I732">
        <v>1</v>
      </c>
      <c r="J732">
        <v>19</v>
      </c>
      <c r="K732">
        <v>11</v>
      </c>
      <c r="L732">
        <v>1478</v>
      </c>
      <c r="M732">
        <v>62</v>
      </c>
      <c r="N732">
        <v>4.1948579161028419E-2</v>
      </c>
      <c r="O732">
        <v>21</v>
      </c>
      <c r="P732">
        <v>0.33870967741935482</v>
      </c>
      <c r="Q732">
        <v>1.4208389715832206E-2</v>
      </c>
      <c r="R732">
        <v>30</v>
      </c>
      <c r="S732">
        <v>0.4838709677419355</v>
      </c>
      <c r="T732">
        <v>2.0297699594046009E-2</v>
      </c>
      <c r="U732">
        <v>0</v>
      </c>
      <c r="V732">
        <v>0</v>
      </c>
      <c r="W732">
        <v>0</v>
      </c>
      <c r="X732">
        <v>5</v>
      </c>
      <c r="Y732">
        <v>8.0645161290322578E-2</v>
      </c>
      <c r="Z732">
        <v>3.3829499323410014E-3</v>
      </c>
      <c r="AA732">
        <v>0</v>
      </c>
      <c r="AB732">
        <v>0</v>
      </c>
      <c r="AC732">
        <v>0</v>
      </c>
      <c r="AD732">
        <v>6</v>
      </c>
      <c r="AE732">
        <v>9.6774193548387094E-2</v>
      </c>
      <c r="AF732">
        <v>4.0595399188092015E-3</v>
      </c>
    </row>
    <row r="733" spans="1:32" x14ac:dyDescent="0.2">
      <c r="A733">
        <v>1570.9319097222251</v>
      </c>
      <c r="B733">
        <v>803</v>
      </c>
      <c r="C733">
        <v>86</v>
      </c>
      <c r="D733">
        <v>155</v>
      </c>
      <c r="E733">
        <v>21</v>
      </c>
      <c r="F733">
        <v>6</v>
      </c>
      <c r="G733">
        <v>41</v>
      </c>
      <c r="H733">
        <v>380</v>
      </c>
      <c r="I733">
        <v>12</v>
      </c>
      <c r="J733">
        <v>263</v>
      </c>
      <c r="K733">
        <v>47</v>
      </c>
      <c r="L733">
        <v>2259</v>
      </c>
      <c r="M733">
        <v>6</v>
      </c>
      <c r="N733">
        <v>2.6560424966799467E-3</v>
      </c>
      <c r="O733">
        <v>1</v>
      </c>
      <c r="P733">
        <v>0.16666666666666666</v>
      </c>
      <c r="Q733">
        <v>4.4267374944665782E-4</v>
      </c>
      <c r="R733">
        <v>1</v>
      </c>
      <c r="S733">
        <v>0.16666666666666666</v>
      </c>
      <c r="T733">
        <v>4.4267374944665782E-4</v>
      </c>
      <c r="U733">
        <v>2</v>
      </c>
      <c r="V733">
        <v>0.33333333333333331</v>
      </c>
      <c r="W733">
        <v>8.8534749889331564E-4</v>
      </c>
      <c r="X733">
        <v>2</v>
      </c>
      <c r="Y733">
        <v>0.33333333333333331</v>
      </c>
      <c r="Z733">
        <v>8.8534749889331564E-4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">
      <c r="A734">
        <v>1764.5092592592555</v>
      </c>
      <c r="B734">
        <v>861</v>
      </c>
      <c r="C734">
        <v>88</v>
      </c>
      <c r="D734">
        <v>189</v>
      </c>
      <c r="E734">
        <v>40</v>
      </c>
      <c r="F734">
        <v>1</v>
      </c>
      <c r="G734">
        <v>33</v>
      </c>
      <c r="H734">
        <v>145</v>
      </c>
      <c r="I734">
        <v>9</v>
      </c>
      <c r="J734">
        <v>134</v>
      </c>
      <c r="K734">
        <v>33</v>
      </c>
      <c r="L734">
        <v>20382</v>
      </c>
      <c r="M734">
        <v>300</v>
      </c>
      <c r="N734">
        <v>1.4718869590815425E-2</v>
      </c>
      <c r="O734">
        <v>43</v>
      </c>
      <c r="P734">
        <v>0.14333333333333334</v>
      </c>
      <c r="Q734">
        <v>2.1097046413502108E-3</v>
      </c>
      <c r="R734">
        <v>177</v>
      </c>
      <c r="S734">
        <v>0.59</v>
      </c>
      <c r="T734">
        <v>8.6841330585811002E-3</v>
      </c>
      <c r="U734">
        <v>17</v>
      </c>
      <c r="V734">
        <v>5.6666666666666664E-2</v>
      </c>
      <c r="W734">
        <v>8.3406927681287405E-4</v>
      </c>
      <c r="X734">
        <v>36</v>
      </c>
      <c r="Y734">
        <v>0.12</v>
      </c>
      <c r="Z734">
        <v>1.766264350897851E-3</v>
      </c>
      <c r="AA734">
        <v>1</v>
      </c>
      <c r="AB734">
        <v>3.3333333333333335E-3</v>
      </c>
      <c r="AC734">
        <v>4.9062898636051415E-5</v>
      </c>
      <c r="AD734">
        <v>26</v>
      </c>
      <c r="AE734">
        <v>8.666666666666667E-2</v>
      </c>
      <c r="AF734">
        <v>1.275635364537337E-3</v>
      </c>
    </row>
    <row r="735" spans="1:32" x14ac:dyDescent="0.2">
      <c r="A735">
        <v>801.03077546296117</v>
      </c>
      <c r="B735">
        <v>977</v>
      </c>
      <c r="C735">
        <v>25</v>
      </c>
      <c r="D735">
        <v>176</v>
      </c>
      <c r="E735">
        <v>0</v>
      </c>
      <c r="F735">
        <v>0</v>
      </c>
      <c r="G735">
        <v>5</v>
      </c>
      <c r="H735">
        <v>122</v>
      </c>
      <c r="I735">
        <v>11</v>
      </c>
      <c r="J735">
        <v>18</v>
      </c>
      <c r="K735">
        <v>5</v>
      </c>
      <c r="L735">
        <v>1656</v>
      </c>
      <c r="M735">
        <v>4</v>
      </c>
      <c r="N735">
        <v>2.4154589371980675E-3</v>
      </c>
      <c r="O735">
        <v>0</v>
      </c>
      <c r="P735">
        <v>0</v>
      </c>
      <c r="Q735">
        <v>0</v>
      </c>
      <c r="R735">
        <v>4</v>
      </c>
      <c r="S735">
        <v>1</v>
      </c>
      <c r="T735">
        <v>2.4154589371980675E-3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">
      <c r="A736">
        <v>2924.5183680555565</v>
      </c>
      <c r="B736">
        <v>6221</v>
      </c>
      <c r="C736">
        <v>641</v>
      </c>
      <c r="D736">
        <v>1552</v>
      </c>
      <c r="E736">
        <v>47</v>
      </c>
      <c r="F736">
        <v>53</v>
      </c>
      <c r="G736">
        <v>86</v>
      </c>
      <c r="H736">
        <v>2110</v>
      </c>
      <c r="I736">
        <v>11</v>
      </c>
      <c r="J736">
        <v>1784</v>
      </c>
      <c r="K736">
        <v>447</v>
      </c>
      <c r="L736">
        <v>94265</v>
      </c>
      <c r="M736">
        <v>374</v>
      </c>
      <c r="N736">
        <v>3.9675383228133451E-3</v>
      </c>
      <c r="O736">
        <v>81</v>
      </c>
      <c r="P736">
        <v>0.21657754010695188</v>
      </c>
      <c r="Q736">
        <v>8.5927969023497585E-4</v>
      </c>
      <c r="R736">
        <v>156</v>
      </c>
      <c r="S736">
        <v>0.41711229946524064</v>
      </c>
      <c r="T736">
        <v>1.6549090330451387E-3</v>
      </c>
      <c r="U736">
        <v>110</v>
      </c>
      <c r="V736">
        <v>0.29411764705882354</v>
      </c>
      <c r="W736">
        <v>1.1669230361215721E-3</v>
      </c>
      <c r="X736">
        <v>16</v>
      </c>
      <c r="Y736">
        <v>4.2780748663101602E-2</v>
      </c>
      <c r="Z736">
        <v>1.6973425979950141E-4</v>
      </c>
      <c r="AA736">
        <v>4</v>
      </c>
      <c r="AB736">
        <v>1.06951871657754E-2</v>
      </c>
      <c r="AC736">
        <v>4.2433564949875352E-5</v>
      </c>
      <c r="AD736">
        <v>7</v>
      </c>
      <c r="AE736">
        <v>1.871657754010695E-2</v>
      </c>
      <c r="AF736">
        <v>7.425873866228186E-5</v>
      </c>
    </row>
    <row r="737" spans="1:32" x14ac:dyDescent="0.2">
      <c r="A737">
        <v>636.82016203703824</v>
      </c>
      <c r="B737">
        <v>727</v>
      </c>
      <c r="C737">
        <v>35</v>
      </c>
      <c r="D737">
        <v>161</v>
      </c>
      <c r="E737">
        <v>0</v>
      </c>
      <c r="F737">
        <v>0</v>
      </c>
      <c r="G737">
        <v>3</v>
      </c>
      <c r="H737">
        <v>4</v>
      </c>
      <c r="I737">
        <v>2</v>
      </c>
      <c r="J737">
        <v>78</v>
      </c>
      <c r="K737">
        <v>47</v>
      </c>
      <c r="L737">
        <v>2674</v>
      </c>
      <c r="M737">
        <v>23</v>
      </c>
      <c r="N737">
        <v>8.6013462976813754E-3</v>
      </c>
      <c r="O737">
        <v>0</v>
      </c>
      <c r="P737">
        <v>0</v>
      </c>
      <c r="Q737">
        <v>0</v>
      </c>
      <c r="R737">
        <v>23</v>
      </c>
      <c r="S737">
        <v>1</v>
      </c>
      <c r="T737">
        <v>8.6013462976813754E-3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">
      <c r="A738">
        <v>663.47579861110717</v>
      </c>
      <c r="B738">
        <v>1144</v>
      </c>
      <c r="C738">
        <v>35</v>
      </c>
      <c r="D738">
        <v>244</v>
      </c>
      <c r="E738">
        <v>0</v>
      </c>
      <c r="F738">
        <v>0</v>
      </c>
      <c r="G738">
        <v>4</v>
      </c>
      <c r="H738">
        <v>19</v>
      </c>
      <c r="I738">
        <v>1</v>
      </c>
      <c r="J738">
        <v>117</v>
      </c>
      <c r="K738">
        <v>37</v>
      </c>
      <c r="L738">
        <v>5773</v>
      </c>
      <c r="M738">
        <v>2</v>
      </c>
      <c r="N738">
        <v>3.4644032565390613E-4</v>
      </c>
      <c r="O738">
        <v>0</v>
      </c>
      <c r="P738">
        <v>0</v>
      </c>
      <c r="Q738">
        <v>0</v>
      </c>
      <c r="R738">
        <v>1</v>
      </c>
      <c r="S738">
        <v>0.5</v>
      </c>
      <c r="T738">
        <v>1.7322016282695306E-4</v>
      </c>
      <c r="U738">
        <v>1</v>
      </c>
      <c r="V738">
        <v>0.5</v>
      </c>
      <c r="W738">
        <v>1.7322016282695306E-4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">
      <c r="A739">
        <v>511.11829861111619</v>
      </c>
      <c r="B739">
        <v>2421</v>
      </c>
      <c r="C739">
        <v>108</v>
      </c>
      <c r="D739">
        <v>327</v>
      </c>
      <c r="E739">
        <v>3</v>
      </c>
      <c r="F739">
        <v>0</v>
      </c>
      <c r="G739">
        <v>15</v>
      </c>
      <c r="H739">
        <v>145</v>
      </c>
      <c r="I739">
        <v>32</v>
      </c>
      <c r="J739">
        <v>226</v>
      </c>
      <c r="K739">
        <v>172</v>
      </c>
      <c r="L739">
        <v>5474</v>
      </c>
      <c r="M739">
        <v>15</v>
      </c>
      <c r="N739">
        <v>2.7402265253927659E-3</v>
      </c>
      <c r="O739">
        <v>3</v>
      </c>
      <c r="P739">
        <v>0.2</v>
      </c>
      <c r="Q739">
        <v>5.4804530507855317E-4</v>
      </c>
      <c r="R739">
        <v>3</v>
      </c>
      <c r="S739">
        <v>0.2</v>
      </c>
      <c r="T739">
        <v>5.4804530507855317E-4</v>
      </c>
      <c r="U739">
        <v>9</v>
      </c>
      <c r="V739">
        <v>0.6</v>
      </c>
      <c r="W739">
        <v>1.6441359152356595E-3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">
      <c r="A740">
        <v>232.3275115740762</v>
      </c>
      <c r="B740">
        <v>582</v>
      </c>
      <c r="C740">
        <v>16</v>
      </c>
      <c r="D740">
        <v>64</v>
      </c>
      <c r="E740">
        <v>0</v>
      </c>
      <c r="F740">
        <v>0</v>
      </c>
      <c r="G740">
        <v>0</v>
      </c>
      <c r="H740">
        <v>3</v>
      </c>
      <c r="I740">
        <v>3</v>
      </c>
      <c r="J740">
        <v>25</v>
      </c>
      <c r="K740">
        <v>9</v>
      </c>
      <c r="L740">
        <v>2200</v>
      </c>
      <c r="M740">
        <v>32</v>
      </c>
      <c r="N740">
        <v>1.4545454545454545E-2</v>
      </c>
      <c r="O740">
        <v>0</v>
      </c>
      <c r="P740">
        <v>0</v>
      </c>
      <c r="Q740">
        <v>0</v>
      </c>
      <c r="R740">
        <v>32</v>
      </c>
      <c r="S740">
        <v>1</v>
      </c>
      <c r="T740">
        <v>1.4545454545454545E-2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">
      <c r="A741">
        <v>499.0442361111127</v>
      </c>
      <c r="B741">
        <v>7502</v>
      </c>
      <c r="C741">
        <v>342</v>
      </c>
      <c r="D741">
        <v>1418</v>
      </c>
      <c r="E741">
        <v>0</v>
      </c>
      <c r="F741">
        <v>2</v>
      </c>
      <c r="G741">
        <v>0</v>
      </c>
      <c r="H741">
        <v>22</v>
      </c>
      <c r="I741">
        <v>17</v>
      </c>
      <c r="J741">
        <v>0</v>
      </c>
      <c r="K741">
        <v>0</v>
      </c>
      <c r="L741">
        <v>5147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">
      <c r="A742">
        <v>183.11565972222161</v>
      </c>
      <c r="B742">
        <v>1160</v>
      </c>
      <c r="C742">
        <v>27</v>
      </c>
      <c r="D742">
        <v>244</v>
      </c>
      <c r="E742">
        <v>0</v>
      </c>
      <c r="F742">
        <v>1</v>
      </c>
      <c r="G742">
        <v>0</v>
      </c>
      <c r="H742">
        <v>6</v>
      </c>
      <c r="I742">
        <v>2</v>
      </c>
      <c r="J742">
        <v>85</v>
      </c>
      <c r="K742">
        <v>51</v>
      </c>
      <c r="L742">
        <v>5510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">
      <c r="A743">
        <v>1426.6325578703691</v>
      </c>
      <c r="B743">
        <v>2787</v>
      </c>
      <c r="C743">
        <v>176</v>
      </c>
      <c r="D743">
        <v>318</v>
      </c>
      <c r="E743">
        <v>0</v>
      </c>
      <c r="F743">
        <v>46</v>
      </c>
      <c r="G743">
        <v>44</v>
      </c>
      <c r="H743">
        <v>288</v>
      </c>
      <c r="I743">
        <v>15</v>
      </c>
      <c r="J743">
        <v>0</v>
      </c>
      <c r="K743">
        <v>0</v>
      </c>
      <c r="L743">
        <v>4815</v>
      </c>
      <c r="M743">
        <v>9</v>
      </c>
      <c r="N743">
        <v>1.869158878504673E-3</v>
      </c>
      <c r="O743">
        <v>1</v>
      </c>
      <c r="P743">
        <v>0.1111111111111111</v>
      </c>
      <c r="Q743">
        <v>2.0768431983385254E-4</v>
      </c>
      <c r="R743">
        <v>3</v>
      </c>
      <c r="S743">
        <v>0.33333333333333331</v>
      </c>
      <c r="T743">
        <v>6.2305295950155766E-4</v>
      </c>
      <c r="U743">
        <v>2</v>
      </c>
      <c r="V743">
        <v>0.22222222222222221</v>
      </c>
      <c r="W743">
        <v>4.1536863966770509E-4</v>
      </c>
      <c r="X743">
        <v>2</v>
      </c>
      <c r="Y743">
        <v>0.22222222222222221</v>
      </c>
      <c r="Z743">
        <v>4.1536863966770509E-4</v>
      </c>
      <c r="AA743">
        <v>0</v>
      </c>
      <c r="AB743">
        <v>0</v>
      </c>
      <c r="AC743">
        <v>0</v>
      </c>
      <c r="AD743">
        <v>1</v>
      </c>
      <c r="AE743">
        <v>0.1111111111111111</v>
      </c>
      <c r="AF743">
        <v>2.0768431983385254E-4</v>
      </c>
    </row>
    <row r="744" spans="1:32" x14ac:dyDescent="0.2">
      <c r="A744">
        <v>1517.9299074074079</v>
      </c>
      <c r="B744">
        <v>5062</v>
      </c>
      <c r="C744">
        <v>233</v>
      </c>
      <c r="D744">
        <v>1474</v>
      </c>
      <c r="E744">
        <v>0</v>
      </c>
      <c r="F744">
        <v>2</v>
      </c>
      <c r="G744">
        <v>6</v>
      </c>
      <c r="H744">
        <v>27</v>
      </c>
      <c r="I744">
        <v>9</v>
      </c>
      <c r="J744">
        <v>116</v>
      </c>
      <c r="K744">
        <v>38</v>
      </c>
      <c r="L744">
        <v>1358</v>
      </c>
      <c r="M744">
        <v>2</v>
      </c>
      <c r="N744">
        <v>1.4727540500736377E-3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1</v>
      </c>
      <c r="Z744">
        <v>1.4727540500736377E-3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">
      <c r="A745">
        <v>517.17846064814512</v>
      </c>
      <c r="B745">
        <v>359</v>
      </c>
      <c r="C745">
        <v>24</v>
      </c>
      <c r="D745">
        <v>41</v>
      </c>
      <c r="E745">
        <v>3</v>
      </c>
      <c r="F745">
        <v>0</v>
      </c>
      <c r="G745">
        <v>7</v>
      </c>
      <c r="H745">
        <v>65</v>
      </c>
      <c r="I745">
        <v>0</v>
      </c>
      <c r="J745">
        <v>49</v>
      </c>
      <c r="K745">
        <v>27</v>
      </c>
      <c r="L745">
        <v>1864</v>
      </c>
      <c r="M745">
        <v>10</v>
      </c>
      <c r="N745">
        <v>5.3648068669527897E-3</v>
      </c>
      <c r="O745">
        <v>0</v>
      </c>
      <c r="P745">
        <v>0</v>
      </c>
      <c r="Q745">
        <v>0</v>
      </c>
      <c r="R745">
        <v>1</v>
      </c>
      <c r="S745">
        <v>0.1</v>
      </c>
      <c r="T745">
        <v>5.3648068669527897E-4</v>
      </c>
      <c r="U745">
        <v>1</v>
      </c>
      <c r="V745">
        <v>0.1</v>
      </c>
      <c r="W745">
        <v>5.3648068669527897E-4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8</v>
      </c>
      <c r="AE745">
        <v>0.8</v>
      </c>
      <c r="AF745">
        <v>4.2918454935622317E-3</v>
      </c>
    </row>
    <row r="746" spans="1:32" x14ac:dyDescent="0.2">
      <c r="A746">
        <v>3133.799201388887</v>
      </c>
      <c r="B746">
        <v>765</v>
      </c>
      <c r="C746">
        <v>123</v>
      </c>
      <c r="D746">
        <v>424</v>
      </c>
      <c r="E746">
        <v>20</v>
      </c>
      <c r="F746">
        <v>497</v>
      </c>
      <c r="G746">
        <v>93</v>
      </c>
      <c r="H746">
        <v>1334</v>
      </c>
      <c r="I746">
        <v>118</v>
      </c>
      <c r="J746">
        <v>1483</v>
      </c>
      <c r="K746">
        <v>273</v>
      </c>
      <c r="L746">
        <v>90636</v>
      </c>
      <c r="M746">
        <v>512</v>
      </c>
      <c r="N746">
        <v>5.6489695043911914E-3</v>
      </c>
      <c r="O746">
        <v>46</v>
      </c>
      <c r="P746">
        <v>8.984375E-2</v>
      </c>
      <c r="Q746">
        <v>5.0752460391014604E-4</v>
      </c>
      <c r="R746">
        <v>55</v>
      </c>
      <c r="S746">
        <v>0.107421875</v>
      </c>
      <c r="T746">
        <v>6.0682289597952248E-4</v>
      </c>
      <c r="U746">
        <v>354</v>
      </c>
      <c r="V746">
        <v>0.69140625</v>
      </c>
      <c r="W746">
        <v>3.9057328213954719E-3</v>
      </c>
      <c r="X746">
        <v>46</v>
      </c>
      <c r="Y746">
        <v>8.984375E-2</v>
      </c>
      <c r="Z746">
        <v>5.0752460391014604E-4</v>
      </c>
      <c r="AA746">
        <v>11</v>
      </c>
      <c r="AB746">
        <v>2.1484375E-2</v>
      </c>
      <c r="AC746">
        <v>1.2136457919590449E-4</v>
      </c>
      <c r="AD746">
        <v>0</v>
      </c>
      <c r="AE746">
        <v>0</v>
      </c>
      <c r="AF746">
        <v>0</v>
      </c>
    </row>
    <row r="747" spans="1:32" x14ac:dyDescent="0.2">
      <c r="A747">
        <v>1857.6548495370371</v>
      </c>
      <c r="B747">
        <v>352</v>
      </c>
      <c r="C747">
        <v>21</v>
      </c>
      <c r="D747">
        <v>26</v>
      </c>
      <c r="E747">
        <v>44</v>
      </c>
      <c r="F747">
        <v>58</v>
      </c>
      <c r="G747">
        <v>3</v>
      </c>
      <c r="H747">
        <v>287</v>
      </c>
      <c r="I747">
        <v>3</v>
      </c>
      <c r="J747">
        <v>439</v>
      </c>
      <c r="K747">
        <v>136</v>
      </c>
      <c r="L747">
        <v>1880</v>
      </c>
      <c r="M747">
        <v>1</v>
      </c>
      <c r="N747">
        <v>5.3191489361702129E-4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5.3191489361702129E-4</v>
      </c>
      <c r="AD747">
        <v>0</v>
      </c>
      <c r="AE747">
        <v>0</v>
      </c>
      <c r="AF747">
        <v>0</v>
      </c>
    </row>
    <row r="748" spans="1:32" x14ac:dyDescent="0.2">
      <c r="A748">
        <v>1545.6765972222202</v>
      </c>
      <c r="B748">
        <v>3879</v>
      </c>
      <c r="C748">
        <v>316</v>
      </c>
      <c r="D748">
        <v>1290</v>
      </c>
      <c r="E748">
        <v>57</v>
      </c>
      <c r="F748">
        <v>49</v>
      </c>
      <c r="G748">
        <v>113</v>
      </c>
      <c r="H748">
        <v>475</v>
      </c>
      <c r="I748">
        <v>0</v>
      </c>
      <c r="J748">
        <v>960</v>
      </c>
      <c r="K748">
        <v>35</v>
      </c>
      <c r="L748">
        <v>7540</v>
      </c>
      <c r="M748">
        <v>315</v>
      </c>
      <c r="N748">
        <v>4.1777188328912467E-2</v>
      </c>
      <c r="O748">
        <v>11</v>
      </c>
      <c r="P748">
        <v>3.4920634920634921E-2</v>
      </c>
      <c r="Q748">
        <v>1.4588859416445623E-3</v>
      </c>
      <c r="R748">
        <v>197</v>
      </c>
      <c r="S748">
        <v>0.6253968253968254</v>
      </c>
      <c r="T748">
        <v>2.6127320954907163E-2</v>
      </c>
      <c r="U748">
        <v>39</v>
      </c>
      <c r="V748">
        <v>0.12380952380952381</v>
      </c>
      <c r="W748">
        <v>5.1724137931034482E-3</v>
      </c>
      <c r="X748">
        <v>66</v>
      </c>
      <c r="Y748">
        <v>0.20952380952380953</v>
      </c>
      <c r="Z748">
        <v>8.7533156498673746E-3</v>
      </c>
      <c r="AA748">
        <v>1</v>
      </c>
      <c r="AB748">
        <v>3.1746031746031746E-3</v>
      </c>
      <c r="AC748">
        <v>1.326259946949602E-4</v>
      </c>
      <c r="AD748">
        <v>1</v>
      </c>
      <c r="AE748">
        <v>3.1746031746031746E-3</v>
      </c>
      <c r="AF748">
        <v>1.326259946949602E-4</v>
      </c>
    </row>
    <row r="749" spans="1:32" x14ac:dyDescent="0.2">
      <c r="A749">
        <v>1744.2694791666727</v>
      </c>
      <c r="B749">
        <v>4254</v>
      </c>
      <c r="C749">
        <v>393</v>
      </c>
      <c r="D749">
        <v>672</v>
      </c>
      <c r="E749">
        <v>0</v>
      </c>
      <c r="F749">
        <v>16</v>
      </c>
      <c r="G749">
        <v>103</v>
      </c>
      <c r="H749">
        <v>370</v>
      </c>
      <c r="I749">
        <v>17</v>
      </c>
      <c r="J749">
        <v>179</v>
      </c>
      <c r="K749">
        <v>46</v>
      </c>
      <c r="L749">
        <v>6044</v>
      </c>
      <c r="M749">
        <v>34</v>
      </c>
      <c r="N749">
        <v>5.6254136333553934E-3</v>
      </c>
      <c r="O749">
        <v>7</v>
      </c>
      <c r="P749">
        <v>0.20588235294117646</v>
      </c>
      <c r="Q749">
        <v>1.158173395102581E-3</v>
      </c>
      <c r="R749">
        <v>22</v>
      </c>
      <c r="S749">
        <v>0.6470588235294118</v>
      </c>
      <c r="T749">
        <v>3.639973527465255E-3</v>
      </c>
      <c r="U749">
        <v>1</v>
      </c>
      <c r="V749">
        <v>2.9411764705882353E-2</v>
      </c>
      <c r="W749">
        <v>1.6545334215751158E-4</v>
      </c>
      <c r="X749">
        <v>3</v>
      </c>
      <c r="Y749">
        <v>8.8235294117647065E-2</v>
      </c>
      <c r="Z749">
        <v>4.9636002647253472E-4</v>
      </c>
      <c r="AA749">
        <v>0</v>
      </c>
      <c r="AB749">
        <v>0</v>
      </c>
      <c r="AC749">
        <v>0</v>
      </c>
      <c r="AD749">
        <v>1</v>
      </c>
      <c r="AE749">
        <v>2.9411764705882353E-2</v>
      </c>
      <c r="AF749">
        <v>1.6545334215751158E-4</v>
      </c>
    </row>
    <row r="750" spans="1:32" x14ac:dyDescent="0.2">
      <c r="A750">
        <v>1993.1593287037031</v>
      </c>
      <c r="B750">
        <v>358</v>
      </c>
      <c r="C750">
        <v>4</v>
      </c>
      <c r="D750">
        <v>55</v>
      </c>
      <c r="E750">
        <v>7</v>
      </c>
      <c r="F750">
        <v>0</v>
      </c>
      <c r="G750">
        <v>18</v>
      </c>
      <c r="H750">
        <v>74</v>
      </c>
      <c r="I750">
        <v>4</v>
      </c>
      <c r="J750">
        <v>36</v>
      </c>
      <c r="K750">
        <v>8</v>
      </c>
      <c r="L750">
        <v>500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">
      <c r="A751">
        <v>665.53609953703562</v>
      </c>
      <c r="B751">
        <v>1614</v>
      </c>
      <c r="C751">
        <v>49</v>
      </c>
      <c r="D751">
        <v>320</v>
      </c>
      <c r="E751">
        <v>0</v>
      </c>
      <c r="F751">
        <v>1</v>
      </c>
      <c r="G751">
        <v>21</v>
      </c>
      <c r="H751">
        <v>46</v>
      </c>
      <c r="I751">
        <v>0</v>
      </c>
      <c r="J751">
        <v>180</v>
      </c>
      <c r="K751">
        <v>43</v>
      </c>
      <c r="L751">
        <v>10681</v>
      </c>
      <c r="M751">
        <v>28</v>
      </c>
      <c r="N751">
        <v>2.6214773897575133E-3</v>
      </c>
      <c r="O751">
        <v>0</v>
      </c>
      <c r="P751">
        <v>0</v>
      </c>
      <c r="Q751">
        <v>0</v>
      </c>
      <c r="R751">
        <v>27</v>
      </c>
      <c r="S751">
        <v>0.9642857142857143</v>
      </c>
      <c r="T751">
        <v>2.5278531972661735E-3</v>
      </c>
      <c r="U751">
        <v>1</v>
      </c>
      <c r="V751">
        <v>3.5714285714285712E-2</v>
      </c>
      <c r="W751">
        <v>9.3624192491339759E-5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">
      <c r="A752">
        <v>271.83274305555096</v>
      </c>
      <c r="B752">
        <v>745</v>
      </c>
      <c r="C752">
        <v>26</v>
      </c>
      <c r="D752">
        <v>177</v>
      </c>
      <c r="E752">
        <v>9</v>
      </c>
      <c r="F752">
        <v>0</v>
      </c>
      <c r="G752">
        <v>23</v>
      </c>
      <c r="H752">
        <v>473</v>
      </c>
      <c r="I752">
        <v>13</v>
      </c>
      <c r="J752">
        <v>296</v>
      </c>
      <c r="K752">
        <v>22</v>
      </c>
      <c r="L752">
        <v>23254</v>
      </c>
      <c r="M752">
        <v>60</v>
      </c>
      <c r="N752">
        <v>2.5802012556979444E-3</v>
      </c>
      <c r="O752">
        <v>0</v>
      </c>
      <c r="P752">
        <v>0</v>
      </c>
      <c r="Q752">
        <v>0</v>
      </c>
      <c r="R752">
        <v>32</v>
      </c>
      <c r="S752">
        <v>0.53333333333333333</v>
      </c>
      <c r="T752">
        <v>1.376107336372237E-3</v>
      </c>
      <c r="U752">
        <v>28</v>
      </c>
      <c r="V752">
        <v>0.46666666666666667</v>
      </c>
      <c r="W752">
        <v>1.2040939193257074E-3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">
      <c r="A753">
        <v>960.8575462962981</v>
      </c>
      <c r="B753">
        <v>2349</v>
      </c>
      <c r="C753">
        <v>73</v>
      </c>
      <c r="D753">
        <v>606</v>
      </c>
      <c r="E753">
        <v>17</v>
      </c>
      <c r="F753">
        <v>3</v>
      </c>
      <c r="G753">
        <v>88</v>
      </c>
      <c r="H753">
        <v>647</v>
      </c>
      <c r="I753">
        <v>43</v>
      </c>
      <c r="J753">
        <v>284</v>
      </c>
      <c r="K753">
        <v>24</v>
      </c>
      <c r="L753">
        <v>18069</v>
      </c>
      <c r="M753">
        <v>41</v>
      </c>
      <c r="N753">
        <v>2.2690796391609939E-3</v>
      </c>
      <c r="O753">
        <v>0</v>
      </c>
      <c r="P753">
        <v>0</v>
      </c>
      <c r="Q753">
        <v>0</v>
      </c>
      <c r="R753">
        <v>14</v>
      </c>
      <c r="S753">
        <v>0.34146341463414637</v>
      </c>
      <c r="T753">
        <v>7.7480768166472962E-4</v>
      </c>
      <c r="U753">
        <v>27</v>
      </c>
      <c r="V753">
        <v>0.65853658536585369</v>
      </c>
      <c r="W753">
        <v>1.4942719574962643E-3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">
      <c r="A754">
        <v>960.86114583333256</v>
      </c>
      <c r="B754">
        <v>14323</v>
      </c>
      <c r="C754">
        <v>356</v>
      </c>
      <c r="D754">
        <v>4619</v>
      </c>
      <c r="E754">
        <v>11</v>
      </c>
      <c r="F754">
        <v>10</v>
      </c>
      <c r="G754">
        <v>201</v>
      </c>
      <c r="H754">
        <v>1365</v>
      </c>
      <c r="I754">
        <v>49</v>
      </c>
      <c r="J754">
        <v>3547</v>
      </c>
      <c r="K754">
        <v>264</v>
      </c>
      <c r="L754">
        <v>32491</v>
      </c>
      <c r="M754">
        <v>42</v>
      </c>
      <c r="N754">
        <v>1.2926656612600412E-3</v>
      </c>
      <c r="O754">
        <v>5</v>
      </c>
      <c r="P754">
        <v>0.11904761904761904</v>
      </c>
      <c r="Q754">
        <v>1.5388876919762395E-4</v>
      </c>
      <c r="R754">
        <v>7</v>
      </c>
      <c r="S754">
        <v>0.16666666666666666</v>
      </c>
      <c r="T754">
        <v>2.1544427687667354E-4</v>
      </c>
      <c r="U754">
        <v>29</v>
      </c>
      <c r="V754">
        <v>0.69047619047619047</v>
      </c>
      <c r="W754">
        <v>8.9255486134621901E-4</v>
      </c>
      <c r="X754">
        <v>1</v>
      </c>
      <c r="Y754">
        <v>2.3809523809523808E-2</v>
      </c>
      <c r="Z754">
        <v>3.0777753839524793E-5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">
      <c r="A755">
        <v>274.44518518518453</v>
      </c>
      <c r="B755">
        <v>992</v>
      </c>
      <c r="C755">
        <v>36</v>
      </c>
      <c r="D755">
        <v>228</v>
      </c>
      <c r="E755">
        <v>8</v>
      </c>
      <c r="F755">
        <v>1</v>
      </c>
      <c r="G755">
        <v>25</v>
      </c>
      <c r="H755">
        <v>218</v>
      </c>
      <c r="I755">
        <v>7</v>
      </c>
      <c r="J755">
        <v>210</v>
      </c>
      <c r="K755">
        <v>34</v>
      </c>
      <c r="L755">
        <v>22105</v>
      </c>
      <c r="M755">
        <v>13</v>
      </c>
      <c r="N755">
        <v>5.8810223931237272E-4</v>
      </c>
      <c r="O755">
        <v>0</v>
      </c>
      <c r="P755">
        <v>0</v>
      </c>
      <c r="Q755">
        <v>0</v>
      </c>
      <c r="R755">
        <v>8</v>
      </c>
      <c r="S755">
        <v>0.61538461538461542</v>
      </c>
      <c r="T755">
        <v>3.6190907034607553E-4</v>
      </c>
      <c r="U755">
        <v>5</v>
      </c>
      <c r="V755">
        <v>0.38461538461538464</v>
      </c>
      <c r="W755">
        <v>2.2619316896629722E-4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">
      <c r="A756">
        <v>593.98561342593166</v>
      </c>
      <c r="B756">
        <v>1886</v>
      </c>
      <c r="C756">
        <v>70</v>
      </c>
      <c r="D756">
        <v>346</v>
      </c>
      <c r="E756">
        <v>2</v>
      </c>
      <c r="F756">
        <v>0</v>
      </c>
      <c r="G756">
        <v>21</v>
      </c>
      <c r="H756">
        <v>111</v>
      </c>
      <c r="I756">
        <v>6</v>
      </c>
      <c r="J756">
        <v>134</v>
      </c>
      <c r="K756">
        <v>8</v>
      </c>
      <c r="L756">
        <v>16371</v>
      </c>
      <c r="M756">
        <v>7</v>
      </c>
      <c r="N756">
        <v>4.2758536436381404E-4</v>
      </c>
      <c r="O756">
        <v>0</v>
      </c>
      <c r="P756">
        <v>0</v>
      </c>
      <c r="Q756">
        <v>0</v>
      </c>
      <c r="R756">
        <v>5</v>
      </c>
      <c r="S756">
        <v>0.7142857142857143</v>
      </c>
      <c r="T756">
        <v>3.0541811740272432E-4</v>
      </c>
      <c r="U756">
        <v>2</v>
      </c>
      <c r="V756">
        <v>0.2857142857142857</v>
      </c>
      <c r="W756">
        <v>1.2216724696108972E-4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">
      <c r="A757">
        <v>531.89590277778188</v>
      </c>
      <c r="B757">
        <v>716</v>
      </c>
      <c r="C757">
        <v>42</v>
      </c>
      <c r="D757">
        <v>159</v>
      </c>
      <c r="E757">
        <v>0</v>
      </c>
      <c r="F757">
        <v>0</v>
      </c>
      <c r="G757">
        <v>5</v>
      </c>
      <c r="H757">
        <v>10</v>
      </c>
      <c r="I757">
        <v>3</v>
      </c>
      <c r="J757">
        <v>120</v>
      </c>
      <c r="K757">
        <v>56</v>
      </c>
      <c r="L757">
        <v>6249</v>
      </c>
      <c r="M757">
        <v>23</v>
      </c>
      <c r="N757">
        <v>3.6805888942230756E-3</v>
      </c>
      <c r="O757">
        <v>0</v>
      </c>
      <c r="P757">
        <v>0</v>
      </c>
      <c r="Q757">
        <v>0</v>
      </c>
      <c r="R757">
        <v>21</v>
      </c>
      <c r="S757">
        <v>0.91304347826086951</v>
      </c>
      <c r="T757">
        <v>3.3605376860297649E-3</v>
      </c>
      <c r="U757">
        <v>2</v>
      </c>
      <c r="V757">
        <v>8.6956521739130432E-2</v>
      </c>
      <c r="W757">
        <v>3.2005120819331091E-4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">
      <c r="A758">
        <v>274.16266203703708</v>
      </c>
      <c r="B758">
        <v>725</v>
      </c>
      <c r="C758">
        <v>28</v>
      </c>
      <c r="D758">
        <v>148</v>
      </c>
      <c r="E758">
        <v>8</v>
      </c>
      <c r="F758">
        <v>14</v>
      </c>
      <c r="G758">
        <v>26</v>
      </c>
      <c r="H758">
        <v>336</v>
      </c>
      <c r="I758">
        <v>6</v>
      </c>
      <c r="J758">
        <v>219</v>
      </c>
      <c r="K758">
        <v>23</v>
      </c>
      <c r="L758">
        <v>22454</v>
      </c>
      <c r="M758">
        <v>25</v>
      </c>
      <c r="N758">
        <v>1.1133873697336777E-3</v>
      </c>
      <c r="O758">
        <v>0</v>
      </c>
      <c r="P758">
        <v>0</v>
      </c>
      <c r="Q758">
        <v>0</v>
      </c>
      <c r="R758">
        <v>8</v>
      </c>
      <c r="S758">
        <v>0.32</v>
      </c>
      <c r="T758">
        <v>3.5628395831477686E-4</v>
      </c>
      <c r="U758">
        <v>17</v>
      </c>
      <c r="V758">
        <v>0.68</v>
      </c>
      <c r="W758">
        <v>7.5710341141890086E-4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">
      <c r="A759">
        <v>298.96144675926189</v>
      </c>
      <c r="B759">
        <v>1572</v>
      </c>
      <c r="C759">
        <v>40</v>
      </c>
      <c r="D759">
        <v>362</v>
      </c>
      <c r="E759">
        <v>7</v>
      </c>
      <c r="F759">
        <v>0</v>
      </c>
      <c r="G759">
        <v>28</v>
      </c>
      <c r="H759">
        <v>158</v>
      </c>
      <c r="I759">
        <v>19</v>
      </c>
      <c r="J759">
        <v>305</v>
      </c>
      <c r="K759">
        <v>58</v>
      </c>
      <c r="L759">
        <v>10630</v>
      </c>
      <c r="M759">
        <v>12</v>
      </c>
      <c r="N759">
        <v>1.1288805268109125E-3</v>
      </c>
      <c r="O759">
        <v>0</v>
      </c>
      <c r="P759">
        <v>0</v>
      </c>
      <c r="Q759">
        <v>0</v>
      </c>
      <c r="R759">
        <v>6</v>
      </c>
      <c r="S759">
        <v>0.5</v>
      </c>
      <c r="T759">
        <v>5.6444026340545623E-4</v>
      </c>
      <c r="U759">
        <v>6</v>
      </c>
      <c r="V759">
        <v>0.5</v>
      </c>
      <c r="W759">
        <v>5.6444026340545623E-4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">
      <c r="A760">
        <v>702.01138888888818</v>
      </c>
      <c r="B760">
        <v>527</v>
      </c>
      <c r="C760">
        <v>29</v>
      </c>
      <c r="D760">
        <v>178</v>
      </c>
      <c r="E760">
        <v>23</v>
      </c>
      <c r="F760">
        <v>9</v>
      </c>
      <c r="G760">
        <v>100</v>
      </c>
      <c r="H760">
        <v>1016</v>
      </c>
      <c r="I760">
        <v>5</v>
      </c>
      <c r="J760">
        <v>677</v>
      </c>
      <c r="K760">
        <v>108</v>
      </c>
      <c r="L760">
        <v>14276</v>
      </c>
      <c r="M760">
        <v>80</v>
      </c>
      <c r="N760">
        <v>5.6038105912020178E-3</v>
      </c>
      <c r="O760">
        <v>6</v>
      </c>
      <c r="P760">
        <v>7.4999999999999997E-2</v>
      </c>
      <c r="Q760">
        <v>4.2028579434015128E-4</v>
      </c>
      <c r="R760">
        <v>11</v>
      </c>
      <c r="S760">
        <v>0.13750000000000001</v>
      </c>
      <c r="T760">
        <v>7.7052395629027739E-4</v>
      </c>
      <c r="U760">
        <v>34</v>
      </c>
      <c r="V760">
        <v>0.42499999999999999</v>
      </c>
      <c r="W760">
        <v>2.3816195012608572E-3</v>
      </c>
      <c r="X760">
        <v>8</v>
      </c>
      <c r="Y760">
        <v>0.1</v>
      </c>
      <c r="Z760">
        <v>5.6038105912020178E-4</v>
      </c>
      <c r="AA760">
        <v>0</v>
      </c>
      <c r="AB760">
        <v>0</v>
      </c>
      <c r="AC760">
        <v>0</v>
      </c>
      <c r="AD760">
        <v>21</v>
      </c>
      <c r="AE760">
        <v>0.26250000000000001</v>
      </c>
      <c r="AF760">
        <v>1.4710002801905295E-3</v>
      </c>
    </row>
    <row r="761" spans="1:32" x14ac:dyDescent="0.2">
      <c r="A761">
        <v>1416.0728009259328</v>
      </c>
      <c r="B761">
        <v>11348</v>
      </c>
      <c r="C761">
        <v>567</v>
      </c>
      <c r="D761">
        <v>3154</v>
      </c>
      <c r="E761">
        <v>0</v>
      </c>
      <c r="F761">
        <v>30</v>
      </c>
      <c r="G761">
        <v>112</v>
      </c>
      <c r="H761">
        <v>351</v>
      </c>
      <c r="I761">
        <v>68</v>
      </c>
      <c r="J761">
        <v>812</v>
      </c>
      <c r="K761">
        <v>386</v>
      </c>
      <c r="L761">
        <v>10832</v>
      </c>
      <c r="M761">
        <v>38</v>
      </c>
      <c r="N761">
        <v>3.5081240768094534E-3</v>
      </c>
      <c r="O761">
        <v>1</v>
      </c>
      <c r="P761">
        <v>2.6315789473684209E-2</v>
      </c>
      <c r="Q761">
        <v>9.2319054652880361E-5</v>
      </c>
      <c r="R761">
        <v>26</v>
      </c>
      <c r="S761">
        <v>0.68421052631578949</v>
      </c>
      <c r="T761">
        <v>2.4002954209748893E-3</v>
      </c>
      <c r="U761">
        <v>11</v>
      </c>
      <c r="V761">
        <v>0.28947368421052633</v>
      </c>
      <c r="W761">
        <v>1.0155096011816838E-3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">
      <c r="A762">
        <v>344.24027777778247</v>
      </c>
      <c r="B762">
        <v>4235</v>
      </c>
      <c r="C762">
        <v>170</v>
      </c>
      <c r="D762">
        <v>597</v>
      </c>
      <c r="E762">
        <v>0</v>
      </c>
      <c r="F762">
        <v>0</v>
      </c>
      <c r="G762">
        <v>7</v>
      </c>
      <c r="H762">
        <v>30</v>
      </c>
      <c r="I762">
        <v>7</v>
      </c>
      <c r="J762">
        <v>186</v>
      </c>
      <c r="K762">
        <v>128</v>
      </c>
      <c r="L762">
        <v>15176</v>
      </c>
      <c r="M762">
        <v>6</v>
      </c>
      <c r="N762">
        <v>3.9536109646810753E-4</v>
      </c>
      <c r="O762">
        <v>0</v>
      </c>
      <c r="P762">
        <v>0</v>
      </c>
      <c r="Q762">
        <v>0</v>
      </c>
      <c r="R762">
        <v>1</v>
      </c>
      <c r="S762">
        <v>0.16666666666666666</v>
      </c>
      <c r="T762">
        <v>6.5893516078017927E-5</v>
      </c>
      <c r="U762">
        <v>5</v>
      </c>
      <c r="V762">
        <v>0.83333333333333337</v>
      </c>
      <c r="W762">
        <v>3.2946758039008962E-4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">
      <c r="A763">
        <v>1845.9869560185252</v>
      </c>
      <c r="B763">
        <v>839</v>
      </c>
      <c r="C763">
        <v>138</v>
      </c>
      <c r="D763">
        <v>137</v>
      </c>
      <c r="E763">
        <v>0</v>
      </c>
      <c r="F763">
        <v>2</v>
      </c>
      <c r="G763">
        <v>19</v>
      </c>
      <c r="H763">
        <v>84</v>
      </c>
      <c r="I763">
        <v>0</v>
      </c>
      <c r="J763">
        <v>0</v>
      </c>
      <c r="K763">
        <v>0</v>
      </c>
      <c r="L763">
        <v>2560</v>
      </c>
      <c r="M763">
        <v>101</v>
      </c>
      <c r="N763">
        <v>3.9453124999999999E-2</v>
      </c>
      <c r="O763">
        <v>22</v>
      </c>
      <c r="P763">
        <v>0.21782178217821782</v>
      </c>
      <c r="Q763">
        <v>8.5937500000000007E-3</v>
      </c>
      <c r="R763">
        <v>47</v>
      </c>
      <c r="S763">
        <v>0.46534653465346537</v>
      </c>
      <c r="T763">
        <v>1.8359375000000001E-2</v>
      </c>
      <c r="U763">
        <v>22</v>
      </c>
      <c r="V763">
        <v>0.21782178217821782</v>
      </c>
      <c r="W763">
        <v>8.5937500000000007E-3</v>
      </c>
      <c r="X763">
        <v>5</v>
      </c>
      <c r="Y763">
        <v>4.9504950495049507E-2</v>
      </c>
      <c r="Z763">
        <v>1.953125E-3</v>
      </c>
      <c r="AA763">
        <v>5</v>
      </c>
      <c r="AB763">
        <v>4.9504950495049507E-2</v>
      </c>
      <c r="AC763">
        <v>1.953125E-3</v>
      </c>
      <c r="AD763">
        <v>0</v>
      </c>
      <c r="AE763">
        <v>0</v>
      </c>
      <c r="AF763">
        <v>0</v>
      </c>
    </row>
    <row r="764" spans="1:32" x14ac:dyDescent="0.2">
      <c r="A764">
        <v>1235.7465509259273</v>
      </c>
      <c r="B764">
        <v>548</v>
      </c>
      <c r="C764">
        <v>43</v>
      </c>
      <c r="D764">
        <v>138</v>
      </c>
      <c r="E764">
        <v>0</v>
      </c>
      <c r="F764">
        <v>0</v>
      </c>
      <c r="G764">
        <v>3</v>
      </c>
      <c r="H764">
        <v>8</v>
      </c>
      <c r="I764">
        <v>4</v>
      </c>
      <c r="J764">
        <v>14</v>
      </c>
      <c r="K764">
        <v>12</v>
      </c>
      <c r="L764">
        <v>12079</v>
      </c>
      <c r="M764">
        <v>63</v>
      </c>
      <c r="N764">
        <v>5.2156635483069794E-3</v>
      </c>
      <c r="O764">
        <v>13</v>
      </c>
      <c r="P764">
        <v>0.20634920634920634</v>
      </c>
      <c r="Q764">
        <v>1.0762480337776306E-3</v>
      </c>
      <c r="R764">
        <v>27</v>
      </c>
      <c r="S764">
        <v>0.42857142857142855</v>
      </c>
      <c r="T764">
        <v>2.2352843778458481E-3</v>
      </c>
      <c r="U764">
        <v>18</v>
      </c>
      <c r="V764">
        <v>0.2857142857142857</v>
      </c>
      <c r="W764">
        <v>1.4901895852305655E-3</v>
      </c>
      <c r="X764">
        <v>5</v>
      </c>
      <c r="Y764">
        <v>7.9365079365079361E-2</v>
      </c>
      <c r="Z764">
        <v>4.1394155145293483E-4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">
      <c r="A765">
        <v>1585.3130324074082</v>
      </c>
      <c r="B765">
        <v>7258</v>
      </c>
      <c r="C765">
        <v>477</v>
      </c>
      <c r="D765">
        <v>875</v>
      </c>
      <c r="E765">
        <v>2</v>
      </c>
      <c r="F765">
        <v>3</v>
      </c>
      <c r="G765">
        <v>23</v>
      </c>
      <c r="H765">
        <v>43</v>
      </c>
      <c r="I765">
        <v>0</v>
      </c>
      <c r="J765">
        <v>193</v>
      </c>
      <c r="K765">
        <v>0</v>
      </c>
      <c r="L765">
        <v>9389</v>
      </c>
      <c r="M765">
        <v>241</v>
      </c>
      <c r="N765">
        <v>2.5668335285972947E-2</v>
      </c>
      <c r="O765">
        <v>55</v>
      </c>
      <c r="P765">
        <v>0.22821576763485477</v>
      </c>
      <c r="Q765">
        <v>5.8579188411971459E-3</v>
      </c>
      <c r="R765">
        <v>154</v>
      </c>
      <c r="S765">
        <v>0.63900414937759331</v>
      </c>
      <c r="T765">
        <v>1.6402172755352006E-2</v>
      </c>
      <c r="U765">
        <v>12</v>
      </c>
      <c r="V765">
        <v>4.9792531120331947E-2</v>
      </c>
      <c r="W765">
        <v>1.2780913835339226E-3</v>
      </c>
      <c r="X765">
        <v>20</v>
      </c>
      <c r="Y765">
        <v>8.2987551867219914E-2</v>
      </c>
      <c r="Z765">
        <v>2.1301523058898713E-3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">
      <c r="A766">
        <v>2032.3393865740727</v>
      </c>
      <c r="B766">
        <v>778</v>
      </c>
      <c r="C766">
        <v>216</v>
      </c>
      <c r="D766">
        <v>427</v>
      </c>
      <c r="E766">
        <v>19</v>
      </c>
      <c r="F766">
        <v>20</v>
      </c>
      <c r="G766">
        <v>184</v>
      </c>
      <c r="H766">
        <v>268</v>
      </c>
      <c r="I766">
        <v>0</v>
      </c>
      <c r="J766">
        <v>3507</v>
      </c>
      <c r="K766">
        <v>64</v>
      </c>
      <c r="L766">
        <v>100355</v>
      </c>
      <c r="M766">
        <v>1587</v>
      </c>
      <c r="N766">
        <v>1.5813860794180658E-2</v>
      </c>
      <c r="O766">
        <v>526</v>
      </c>
      <c r="P766">
        <v>0.33144297416509139</v>
      </c>
      <c r="Q766">
        <v>5.2413930546559712E-3</v>
      </c>
      <c r="R766">
        <v>334</v>
      </c>
      <c r="S766">
        <v>0.21045998739760555</v>
      </c>
      <c r="T766">
        <v>3.3281849434507499E-3</v>
      </c>
      <c r="U766">
        <v>317</v>
      </c>
      <c r="V766">
        <v>0.19974795211090107</v>
      </c>
      <c r="W766">
        <v>3.1587863086044543E-3</v>
      </c>
      <c r="X766">
        <v>377</v>
      </c>
      <c r="Y766">
        <v>0.23755513547574039</v>
      </c>
      <c r="Z766">
        <v>3.7566638433560859E-3</v>
      </c>
      <c r="AA766">
        <v>23</v>
      </c>
      <c r="AB766">
        <v>1.4492753623188406E-2</v>
      </c>
      <c r="AC766">
        <v>2.2918638832145882E-4</v>
      </c>
      <c r="AD766">
        <v>10</v>
      </c>
      <c r="AE766">
        <v>6.3011972274732196E-3</v>
      </c>
      <c r="AF766">
        <v>9.9646255791938616E-5</v>
      </c>
    </row>
    <row r="767" spans="1:32" x14ac:dyDescent="0.2">
      <c r="A767">
        <v>2387.3828125</v>
      </c>
      <c r="B767">
        <v>3035</v>
      </c>
      <c r="C767">
        <v>246</v>
      </c>
      <c r="D767">
        <v>768</v>
      </c>
      <c r="E767">
        <v>22</v>
      </c>
      <c r="F767">
        <v>30</v>
      </c>
      <c r="G767">
        <v>83</v>
      </c>
      <c r="H767">
        <v>469</v>
      </c>
      <c r="I767">
        <v>1</v>
      </c>
      <c r="J767">
        <v>789</v>
      </c>
      <c r="K767">
        <v>49</v>
      </c>
      <c r="L767">
        <v>8127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">
      <c r="A768">
        <v>1717.3227662037025</v>
      </c>
      <c r="B768">
        <v>1011</v>
      </c>
      <c r="C768">
        <v>66</v>
      </c>
      <c r="D768">
        <v>136</v>
      </c>
      <c r="E768">
        <v>0</v>
      </c>
      <c r="F768">
        <v>0</v>
      </c>
      <c r="G768">
        <v>7</v>
      </c>
      <c r="H768">
        <v>90</v>
      </c>
      <c r="I768">
        <v>2</v>
      </c>
      <c r="J768">
        <v>83</v>
      </c>
      <c r="K768">
        <v>37</v>
      </c>
      <c r="L768">
        <v>8489</v>
      </c>
      <c r="M768">
        <v>35</v>
      </c>
      <c r="N768">
        <v>4.1229826834727297E-3</v>
      </c>
      <c r="O768">
        <v>0</v>
      </c>
      <c r="P768">
        <v>0</v>
      </c>
      <c r="Q768">
        <v>0</v>
      </c>
      <c r="R768">
        <v>9</v>
      </c>
      <c r="S768">
        <v>0.25714285714285712</v>
      </c>
      <c r="T768">
        <v>1.0601955471787018E-3</v>
      </c>
      <c r="U768">
        <v>16</v>
      </c>
      <c r="V768">
        <v>0.45714285714285713</v>
      </c>
      <c r="W768">
        <v>1.8847920838732477E-3</v>
      </c>
      <c r="X768">
        <v>10</v>
      </c>
      <c r="Y768">
        <v>0.2857142857142857</v>
      </c>
      <c r="Z768">
        <v>1.1779950524207798E-3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">
      <c r="A769">
        <v>3437.2048379629632</v>
      </c>
      <c r="B769">
        <v>554</v>
      </c>
      <c r="C769">
        <v>28</v>
      </c>
      <c r="D769">
        <v>189</v>
      </c>
      <c r="E769">
        <v>26</v>
      </c>
      <c r="F769">
        <v>13</v>
      </c>
      <c r="G769">
        <v>45</v>
      </c>
      <c r="H769">
        <v>483</v>
      </c>
      <c r="I769">
        <v>9</v>
      </c>
      <c r="J769">
        <v>291</v>
      </c>
      <c r="K769">
        <v>48</v>
      </c>
      <c r="L769">
        <v>25036</v>
      </c>
      <c r="M769">
        <v>395</v>
      </c>
      <c r="N769">
        <v>1.5777280715769292E-2</v>
      </c>
      <c r="O769">
        <v>155</v>
      </c>
      <c r="P769">
        <v>0.39240506329113922</v>
      </c>
      <c r="Q769">
        <v>6.1910848378335199E-3</v>
      </c>
      <c r="R769">
        <v>82</v>
      </c>
      <c r="S769">
        <v>0.20759493670886076</v>
      </c>
      <c r="T769">
        <v>3.2752835916280555E-3</v>
      </c>
      <c r="U769">
        <v>61</v>
      </c>
      <c r="V769">
        <v>0.15443037974683543</v>
      </c>
      <c r="W769">
        <v>2.4364914523086756E-3</v>
      </c>
      <c r="X769">
        <v>88</v>
      </c>
      <c r="Y769">
        <v>0.22278481012658227</v>
      </c>
      <c r="Z769">
        <v>3.5149384885764497E-3</v>
      </c>
      <c r="AA769">
        <v>1</v>
      </c>
      <c r="AB769">
        <v>2.5316455696202532E-3</v>
      </c>
      <c r="AC769">
        <v>3.9942482824732382E-5</v>
      </c>
      <c r="AD769">
        <v>8</v>
      </c>
      <c r="AE769">
        <v>2.0253164556962026E-2</v>
      </c>
      <c r="AF769">
        <v>3.1953986259785906E-4</v>
      </c>
    </row>
    <row r="770" spans="1:32" x14ac:dyDescent="0.2">
      <c r="A770">
        <v>1167.8846990740712</v>
      </c>
      <c r="B770">
        <v>536</v>
      </c>
      <c r="C770">
        <v>64</v>
      </c>
      <c r="D770">
        <v>195</v>
      </c>
      <c r="E770">
        <v>1</v>
      </c>
      <c r="F770">
        <v>0</v>
      </c>
      <c r="G770">
        <v>70</v>
      </c>
      <c r="H770">
        <v>515</v>
      </c>
      <c r="I770">
        <v>2</v>
      </c>
      <c r="J770">
        <v>316</v>
      </c>
      <c r="K770">
        <v>48</v>
      </c>
      <c r="L770">
        <v>15627</v>
      </c>
      <c r="M770">
        <v>46</v>
      </c>
      <c r="N770">
        <v>2.9436232162283228E-3</v>
      </c>
      <c r="O770">
        <v>0</v>
      </c>
      <c r="P770">
        <v>0</v>
      </c>
      <c r="Q770">
        <v>0</v>
      </c>
      <c r="R770">
        <v>35</v>
      </c>
      <c r="S770">
        <v>0.76086956521739135</v>
      </c>
      <c r="T770">
        <v>2.2397133166954628E-3</v>
      </c>
      <c r="U770">
        <v>7</v>
      </c>
      <c r="V770">
        <v>0.15217391304347827</v>
      </c>
      <c r="W770">
        <v>4.4794266333909259E-4</v>
      </c>
      <c r="X770">
        <v>3</v>
      </c>
      <c r="Y770">
        <v>6.5217391304347824E-2</v>
      </c>
      <c r="Z770">
        <v>1.9197542714532539E-4</v>
      </c>
      <c r="AA770">
        <v>0</v>
      </c>
      <c r="AB770">
        <v>0</v>
      </c>
      <c r="AC770">
        <v>0</v>
      </c>
      <c r="AD770">
        <v>1</v>
      </c>
      <c r="AE770">
        <v>2.1739130434782608E-2</v>
      </c>
      <c r="AF770">
        <v>6.3991809048441798E-5</v>
      </c>
    </row>
    <row r="771" spans="1:32" x14ac:dyDescent="0.2">
      <c r="A771">
        <v>2390.4017592592572</v>
      </c>
      <c r="B771">
        <v>1986</v>
      </c>
      <c r="C771">
        <v>156</v>
      </c>
      <c r="D771">
        <v>2203</v>
      </c>
      <c r="E771">
        <v>0</v>
      </c>
      <c r="F771">
        <v>157</v>
      </c>
      <c r="G771">
        <v>412</v>
      </c>
      <c r="H771">
        <v>9577</v>
      </c>
      <c r="I771">
        <v>3</v>
      </c>
      <c r="J771">
        <v>2744</v>
      </c>
      <c r="K771">
        <v>12</v>
      </c>
      <c r="L771">
        <v>1110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">
      <c r="A772">
        <v>3051.3623379629644</v>
      </c>
      <c r="B772">
        <v>573</v>
      </c>
      <c r="C772">
        <v>154</v>
      </c>
      <c r="D772">
        <v>788</v>
      </c>
      <c r="E772">
        <v>0</v>
      </c>
      <c r="F772">
        <v>32</v>
      </c>
      <c r="G772">
        <v>751</v>
      </c>
      <c r="H772">
        <v>60</v>
      </c>
      <c r="I772">
        <v>0</v>
      </c>
      <c r="J772">
        <v>0</v>
      </c>
      <c r="K772">
        <v>0</v>
      </c>
      <c r="L772">
        <v>291101</v>
      </c>
      <c r="M772">
        <v>6965</v>
      </c>
      <c r="N772">
        <v>2.3926403550657675E-2</v>
      </c>
      <c r="O772">
        <v>2911</v>
      </c>
      <c r="P772">
        <v>0.41794687724335966</v>
      </c>
      <c r="Q772">
        <v>9.9999656476618074E-3</v>
      </c>
      <c r="R772">
        <v>1184</v>
      </c>
      <c r="S772">
        <v>0.16999282124910264</v>
      </c>
      <c r="T772">
        <v>4.0673168419208452E-3</v>
      </c>
      <c r="U772">
        <v>587</v>
      </c>
      <c r="V772">
        <v>8.4278535534816942E-2</v>
      </c>
      <c r="W772">
        <v>2.0164822518644733E-3</v>
      </c>
      <c r="X772">
        <v>1850</v>
      </c>
      <c r="Y772">
        <v>0.26561378320172291</v>
      </c>
      <c r="Z772">
        <v>6.3551825655013211E-3</v>
      </c>
      <c r="AA772">
        <v>1</v>
      </c>
      <c r="AB772">
        <v>1.4357501794687725E-4</v>
      </c>
      <c r="AC772">
        <v>3.4352338191899032E-6</v>
      </c>
      <c r="AD772">
        <v>432</v>
      </c>
      <c r="AE772">
        <v>6.2024407753050972E-2</v>
      </c>
      <c r="AF772">
        <v>1.4840210098900381E-3</v>
      </c>
    </row>
    <row r="773" spans="1:32" x14ac:dyDescent="0.2">
      <c r="A773">
        <v>3913.8563194444432</v>
      </c>
      <c r="B773">
        <v>2184</v>
      </c>
      <c r="C773">
        <v>330</v>
      </c>
      <c r="D773">
        <v>959</v>
      </c>
      <c r="E773">
        <v>0</v>
      </c>
      <c r="F773">
        <v>17</v>
      </c>
      <c r="G773">
        <v>309</v>
      </c>
      <c r="H773">
        <v>32</v>
      </c>
      <c r="I773">
        <v>0</v>
      </c>
      <c r="J773">
        <v>0</v>
      </c>
      <c r="K773">
        <v>0</v>
      </c>
      <c r="L773">
        <v>176499</v>
      </c>
      <c r="M773">
        <v>777</v>
      </c>
      <c r="N773">
        <v>4.4022912311117912E-3</v>
      </c>
      <c r="O773">
        <v>205</v>
      </c>
      <c r="P773">
        <v>0.26383526383526384</v>
      </c>
      <c r="Q773">
        <v>1.1614796684400479E-3</v>
      </c>
      <c r="R773">
        <v>178</v>
      </c>
      <c r="S773">
        <v>0.22908622908622908</v>
      </c>
      <c r="T773">
        <v>1.0085042974747732E-3</v>
      </c>
      <c r="U773">
        <v>146</v>
      </c>
      <c r="V773">
        <v>0.18790218790218791</v>
      </c>
      <c r="W773">
        <v>8.2720015410852189E-4</v>
      </c>
      <c r="X773">
        <v>116</v>
      </c>
      <c r="Y773">
        <v>0.14929214929214929</v>
      </c>
      <c r="Z773">
        <v>6.5722751970266125E-4</v>
      </c>
      <c r="AA773">
        <v>2</v>
      </c>
      <c r="AB773">
        <v>2.5740025740025739E-3</v>
      </c>
      <c r="AC773">
        <v>1.1331508960390711E-5</v>
      </c>
      <c r="AD773">
        <v>130</v>
      </c>
      <c r="AE773">
        <v>0.16731016731016732</v>
      </c>
      <c r="AF773">
        <v>7.3654808242539622E-4</v>
      </c>
    </row>
    <row r="774" spans="1:32" x14ac:dyDescent="0.2">
      <c r="A774">
        <v>4422.8066782407404</v>
      </c>
      <c r="B774">
        <v>699</v>
      </c>
      <c r="C774">
        <v>54</v>
      </c>
      <c r="D774">
        <v>375</v>
      </c>
      <c r="E774">
        <v>0</v>
      </c>
      <c r="F774">
        <v>81</v>
      </c>
      <c r="G774">
        <v>135</v>
      </c>
      <c r="H774">
        <v>2116</v>
      </c>
      <c r="I774">
        <v>2</v>
      </c>
      <c r="J774">
        <v>1505</v>
      </c>
      <c r="K774">
        <v>1</v>
      </c>
      <c r="L774">
        <v>27055</v>
      </c>
      <c r="M774">
        <v>512</v>
      </c>
      <c r="N774">
        <v>1.8924413232304566E-2</v>
      </c>
      <c r="O774">
        <v>9</v>
      </c>
      <c r="P774">
        <v>1.7578125E-2</v>
      </c>
      <c r="Q774">
        <v>3.3265570134910369E-4</v>
      </c>
      <c r="R774">
        <v>178</v>
      </c>
      <c r="S774">
        <v>0.34765625</v>
      </c>
      <c r="T774">
        <v>6.579190537793384E-3</v>
      </c>
      <c r="U774">
        <v>312</v>
      </c>
      <c r="V774">
        <v>0.609375</v>
      </c>
      <c r="W774">
        <v>1.1532064313435593E-2</v>
      </c>
      <c r="X774">
        <v>12</v>
      </c>
      <c r="Y774">
        <v>2.34375E-2</v>
      </c>
      <c r="Z774">
        <v>4.4354093513213825E-4</v>
      </c>
      <c r="AA774">
        <v>1</v>
      </c>
      <c r="AB774">
        <v>1.953125E-3</v>
      </c>
      <c r="AC774">
        <v>3.6961744594344855E-5</v>
      </c>
      <c r="AD774">
        <v>0</v>
      </c>
      <c r="AE774">
        <v>0</v>
      </c>
      <c r="AF774">
        <v>0</v>
      </c>
    </row>
    <row r="775" spans="1:32" x14ac:dyDescent="0.2">
      <c r="A775">
        <v>1168.7828356481477</v>
      </c>
      <c r="B775">
        <v>1117</v>
      </c>
      <c r="C775">
        <v>2</v>
      </c>
      <c r="D775">
        <v>3</v>
      </c>
      <c r="E775">
        <v>0</v>
      </c>
      <c r="F775">
        <v>0</v>
      </c>
      <c r="G775">
        <v>106</v>
      </c>
      <c r="H775">
        <v>0</v>
      </c>
      <c r="I775">
        <v>0</v>
      </c>
      <c r="J775">
        <v>0</v>
      </c>
      <c r="K775">
        <v>0</v>
      </c>
      <c r="L775">
        <v>18719</v>
      </c>
      <c r="M775">
        <v>9</v>
      </c>
      <c r="N775">
        <v>4.8079491425824029E-4</v>
      </c>
      <c r="O775">
        <v>0</v>
      </c>
      <c r="P775">
        <v>0</v>
      </c>
      <c r="Q775">
        <v>0</v>
      </c>
      <c r="R775">
        <v>8</v>
      </c>
      <c r="S775">
        <v>0.88888888888888884</v>
      </c>
      <c r="T775">
        <v>4.273732571184358E-4</v>
      </c>
      <c r="U775">
        <v>0</v>
      </c>
      <c r="V775">
        <v>0</v>
      </c>
      <c r="W775">
        <v>0</v>
      </c>
      <c r="X775">
        <v>1</v>
      </c>
      <c r="Y775">
        <v>0.1111111111111111</v>
      </c>
      <c r="Z775">
        <v>5.3421657139804475E-5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">
      <c r="A776">
        <v>1718.6054861111115</v>
      </c>
      <c r="B776">
        <v>570</v>
      </c>
      <c r="C776">
        <v>26</v>
      </c>
      <c r="D776">
        <v>316</v>
      </c>
      <c r="E776">
        <v>39</v>
      </c>
      <c r="F776">
        <v>3</v>
      </c>
      <c r="G776">
        <v>152</v>
      </c>
      <c r="H776">
        <v>1335</v>
      </c>
      <c r="I776">
        <v>6</v>
      </c>
      <c r="J776">
        <v>427</v>
      </c>
      <c r="K776">
        <v>71</v>
      </c>
      <c r="L776">
        <v>14537</v>
      </c>
      <c r="M776">
        <v>327</v>
      </c>
      <c r="N776">
        <v>2.2494324826305291E-2</v>
      </c>
      <c r="O776">
        <v>149</v>
      </c>
      <c r="P776">
        <v>0.45565749235474007</v>
      </c>
      <c r="Q776">
        <v>1.0249707642567243E-2</v>
      </c>
      <c r="R776">
        <v>60</v>
      </c>
      <c r="S776">
        <v>0.1834862385321101</v>
      </c>
      <c r="T776">
        <v>4.1273990506982185E-3</v>
      </c>
      <c r="U776">
        <v>35</v>
      </c>
      <c r="V776">
        <v>0.10703363914373089</v>
      </c>
      <c r="W776">
        <v>2.4076494462406273E-3</v>
      </c>
      <c r="X776">
        <v>69</v>
      </c>
      <c r="Y776">
        <v>0.21100917431192662</v>
      </c>
      <c r="Z776">
        <v>4.7465089083029511E-3</v>
      </c>
      <c r="AA776">
        <v>11</v>
      </c>
      <c r="AB776">
        <v>3.3639143730886847E-2</v>
      </c>
      <c r="AC776">
        <v>7.5668982596134007E-4</v>
      </c>
      <c r="AD776">
        <v>3</v>
      </c>
      <c r="AE776">
        <v>9.1743119266055051E-3</v>
      </c>
      <c r="AF776">
        <v>2.0636995253491092E-4</v>
      </c>
    </row>
    <row r="777" spans="1:32" x14ac:dyDescent="0.2">
      <c r="A777">
        <v>1142.8988773148158</v>
      </c>
      <c r="B777">
        <v>4377</v>
      </c>
      <c r="C777">
        <v>134</v>
      </c>
      <c r="D777">
        <v>487</v>
      </c>
      <c r="E777">
        <v>37</v>
      </c>
      <c r="F777">
        <v>12</v>
      </c>
      <c r="G777">
        <v>113</v>
      </c>
      <c r="H777">
        <v>1837</v>
      </c>
      <c r="I777">
        <v>39</v>
      </c>
      <c r="J777">
        <v>737</v>
      </c>
      <c r="K777">
        <v>147</v>
      </c>
      <c r="L777">
        <v>27777</v>
      </c>
      <c r="M777">
        <v>125</v>
      </c>
      <c r="N777">
        <v>4.5001260035280989E-3</v>
      </c>
      <c r="O777">
        <v>7</v>
      </c>
      <c r="P777">
        <v>5.6000000000000001E-2</v>
      </c>
      <c r="Q777">
        <v>2.5200705619757351E-4</v>
      </c>
      <c r="R777">
        <v>32</v>
      </c>
      <c r="S777">
        <v>0.25600000000000001</v>
      </c>
      <c r="T777">
        <v>1.1520322569031933E-3</v>
      </c>
      <c r="U777">
        <v>84</v>
      </c>
      <c r="V777">
        <v>0.67200000000000004</v>
      </c>
      <c r="W777">
        <v>3.0240846743708823E-3</v>
      </c>
      <c r="X777">
        <v>1</v>
      </c>
      <c r="Y777">
        <v>8.0000000000000002E-3</v>
      </c>
      <c r="Z777">
        <v>3.6001008028224789E-5</v>
      </c>
      <c r="AA777">
        <v>0</v>
      </c>
      <c r="AB777">
        <v>0</v>
      </c>
      <c r="AC777">
        <v>0</v>
      </c>
      <c r="AD777">
        <v>1</v>
      </c>
      <c r="AE777">
        <v>8.0000000000000002E-3</v>
      </c>
      <c r="AF777">
        <v>3.6001008028224789E-5</v>
      </c>
    </row>
    <row r="778" spans="1:32" x14ac:dyDescent="0.2">
      <c r="A778">
        <v>321.04009259258601</v>
      </c>
      <c r="B778">
        <v>715</v>
      </c>
      <c r="C778">
        <v>14</v>
      </c>
      <c r="D778">
        <v>44</v>
      </c>
      <c r="E778">
        <v>38</v>
      </c>
      <c r="F778">
        <v>1</v>
      </c>
      <c r="G778">
        <v>11</v>
      </c>
      <c r="H778">
        <v>104</v>
      </c>
      <c r="I778">
        <v>1</v>
      </c>
      <c r="J778">
        <v>89</v>
      </c>
      <c r="K778">
        <v>34</v>
      </c>
      <c r="L778">
        <v>9254</v>
      </c>
      <c r="M778">
        <v>158</v>
      </c>
      <c r="N778">
        <v>1.70736978603847E-2</v>
      </c>
      <c r="O778">
        <v>20</v>
      </c>
      <c r="P778">
        <v>0.12658227848101267</v>
      </c>
      <c r="Q778">
        <v>2.1612275772638859E-3</v>
      </c>
      <c r="R778">
        <v>62</v>
      </c>
      <c r="S778">
        <v>0.39240506329113922</v>
      </c>
      <c r="T778">
        <v>6.6998054895180464E-3</v>
      </c>
      <c r="U778">
        <v>13</v>
      </c>
      <c r="V778">
        <v>8.2278481012658222E-2</v>
      </c>
      <c r="W778">
        <v>1.4047979252215259E-3</v>
      </c>
      <c r="X778">
        <v>63</v>
      </c>
      <c r="Y778">
        <v>0.39873417721518989</v>
      </c>
      <c r="Z778">
        <v>6.8078668683812403E-3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">
      <c r="A779">
        <v>1003.9923958333311</v>
      </c>
      <c r="B779">
        <v>2094</v>
      </c>
      <c r="C779">
        <v>69</v>
      </c>
      <c r="D779">
        <v>428</v>
      </c>
      <c r="E779">
        <v>540</v>
      </c>
      <c r="F779">
        <v>0</v>
      </c>
      <c r="G779">
        <v>3</v>
      </c>
      <c r="H779">
        <v>6</v>
      </c>
      <c r="I779">
        <v>0</v>
      </c>
      <c r="J779">
        <v>83</v>
      </c>
      <c r="K779">
        <v>2</v>
      </c>
      <c r="L779">
        <v>124104</v>
      </c>
      <c r="M779">
        <v>210</v>
      </c>
      <c r="N779">
        <v>1.6921291819764069E-3</v>
      </c>
      <c r="O779">
        <v>0</v>
      </c>
      <c r="P779">
        <v>0</v>
      </c>
      <c r="Q779">
        <v>0</v>
      </c>
      <c r="R779">
        <v>182</v>
      </c>
      <c r="S779">
        <v>0.8666666666666667</v>
      </c>
      <c r="T779">
        <v>1.466511957712886E-3</v>
      </c>
      <c r="U779">
        <v>27</v>
      </c>
      <c r="V779">
        <v>0.12857142857142856</v>
      </c>
      <c r="W779">
        <v>2.1755946625410947E-4</v>
      </c>
      <c r="X779">
        <v>1</v>
      </c>
      <c r="Y779">
        <v>4.7619047619047623E-3</v>
      </c>
      <c r="Z779">
        <v>8.0577580094114621E-6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">
      <c r="A780">
        <v>1043.0365509259282</v>
      </c>
      <c r="B780">
        <v>908</v>
      </c>
      <c r="C780">
        <v>81</v>
      </c>
      <c r="D780">
        <v>127</v>
      </c>
      <c r="E780">
        <v>2</v>
      </c>
      <c r="F780">
        <v>0</v>
      </c>
      <c r="G780">
        <v>7</v>
      </c>
      <c r="H780">
        <v>12</v>
      </c>
      <c r="I780">
        <v>0</v>
      </c>
      <c r="J780">
        <v>29</v>
      </c>
      <c r="K780">
        <v>3</v>
      </c>
      <c r="L780">
        <v>562</v>
      </c>
      <c r="M780">
        <v>17</v>
      </c>
      <c r="N780">
        <v>3.0249110320284697E-2</v>
      </c>
      <c r="O780">
        <v>9</v>
      </c>
      <c r="P780">
        <v>0.52941176470588236</v>
      </c>
      <c r="Q780">
        <v>1.601423487544484E-2</v>
      </c>
      <c r="R780">
        <v>7</v>
      </c>
      <c r="S780">
        <v>0.41176470588235292</v>
      </c>
      <c r="T780">
        <v>1.2455516014234875E-2</v>
      </c>
      <c r="U780">
        <v>0</v>
      </c>
      <c r="V780">
        <v>0</v>
      </c>
      <c r="W780">
        <v>0</v>
      </c>
      <c r="X780">
        <v>1</v>
      </c>
      <c r="Y780">
        <v>5.8823529411764705E-2</v>
      </c>
      <c r="Z780">
        <v>1.7793594306049821E-3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">
      <c r="A781">
        <v>1135.5226967592607</v>
      </c>
      <c r="B781">
        <v>803</v>
      </c>
      <c r="C781">
        <v>86</v>
      </c>
      <c r="D781">
        <v>142</v>
      </c>
      <c r="E781">
        <v>0</v>
      </c>
      <c r="F781">
        <v>0</v>
      </c>
      <c r="G781">
        <v>21</v>
      </c>
      <c r="H781">
        <v>73</v>
      </c>
      <c r="I781">
        <v>1</v>
      </c>
      <c r="J781">
        <v>35</v>
      </c>
      <c r="K781">
        <v>17</v>
      </c>
      <c r="L781">
        <v>310</v>
      </c>
      <c r="M781">
        <v>16</v>
      </c>
      <c r="N781">
        <v>5.1612903225806452E-2</v>
      </c>
      <c r="O781">
        <v>6</v>
      </c>
      <c r="P781">
        <v>0.375</v>
      </c>
      <c r="Q781">
        <v>1.935483870967742E-2</v>
      </c>
      <c r="R781">
        <v>10</v>
      </c>
      <c r="S781">
        <v>0.625</v>
      </c>
      <c r="T781">
        <v>3.2258064516129031E-2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">
      <c r="A782">
        <v>2131.4125810185215</v>
      </c>
      <c r="B782">
        <v>481</v>
      </c>
      <c r="C782">
        <v>40</v>
      </c>
      <c r="D782">
        <v>53</v>
      </c>
      <c r="E782">
        <v>0</v>
      </c>
      <c r="F782">
        <v>1</v>
      </c>
      <c r="G782">
        <v>10</v>
      </c>
      <c r="H782">
        <v>114</v>
      </c>
      <c r="I782">
        <v>1</v>
      </c>
      <c r="J782">
        <v>14</v>
      </c>
      <c r="K782">
        <v>3</v>
      </c>
      <c r="L782">
        <v>4562</v>
      </c>
      <c r="M782">
        <v>15</v>
      </c>
      <c r="N782">
        <v>3.288031565103025E-3</v>
      </c>
      <c r="O782">
        <v>0</v>
      </c>
      <c r="P782">
        <v>0</v>
      </c>
      <c r="Q782">
        <v>0</v>
      </c>
      <c r="R782">
        <v>11</v>
      </c>
      <c r="S782">
        <v>0.73333333333333328</v>
      </c>
      <c r="T782">
        <v>2.4112231477422183E-3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4</v>
      </c>
      <c r="AE782">
        <v>0.26666666666666666</v>
      </c>
      <c r="AF782">
        <v>8.7680841736080669E-4</v>
      </c>
    </row>
    <row r="783" spans="1:32" x14ac:dyDescent="0.2">
      <c r="A783">
        <v>917.94383101852145</v>
      </c>
      <c r="B783">
        <v>1491</v>
      </c>
      <c r="C783">
        <v>63</v>
      </c>
      <c r="D783">
        <v>246</v>
      </c>
      <c r="E783">
        <v>10</v>
      </c>
      <c r="F783">
        <v>0</v>
      </c>
      <c r="G783">
        <v>8</v>
      </c>
      <c r="H783">
        <v>74</v>
      </c>
      <c r="I783">
        <v>0</v>
      </c>
      <c r="J783">
        <v>77</v>
      </c>
      <c r="K783">
        <v>27</v>
      </c>
      <c r="L783">
        <v>1848</v>
      </c>
      <c r="M783">
        <v>49</v>
      </c>
      <c r="N783">
        <v>2.6515151515151516E-2</v>
      </c>
      <c r="O783">
        <v>25</v>
      </c>
      <c r="P783">
        <v>0.51020408163265307</v>
      </c>
      <c r="Q783">
        <v>1.3528138528138528E-2</v>
      </c>
      <c r="R783">
        <v>10</v>
      </c>
      <c r="S783">
        <v>0.20408163265306123</v>
      </c>
      <c r="T783">
        <v>5.411255411255411E-3</v>
      </c>
      <c r="U783">
        <v>1</v>
      </c>
      <c r="V783">
        <v>2.0408163265306121E-2</v>
      </c>
      <c r="W783">
        <v>5.4112554112554113E-4</v>
      </c>
      <c r="X783">
        <v>4</v>
      </c>
      <c r="Y783">
        <v>8.1632653061224483E-2</v>
      </c>
      <c r="Z783">
        <v>2.1645021645021645E-3</v>
      </c>
      <c r="AA783">
        <v>0</v>
      </c>
      <c r="AB783">
        <v>0</v>
      </c>
      <c r="AC783">
        <v>0</v>
      </c>
      <c r="AD783">
        <v>9</v>
      </c>
      <c r="AE783">
        <v>0.18367346938775511</v>
      </c>
      <c r="AF783">
        <v>4.87012987012987E-3</v>
      </c>
    </row>
    <row r="784" spans="1:32" x14ac:dyDescent="0.2">
      <c r="A784">
        <v>1375.4533680555614</v>
      </c>
      <c r="B784">
        <v>477</v>
      </c>
      <c r="C784">
        <v>40</v>
      </c>
      <c r="D784">
        <v>192</v>
      </c>
      <c r="E784">
        <v>108</v>
      </c>
      <c r="F784">
        <v>7</v>
      </c>
      <c r="G784">
        <v>25</v>
      </c>
      <c r="H784">
        <v>106</v>
      </c>
      <c r="I784">
        <v>7</v>
      </c>
      <c r="J784">
        <v>313</v>
      </c>
      <c r="K784">
        <v>3</v>
      </c>
      <c r="L784">
        <v>2690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">
      <c r="A785">
        <v>1448.4718749999956</v>
      </c>
      <c r="B785">
        <v>998</v>
      </c>
      <c r="C785">
        <v>65</v>
      </c>
      <c r="D785">
        <v>323</v>
      </c>
      <c r="E785">
        <v>1</v>
      </c>
      <c r="F785">
        <v>8</v>
      </c>
      <c r="G785">
        <v>29</v>
      </c>
      <c r="H785">
        <v>248</v>
      </c>
      <c r="I785">
        <v>24</v>
      </c>
      <c r="J785">
        <v>167</v>
      </c>
      <c r="K785">
        <v>9</v>
      </c>
      <c r="L785">
        <v>19441</v>
      </c>
      <c r="M785">
        <v>21</v>
      </c>
      <c r="N785">
        <v>1.0801913481816778E-3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3</v>
      </c>
      <c r="V785">
        <v>0.14285714285714285</v>
      </c>
      <c r="W785">
        <v>1.543130497402397E-4</v>
      </c>
      <c r="X785">
        <v>18</v>
      </c>
      <c r="Y785">
        <v>0.8571428571428571</v>
      </c>
      <c r="Z785">
        <v>9.2587829844143822E-4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">
      <c r="A786">
        <v>3365.0985879629588</v>
      </c>
      <c r="B786">
        <v>1435</v>
      </c>
      <c r="C786">
        <v>130</v>
      </c>
      <c r="D786">
        <v>388</v>
      </c>
      <c r="E786">
        <v>11</v>
      </c>
      <c r="F786">
        <v>108</v>
      </c>
      <c r="G786">
        <v>48</v>
      </c>
      <c r="H786">
        <v>461</v>
      </c>
      <c r="I786">
        <v>13</v>
      </c>
      <c r="J786">
        <v>668</v>
      </c>
      <c r="K786">
        <v>53</v>
      </c>
      <c r="L786">
        <v>9931</v>
      </c>
      <c r="M786">
        <v>154</v>
      </c>
      <c r="N786">
        <v>1.55069982881885E-2</v>
      </c>
      <c r="O786">
        <v>21</v>
      </c>
      <c r="P786">
        <v>0.13636363636363635</v>
      </c>
      <c r="Q786">
        <v>2.1145906756620684E-3</v>
      </c>
      <c r="R786">
        <v>100</v>
      </c>
      <c r="S786">
        <v>0.64935064935064934</v>
      </c>
      <c r="T786">
        <v>1.0069479407914611E-2</v>
      </c>
      <c r="U786">
        <v>19</v>
      </c>
      <c r="V786">
        <v>0.12337662337662338</v>
      </c>
      <c r="W786">
        <v>1.9132010875037762E-3</v>
      </c>
      <c r="X786">
        <v>12</v>
      </c>
      <c r="Y786">
        <v>7.792207792207792E-2</v>
      </c>
      <c r="Z786">
        <v>1.2083375289497532E-3</v>
      </c>
      <c r="AA786">
        <v>0</v>
      </c>
      <c r="AB786">
        <v>0</v>
      </c>
      <c r="AC786">
        <v>0</v>
      </c>
      <c r="AD786">
        <v>2</v>
      </c>
      <c r="AE786">
        <v>1.2987012987012988E-2</v>
      </c>
      <c r="AF786">
        <v>2.013895881582922E-4</v>
      </c>
    </row>
    <row r="787" spans="1:32" x14ac:dyDescent="0.2">
      <c r="A787">
        <v>894.80398148148379</v>
      </c>
      <c r="B787">
        <v>730</v>
      </c>
      <c r="C787">
        <v>28</v>
      </c>
      <c r="D787">
        <v>210</v>
      </c>
      <c r="E787">
        <v>0</v>
      </c>
      <c r="F787">
        <v>0</v>
      </c>
      <c r="G787">
        <v>6</v>
      </c>
      <c r="H787">
        <v>17</v>
      </c>
      <c r="I787">
        <v>7</v>
      </c>
      <c r="J787">
        <v>84</v>
      </c>
      <c r="K787">
        <v>17</v>
      </c>
      <c r="L787">
        <v>1520</v>
      </c>
      <c r="M787">
        <v>15</v>
      </c>
      <c r="N787">
        <v>9.8684210526315784E-3</v>
      </c>
      <c r="O787">
        <v>0</v>
      </c>
      <c r="P787">
        <v>0</v>
      </c>
      <c r="Q787">
        <v>0</v>
      </c>
      <c r="R787">
        <v>14</v>
      </c>
      <c r="S787">
        <v>0.93333333333333335</v>
      </c>
      <c r="T787">
        <v>9.2105263157894728E-3</v>
      </c>
      <c r="U787">
        <v>1</v>
      </c>
      <c r="V787">
        <v>6.6666666666666666E-2</v>
      </c>
      <c r="W787">
        <v>6.5789473684210525E-4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">
      <c r="A788">
        <v>875.65207175925752</v>
      </c>
      <c r="B788">
        <v>342</v>
      </c>
      <c r="C788">
        <v>20</v>
      </c>
      <c r="D788">
        <v>88</v>
      </c>
      <c r="E788">
        <v>0</v>
      </c>
      <c r="F788">
        <v>0</v>
      </c>
      <c r="G788">
        <v>19</v>
      </c>
      <c r="H788">
        <v>5</v>
      </c>
      <c r="I788">
        <v>1</v>
      </c>
      <c r="J788">
        <v>17</v>
      </c>
      <c r="K788">
        <v>2</v>
      </c>
      <c r="L788">
        <v>2794</v>
      </c>
      <c r="M788">
        <v>69</v>
      </c>
      <c r="N788">
        <v>2.4695776664280602E-2</v>
      </c>
      <c r="O788">
        <v>39</v>
      </c>
      <c r="P788">
        <v>0.56521739130434778</v>
      </c>
      <c r="Q788">
        <v>1.395848246241947E-2</v>
      </c>
      <c r="R788">
        <v>24</v>
      </c>
      <c r="S788">
        <v>0.34782608695652173</v>
      </c>
      <c r="T788">
        <v>8.5898353614889053E-3</v>
      </c>
      <c r="U788">
        <v>0</v>
      </c>
      <c r="V788">
        <v>0</v>
      </c>
      <c r="W788">
        <v>0</v>
      </c>
      <c r="X788">
        <v>2</v>
      </c>
      <c r="Y788">
        <v>2.8985507246376812E-2</v>
      </c>
      <c r="Z788">
        <v>7.158196134574087E-4</v>
      </c>
      <c r="AA788">
        <v>0</v>
      </c>
      <c r="AB788">
        <v>0</v>
      </c>
      <c r="AC788">
        <v>0</v>
      </c>
      <c r="AD788">
        <v>4</v>
      </c>
      <c r="AE788">
        <v>5.7971014492753624E-2</v>
      </c>
      <c r="AF788">
        <v>1.4316392269148174E-3</v>
      </c>
    </row>
    <row r="789" spans="1:32" x14ac:dyDescent="0.2">
      <c r="A789">
        <v>700.31730324074306</v>
      </c>
      <c r="B789">
        <v>511</v>
      </c>
      <c r="C789">
        <v>40</v>
      </c>
      <c r="D789">
        <v>95</v>
      </c>
      <c r="E789">
        <v>5</v>
      </c>
      <c r="F789">
        <v>0</v>
      </c>
      <c r="G789">
        <v>6</v>
      </c>
      <c r="H789">
        <v>18</v>
      </c>
      <c r="I789">
        <v>0</v>
      </c>
      <c r="J789">
        <v>118</v>
      </c>
      <c r="K789">
        <v>12</v>
      </c>
      <c r="L789">
        <v>7024</v>
      </c>
      <c r="M789">
        <v>27</v>
      </c>
      <c r="N789">
        <v>3.8439635535307518E-3</v>
      </c>
      <c r="O789">
        <v>9</v>
      </c>
      <c r="P789">
        <v>0.33333333333333331</v>
      </c>
      <c r="Q789">
        <v>1.2813211845102506E-3</v>
      </c>
      <c r="R789">
        <v>16</v>
      </c>
      <c r="S789">
        <v>0.59259259259259256</v>
      </c>
      <c r="T789">
        <v>2.2779043280182231E-3</v>
      </c>
      <c r="U789">
        <v>2</v>
      </c>
      <c r="V789">
        <v>7.407407407407407E-2</v>
      </c>
      <c r="W789">
        <v>2.8473804100227789E-4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">
      <c r="A790">
        <v>947.58171296296496</v>
      </c>
      <c r="B790">
        <v>555</v>
      </c>
      <c r="C790">
        <v>20</v>
      </c>
      <c r="D790">
        <v>206</v>
      </c>
      <c r="E790">
        <v>0</v>
      </c>
      <c r="F790">
        <v>0</v>
      </c>
      <c r="G790">
        <v>6</v>
      </c>
      <c r="H790">
        <v>18</v>
      </c>
      <c r="I790">
        <v>0</v>
      </c>
      <c r="J790">
        <v>41</v>
      </c>
      <c r="K790">
        <v>11</v>
      </c>
      <c r="L790">
        <v>1526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">
      <c r="A791">
        <v>1477.292650462965</v>
      </c>
      <c r="B791">
        <v>342</v>
      </c>
      <c r="C791">
        <v>18</v>
      </c>
      <c r="D791">
        <v>78</v>
      </c>
      <c r="E791">
        <v>43</v>
      </c>
      <c r="F791">
        <v>5</v>
      </c>
      <c r="G791">
        <v>36</v>
      </c>
      <c r="H791">
        <v>119</v>
      </c>
      <c r="I791">
        <v>4</v>
      </c>
      <c r="J791">
        <v>101</v>
      </c>
      <c r="K791">
        <v>19</v>
      </c>
      <c r="L791">
        <v>2360</v>
      </c>
      <c r="M791">
        <v>1</v>
      </c>
      <c r="N791">
        <v>4.2372881355932202E-4</v>
      </c>
      <c r="O791">
        <v>1</v>
      </c>
      <c r="P791">
        <v>1</v>
      </c>
      <c r="Q791">
        <v>4.2372881355932202E-4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">
      <c r="A792">
        <v>1697.8616087962946</v>
      </c>
      <c r="B792">
        <v>14786</v>
      </c>
      <c r="C792">
        <v>720</v>
      </c>
      <c r="D792">
        <v>3553</v>
      </c>
      <c r="E792">
        <v>43</v>
      </c>
      <c r="F792">
        <v>5530</v>
      </c>
      <c r="G792">
        <v>388</v>
      </c>
      <c r="H792">
        <v>19558</v>
      </c>
      <c r="I792">
        <v>633</v>
      </c>
      <c r="J792">
        <v>12527</v>
      </c>
      <c r="K792">
        <v>1888</v>
      </c>
      <c r="L792">
        <v>236183</v>
      </c>
      <c r="M792">
        <v>589</v>
      </c>
      <c r="N792">
        <v>2.4938289377304888E-3</v>
      </c>
      <c r="O792">
        <v>54</v>
      </c>
      <c r="P792">
        <v>9.1680814940577254E-2</v>
      </c>
      <c r="Q792">
        <v>2.2863626933352529E-4</v>
      </c>
      <c r="R792">
        <v>281</v>
      </c>
      <c r="S792">
        <v>0.47707979626485569</v>
      </c>
      <c r="T792">
        <v>1.1897554015318629E-3</v>
      </c>
      <c r="U792">
        <v>212</v>
      </c>
      <c r="V792">
        <v>0.35993208828522921</v>
      </c>
      <c r="W792">
        <v>8.9760905738346956E-4</v>
      </c>
      <c r="X792">
        <v>42</v>
      </c>
      <c r="Y792">
        <v>7.1307300509337868E-2</v>
      </c>
      <c r="Z792">
        <v>1.7782820948163076E-4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">
      <c r="A793">
        <v>335.70903935185197</v>
      </c>
      <c r="B793">
        <v>11534</v>
      </c>
      <c r="C793">
        <v>275</v>
      </c>
      <c r="D793">
        <v>2288</v>
      </c>
      <c r="E793">
        <v>2</v>
      </c>
      <c r="F793">
        <v>4</v>
      </c>
      <c r="G793">
        <v>39</v>
      </c>
      <c r="H793">
        <v>779</v>
      </c>
      <c r="I793">
        <v>32</v>
      </c>
      <c r="J793">
        <v>1642</v>
      </c>
      <c r="K793">
        <v>626</v>
      </c>
      <c r="L793">
        <v>12185</v>
      </c>
      <c r="M793">
        <v>107</v>
      </c>
      <c r="N793">
        <v>8.7812884694296271E-3</v>
      </c>
      <c r="O793">
        <v>0</v>
      </c>
      <c r="P793">
        <v>0</v>
      </c>
      <c r="Q793">
        <v>0</v>
      </c>
      <c r="R793">
        <v>93</v>
      </c>
      <c r="S793">
        <v>0.86915887850467288</v>
      </c>
      <c r="T793">
        <v>7.6323348379154698E-3</v>
      </c>
      <c r="U793">
        <v>6</v>
      </c>
      <c r="V793">
        <v>5.6074766355140186E-2</v>
      </c>
      <c r="W793">
        <v>4.924086992203529E-4</v>
      </c>
      <c r="X793">
        <v>8</v>
      </c>
      <c r="Y793">
        <v>7.476635514018691E-2</v>
      </c>
      <c r="Z793">
        <v>6.5654493229380391E-4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">
      <c r="A794">
        <v>591.41952546295943</v>
      </c>
      <c r="B794">
        <v>1346</v>
      </c>
      <c r="C794">
        <v>28</v>
      </c>
      <c r="D794">
        <v>323</v>
      </c>
      <c r="E794">
        <v>10</v>
      </c>
      <c r="F794">
        <v>2</v>
      </c>
      <c r="G794">
        <v>37</v>
      </c>
      <c r="H794">
        <v>499</v>
      </c>
      <c r="I794">
        <v>6</v>
      </c>
      <c r="J794">
        <v>455</v>
      </c>
      <c r="K794">
        <v>226</v>
      </c>
      <c r="L794">
        <v>30505</v>
      </c>
      <c r="M794">
        <v>303</v>
      </c>
      <c r="N794">
        <v>9.9327979019832816E-3</v>
      </c>
      <c r="O794">
        <v>34</v>
      </c>
      <c r="P794">
        <v>0.11221122112211221</v>
      </c>
      <c r="Q794">
        <v>1.1145713817406983E-3</v>
      </c>
      <c r="R794">
        <v>243</v>
      </c>
      <c r="S794">
        <v>0.80198019801980203</v>
      </c>
      <c r="T794">
        <v>7.9659072283232261E-3</v>
      </c>
      <c r="U794">
        <v>26</v>
      </c>
      <c r="V794">
        <v>8.5808580858085806E-2</v>
      </c>
      <c r="W794">
        <v>8.5231929191935743E-4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">
      <c r="A795">
        <v>1079.3740856481454</v>
      </c>
      <c r="B795">
        <v>1929</v>
      </c>
      <c r="C795">
        <v>50</v>
      </c>
      <c r="D795">
        <v>454</v>
      </c>
      <c r="E795">
        <v>6</v>
      </c>
      <c r="F795">
        <v>1</v>
      </c>
      <c r="G795">
        <v>20</v>
      </c>
      <c r="H795">
        <v>392</v>
      </c>
      <c r="I795">
        <v>4</v>
      </c>
      <c r="J795">
        <v>213</v>
      </c>
      <c r="K795">
        <v>46</v>
      </c>
      <c r="L795">
        <v>29016</v>
      </c>
      <c r="M795">
        <v>295</v>
      </c>
      <c r="N795">
        <v>1.0166804521643232E-2</v>
      </c>
      <c r="O795">
        <v>2</v>
      </c>
      <c r="P795">
        <v>6.7796610169491523E-3</v>
      </c>
      <c r="Q795">
        <v>6.8927488282326992E-5</v>
      </c>
      <c r="R795">
        <v>222</v>
      </c>
      <c r="S795">
        <v>0.75254237288135595</v>
      </c>
      <c r="T795">
        <v>7.6509511993382963E-3</v>
      </c>
      <c r="U795">
        <v>55</v>
      </c>
      <c r="V795">
        <v>0.1864406779661017</v>
      </c>
      <c r="W795">
        <v>1.8955059277639924E-3</v>
      </c>
      <c r="X795">
        <v>16</v>
      </c>
      <c r="Y795">
        <v>5.4237288135593219E-2</v>
      </c>
      <c r="Z795">
        <v>5.5141990625861594E-4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">
      <c r="A796">
        <v>1636.6709259259296</v>
      </c>
      <c r="B796">
        <v>556</v>
      </c>
      <c r="C796">
        <v>33</v>
      </c>
      <c r="D796">
        <v>111</v>
      </c>
      <c r="E796">
        <v>0</v>
      </c>
      <c r="F796">
        <v>4</v>
      </c>
      <c r="G796">
        <v>5</v>
      </c>
      <c r="H796">
        <v>10</v>
      </c>
      <c r="I796">
        <v>0</v>
      </c>
      <c r="J796">
        <v>70</v>
      </c>
      <c r="K796">
        <v>17</v>
      </c>
      <c r="L796">
        <v>2984</v>
      </c>
      <c r="M796">
        <v>219</v>
      </c>
      <c r="N796">
        <v>7.3391420911528144E-2</v>
      </c>
      <c r="O796">
        <v>0</v>
      </c>
      <c r="P796">
        <v>0</v>
      </c>
      <c r="Q796">
        <v>0</v>
      </c>
      <c r="R796">
        <v>119</v>
      </c>
      <c r="S796">
        <v>0.54337899543378998</v>
      </c>
      <c r="T796">
        <v>3.987935656836461E-2</v>
      </c>
      <c r="U796">
        <v>20</v>
      </c>
      <c r="V796">
        <v>9.1324200913242004E-2</v>
      </c>
      <c r="W796">
        <v>6.7024128686327079E-3</v>
      </c>
      <c r="X796">
        <v>80</v>
      </c>
      <c r="Y796">
        <v>0.36529680365296802</v>
      </c>
      <c r="Z796">
        <v>2.6809651474530832E-2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">
      <c r="A797">
        <v>2490.8425925925912</v>
      </c>
      <c r="B797">
        <v>805</v>
      </c>
      <c r="C797">
        <v>27</v>
      </c>
      <c r="D797">
        <v>131</v>
      </c>
      <c r="E797">
        <v>9</v>
      </c>
      <c r="F797">
        <v>0</v>
      </c>
      <c r="G797">
        <v>20</v>
      </c>
      <c r="H797">
        <v>79</v>
      </c>
      <c r="I797">
        <v>3</v>
      </c>
      <c r="J797">
        <v>152</v>
      </c>
      <c r="K797">
        <v>20</v>
      </c>
      <c r="L797">
        <v>1684</v>
      </c>
      <c r="M797">
        <v>116</v>
      </c>
      <c r="N797">
        <v>6.8883610451306407E-2</v>
      </c>
      <c r="O797">
        <v>30</v>
      </c>
      <c r="P797">
        <v>0.25862068965517243</v>
      </c>
      <c r="Q797">
        <v>1.7814726840855107E-2</v>
      </c>
      <c r="R797">
        <v>50</v>
      </c>
      <c r="S797">
        <v>0.43103448275862066</v>
      </c>
      <c r="T797">
        <v>2.9691211401425176E-2</v>
      </c>
      <c r="U797">
        <v>18</v>
      </c>
      <c r="V797">
        <v>0.15517241379310345</v>
      </c>
      <c r="W797">
        <v>1.0688836104513063E-2</v>
      </c>
      <c r="X797">
        <v>12</v>
      </c>
      <c r="Y797">
        <v>0.10344827586206896</v>
      </c>
      <c r="Z797">
        <v>7.1258907363420431E-3</v>
      </c>
      <c r="AA797">
        <v>1</v>
      </c>
      <c r="AB797">
        <v>8.6206896551724137E-3</v>
      </c>
      <c r="AC797">
        <v>5.9382422802850359E-4</v>
      </c>
      <c r="AD797">
        <v>5</v>
      </c>
      <c r="AE797">
        <v>4.3103448275862072E-2</v>
      </c>
      <c r="AF797">
        <v>2.9691211401425177E-3</v>
      </c>
    </row>
    <row r="798" spans="1:32" x14ac:dyDescent="0.2">
      <c r="A798">
        <v>3881.0804282407407</v>
      </c>
      <c r="B798">
        <v>29275</v>
      </c>
      <c r="C798">
        <v>1115</v>
      </c>
      <c r="D798">
        <v>11867</v>
      </c>
      <c r="E798">
        <v>72</v>
      </c>
      <c r="F798">
        <v>611</v>
      </c>
      <c r="G798">
        <v>2307</v>
      </c>
      <c r="H798">
        <v>20511</v>
      </c>
      <c r="I798">
        <v>167</v>
      </c>
      <c r="J798">
        <v>20314</v>
      </c>
      <c r="K798">
        <v>3571</v>
      </c>
      <c r="L798">
        <v>236593</v>
      </c>
      <c r="M798">
        <v>253</v>
      </c>
      <c r="N798">
        <v>1.0693469375678908E-3</v>
      </c>
      <c r="O798">
        <v>0</v>
      </c>
      <c r="P798">
        <v>0</v>
      </c>
      <c r="Q798">
        <v>0</v>
      </c>
      <c r="R798">
        <v>44</v>
      </c>
      <c r="S798">
        <v>0.17391304347826086</v>
      </c>
      <c r="T798">
        <v>1.8597338044658971E-4</v>
      </c>
      <c r="U798">
        <v>209</v>
      </c>
      <c r="V798">
        <v>0.82608695652173914</v>
      </c>
      <c r="W798">
        <v>8.8337355712130115E-4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">
      <c r="A799">
        <v>3034.375</v>
      </c>
      <c r="B799">
        <v>1539</v>
      </c>
      <c r="C799">
        <v>60</v>
      </c>
      <c r="D799">
        <v>343</v>
      </c>
      <c r="E799">
        <v>145</v>
      </c>
      <c r="F799">
        <v>118</v>
      </c>
      <c r="G799">
        <v>191</v>
      </c>
      <c r="H799">
        <v>8499</v>
      </c>
      <c r="I799">
        <v>33</v>
      </c>
      <c r="J799">
        <v>3369</v>
      </c>
      <c r="K799">
        <v>299</v>
      </c>
      <c r="L799">
        <v>35326</v>
      </c>
      <c r="M799">
        <v>125</v>
      </c>
      <c r="N799">
        <v>3.5384702485421501E-3</v>
      </c>
      <c r="O799">
        <v>40</v>
      </c>
      <c r="P799">
        <v>0.32</v>
      </c>
      <c r="Q799">
        <v>1.1323104795334881E-3</v>
      </c>
      <c r="R799">
        <v>30</v>
      </c>
      <c r="S799">
        <v>0.24</v>
      </c>
      <c r="T799">
        <v>8.4923285965011607E-4</v>
      </c>
      <c r="U799">
        <v>35</v>
      </c>
      <c r="V799">
        <v>0.28000000000000003</v>
      </c>
      <c r="W799">
        <v>9.9077166959180203E-4</v>
      </c>
      <c r="X799">
        <v>12</v>
      </c>
      <c r="Y799">
        <v>9.6000000000000002E-2</v>
      </c>
      <c r="Z799">
        <v>3.3969314386004645E-4</v>
      </c>
      <c r="AA799">
        <v>5</v>
      </c>
      <c r="AB799">
        <v>0.04</v>
      </c>
      <c r="AC799">
        <v>1.4153880994168601E-4</v>
      </c>
      <c r="AD799">
        <v>3</v>
      </c>
      <c r="AE799">
        <v>2.4E-2</v>
      </c>
      <c r="AF799">
        <v>8.4923285965011612E-5</v>
      </c>
    </row>
    <row r="800" spans="1:32" x14ac:dyDescent="0.2">
      <c r="A800">
        <v>2452.7146412037036</v>
      </c>
      <c r="B800">
        <v>1845</v>
      </c>
      <c r="C800">
        <v>52</v>
      </c>
      <c r="D800">
        <v>189</v>
      </c>
      <c r="E800">
        <v>120</v>
      </c>
      <c r="F800">
        <v>9</v>
      </c>
      <c r="G800">
        <v>83</v>
      </c>
      <c r="H800">
        <v>656</v>
      </c>
      <c r="I800">
        <v>13</v>
      </c>
      <c r="J800">
        <v>663</v>
      </c>
      <c r="K800">
        <v>121</v>
      </c>
      <c r="L800">
        <v>93220</v>
      </c>
      <c r="M800">
        <v>851</v>
      </c>
      <c r="N800">
        <v>9.1289422870628623E-3</v>
      </c>
      <c r="O800">
        <v>237</v>
      </c>
      <c r="P800">
        <v>0.27849588719153939</v>
      </c>
      <c r="Q800">
        <v>2.542372881355932E-3</v>
      </c>
      <c r="R800">
        <v>184</v>
      </c>
      <c r="S800">
        <v>0.21621621621621623</v>
      </c>
      <c r="T800">
        <v>1.973825359364943E-3</v>
      </c>
      <c r="U800">
        <v>369</v>
      </c>
      <c r="V800">
        <v>0.43360752056404228</v>
      </c>
      <c r="W800">
        <v>3.9583780304655652E-3</v>
      </c>
      <c r="X800">
        <v>36</v>
      </c>
      <c r="Y800">
        <v>4.230317273795535E-2</v>
      </c>
      <c r="Z800">
        <v>3.8618322248444538E-4</v>
      </c>
      <c r="AA800">
        <v>15</v>
      </c>
      <c r="AB800">
        <v>1.7626321974148061E-2</v>
      </c>
      <c r="AC800">
        <v>1.6090967603518558E-4</v>
      </c>
      <c r="AD800">
        <v>10</v>
      </c>
      <c r="AE800">
        <v>1.1750881316098707E-2</v>
      </c>
      <c r="AF800">
        <v>1.0727311735679038E-4</v>
      </c>
    </row>
    <row r="801" spans="1:32" x14ac:dyDescent="0.2">
      <c r="A801">
        <v>486.78675925925927</v>
      </c>
      <c r="B801">
        <v>752</v>
      </c>
      <c r="C801">
        <v>28</v>
      </c>
      <c r="D801">
        <v>122</v>
      </c>
      <c r="E801">
        <v>0</v>
      </c>
      <c r="F801">
        <v>0</v>
      </c>
      <c r="G801">
        <v>2</v>
      </c>
      <c r="H801">
        <v>3</v>
      </c>
      <c r="I801">
        <v>1</v>
      </c>
      <c r="J801">
        <v>5</v>
      </c>
      <c r="K801">
        <v>2</v>
      </c>
      <c r="L801">
        <v>531</v>
      </c>
      <c r="M801">
        <v>42</v>
      </c>
      <c r="N801">
        <v>7.909604519774012E-2</v>
      </c>
      <c r="O801">
        <v>0</v>
      </c>
      <c r="P801">
        <v>0</v>
      </c>
      <c r="Q801">
        <v>0</v>
      </c>
      <c r="R801">
        <v>38</v>
      </c>
      <c r="S801">
        <v>0.90476190476190477</v>
      </c>
      <c r="T801">
        <v>7.1563088512241052E-2</v>
      </c>
      <c r="U801">
        <v>0</v>
      </c>
      <c r="V801">
        <v>0</v>
      </c>
      <c r="W801">
        <v>0</v>
      </c>
      <c r="X801">
        <v>4</v>
      </c>
      <c r="Y801">
        <v>9.5238095238095233E-2</v>
      </c>
      <c r="Z801">
        <v>7.5329566854990581E-3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">
      <c r="A802">
        <v>3771.9774537037083</v>
      </c>
      <c r="B802">
        <v>439</v>
      </c>
      <c r="C802">
        <v>13</v>
      </c>
      <c r="D802">
        <v>76</v>
      </c>
      <c r="E802">
        <v>0</v>
      </c>
      <c r="F802">
        <v>7</v>
      </c>
      <c r="G802">
        <v>32</v>
      </c>
      <c r="H802">
        <v>83</v>
      </c>
      <c r="I802">
        <v>3</v>
      </c>
      <c r="J802">
        <v>126</v>
      </c>
      <c r="K802">
        <v>35</v>
      </c>
      <c r="L802">
        <v>5825</v>
      </c>
      <c r="M802">
        <v>80</v>
      </c>
      <c r="N802">
        <v>1.3733905579399141E-2</v>
      </c>
      <c r="O802">
        <v>16</v>
      </c>
      <c r="P802">
        <v>0.2</v>
      </c>
      <c r="Q802">
        <v>2.7467811158798285E-3</v>
      </c>
      <c r="R802">
        <v>35</v>
      </c>
      <c r="S802">
        <v>0.4375</v>
      </c>
      <c r="T802">
        <v>6.0085836909871248E-3</v>
      </c>
      <c r="U802">
        <v>25</v>
      </c>
      <c r="V802">
        <v>0.3125</v>
      </c>
      <c r="W802">
        <v>4.2918454935622317E-3</v>
      </c>
      <c r="X802">
        <v>4</v>
      </c>
      <c r="Y802">
        <v>0.05</v>
      </c>
      <c r="Z802">
        <v>6.8669527896995713E-4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">
      <c r="A803">
        <v>468.94870370370336</v>
      </c>
      <c r="B803">
        <v>540</v>
      </c>
      <c r="C803">
        <v>11</v>
      </c>
      <c r="D803">
        <v>26</v>
      </c>
      <c r="E803">
        <v>67</v>
      </c>
      <c r="F803">
        <v>0</v>
      </c>
      <c r="G803">
        <v>15</v>
      </c>
      <c r="H803">
        <v>177</v>
      </c>
      <c r="I803">
        <v>1</v>
      </c>
      <c r="J803">
        <v>196</v>
      </c>
      <c r="K803">
        <v>4</v>
      </c>
      <c r="L803">
        <v>8529</v>
      </c>
      <c r="M803">
        <v>17</v>
      </c>
      <c r="N803">
        <v>1.9931996717082894E-3</v>
      </c>
      <c r="O803">
        <v>3</v>
      </c>
      <c r="P803">
        <v>0.17647058823529413</v>
      </c>
      <c r="Q803">
        <v>3.5174111853675694E-4</v>
      </c>
      <c r="R803">
        <v>8</v>
      </c>
      <c r="S803">
        <v>0.47058823529411764</v>
      </c>
      <c r="T803">
        <v>9.3797631609801851E-4</v>
      </c>
      <c r="U803">
        <v>5</v>
      </c>
      <c r="V803">
        <v>0.29411764705882354</v>
      </c>
      <c r="W803">
        <v>5.8623519756126157E-4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5.8823529411764705E-2</v>
      </c>
      <c r="AF803">
        <v>1.1724703951225231E-4</v>
      </c>
    </row>
    <row r="804" spans="1:32" x14ac:dyDescent="0.2">
      <c r="A804">
        <v>124.69939814815007</v>
      </c>
      <c r="B804">
        <v>509</v>
      </c>
      <c r="C804">
        <v>21</v>
      </c>
      <c r="D804">
        <v>52</v>
      </c>
      <c r="E804">
        <v>0</v>
      </c>
      <c r="F804">
        <v>0</v>
      </c>
      <c r="G804">
        <v>0</v>
      </c>
      <c r="H804">
        <v>2</v>
      </c>
      <c r="I804">
        <v>0</v>
      </c>
      <c r="J804">
        <v>20</v>
      </c>
      <c r="K804">
        <v>7</v>
      </c>
      <c r="L804">
        <v>18372</v>
      </c>
      <c r="M804">
        <v>170</v>
      </c>
      <c r="N804">
        <v>9.253211408665361E-3</v>
      </c>
      <c r="O804">
        <v>0</v>
      </c>
      <c r="P804">
        <v>0</v>
      </c>
      <c r="Q804">
        <v>0</v>
      </c>
      <c r="R804">
        <v>128</v>
      </c>
      <c r="S804">
        <v>0.75294117647058822</v>
      </c>
      <c r="T804">
        <v>6.9671238841715654E-3</v>
      </c>
      <c r="U804">
        <v>33</v>
      </c>
      <c r="V804">
        <v>0.19411764705882353</v>
      </c>
      <c r="W804">
        <v>1.7962116263879817E-3</v>
      </c>
      <c r="X804">
        <v>8</v>
      </c>
      <c r="Y804">
        <v>4.7058823529411764E-2</v>
      </c>
      <c r="Z804">
        <v>4.3544524276072284E-4</v>
      </c>
      <c r="AA804">
        <v>0</v>
      </c>
      <c r="AB804">
        <v>0</v>
      </c>
      <c r="AC804">
        <v>0</v>
      </c>
      <c r="AD804">
        <v>1</v>
      </c>
      <c r="AE804">
        <v>5.8823529411764705E-3</v>
      </c>
      <c r="AF804">
        <v>5.4430655345090354E-5</v>
      </c>
    </row>
    <row r="805" spans="1:32" x14ac:dyDescent="0.2">
      <c r="A805">
        <v>140.26596064814657</v>
      </c>
      <c r="B805">
        <v>896</v>
      </c>
      <c r="C805">
        <v>18</v>
      </c>
      <c r="D805">
        <v>125</v>
      </c>
      <c r="E805">
        <v>0</v>
      </c>
      <c r="F805">
        <v>0</v>
      </c>
      <c r="G805">
        <v>4</v>
      </c>
      <c r="H805">
        <v>11</v>
      </c>
      <c r="I805">
        <v>1</v>
      </c>
      <c r="J805">
        <v>69</v>
      </c>
      <c r="K805">
        <v>18</v>
      </c>
      <c r="L805">
        <v>18311</v>
      </c>
      <c r="M805">
        <v>170</v>
      </c>
      <c r="N805">
        <v>9.2840369176997433E-3</v>
      </c>
      <c r="O805">
        <v>0</v>
      </c>
      <c r="P805">
        <v>0</v>
      </c>
      <c r="Q805">
        <v>0</v>
      </c>
      <c r="R805">
        <v>128</v>
      </c>
      <c r="S805">
        <v>0.75294117647058822</v>
      </c>
      <c r="T805">
        <v>6.9903336792092189E-3</v>
      </c>
      <c r="U805">
        <v>33</v>
      </c>
      <c r="V805">
        <v>0.19411764705882353</v>
      </c>
      <c r="W805">
        <v>1.8021954016711266E-3</v>
      </c>
      <c r="X805">
        <v>8</v>
      </c>
      <c r="Y805">
        <v>4.7058823529411764E-2</v>
      </c>
      <c r="Z805">
        <v>4.3689585495057618E-4</v>
      </c>
      <c r="AA805">
        <v>0</v>
      </c>
      <c r="AB805">
        <v>0</v>
      </c>
      <c r="AC805">
        <v>0</v>
      </c>
      <c r="AD805">
        <v>1</v>
      </c>
      <c r="AE805">
        <v>5.8823529411764705E-3</v>
      </c>
      <c r="AF805">
        <v>5.4611981868822022E-5</v>
      </c>
    </row>
    <row r="806" spans="1:32" x14ac:dyDescent="0.2">
      <c r="A806">
        <v>2609.2503009259308</v>
      </c>
      <c r="B806">
        <v>889</v>
      </c>
      <c r="C806">
        <v>36</v>
      </c>
      <c r="D806">
        <v>92</v>
      </c>
      <c r="E806">
        <v>1</v>
      </c>
      <c r="F806">
        <v>71</v>
      </c>
      <c r="G806">
        <v>39</v>
      </c>
      <c r="H806">
        <v>308</v>
      </c>
      <c r="I806">
        <v>7</v>
      </c>
      <c r="J806">
        <v>572</v>
      </c>
      <c r="K806">
        <v>113</v>
      </c>
      <c r="L806">
        <v>5658</v>
      </c>
      <c r="M806">
        <v>85</v>
      </c>
      <c r="N806">
        <v>1.5022976316719689E-2</v>
      </c>
      <c r="O806">
        <v>32</v>
      </c>
      <c r="P806">
        <v>0.37647058823529411</v>
      </c>
      <c r="Q806">
        <v>5.6557087310003537E-3</v>
      </c>
      <c r="R806">
        <v>17</v>
      </c>
      <c r="S806">
        <v>0.2</v>
      </c>
      <c r="T806">
        <v>3.0045952633439379E-3</v>
      </c>
      <c r="U806">
        <v>21</v>
      </c>
      <c r="V806">
        <v>0.24705882352941178</v>
      </c>
      <c r="W806">
        <v>3.711558854718982E-3</v>
      </c>
      <c r="X806">
        <v>13</v>
      </c>
      <c r="Y806">
        <v>0.15294117647058825</v>
      </c>
      <c r="Z806">
        <v>2.2976316719688938E-3</v>
      </c>
      <c r="AA806">
        <v>2</v>
      </c>
      <c r="AB806">
        <v>2.3529411764705882E-2</v>
      </c>
      <c r="AC806">
        <v>3.5348179568752211E-4</v>
      </c>
      <c r="AD806">
        <v>0</v>
      </c>
      <c r="AE806">
        <v>0</v>
      </c>
      <c r="AF806">
        <v>0</v>
      </c>
    </row>
    <row r="807" spans="1:32" x14ac:dyDescent="0.2">
      <c r="A807">
        <v>2948.2239120370359</v>
      </c>
      <c r="B807">
        <v>1673</v>
      </c>
      <c r="C807">
        <v>108</v>
      </c>
      <c r="D807">
        <v>258</v>
      </c>
      <c r="E807">
        <v>0</v>
      </c>
      <c r="F807">
        <v>1</v>
      </c>
      <c r="G807">
        <v>32</v>
      </c>
      <c r="H807">
        <v>102</v>
      </c>
      <c r="I807">
        <v>5</v>
      </c>
      <c r="J807">
        <v>164</v>
      </c>
      <c r="K807">
        <v>33</v>
      </c>
      <c r="L807">
        <v>1310</v>
      </c>
      <c r="M807">
        <v>3</v>
      </c>
      <c r="N807">
        <v>2.2900763358778627E-3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0.33333333333333331</v>
      </c>
      <c r="W807">
        <v>7.6335877862595419E-4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2</v>
      </c>
      <c r="AE807">
        <v>0.66666666666666663</v>
      </c>
      <c r="AF807">
        <v>1.5267175572519084E-3</v>
      </c>
    </row>
    <row r="808" spans="1:32" x14ac:dyDescent="0.2">
      <c r="A808">
        <v>406.29925925926364</v>
      </c>
      <c r="B808">
        <v>603</v>
      </c>
      <c r="C808">
        <v>32</v>
      </c>
      <c r="D808">
        <v>38</v>
      </c>
      <c r="E808">
        <v>0</v>
      </c>
      <c r="F808">
        <v>0</v>
      </c>
      <c r="G808">
        <v>12</v>
      </c>
      <c r="H808">
        <v>168</v>
      </c>
      <c r="I808">
        <v>1</v>
      </c>
      <c r="J808">
        <v>64</v>
      </c>
      <c r="K808">
        <v>20</v>
      </c>
      <c r="L808">
        <v>1013</v>
      </c>
      <c r="M808">
        <v>10</v>
      </c>
      <c r="N808">
        <v>9.8716683119447184E-3</v>
      </c>
      <c r="O808">
        <v>3</v>
      </c>
      <c r="P808">
        <v>0.3</v>
      </c>
      <c r="Q808">
        <v>2.9615004935834156E-3</v>
      </c>
      <c r="R808">
        <v>2</v>
      </c>
      <c r="S808">
        <v>0.2</v>
      </c>
      <c r="T808">
        <v>1.9743336623889436E-3</v>
      </c>
      <c r="U808">
        <v>0</v>
      </c>
      <c r="V808">
        <v>0</v>
      </c>
      <c r="W808">
        <v>0</v>
      </c>
      <c r="X808">
        <v>5</v>
      </c>
      <c r="Y808">
        <v>0.5</v>
      </c>
      <c r="Z808">
        <v>4.9358341559723592E-3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">
      <c r="A809">
        <v>821.55083333332732</v>
      </c>
      <c r="B809">
        <v>11371</v>
      </c>
      <c r="C809">
        <v>328</v>
      </c>
      <c r="D809">
        <v>2993</v>
      </c>
      <c r="E809">
        <v>1</v>
      </c>
      <c r="F809">
        <v>2</v>
      </c>
      <c r="G809">
        <v>17</v>
      </c>
      <c r="H809">
        <v>49</v>
      </c>
      <c r="I809">
        <v>3</v>
      </c>
      <c r="J809">
        <v>351</v>
      </c>
      <c r="K809">
        <v>115</v>
      </c>
      <c r="L809">
        <v>3167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">
      <c r="A810">
        <v>575.28111111111502</v>
      </c>
      <c r="B810">
        <v>408</v>
      </c>
      <c r="C810">
        <v>15</v>
      </c>
      <c r="D810">
        <v>88</v>
      </c>
      <c r="E810">
        <v>0</v>
      </c>
      <c r="F810">
        <v>0</v>
      </c>
      <c r="G810">
        <v>2</v>
      </c>
      <c r="H810">
        <v>1</v>
      </c>
      <c r="I810">
        <v>1</v>
      </c>
      <c r="J810">
        <v>21</v>
      </c>
      <c r="K810">
        <v>11</v>
      </c>
      <c r="L810">
        <v>9686</v>
      </c>
      <c r="M810">
        <v>177</v>
      </c>
      <c r="N810">
        <v>1.8273797233119966E-2</v>
      </c>
      <c r="O810">
        <v>24</v>
      </c>
      <c r="P810">
        <v>0.13559322033898305</v>
      </c>
      <c r="Q810">
        <v>2.4778030146603344E-3</v>
      </c>
      <c r="R810">
        <v>128</v>
      </c>
      <c r="S810">
        <v>0.7231638418079096</v>
      </c>
      <c r="T810">
        <v>1.3214949411521784E-2</v>
      </c>
      <c r="U810">
        <v>22</v>
      </c>
      <c r="V810">
        <v>0.12429378531073447</v>
      </c>
      <c r="W810">
        <v>2.2713194301053068E-3</v>
      </c>
      <c r="X810">
        <v>2</v>
      </c>
      <c r="Y810">
        <v>1.1299435028248588E-2</v>
      </c>
      <c r="Z810">
        <v>2.0648358455502787E-4</v>
      </c>
      <c r="AA810">
        <v>1</v>
      </c>
      <c r="AB810">
        <v>5.6497175141242938E-3</v>
      </c>
      <c r="AC810">
        <v>1.0324179227751394E-4</v>
      </c>
      <c r="AD810">
        <v>0</v>
      </c>
      <c r="AE810">
        <v>0</v>
      </c>
      <c r="AF810">
        <v>0</v>
      </c>
    </row>
    <row r="811" spans="1:32" x14ac:dyDescent="0.2">
      <c r="A811">
        <v>1730.9991550925915</v>
      </c>
      <c r="B811">
        <v>740</v>
      </c>
      <c r="C811">
        <v>82</v>
      </c>
      <c r="D811">
        <v>183</v>
      </c>
      <c r="E811">
        <v>0</v>
      </c>
      <c r="F811">
        <v>1</v>
      </c>
      <c r="G811">
        <v>20</v>
      </c>
      <c r="H811">
        <v>98</v>
      </c>
      <c r="I811">
        <v>17</v>
      </c>
      <c r="J811">
        <v>166</v>
      </c>
      <c r="K811">
        <v>59</v>
      </c>
      <c r="L811">
        <v>3311</v>
      </c>
      <c r="M811">
        <v>155</v>
      </c>
      <c r="N811">
        <v>4.6813651464814254E-2</v>
      </c>
      <c r="O811">
        <v>63</v>
      </c>
      <c r="P811">
        <v>0.40645161290322579</v>
      </c>
      <c r="Q811">
        <v>1.9027484143763214E-2</v>
      </c>
      <c r="R811">
        <v>62</v>
      </c>
      <c r="S811">
        <v>0.4</v>
      </c>
      <c r="T811">
        <v>1.8725460585925703E-2</v>
      </c>
      <c r="U811">
        <v>22</v>
      </c>
      <c r="V811">
        <v>0.14193548387096774</v>
      </c>
      <c r="W811">
        <v>6.6445182724252493E-3</v>
      </c>
      <c r="X811">
        <v>8</v>
      </c>
      <c r="Y811">
        <v>5.1612903225806452E-2</v>
      </c>
      <c r="Z811">
        <v>2.4161884627000906E-3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">
      <c r="A812">
        <v>1494.4267013888893</v>
      </c>
      <c r="B812">
        <v>341</v>
      </c>
      <c r="C812">
        <v>50</v>
      </c>
      <c r="D812">
        <v>143</v>
      </c>
      <c r="E812">
        <v>0</v>
      </c>
      <c r="F812">
        <v>9</v>
      </c>
      <c r="G812">
        <v>96</v>
      </c>
      <c r="H812">
        <v>765</v>
      </c>
      <c r="I812">
        <v>16</v>
      </c>
      <c r="J812">
        <v>333</v>
      </c>
      <c r="K812">
        <v>170</v>
      </c>
      <c r="L812">
        <v>6470</v>
      </c>
      <c r="M812">
        <v>2</v>
      </c>
      <c r="N812">
        <v>3.0911901081916539E-4</v>
      </c>
      <c r="O812">
        <v>0</v>
      </c>
      <c r="P812">
        <v>0</v>
      </c>
      <c r="Q812">
        <v>0</v>
      </c>
      <c r="R812">
        <v>2</v>
      </c>
      <c r="S812">
        <v>1</v>
      </c>
      <c r="T812">
        <v>3.0911901081916539E-4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">
      <c r="A813">
        <v>1703.2275810185165</v>
      </c>
      <c r="B813">
        <v>873</v>
      </c>
      <c r="C813">
        <v>133</v>
      </c>
      <c r="D813">
        <v>433</v>
      </c>
      <c r="E813">
        <v>2</v>
      </c>
      <c r="F813">
        <v>7</v>
      </c>
      <c r="G813">
        <v>64</v>
      </c>
      <c r="H813">
        <v>108</v>
      </c>
      <c r="I813">
        <v>4</v>
      </c>
      <c r="J813">
        <v>120</v>
      </c>
      <c r="K813">
        <v>6</v>
      </c>
      <c r="L813">
        <v>9694</v>
      </c>
      <c r="M813">
        <v>86</v>
      </c>
      <c r="N813">
        <v>8.8714668867340626E-3</v>
      </c>
      <c r="O813">
        <v>35</v>
      </c>
      <c r="P813">
        <v>0.40697674418604651</v>
      </c>
      <c r="Q813">
        <v>3.610480709717351E-3</v>
      </c>
      <c r="R813">
        <v>36</v>
      </c>
      <c r="S813">
        <v>0.41860465116279072</v>
      </c>
      <c r="T813">
        <v>3.7136373014235611E-3</v>
      </c>
      <c r="U813">
        <v>7</v>
      </c>
      <c r="V813">
        <v>8.1395348837209308E-2</v>
      </c>
      <c r="W813">
        <v>7.2209614194347019E-4</v>
      </c>
      <c r="X813">
        <v>8</v>
      </c>
      <c r="Y813">
        <v>9.3023255813953487E-2</v>
      </c>
      <c r="Z813">
        <v>8.2525273364968024E-4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">
      <c r="A814">
        <v>1723.906365740746</v>
      </c>
      <c r="B814">
        <v>3673</v>
      </c>
      <c r="C814">
        <v>321</v>
      </c>
      <c r="D814">
        <v>1523</v>
      </c>
      <c r="E814">
        <v>7</v>
      </c>
      <c r="F814">
        <v>441</v>
      </c>
      <c r="G814">
        <v>337</v>
      </c>
      <c r="H814">
        <v>2253</v>
      </c>
      <c r="I814">
        <v>6</v>
      </c>
      <c r="J814">
        <v>4001</v>
      </c>
      <c r="K814">
        <v>145</v>
      </c>
      <c r="L814">
        <v>13510</v>
      </c>
      <c r="M814">
        <v>350</v>
      </c>
      <c r="N814">
        <v>2.5906735751295335E-2</v>
      </c>
      <c r="O814">
        <v>2</v>
      </c>
      <c r="P814">
        <v>5.7142857142857143E-3</v>
      </c>
      <c r="Q814">
        <v>1.4803849000740192E-4</v>
      </c>
      <c r="R814">
        <v>284</v>
      </c>
      <c r="S814">
        <v>0.81142857142857139</v>
      </c>
      <c r="T814">
        <v>2.1021465581051075E-2</v>
      </c>
      <c r="U814">
        <v>34</v>
      </c>
      <c r="V814">
        <v>9.7142857142857142E-2</v>
      </c>
      <c r="W814">
        <v>2.5166543301258326E-3</v>
      </c>
      <c r="X814">
        <v>29</v>
      </c>
      <c r="Y814">
        <v>8.2857142857142851E-2</v>
      </c>
      <c r="Z814">
        <v>2.146558105107328E-3</v>
      </c>
      <c r="AA814">
        <v>1</v>
      </c>
      <c r="AB814">
        <v>2.8571428571428571E-3</v>
      </c>
      <c r="AC814">
        <v>7.4019245003700959E-5</v>
      </c>
      <c r="AD814">
        <v>0</v>
      </c>
      <c r="AE814">
        <v>0</v>
      </c>
      <c r="AF814">
        <v>0</v>
      </c>
    </row>
    <row r="815" spans="1:32" x14ac:dyDescent="0.2">
      <c r="A815">
        <v>1240.9982060185212</v>
      </c>
      <c r="B815">
        <v>901</v>
      </c>
      <c r="C815">
        <v>51</v>
      </c>
      <c r="D815">
        <v>107</v>
      </c>
      <c r="E815">
        <v>0</v>
      </c>
      <c r="F815">
        <v>0</v>
      </c>
      <c r="G815">
        <v>6</v>
      </c>
      <c r="H815">
        <v>30</v>
      </c>
      <c r="I815">
        <v>1</v>
      </c>
      <c r="J815">
        <v>93</v>
      </c>
      <c r="K815">
        <v>25</v>
      </c>
      <c r="L815">
        <v>21380</v>
      </c>
      <c r="M815">
        <v>36</v>
      </c>
      <c r="N815">
        <v>1.6838166510757717E-3</v>
      </c>
      <c r="O815">
        <v>0</v>
      </c>
      <c r="P815">
        <v>0</v>
      </c>
      <c r="Q815">
        <v>0</v>
      </c>
      <c r="R815">
        <v>20</v>
      </c>
      <c r="S815">
        <v>0.55555555555555558</v>
      </c>
      <c r="T815">
        <v>9.3545369504209543E-4</v>
      </c>
      <c r="U815">
        <v>15</v>
      </c>
      <c r="V815">
        <v>0.41666666666666669</v>
      </c>
      <c r="W815">
        <v>7.0159027128157152E-4</v>
      </c>
      <c r="X815">
        <v>1</v>
      </c>
      <c r="Y815">
        <v>2.7777777777777776E-2</v>
      </c>
      <c r="Z815">
        <v>4.6772684752104769E-5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">
      <c r="A816">
        <v>1168.6655671296321</v>
      </c>
      <c r="B816">
        <v>501</v>
      </c>
      <c r="C816">
        <v>25</v>
      </c>
      <c r="D816">
        <v>67</v>
      </c>
      <c r="E816">
        <v>0</v>
      </c>
      <c r="F816">
        <v>3</v>
      </c>
      <c r="G816">
        <v>38</v>
      </c>
      <c r="H816">
        <v>86</v>
      </c>
      <c r="I816">
        <v>3</v>
      </c>
      <c r="J816">
        <v>178</v>
      </c>
      <c r="K816">
        <v>79</v>
      </c>
      <c r="L816">
        <v>5297</v>
      </c>
      <c r="M816">
        <v>58</v>
      </c>
      <c r="N816">
        <v>1.0949594109873513E-2</v>
      </c>
      <c r="O816">
        <v>0</v>
      </c>
      <c r="P816">
        <v>0</v>
      </c>
      <c r="Q816">
        <v>0</v>
      </c>
      <c r="R816">
        <v>10</v>
      </c>
      <c r="S816">
        <v>0.17241379310344829</v>
      </c>
      <c r="T816">
        <v>1.8878610534264679E-3</v>
      </c>
      <c r="U816">
        <v>0</v>
      </c>
      <c r="V816">
        <v>0</v>
      </c>
      <c r="W816">
        <v>0</v>
      </c>
      <c r="X816">
        <v>48</v>
      </c>
      <c r="Y816">
        <v>0.82758620689655171</v>
      </c>
      <c r="Z816">
        <v>9.0617330564470456E-3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">
      <c r="A817">
        <v>1564.6446064814809</v>
      </c>
      <c r="B817">
        <v>2784</v>
      </c>
      <c r="C817">
        <v>79</v>
      </c>
      <c r="D817">
        <v>259</v>
      </c>
      <c r="E817">
        <v>114</v>
      </c>
      <c r="F817">
        <v>2</v>
      </c>
      <c r="G817">
        <v>80</v>
      </c>
      <c r="H817">
        <v>339</v>
      </c>
      <c r="I817">
        <v>6</v>
      </c>
      <c r="J817">
        <v>930</v>
      </c>
      <c r="K817">
        <v>109</v>
      </c>
      <c r="L817">
        <v>85955</v>
      </c>
      <c r="M817">
        <v>262</v>
      </c>
      <c r="N817">
        <v>3.0481065673899133E-3</v>
      </c>
      <c r="O817">
        <v>75</v>
      </c>
      <c r="P817">
        <v>0.2862595419847328</v>
      </c>
      <c r="Q817">
        <v>8.7254958990169273E-4</v>
      </c>
      <c r="R817">
        <v>87</v>
      </c>
      <c r="S817">
        <v>0.33206106870229007</v>
      </c>
      <c r="T817">
        <v>1.0121575242859637E-3</v>
      </c>
      <c r="U817">
        <v>72</v>
      </c>
      <c r="V817">
        <v>0.27480916030534353</v>
      </c>
      <c r="W817">
        <v>8.3764760630562502E-4</v>
      </c>
      <c r="X817">
        <v>28</v>
      </c>
      <c r="Y817">
        <v>0.10687022900763359</v>
      </c>
      <c r="Z817">
        <v>3.2575184689663197E-4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">
      <c r="A818">
        <v>1155.9697685185165</v>
      </c>
      <c r="B818">
        <v>556</v>
      </c>
      <c r="C818">
        <v>24</v>
      </c>
      <c r="D818">
        <v>36</v>
      </c>
      <c r="E818">
        <v>0</v>
      </c>
      <c r="F818">
        <v>9</v>
      </c>
      <c r="G818">
        <v>12</v>
      </c>
      <c r="H818">
        <v>35</v>
      </c>
      <c r="I818">
        <v>0</v>
      </c>
      <c r="J818">
        <v>237</v>
      </c>
      <c r="K818">
        <v>3</v>
      </c>
      <c r="L818">
        <v>3132</v>
      </c>
      <c r="M818">
        <v>47</v>
      </c>
      <c r="N818">
        <v>1.5006385696040868E-2</v>
      </c>
      <c r="O818">
        <v>5</v>
      </c>
      <c r="P818">
        <v>0.10638297872340426</v>
      </c>
      <c r="Q818">
        <v>1.5964240102171138E-3</v>
      </c>
      <c r="R818">
        <v>1</v>
      </c>
      <c r="S818">
        <v>2.1276595744680851E-2</v>
      </c>
      <c r="T818">
        <v>3.1928480204342275E-4</v>
      </c>
      <c r="U818">
        <v>0</v>
      </c>
      <c r="V818">
        <v>0</v>
      </c>
      <c r="W818">
        <v>0</v>
      </c>
      <c r="X818">
        <v>41</v>
      </c>
      <c r="Y818">
        <v>0.87234042553191493</v>
      </c>
      <c r="Z818">
        <v>1.3090676883780333E-2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">
      <c r="A819">
        <v>3095.2641666666605</v>
      </c>
      <c r="B819">
        <v>4341</v>
      </c>
      <c r="C819">
        <v>102</v>
      </c>
      <c r="D819">
        <v>370</v>
      </c>
      <c r="E819">
        <v>22</v>
      </c>
      <c r="F819">
        <v>20</v>
      </c>
      <c r="G819">
        <v>94</v>
      </c>
      <c r="H819">
        <v>271</v>
      </c>
      <c r="I819">
        <v>21</v>
      </c>
      <c r="J819">
        <v>447</v>
      </c>
      <c r="K819">
        <v>151</v>
      </c>
      <c r="L819">
        <v>3193</v>
      </c>
      <c r="M819">
        <v>25</v>
      </c>
      <c r="N819">
        <v>7.829627309740057E-3</v>
      </c>
      <c r="O819">
        <v>2</v>
      </c>
      <c r="P819">
        <v>0.08</v>
      </c>
      <c r="Q819">
        <v>6.2637018477920453E-4</v>
      </c>
      <c r="R819">
        <v>13</v>
      </c>
      <c r="S819">
        <v>0.52</v>
      </c>
      <c r="T819">
        <v>4.0714062010648294E-3</v>
      </c>
      <c r="U819">
        <v>7</v>
      </c>
      <c r="V819">
        <v>0.28000000000000003</v>
      </c>
      <c r="W819">
        <v>2.192295646727216E-3</v>
      </c>
      <c r="X819">
        <v>1</v>
      </c>
      <c r="Y819">
        <v>0.04</v>
      </c>
      <c r="Z819">
        <v>3.1318509238960227E-4</v>
      </c>
      <c r="AA819">
        <v>0</v>
      </c>
      <c r="AB819">
        <v>0</v>
      </c>
      <c r="AC819">
        <v>0</v>
      </c>
      <c r="AD819">
        <v>2</v>
      </c>
      <c r="AE819">
        <v>0.08</v>
      </c>
      <c r="AF819">
        <v>6.2637018477920453E-4</v>
      </c>
    </row>
    <row r="820" spans="1:32" x14ac:dyDescent="0.2">
      <c r="A820">
        <v>1508.0602546296286</v>
      </c>
      <c r="B820">
        <v>609</v>
      </c>
      <c r="C820">
        <v>26</v>
      </c>
      <c r="D820">
        <v>233</v>
      </c>
      <c r="E820">
        <v>0</v>
      </c>
      <c r="F820">
        <v>2</v>
      </c>
      <c r="G820">
        <v>80</v>
      </c>
      <c r="H820">
        <v>35</v>
      </c>
      <c r="I820">
        <v>0</v>
      </c>
      <c r="J820">
        <v>0</v>
      </c>
      <c r="K820">
        <v>0</v>
      </c>
      <c r="L820">
        <v>70519</v>
      </c>
      <c r="M820">
        <v>230</v>
      </c>
      <c r="N820">
        <v>3.261532352982884E-3</v>
      </c>
      <c r="O820">
        <v>29</v>
      </c>
      <c r="P820">
        <v>0.12608695652173912</v>
      </c>
      <c r="Q820">
        <v>4.1123668798479841E-4</v>
      </c>
      <c r="R820">
        <v>17</v>
      </c>
      <c r="S820">
        <v>7.3913043478260873E-2</v>
      </c>
      <c r="T820">
        <v>2.4106978261177839E-4</v>
      </c>
      <c r="U820">
        <v>11</v>
      </c>
      <c r="V820">
        <v>4.7826086956521741E-2</v>
      </c>
      <c r="W820">
        <v>1.5598632992526836E-4</v>
      </c>
      <c r="X820">
        <v>71</v>
      </c>
      <c r="Y820">
        <v>0.30869565217391304</v>
      </c>
      <c r="Z820">
        <v>1.0068208567903685E-3</v>
      </c>
      <c r="AA820">
        <v>0</v>
      </c>
      <c r="AB820">
        <v>0</v>
      </c>
      <c r="AC820">
        <v>0</v>
      </c>
      <c r="AD820">
        <v>102</v>
      </c>
      <c r="AE820">
        <v>0.44347826086956521</v>
      </c>
      <c r="AF820">
        <v>1.4464186956706703E-3</v>
      </c>
    </row>
    <row r="821" spans="1:32" x14ac:dyDescent="0.2">
      <c r="A821">
        <v>441.10173611111531</v>
      </c>
      <c r="B821">
        <v>3989</v>
      </c>
      <c r="C821">
        <v>57</v>
      </c>
      <c r="D821">
        <v>293</v>
      </c>
      <c r="E821">
        <v>0</v>
      </c>
      <c r="F821">
        <v>6</v>
      </c>
      <c r="G821">
        <v>85</v>
      </c>
      <c r="H821">
        <v>2522</v>
      </c>
      <c r="I821">
        <v>28</v>
      </c>
      <c r="J821">
        <v>1390</v>
      </c>
      <c r="K821">
        <v>493</v>
      </c>
      <c r="L821">
        <v>24196</v>
      </c>
      <c r="M821">
        <v>9</v>
      </c>
      <c r="N821">
        <v>3.7196230781947427E-4</v>
      </c>
      <c r="O821">
        <v>0</v>
      </c>
      <c r="P821">
        <v>0</v>
      </c>
      <c r="Q821">
        <v>0</v>
      </c>
      <c r="R821">
        <v>7</v>
      </c>
      <c r="S821">
        <v>0.77777777777777779</v>
      </c>
      <c r="T821">
        <v>2.8930401719292443E-4</v>
      </c>
      <c r="U821">
        <v>2</v>
      </c>
      <c r="V821">
        <v>0.22222222222222221</v>
      </c>
      <c r="W821">
        <v>8.2658290626549838E-5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">
      <c r="A822">
        <v>1220.2574537036999</v>
      </c>
      <c r="B822">
        <v>1583</v>
      </c>
      <c r="C822">
        <v>47</v>
      </c>
      <c r="D822">
        <v>151</v>
      </c>
      <c r="E822">
        <v>35</v>
      </c>
      <c r="F822">
        <v>2</v>
      </c>
      <c r="G822">
        <v>29</v>
      </c>
      <c r="H822">
        <v>179</v>
      </c>
      <c r="I822">
        <v>2</v>
      </c>
      <c r="J822">
        <v>147</v>
      </c>
      <c r="K822">
        <v>35</v>
      </c>
      <c r="L822">
        <v>4212</v>
      </c>
      <c r="M822">
        <v>177</v>
      </c>
      <c r="N822">
        <v>4.2022792022792022E-2</v>
      </c>
      <c r="O822">
        <v>49</v>
      </c>
      <c r="P822">
        <v>0.2768361581920904</v>
      </c>
      <c r="Q822">
        <v>1.1633428300094967E-2</v>
      </c>
      <c r="R822">
        <v>67</v>
      </c>
      <c r="S822">
        <v>0.37853107344632769</v>
      </c>
      <c r="T822">
        <v>1.590693257359924E-2</v>
      </c>
      <c r="U822">
        <v>14</v>
      </c>
      <c r="V822">
        <v>7.909604519774012E-2</v>
      </c>
      <c r="W822">
        <v>3.3238366571699905E-3</v>
      </c>
      <c r="X822">
        <v>25</v>
      </c>
      <c r="Y822">
        <v>0.14124293785310735</v>
      </c>
      <c r="Z822">
        <v>5.9354226020892692E-3</v>
      </c>
      <c r="AA822">
        <v>0</v>
      </c>
      <c r="AB822">
        <v>0</v>
      </c>
      <c r="AC822">
        <v>0</v>
      </c>
      <c r="AD822">
        <v>22</v>
      </c>
      <c r="AE822">
        <v>0.12429378531073447</v>
      </c>
      <c r="AF822">
        <v>5.2231718898385565E-3</v>
      </c>
    </row>
    <row r="823" spans="1:32" x14ac:dyDescent="0.2">
      <c r="A823">
        <v>484.50179398147884</v>
      </c>
      <c r="B823">
        <v>617</v>
      </c>
      <c r="C823">
        <v>21</v>
      </c>
      <c r="D823">
        <v>176</v>
      </c>
      <c r="E823">
        <v>0</v>
      </c>
      <c r="F823">
        <v>0</v>
      </c>
      <c r="G823">
        <v>0</v>
      </c>
      <c r="H823">
        <v>3</v>
      </c>
      <c r="I823">
        <v>0</v>
      </c>
      <c r="J823">
        <v>14</v>
      </c>
      <c r="K823">
        <v>5</v>
      </c>
      <c r="L823">
        <v>118860</v>
      </c>
      <c r="M823">
        <v>1095</v>
      </c>
      <c r="N823">
        <v>9.212518929833418E-3</v>
      </c>
      <c r="O823">
        <v>325</v>
      </c>
      <c r="P823">
        <v>0.29680365296803651</v>
      </c>
      <c r="Q823">
        <v>2.7343092714117449E-3</v>
      </c>
      <c r="R823">
        <v>630</v>
      </c>
      <c r="S823">
        <v>0.57534246575342463</v>
      </c>
      <c r="T823">
        <v>5.3003533568904597E-3</v>
      </c>
      <c r="U823">
        <v>83</v>
      </c>
      <c r="V823">
        <v>7.5799086757990866E-2</v>
      </c>
      <c r="W823">
        <v>6.9830052162207638E-4</v>
      </c>
      <c r="X823">
        <v>19</v>
      </c>
      <c r="Y823">
        <v>1.7351598173515982E-2</v>
      </c>
      <c r="Z823">
        <v>1.5985192663637893E-4</v>
      </c>
      <c r="AA823">
        <v>1</v>
      </c>
      <c r="AB823">
        <v>9.1324200913242006E-4</v>
      </c>
      <c r="AC823">
        <v>8.4132592966515235E-6</v>
      </c>
      <c r="AD823">
        <v>37</v>
      </c>
      <c r="AE823">
        <v>3.3789954337899546E-2</v>
      </c>
      <c r="AF823">
        <v>3.1129059397610635E-4</v>
      </c>
    </row>
    <row r="824" spans="1:32" x14ac:dyDescent="0.2">
      <c r="A824">
        <v>3794.2427430555545</v>
      </c>
      <c r="B824">
        <v>374</v>
      </c>
      <c r="C824">
        <v>66</v>
      </c>
      <c r="D824">
        <v>117</v>
      </c>
      <c r="E824">
        <v>1</v>
      </c>
      <c r="F824">
        <v>134</v>
      </c>
      <c r="G824">
        <v>27</v>
      </c>
      <c r="H824">
        <v>834</v>
      </c>
      <c r="I824">
        <v>13</v>
      </c>
      <c r="J824">
        <v>242</v>
      </c>
      <c r="K824">
        <v>88</v>
      </c>
      <c r="L824">
        <v>49385</v>
      </c>
      <c r="M824">
        <v>119</v>
      </c>
      <c r="N824">
        <v>2.4096385542168677E-3</v>
      </c>
      <c r="O824">
        <v>26</v>
      </c>
      <c r="P824">
        <v>0.21848739495798319</v>
      </c>
      <c r="Q824">
        <v>5.2647565050116432E-4</v>
      </c>
      <c r="R824">
        <v>17</v>
      </c>
      <c r="S824">
        <v>0.14285714285714285</v>
      </c>
      <c r="T824">
        <v>3.4423407917383823E-4</v>
      </c>
      <c r="U824">
        <v>59</v>
      </c>
      <c r="V824">
        <v>0.49579831932773111</v>
      </c>
      <c r="W824">
        <v>1.1946947453680267E-3</v>
      </c>
      <c r="X824">
        <v>17</v>
      </c>
      <c r="Y824">
        <v>0.14285714285714285</v>
      </c>
      <c r="Z824">
        <v>3.4423407917383823E-4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">
      <c r="A825">
        <v>1699.0927777777761</v>
      </c>
      <c r="B825">
        <v>412</v>
      </c>
      <c r="C825">
        <v>25</v>
      </c>
      <c r="D825">
        <v>61</v>
      </c>
      <c r="E825">
        <v>0</v>
      </c>
      <c r="F825">
        <v>2</v>
      </c>
      <c r="G825">
        <v>10</v>
      </c>
      <c r="H825">
        <v>25</v>
      </c>
      <c r="I825">
        <v>1</v>
      </c>
      <c r="J825">
        <v>55</v>
      </c>
      <c r="K825">
        <v>15</v>
      </c>
      <c r="L825">
        <v>567</v>
      </c>
      <c r="M825">
        <v>4</v>
      </c>
      <c r="N825">
        <v>7.0546737213403876E-3</v>
      </c>
      <c r="O825">
        <v>4</v>
      </c>
      <c r="P825">
        <v>1</v>
      </c>
      <c r="Q825">
        <v>7.0546737213403876E-3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">
      <c r="A826">
        <v>2584.1037268518485</v>
      </c>
      <c r="B826">
        <v>5775</v>
      </c>
      <c r="C826">
        <v>70</v>
      </c>
      <c r="D826">
        <v>389</v>
      </c>
      <c r="E826">
        <v>74</v>
      </c>
      <c r="F826">
        <v>19</v>
      </c>
      <c r="G826">
        <v>99</v>
      </c>
      <c r="H826">
        <v>754</v>
      </c>
      <c r="I826">
        <v>5</v>
      </c>
      <c r="J826">
        <v>1093</v>
      </c>
      <c r="K826">
        <v>20</v>
      </c>
      <c r="L826">
        <v>7961</v>
      </c>
      <c r="M826">
        <v>31</v>
      </c>
      <c r="N826">
        <v>3.8939831679437255E-3</v>
      </c>
      <c r="O826">
        <v>0</v>
      </c>
      <c r="P826">
        <v>0</v>
      </c>
      <c r="Q826">
        <v>0</v>
      </c>
      <c r="R826">
        <v>8</v>
      </c>
      <c r="S826">
        <v>0.25806451612903225</v>
      </c>
      <c r="T826">
        <v>1.0048988820499938E-3</v>
      </c>
      <c r="U826">
        <v>14</v>
      </c>
      <c r="V826">
        <v>0.45161290322580644</v>
      </c>
      <c r="W826">
        <v>1.7585730435874889E-3</v>
      </c>
      <c r="X826">
        <v>9</v>
      </c>
      <c r="Y826">
        <v>0.29032258064516131</v>
      </c>
      <c r="Z826">
        <v>1.1305112423062428E-3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">
      <c r="A827">
        <v>1014.0103356481486</v>
      </c>
      <c r="B827">
        <v>6089</v>
      </c>
      <c r="C827">
        <v>137</v>
      </c>
      <c r="D827">
        <v>541</v>
      </c>
      <c r="E827">
        <v>92</v>
      </c>
      <c r="F827">
        <v>11</v>
      </c>
      <c r="G827">
        <v>173</v>
      </c>
      <c r="H827">
        <v>2497</v>
      </c>
      <c r="I827">
        <v>31</v>
      </c>
      <c r="J827">
        <v>1649</v>
      </c>
      <c r="K827">
        <v>254</v>
      </c>
      <c r="L827">
        <v>48849</v>
      </c>
      <c r="M827">
        <v>456</v>
      </c>
      <c r="N827">
        <v>9.3348891481913644E-3</v>
      </c>
      <c r="O827">
        <v>201</v>
      </c>
      <c r="P827">
        <v>0.44078947368421051</v>
      </c>
      <c r="Q827">
        <v>4.1147208745317201E-3</v>
      </c>
      <c r="R827">
        <v>105</v>
      </c>
      <c r="S827">
        <v>0.23026315789473684</v>
      </c>
      <c r="T827">
        <v>2.149481053859854E-3</v>
      </c>
      <c r="U827">
        <v>67</v>
      </c>
      <c r="V827">
        <v>0.14692982456140352</v>
      </c>
      <c r="W827">
        <v>1.3715736248439067E-3</v>
      </c>
      <c r="X827">
        <v>43</v>
      </c>
      <c r="Y827">
        <v>9.4298245614035089E-2</v>
      </c>
      <c r="Z827">
        <v>8.8026366967594019E-4</v>
      </c>
      <c r="AA827">
        <v>10</v>
      </c>
      <c r="AB827">
        <v>2.1929824561403508E-2</v>
      </c>
      <c r="AC827">
        <v>2.0471248131998608E-4</v>
      </c>
      <c r="AD827">
        <v>30</v>
      </c>
      <c r="AE827">
        <v>6.5789473684210523E-2</v>
      </c>
      <c r="AF827">
        <v>6.1413744395995827E-4</v>
      </c>
    </row>
    <row r="828" spans="1:32" x14ac:dyDescent="0.2">
      <c r="A828">
        <v>2404.2883680555533</v>
      </c>
      <c r="B828">
        <v>1043</v>
      </c>
      <c r="C828">
        <v>42</v>
      </c>
      <c r="D828">
        <v>295</v>
      </c>
      <c r="E828">
        <v>0</v>
      </c>
      <c r="F828">
        <v>40</v>
      </c>
      <c r="G828">
        <v>163</v>
      </c>
      <c r="H828">
        <v>978</v>
      </c>
      <c r="I828">
        <v>14</v>
      </c>
      <c r="J828">
        <v>992</v>
      </c>
      <c r="K828">
        <v>112</v>
      </c>
      <c r="L828">
        <v>80156</v>
      </c>
      <c r="M828">
        <v>431</v>
      </c>
      <c r="N828">
        <v>5.3770148210988576E-3</v>
      </c>
      <c r="O828">
        <v>1</v>
      </c>
      <c r="P828">
        <v>2.3201856148491878E-3</v>
      </c>
      <c r="Q828">
        <v>1.2475672438744449E-5</v>
      </c>
      <c r="R828">
        <v>15</v>
      </c>
      <c r="S828">
        <v>3.4802784222737818E-2</v>
      </c>
      <c r="T828">
        <v>1.8713508658116672E-4</v>
      </c>
      <c r="U828">
        <v>37</v>
      </c>
      <c r="V828">
        <v>8.584686774941995E-2</v>
      </c>
      <c r="W828">
        <v>4.6159988023354456E-4</v>
      </c>
      <c r="X828">
        <v>280</v>
      </c>
      <c r="Y828">
        <v>0.64965197215777259</v>
      </c>
      <c r="Z828">
        <v>3.4931882828484456E-3</v>
      </c>
      <c r="AA828">
        <v>0</v>
      </c>
      <c r="AB828">
        <v>0</v>
      </c>
      <c r="AC828">
        <v>0</v>
      </c>
      <c r="AD828">
        <v>98</v>
      </c>
      <c r="AE828">
        <v>0.22737819025522041</v>
      </c>
      <c r="AF828">
        <v>1.2226158989969559E-3</v>
      </c>
    </row>
    <row r="829" spans="1:32" x14ac:dyDescent="0.2">
      <c r="A829">
        <v>2600.226273148146</v>
      </c>
      <c r="B829">
        <v>840</v>
      </c>
      <c r="C829">
        <v>66</v>
      </c>
      <c r="D829">
        <v>111</v>
      </c>
      <c r="E829">
        <v>5</v>
      </c>
      <c r="F829">
        <v>19</v>
      </c>
      <c r="G829">
        <v>33</v>
      </c>
      <c r="H829">
        <v>63</v>
      </c>
      <c r="I829">
        <v>7</v>
      </c>
      <c r="J829">
        <v>171</v>
      </c>
      <c r="K829">
        <v>52</v>
      </c>
      <c r="L829">
        <v>106224</v>
      </c>
      <c r="M829">
        <v>70</v>
      </c>
      <c r="N829">
        <v>6.5898478686549175E-4</v>
      </c>
      <c r="O829">
        <v>25</v>
      </c>
      <c r="P829">
        <v>0.35714285714285715</v>
      </c>
      <c r="Q829">
        <v>2.353517095948185E-4</v>
      </c>
      <c r="R829">
        <v>24</v>
      </c>
      <c r="S829">
        <v>0.34285714285714286</v>
      </c>
      <c r="T829">
        <v>2.2593764121102577E-4</v>
      </c>
      <c r="U829">
        <v>5</v>
      </c>
      <c r="V829">
        <v>7.1428571428571425E-2</v>
      </c>
      <c r="W829">
        <v>4.7070341918963698E-5</v>
      </c>
      <c r="X829">
        <v>16</v>
      </c>
      <c r="Y829">
        <v>0.22857142857142856</v>
      </c>
      <c r="Z829">
        <v>1.5062509414068384E-4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">
      <c r="A830">
        <v>2764.3648842592593</v>
      </c>
      <c r="B830">
        <v>3065</v>
      </c>
      <c r="C830">
        <v>139</v>
      </c>
      <c r="D830">
        <v>434</v>
      </c>
      <c r="E830">
        <v>453</v>
      </c>
      <c r="F830">
        <v>5</v>
      </c>
      <c r="G830">
        <v>20</v>
      </c>
      <c r="H830">
        <v>65</v>
      </c>
      <c r="I830">
        <v>1</v>
      </c>
      <c r="J830">
        <v>0</v>
      </c>
      <c r="K830">
        <v>0</v>
      </c>
      <c r="L830">
        <v>27265</v>
      </c>
      <c r="M830">
        <v>378</v>
      </c>
      <c r="N830">
        <v>1.386392811296534E-2</v>
      </c>
      <c r="O830">
        <v>0</v>
      </c>
      <c r="P830">
        <v>0</v>
      </c>
      <c r="Q830">
        <v>0</v>
      </c>
      <c r="R830">
        <v>69</v>
      </c>
      <c r="S830">
        <v>0.18253968253968253</v>
      </c>
      <c r="T830">
        <v>2.5307170364936731E-3</v>
      </c>
      <c r="U830">
        <v>46</v>
      </c>
      <c r="V830">
        <v>0.12169312169312169</v>
      </c>
      <c r="W830">
        <v>1.6871446909957821E-3</v>
      </c>
      <c r="X830">
        <v>116</v>
      </c>
      <c r="Y830">
        <v>0.30687830687830686</v>
      </c>
      <c r="Z830">
        <v>4.2545387859893634E-3</v>
      </c>
      <c r="AA830">
        <v>0</v>
      </c>
      <c r="AB830">
        <v>0</v>
      </c>
      <c r="AC830">
        <v>0</v>
      </c>
      <c r="AD830">
        <v>147</v>
      </c>
      <c r="AE830">
        <v>0.3888888888888889</v>
      </c>
      <c r="AF830">
        <v>5.3915275994865213E-3</v>
      </c>
    </row>
    <row r="831" spans="1:32" x14ac:dyDescent="0.2">
      <c r="A831">
        <v>2356.8349305555603</v>
      </c>
      <c r="B831">
        <v>1281</v>
      </c>
      <c r="C831">
        <v>76</v>
      </c>
      <c r="D831">
        <v>157</v>
      </c>
      <c r="E831">
        <v>0</v>
      </c>
      <c r="F831">
        <v>0</v>
      </c>
      <c r="G831">
        <v>7</v>
      </c>
      <c r="H831">
        <v>11</v>
      </c>
      <c r="I831">
        <v>0</v>
      </c>
      <c r="J831">
        <v>45</v>
      </c>
      <c r="K831">
        <v>16</v>
      </c>
      <c r="L831">
        <v>15754</v>
      </c>
      <c r="M831">
        <v>61</v>
      </c>
      <c r="N831">
        <v>3.8720324996826204E-3</v>
      </c>
      <c r="O831">
        <v>32</v>
      </c>
      <c r="P831">
        <v>0.52459016393442626</v>
      </c>
      <c r="Q831">
        <v>2.0312301637679321E-3</v>
      </c>
      <c r="R831">
        <v>11</v>
      </c>
      <c r="S831">
        <v>0.18032786885245902</v>
      </c>
      <c r="T831">
        <v>6.9823536879522663E-4</v>
      </c>
      <c r="U831">
        <v>7</v>
      </c>
      <c r="V831">
        <v>0.11475409836065574</v>
      </c>
      <c r="W831">
        <v>4.4433159832423511E-4</v>
      </c>
      <c r="X831">
        <v>11</v>
      </c>
      <c r="Y831">
        <v>0.18032786885245902</v>
      </c>
      <c r="Z831">
        <v>6.9823536879522663E-4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">
      <c r="A832">
        <v>545.01413194444467</v>
      </c>
      <c r="B832">
        <v>1889</v>
      </c>
      <c r="C832">
        <v>73</v>
      </c>
      <c r="D832">
        <v>340</v>
      </c>
      <c r="E832">
        <v>4</v>
      </c>
      <c r="F832">
        <v>4</v>
      </c>
      <c r="G832">
        <v>57</v>
      </c>
      <c r="H832">
        <v>1032</v>
      </c>
      <c r="I832">
        <v>18</v>
      </c>
      <c r="J832">
        <v>805</v>
      </c>
      <c r="K832">
        <v>78</v>
      </c>
      <c r="L832">
        <v>30383</v>
      </c>
      <c r="M832">
        <v>68</v>
      </c>
      <c r="N832">
        <v>2.2380936708027515E-3</v>
      </c>
      <c r="O832">
        <v>0</v>
      </c>
      <c r="P832">
        <v>0</v>
      </c>
      <c r="Q832">
        <v>0</v>
      </c>
      <c r="R832">
        <v>18</v>
      </c>
      <c r="S832">
        <v>0.26470588235294118</v>
      </c>
      <c r="T832">
        <v>5.9243655991837545E-4</v>
      </c>
      <c r="U832">
        <v>49</v>
      </c>
      <c r="V832">
        <v>0.72058823529411764</v>
      </c>
      <c r="W832">
        <v>1.6127439686666886E-3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1.4705882352941176E-2</v>
      </c>
      <c r="AF832">
        <v>3.2913142217687525E-5</v>
      </c>
    </row>
    <row r="833" spans="1:32" x14ac:dyDescent="0.2">
      <c r="A833">
        <v>1121.3070717592564</v>
      </c>
      <c r="B833">
        <v>20213</v>
      </c>
      <c r="C833">
        <v>183</v>
      </c>
      <c r="D833">
        <v>1245</v>
      </c>
      <c r="E833">
        <v>5</v>
      </c>
      <c r="F833">
        <v>23</v>
      </c>
      <c r="G833">
        <v>236</v>
      </c>
      <c r="H833">
        <v>651</v>
      </c>
      <c r="I833">
        <v>21</v>
      </c>
      <c r="J833">
        <v>1434</v>
      </c>
      <c r="K833">
        <v>423</v>
      </c>
      <c r="L833">
        <v>11408</v>
      </c>
      <c r="M833">
        <v>29</v>
      </c>
      <c r="N833">
        <v>2.5420757363253856E-3</v>
      </c>
      <c r="O833">
        <v>13</v>
      </c>
      <c r="P833">
        <v>0.44827586206896552</v>
      </c>
      <c r="Q833">
        <v>1.1395511921458625E-3</v>
      </c>
      <c r="R833">
        <v>8</v>
      </c>
      <c r="S833">
        <v>0.27586206896551724</v>
      </c>
      <c r="T833">
        <v>7.0126227208976155E-4</v>
      </c>
      <c r="U833">
        <v>2</v>
      </c>
      <c r="V833">
        <v>6.8965517241379309E-2</v>
      </c>
      <c r="W833">
        <v>1.7531556802244039E-4</v>
      </c>
      <c r="X833">
        <v>5</v>
      </c>
      <c r="Y833">
        <v>0.17241379310344829</v>
      </c>
      <c r="Z833">
        <v>4.3828892005610097E-4</v>
      </c>
      <c r="AA833">
        <v>0</v>
      </c>
      <c r="AB833">
        <v>0</v>
      </c>
      <c r="AC833">
        <v>0</v>
      </c>
      <c r="AD833">
        <v>1</v>
      </c>
      <c r="AE833">
        <v>3.4482758620689655E-2</v>
      </c>
      <c r="AF833">
        <v>8.7657784011220194E-5</v>
      </c>
    </row>
    <row r="834" spans="1:32" x14ac:dyDescent="0.2">
      <c r="A834">
        <v>1043.9246643518491</v>
      </c>
      <c r="B834">
        <v>377</v>
      </c>
      <c r="C834">
        <v>4</v>
      </c>
      <c r="D834">
        <v>20</v>
      </c>
      <c r="E834">
        <v>0</v>
      </c>
      <c r="F834">
        <v>0</v>
      </c>
      <c r="G834">
        <v>7</v>
      </c>
      <c r="H834">
        <v>256</v>
      </c>
      <c r="I834">
        <v>0</v>
      </c>
      <c r="J834">
        <v>42</v>
      </c>
      <c r="K834">
        <v>6</v>
      </c>
      <c r="L834">
        <v>1149</v>
      </c>
      <c r="M834">
        <v>8</v>
      </c>
      <c r="N834">
        <v>6.9625761531766752E-3</v>
      </c>
      <c r="O834">
        <v>0</v>
      </c>
      <c r="P834">
        <v>0</v>
      </c>
      <c r="Q834">
        <v>0</v>
      </c>
      <c r="R834">
        <v>7</v>
      </c>
      <c r="S834">
        <v>0.875</v>
      </c>
      <c r="T834">
        <v>6.0922541340295913E-3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0.125</v>
      </c>
      <c r="AC834">
        <v>8.703220191470844E-4</v>
      </c>
      <c r="AD834">
        <v>0</v>
      </c>
      <c r="AE834">
        <v>0</v>
      </c>
      <c r="AF834">
        <v>0</v>
      </c>
    </row>
    <row r="835" spans="1:32" x14ac:dyDescent="0.2">
      <c r="A835">
        <v>2320.9364814814835</v>
      </c>
      <c r="B835">
        <v>450</v>
      </c>
      <c r="C835">
        <v>13</v>
      </c>
      <c r="D835">
        <v>35</v>
      </c>
      <c r="E835">
        <v>1</v>
      </c>
      <c r="F835">
        <v>3</v>
      </c>
      <c r="G835">
        <v>6</v>
      </c>
      <c r="H835">
        <v>93</v>
      </c>
      <c r="I835">
        <v>1</v>
      </c>
      <c r="J835">
        <v>161</v>
      </c>
      <c r="K835">
        <v>25</v>
      </c>
      <c r="L835">
        <v>1287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">
      <c r="A836">
        <v>3152.2872800925907</v>
      </c>
      <c r="B836">
        <v>507</v>
      </c>
      <c r="C836">
        <v>38</v>
      </c>
      <c r="D836">
        <v>165</v>
      </c>
      <c r="E836">
        <v>6</v>
      </c>
      <c r="F836">
        <v>111</v>
      </c>
      <c r="G836">
        <v>83</v>
      </c>
      <c r="H836">
        <v>4012</v>
      </c>
      <c r="I836">
        <v>0</v>
      </c>
      <c r="J836">
        <v>0</v>
      </c>
      <c r="K836">
        <v>0</v>
      </c>
      <c r="L836">
        <v>81841</v>
      </c>
      <c r="M836">
        <v>450</v>
      </c>
      <c r="N836">
        <v>5.4984665387764076E-3</v>
      </c>
      <c r="O836">
        <v>112</v>
      </c>
      <c r="P836">
        <v>0.24888888888888888</v>
      </c>
      <c r="Q836">
        <v>1.3685072274287949E-3</v>
      </c>
      <c r="R836">
        <v>133</v>
      </c>
      <c r="S836">
        <v>0.29555555555555557</v>
      </c>
      <c r="T836">
        <v>1.6251023325716939E-3</v>
      </c>
      <c r="U836">
        <v>30</v>
      </c>
      <c r="V836">
        <v>6.6666666666666666E-2</v>
      </c>
      <c r="W836">
        <v>3.6656443591842722E-4</v>
      </c>
      <c r="X836">
        <v>65</v>
      </c>
      <c r="Y836">
        <v>0.14444444444444443</v>
      </c>
      <c r="Z836">
        <v>7.9422294448992564E-4</v>
      </c>
      <c r="AA836">
        <v>10</v>
      </c>
      <c r="AB836">
        <v>2.2222222222222223E-2</v>
      </c>
      <c r="AC836">
        <v>1.2218814530614241E-4</v>
      </c>
      <c r="AD836">
        <v>100</v>
      </c>
      <c r="AE836">
        <v>0.22222222222222221</v>
      </c>
      <c r="AF836">
        <v>1.2218814530614241E-3</v>
      </c>
    </row>
    <row r="837" spans="1:32" x14ac:dyDescent="0.2">
      <c r="A837">
        <v>1960.760277777772</v>
      </c>
      <c r="B837">
        <v>361</v>
      </c>
      <c r="C837">
        <v>39</v>
      </c>
      <c r="D837">
        <v>47</v>
      </c>
      <c r="E837">
        <v>46</v>
      </c>
      <c r="F837">
        <v>7</v>
      </c>
      <c r="G837">
        <v>12</v>
      </c>
      <c r="H837">
        <v>90</v>
      </c>
      <c r="I837">
        <v>1</v>
      </c>
      <c r="J837">
        <v>67</v>
      </c>
      <c r="K837">
        <v>1</v>
      </c>
      <c r="L837">
        <v>1998</v>
      </c>
      <c r="M837">
        <v>33</v>
      </c>
      <c r="N837">
        <v>1.6516516516516516E-2</v>
      </c>
      <c r="O837">
        <v>18</v>
      </c>
      <c r="P837">
        <v>0.54545454545454541</v>
      </c>
      <c r="Q837">
        <v>9.0090090090090089E-3</v>
      </c>
      <c r="R837">
        <v>1</v>
      </c>
      <c r="S837">
        <v>3.0303030303030304E-2</v>
      </c>
      <c r="T837">
        <v>5.005005005005005E-4</v>
      </c>
      <c r="U837">
        <v>5</v>
      </c>
      <c r="V837">
        <v>0.15151515151515152</v>
      </c>
      <c r="W837">
        <v>2.5025025025025025E-3</v>
      </c>
      <c r="X837">
        <v>1</v>
      </c>
      <c r="Y837">
        <v>3.0303030303030304E-2</v>
      </c>
      <c r="Z837">
        <v>5.005005005005005E-4</v>
      </c>
      <c r="AA837">
        <v>0</v>
      </c>
      <c r="AB837">
        <v>0</v>
      </c>
      <c r="AC837">
        <v>0</v>
      </c>
      <c r="AD837">
        <v>8</v>
      </c>
      <c r="AE837">
        <v>0.24242424242424243</v>
      </c>
      <c r="AF837">
        <v>4.004004004004004E-3</v>
      </c>
    </row>
    <row r="838" spans="1:32" x14ac:dyDescent="0.2">
      <c r="A838">
        <v>2504.1429976851869</v>
      </c>
      <c r="B838">
        <v>2081</v>
      </c>
      <c r="C838">
        <v>256</v>
      </c>
      <c r="D838">
        <v>555</v>
      </c>
      <c r="E838">
        <v>0</v>
      </c>
      <c r="F838">
        <v>8</v>
      </c>
      <c r="G838">
        <v>41</v>
      </c>
      <c r="H838">
        <v>232</v>
      </c>
      <c r="I838">
        <v>35</v>
      </c>
      <c r="J838">
        <v>573</v>
      </c>
      <c r="K838">
        <v>145</v>
      </c>
      <c r="L838">
        <v>2391</v>
      </c>
      <c r="M838">
        <v>58</v>
      </c>
      <c r="N838">
        <v>2.4257632789627771E-2</v>
      </c>
      <c r="O838">
        <v>16</v>
      </c>
      <c r="P838">
        <v>0.27586206896551724</v>
      </c>
      <c r="Q838">
        <v>6.6917607695524883E-3</v>
      </c>
      <c r="R838">
        <v>20</v>
      </c>
      <c r="S838">
        <v>0.34482758620689657</v>
      </c>
      <c r="T838">
        <v>8.3647009619406115E-3</v>
      </c>
      <c r="U838">
        <v>12</v>
      </c>
      <c r="V838">
        <v>0.20689655172413793</v>
      </c>
      <c r="W838">
        <v>5.018820577164366E-3</v>
      </c>
      <c r="X838">
        <v>6</v>
      </c>
      <c r="Y838">
        <v>0.10344827586206896</v>
      </c>
      <c r="Z838">
        <v>2.509410288582183E-3</v>
      </c>
      <c r="AA838">
        <v>1</v>
      </c>
      <c r="AB838">
        <v>1.7241379310344827E-2</v>
      </c>
      <c r="AC838">
        <v>4.1823504809703052E-4</v>
      </c>
      <c r="AD838">
        <v>3</v>
      </c>
      <c r="AE838">
        <v>5.1724137931034482E-2</v>
      </c>
      <c r="AF838">
        <v>1.2547051442910915E-3</v>
      </c>
    </row>
    <row r="839" spans="1:32" x14ac:dyDescent="0.2">
      <c r="A839">
        <v>1921.5382870370377</v>
      </c>
      <c r="B839">
        <v>344</v>
      </c>
      <c r="C839">
        <v>25</v>
      </c>
      <c r="D839">
        <v>143</v>
      </c>
      <c r="E839">
        <v>4</v>
      </c>
      <c r="F839">
        <v>0</v>
      </c>
      <c r="G839">
        <v>8</v>
      </c>
      <c r="H839">
        <v>46</v>
      </c>
      <c r="I839">
        <v>4</v>
      </c>
      <c r="J839">
        <v>25</v>
      </c>
      <c r="K839">
        <v>15</v>
      </c>
      <c r="L839">
        <v>5551</v>
      </c>
      <c r="M839">
        <v>61</v>
      </c>
      <c r="N839">
        <v>1.098901098901099E-2</v>
      </c>
      <c r="O839">
        <v>28</v>
      </c>
      <c r="P839">
        <v>0.45901639344262296</v>
      </c>
      <c r="Q839">
        <v>5.0441361916771753E-3</v>
      </c>
      <c r="R839">
        <v>15</v>
      </c>
      <c r="S839">
        <v>0.24590163934426229</v>
      </c>
      <c r="T839">
        <v>2.7022158169699153E-3</v>
      </c>
      <c r="U839">
        <v>8</v>
      </c>
      <c r="V839">
        <v>0.13114754098360656</v>
      </c>
      <c r="W839">
        <v>1.4411817690506215E-3</v>
      </c>
      <c r="X839">
        <v>10</v>
      </c>
      <c r="Y839">
        <v>0.16393442622950818</v>
      </c>
      <c r="Z839">
        <v>1.8014772113132769E-3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">
      <c r="A840">
        <v>2775.149872685186</v>
      </c>
      <c r="B840">
        <v>3786</v>
      </c>
      <c r="C840">
        <v>35</v>
      </c>
      <c r="D840">
        <v>385</v>
      </c>
      <c r="E840">
        <v>92</v>
      </c>
      <c r="F840">
        <v>29</v>
      </c>
      <c r="G840">
        <v>206</v>
      </c>
      <c r="H840">
        <v>772</v>
      </c>
      <c r="I840">
        <v>1</v>
      </c>
      <c r="J840">
        <v>931</v>
      </c>
      <c r="K840">
        <v>23</v>
      </c>
      <c r="L840">
        <v>8796</v>
      </c>
      <c r="M840">
        <v>8</v>
      </c>
      <c r="N840">
        <v>9.0950432014552066E-4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8</v>
      </c>
      <c r="Y840">
        <v>1</v>
      </c>
      <c r="Z840">
        <v>9.0950432014552066E-4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">
      <c r="A841">
        <v>2802.4705555555556</v>
      </c>
      <c r="B841">
        <v>1410</v>
      </c>
      <c r="C841">
        <v>35</v>
      </c>
      <c r="D841">
        <v>120</v>
      </c>
      <c r="E841">
        <v>21</v>
      </c>
      <c r="F841">
        <v>13</v>
      </c>
      <c r="G841">
        <v>58</v>
      </c>
      <c r="H841">
        <v>159</v>
      </c>
      <c r="I841">
        <v>8</v>
      </c>
      <c r="J841">
        <v>255</v>
      </c>
      <c r="K841">
        <v>44</v>
      </c>
      <c r="L841">
        <v>2726</v>
      </c>
      <c r="M841">
        <v>2</v>
      </c>
      <c r="N841">
        <v>7.3367571533382249E-4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2</v>
      </c>
      <c r="V841">
        <v>1</v>
      </c>
      <c r="W841">
        <v>7.3367571533382249E-4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">
      <c r="A842">
        <v>1947.4630208333401</v>
      </c>
      <c r="B842">
        <v>3274</v>
      </c>
      <c r="C842">
        <v>71</v>
      </c>
      <c r="D842">
        <v>667</v>
      </c>
      <c r="E842">
        <v>12</v>
      </c>
      <c r="F842">
        <v>39</v>
      </c>
      <c r="G842">
        <v>325</v>
      </c>
      <c r="H842">
        <v>1003</v>
      </c>
      <c r="I842">
        <v>21</v>
      </c>
      <c r="J842">
        <v>3322</v>
      </c>
      <c r="K842">
        <v>680</v>
      </c>
      <c r="L842">
        <v>33715</v>
      </c>
      <c r="M842">
        <v>26</v>
      </c>
      <c r="N842">
        <v>7.7117010232834052E-4</v>
      </c>
      <c r="O842">
        <v>3</v>
      </c>
      <c r="P842">
        <v>0.11538461538461539</v>
      </c>
      <c r="Q842">
        <v>8.8981165653270053E-5</v>
      </c>
      <c r="R842">
        <v>10</v>
      </c>
      <c r="S842">
        <v>0.38461538461538464</v>
      </c>
      <c r="T842">
        <v>2.9660388551090017E-4</v>
      </c>
      <c r="U842">
        <v>12</v>
      </c>
      <c r="V842">
        <v>0.46153846153846156</v>
      </c>
      <c r="W842">
        <v>3.5592466261308021E-4</v>
      </c>
      <c r="X842">
        <v>1</v>
      </c>
      <c r="Y842">
        <v>3.8461538461538464E-2</v>
      </c>
      <c r="Z842">
        <v>2.9660388551090019E-5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">
      <c r="A843">
        <v>2794.361238425925</v>
      </c>
      <c r="B843">
        <v>7949</v>
      </c>
      <c r="C843">
        <v>206</v>
      </c>
      <c r="D843">
        <v>1996</v>
      </c>
      <c r="E843">
        <v>21</v>
      </c>
      <c r="F843">
        <v>120</v>
      </c>
      <c r="G843">
        <v>295</v>
      </c>
      <c r="H843">
        <v>2181</v>
      </c>
      <c r="I843">
        <v>28</v>
      </c>
      <c r="J843">
        <v>938</v>
      </c>
      <c r="K843">
        <v>105</v>
      </c>
      <c r="L843">
        <v>1361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">
      <c r="A844">
        <v>3424.1625925925982</v>
      </c>
      <c r="B844">
        <v>7882</v>
      </c>
      <c r="C844">
        <v>235</v>
      </c>
      <c r="D844">
        <v>1520</v>
      </c>
      <c r="E844">
        <v>27</v>
      </c>
      <c r="F844">
        <v>513</v>
      </c>
      <c r="G844">
        <v>349</v>
      </c>
      <c r="H844">
        <v>1616</v>
      </c>
      <c r="I844">
        <v>25</v>
      </c>
      <c r="J844">
        <v>4052</v>
      </c>
      <c r="K844">
        <v>344</v>
      </c>
      <c r="L844">
        <v>19241</v>
      </c>
      <c r="M844">
        <v>275</v>
      </c>
      <c r="N844">
        <v>1.4292396445091211E-2</v>
      </c>
      <c r="O844">
        <v>66</v>
      </c>
      <c r="P844">
        <v>0.24</v>
      </c>
      <c r="Q844">
        <v>3.4301751468218907E-3</v>
      </c>
      <c r="R844">
        <v>109</v>
      </c>
      <c r="S844">
        <v>0.39636363636363636</v>
      </c>
      <c r="T844">
        <v>5.664986227327062E-3</v>
      </c>
      <c r="U844">
        <v>63</v>
      </c>
      <c r="V844">
        <v>0.2290909090909091</v>
      </c>
      <c r="W844">
        <v>3.2742580946936231E-3</v>
      </c>
      <c r="X844">
        <v>37</v>
      </c>
      <c r="Y844">
        <v>0.13454545454545455</v>
      </c>
      <c r="Z844">
        <v>1.9229769762486358E-3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">
      <c r="A845">
        <v>1387.8469328703723</v>
      </c>
      <c r="B845">
        <v>766</v>
      </c>
      <c r="C845">
        <v>42</v>
      </c>
      <c r="D845">
        <v>204</v>
      </c>
      <c r="E845">
        <v>0</v>
      </c>
      <c r="F845">
        <v>36</v>
      </c>
      <c r="G845">
        <v>13</v>
      </c>
      <c r="H845">
        <v>35</v>
      </c>
      <c r="I845">
        <v>5</v>
      </c>
      <c r="J845">
        <v>229</v>
      </c>
      <c r="K845">
        <v>69</v>
      </c>
      <c r="L845">
        <v>8543</v>
      </c>
      <c r="M845">
        <v>29</v>
      </c>
      <c r="N845">
        <v>3.3945920636778647E-3</v>
      </c>
      <c r="O845">
        <v>1</v>
      </c>
      <c r="P845">
        <v>3.4482758620689655E-2</v>
      </c>
      <c r="Q845">
        <v>1.1705489874751258E-4</v>
      </c>
      <c r="R845">
        <v>7</v>
      </c>
      <c r="S845">
        <v>0.2413793103448276</v>
      </c>
      <c r="T845">
        <v>8.1938429123258811E-4</v>
      </c>
      <c r="U845">
        <v>16</v>
      </c>
      <c r="V845">
        <v>0.55172413793103448</v>
      </c>
      <c r="W845">
        <v>1.8728783799602012E-3</v>
      </c>
      <c r="X845">
        <v>5</v>
      </c>
      <c r="Y845">
        <v>0.17241379310344829</v>
      </c>
      <c r="Z845">
        <v>5.8527449373756287E-4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">
      <c r="A846">
        <v>2979.2524421296257</v>
      </c>
      <c r="B846">
        <v>2153</v>
      </c>
      <c r="C846">
        <v>138</v>
      </c>
      <c r="D846">
        <v>593</v>
      </c>
      <c r="E846">
        <v>17</v>
      </c>
      <c r="F846">
        <v>214</v>
      </c>
      <c r="G846">
        <v>150</v>
      </c>
      <c r="H846">
        <v>1151</v>
      </c>
      <c r="I846">
        <v>25</v>
      </c>
      <c r="J846">
        <v>2758</v>
      </c>
      <c r="K846">
        <v>133</v>
      </c>
      <c r="L846">
        <v>30836</v>
      </c>
      <c r="M846">
        <v>239</v>
      </c>
      <c r="N846">
        <v>7.7506810221818654E-3</v>
      </c>
      <c r="O846">
        <v>45</v>
      </c>
      <c r="P846">
        <v>0.18828451882845187</v>
      </c>
      <c r="Q846">
        <v>1.4593332468543262E-3</v>
      </c>
      <c r="R846">
        <v>34</v>
      </c>
      <c r="S846">
        <v>0.14225941422594143</v>
      </c>
      <c r="T846">
        <v>1.1026073420677132E-3</v>
      </c>
      <c r="U846">
        <v>31</v>
      </c>
      <c r="V846">
        <v>0.1297071129707113</v>
      </c>
      <c r="W846">
        <v>1.0053184589440913E-3</v>
      </c>
      <c r="X846">
        <v>122</v>
      </c>
      <c r="Y846">
        <v>0.5104602510460251</v>
      </c>
      <c r="Z846">
        <v>3.9564145803606173E-3</v>
      </c>
      <c r="AA846">
        <v>2</v>
      </c>
      <c r="AB846">
        <v>8.368200836820083E-3</v>
      </c>
      <c r="AC846">
        <v>6.4859255415747821E-5</v>
      </c>
      <c r="AD846">
        <v>5</v>
      </c>
      <c r="AE846">
        <v>2.0920502092050208E-2</v>
      </c>
      <c r="AF846">
        <v>1.6214813853936957E-4</v>
      </c>
    </row>
    <row r="847" spans="1:32" x14ac:dyDescent="0.2">
      <c r="A847">
        <v>4356.4791550925947</v>
      </c>
      <c r="B847">
        <v>5674</v>
      </c>
      <c r="C847">
        <v>251</v>
      </c>
      <c r="D847">
        <v>1302</v>
      </c>
      <c r="E847">
        <v>26</v>
      </c>
      <c r="F847">
        <v>203</v>
      </c>
      <c r="G847">
        <v>279</v>
      </c>
      <c r="H847">
        <v>2413</v>
      </c>
      <c r="I847">
        <v>23</v>
      </c>
      <c r="J847">
        <v>2203</v>
      </c>
      <c r="K847">
        <v>170</v>
      </c>
      <c r="L847">
        <v>27287</v>
      </c>
      <c r="M847">
        <v>86</v>
      </c>
      <c r="N847">
        <v>3.1516839520650858E-3</v>
      </c>
      <c r="O847">
        <v>8</v>
      </c>
      <c r="P847">
        <v>9.3023255813953487E-2</v>
      </c>
      <c r="Q847">
        <v>2.9317990251768241E-4</v>
      </c>
      <c r="R847">
        <v>26</v>
      </c>
      <c r="S847">
        <v>0.30232558139534882</v>
      </c>
      <c r="T847">
        <v>9.528346831824678E-4</v>
      </c>
      <c r="U847">
        <v>50</v>
      </c>
      <c r="V847">
        <v>0.58139534883720934</v>
      </c>
      <c r="W847">
        <v>1.832374390735515E-3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</v>
      </c>
      <c r="AE847">
        <v>2.3255813953488372E-2</v>
      </c>
      <c r="AF847">
        <v>7.3294975629420602E-5</v>
      </c>
    </row>
    <row r="848" spans="1:32" x14ac:dyDescent="0.2">
      <c r="A848">
        <v>1871.0313078703693</v>
      </c>
      <c r="B848">
        <v>1277</v>
      </c>
      <c r="C848">
        <v>61</v>
      </c>
      <c r="D848">
        <v>209</v>
      </c>
      <c r="E848">
        <v>83</v>
      </c>
      <c r="F848">
        <v>457</v>
      </c>
      <c r="G848">
        <v>274</v>
      </c>
      <c r="H848">
        <v>4744</v>
      </c>
      <c r="I848">
        <v>30</v>
      </c>
      <c r="J848">
        <v>4472</v>
      </c>
      <c r="K848">
        <v>133</v>
      </c>
      <c r="L848">
        <v>241671</v>
      </c>
      <c r="M848">
        <v>3326</v>
      </c>
      <c r="N848">
        <v>1.3762511844615201E-2</v>
      </c>
      <c r="O848">
        <v>1616</v>
      </c>
      <c r="P848">
        <v>0.48586891160553219</v>
      </c>
      <c r="Q848">
        <v>6.6867766509014319E-3</v>
      </c>
      <c r="R848">
        <v>599</v>
      </c>
      <c r="S848">
        <v>0.18009621166566447</v>
      </c>
      <c r="T848">
        <v>2.4785762462190331E-3</v>
      </c>
      <c r="U848">
        <v>708</v>
      </c>
      <c r="V848">
        <v>0.21286831028262176</v>
      </c>
      <c r="W848">
        <v>2.9296026416078058E-3</v>
      </c>
      <c r="X848">
        <v>294</v>
      </c>
      <c r="Y848">
        <v>8.8394467829224291E-2</v>
      </c>
      <c r="Z848">
        <v>1.2165299104981565E-3</v>
      </c>
      <c r="AA848">
        <v>1</v>
      </c>
      <c r="AB848">
        <v>3.0066145520144319E-4</v>
      </c>
      <c r="AC848">
        <v>4.1378568384291036E-6</v>
      </c>
      <c r="AD848">
        <v>108</v>
      </c>
      <c r="AE848">
        <v>3.2471437161755864E-2</v>
      </c>
      <c r="AF848">
        <v>4.4688853855034326E-4</v>
      </c>
    </row>
    <row r="849" spans="1:32" x14ac:dyDescent="0.2">
      <c r="A849">
        <v>2768.4856597222242</v>
      </c>
      <c r="B849">
        <v>566</v>
      </c>
      <c r="C849">
        <v>47</v>
      </c>
      <c r="D849">
        <v>246</v>
      </c>
      <c r="E849">
        <v>17</v>
      </c>
      <c r="F849">
        <v>8</v>
      </c>
      <c r="G849">
        <v>24</v>
      </c>
      <c r="H849">
        <v>245</v>
      </c>
      <c r="I849">
        <v>25</v>
      </c>
      <c r="J849">
        <v>457</v>
      </c>
      <c r="K849">
        <v>106</v>
      </c>
      <c r="L849">
        <v>2498</v>
      </c>
      <c r="M849">
        <v>6</v>
      </c>
      <c r="N849">
        <v>2.4019215372297837E-3</v>
      </c>
      <c r="O849">
        <v>5</v>
      </c>
      <c r="P849">
        <v>0.83333333333333337</v>
      </c>
      <c r="Q849">
        <v>2.0016012810248197E-3</v>
      </c>
      <c r="R849">
        <v>1</v>
      </c>
      <c r="S849">
        <v>0.16666666666666666</v>
      </c>
      <c r="T849">
        <v>4.0032025620496394E-4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">
      <c r="A850">
        <v>933.73107638888905</v>
      </c>
      <c r="B850">
        <v>1412</v>
      </c>
      <c r="C850">
        <v>24</v>
      </c>
      <c r="D850">
        <v>148</v>
      </c>
      <c r="E850">
        <v>33</v>
      </c>
      <c r="F850">
        <v>2</v>
      </c>
      <c r="G850">
        <v>13</v>
      </c>
      <c r="H850">
        <v>211</v>
      </c>
      <c r="I850">
        <v>7</v>
      </c>
      <c r="J850">
        <v>0</v>
      </c>
      <c r="K850">
        <v>0</v>
      </c>
      <c r="L850">
        <v>728</v>
      </c>
      <c r="M850">
        <v>55</v>
      </c>
      <c r="N850">
        <v>7.5549450549450545E-2</v>
      </c>
      <c r="O850">
        <v>19</v>
      </c>
      <c r="P850">
        <v>0.34545454545454546</v>
      </c>
      <c r="Q850">
        <v>2.60989010989011E-2</v>
      </c>
      <c r="R850">
        <v>8</v>
      </c>
      <c r="S850">
        <v>0.14545454545454545</v>
      </c>
      <c r="T850">
        <v>1.098901098901099E-2</v>
      </c>
      <c r="U850">
        <v>3</v>
      </c>
      <c r="V850">
        <v>5.4545454545454543E-2</v>
      </c>
      <c r="W850">
        <v>4.120879120879121E-3</v>
      </c>
      <c r="X850">
        <v>21</v>
      </c>
      <c r="Y850">
        <v>0.38181818181818183</v>
      </c>
      <c r="Z850">
        <v>2.8846153846153848E-2</v>
      </c>
      <c r="AA850">
        <v>4</v>
      </c>
      <c r="AB850">
        <v>7.2727272727272724E-2</v>
      </c>
      <c r="AC850">
        <v>5.4945054945054949E-3</v>
      </c>
      <c r="AD850">
        <v>0</v>
      </c>
      <c r="AE850">
        <v>0</v>
      </c>
      <c r="AF850">
        <v>0</v>
      </c>
    </row>
    <row r="851" spans="1:32" x14ac:dyDescent="0.2">
      <c r="A851">
        <v>2930.9815509259206</v>
      </c>
      <c r="B851">
        <v>2628</v>
      </c>
      <c r="C851">
        <v>104</v>
      </c>
      <c r="D851">
        <v>678</v>
      </c>
      <c r="E851">
        <v>0</v>
      </c>
      <c r="F851">
        <v>36</v>
      </c>
      <c r="G851">
        <v>330</v>
      </c>
      <c r="H851">
        <v>6913</v>
      </c>
      <c r="I851">
        <v>71</v>
      </c>
      <c r="J851">
        <v>2290</v>
      </c>
      <c r="K851">
        <v>310</v>
      </c>
      <c r="L851">
        <v>28413</v>
      </c>
      <c r="M851">
        <v>27</v>
      </c>
      <c r="N851">
        <v>9.5026924295216978E-4</v>
      </c>
      <c r="O851">
        <v>2</v>
      </c>
      <c r="P851">
        <v>7.407407407407407E-2</v>
      </c>
      <c r="Q851">
        <v>7.0390314292753317E-5</v>
      </c>
      <c r="R851">
        <v>11</v>
      </c>
      <c r="S851">
        <v>0.40740740740740738</v>
      </c>
      <c r="T851">
        <v>3.8714672861014324E-4</v>
      </c>
      <c r="U851">
        <v>8</v>
      </c>
      <c r="V851">
        <v>0.29629629629629628</v>
      </c>
      <c r="W851">
        <v>2.8156125717101327E-4</v>
      </c>
      <c r="X851">
        <v>6</v>
      </c>
      <c r="Y851">
        <v>0.22222222222222221</v>
      </c>
      <c r="Z851">
        <v>2.1117094287825995E-4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">
      <c r="A852">
        <v>3538.8149884259255</v>
      </c>
      <c r="B852">
        <v>1139</v>
      </c>
      <c r="C852">
        <v>31</v>
      </c>
      <c r="D852">
        <v>205</v>
      </c>
      <c r="E852">
        <v>19</v>
      </c>
      <c r="F852">
        <v>0</v>
      </c>
      <c r="G852">
        <v>60</v>
      </c>
      <c r="H852">
        <v>182</v>
      </c>
      <c r="I852">
        <v>10</v>
      </c>
      <c r="J852">
        <v>202</v>
      </c>
      <c r="K852">
        <v>49</v>
      </c>
      <c r="L852">
        <v>5528</v>
      </c>
      <c r="M852">
        <v>17</v>
      </c>
      <c r="N852">
        <v>3.0752532561505066E-3</v>
      </c>
      <c r="O852">
        <v>5</v>
      </c>
      <c r="P852">
        <v>0.29411764705882354</v>
      </c>
      <c r="Q852">
        <v>9.0448625180897246E-4</v>
      </c>
      <c r="R852">
        <v>5</v>
      </c>
      <c r="S852">
        <v>0.29411764705882354</v>
      </c>
      <c r="T852">
        <v>9.0448625180897246E-4</v>
      </c>
      <c r="U852">
        <v>6</v>
      </c>
      <c r="V852">
        <v>0.35294117647058826</v>
      </c>
      <c r="W852">
        <v>1.0853835021707671E-3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5.8823529411764705E-2</v>
      </c>
      <c r="AF852">
        <v>1.8089725036179449E-4</v>
      </c>
    </row>
    <row r="853" spans="1:32" x14ac:dyDescent="0.2">
      <c r="A853">
        <v>1392.9454745370385</v>
      </c>
      <c r="B853">
        <v>6846</v>
      </c>
      <c r="C853">
        <v>208</v>
      </c>
      <c r="D853">
        <v>805</v>
      </c>
      <c r="E853">
        <v>25</v>
      </c>
      <c r="F853">
        <v>2</v>
      </c>
      <c r="G853">
        <v>104</v>
      </c>
      <c r="H853">
        <v>1984</v>
      </c>
      <c r="I853">
        <v>14</v>
      </c>
      <c r="J853">
        <v>815</v>
      </c>
      <c r="K853">
        <v>126</v>
      </c>
      <c r="L853">
        <v>57823</v>
      </c>
      <c r="M853">
        <v>358</v>
      </c>
      <c r="N853">
        <v>6.191307957041316E-3</v>
      </c>
      <c r="O853">
        <v>102</v>
      </c>
      <c r="P853">
        <v>0.28491620111731841</v>
      </c>
      <c r="Q853">
        <v>1.7640039430676375E-3</v>
      </c>
      <c r="R853">
        <v>187</v>
      </c>
      <c r="S853">
        <v>0.52234636871508378</v>
      </c>
      <c r="T853">
        <v>3.2340072289573354E-3</v>
      </c>
      <c r="U853">
        <v>68</v>
      </c>
      <c r="V853">
        <v>0.18994413407821228</v>
      </c>
      <c r="W853">
        <v>1.1760026287117582E-3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2.7932960893854749E-3</v>
      </c>
      <c r="AF853">
        <v>1.729415630458468E-5</v>
      </c>
    </row>
    <row r="854" spans="1:32" x14ac:dyDescent="0.2">
      <c r="A854">
        <v>2215.3825115740765</v>
      </c>
      <c r="B854">
        <v>1875</v>
      </c>
      <c r="C854">
        <v>88</v>
      </c>
      <c r="D854">
        <v>265</v>
      </c>
      <c r="E854">
        <v>2</v>
      </c>
      <c r="F854">
        <v>11</v>
      </c>
      <c r="G854">
        <v>94</v>
      </c>
      <c r="H854">
        <v>318</v>
      </c>
      <c r="I854">
        <v>16</v>
      </c>
      <c r="J854">
        <v>291</v>
      </c>
      <c r="K854">
        <v>96</v>
      </c>
      <c r="L854">
        <v>3546</v>
      </c>
      <c r="M854">
        <v>4</v>
      </c>
      <c r="N854">
        <v>1.1280315848843769E-3</v>
      </c>
      <c r="O854">
        <v>1</v>
      </c>
      <c r="P854">
        <v>0.25</v>
      </c>
      <c r="Q854">
        <v>2.8200789622109422E-4</v>
      </c>
      <c r="R854">
        <v>1</v>
      </c>
      <c r="S854">
        <v>0.25</v>
      </c>
      <c r="T854">
        <v>2.8200789622109422E-4</v>
      </c>
      <c r="U854">
        <v>2</v>
      </c>
      <c r="V854">
        <v>0.5</v>
      </c>
      <c r="W854">
        <v>5.6401579244218843E-4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">
      <c r="A855">
        <v>1160.1140162037045</v>
      </c>
      <c r="B855">
        <v>488</v>
      </c>
      <c r="C855">
        <v>52</v>
      </c>
      <c r="D855">
        <v>262</v>
      </c>
      <c r="E855">
        <v>0</v>
      </c>
      <c r="F855">
        <v>13</v>
      </c>
      <c r="G855">
        <v>89</v>
      </c>
      <c r="H855">
        <v>781</v>
      </c>
      <c r="I855">
        <v>19</v>
      </c>
      <c r="J855">
        <v>698</v>
      </c>
      <c r="K855">
        <v>113</v>
      </c>
      <c r="L855">
        <v>15374</v>
      </c>
      <c r="M855">
        <v>282</v>
      </c>
      <c r="N855">
        <v>1.8342656432938729E-2</v>
      </c>
      <c r="O855">
        <v>103</v>
      </c>
      <c r="P855">
        <v>0.36524822695035464</v>
      </c>
      <c r="Q855">
        <v>6.6996227396903868E-3</v>
      </c>
      <c r="R855">
        <v>92</v>
      </c>
      <c r="S855">
        <v>0.32624113475177308</v>
      </c>
      <c r="T855">
        <v>5.9841290490438405E-3</v>
      </c>
      <c r="U855">
        <v>27</v>
      </c>
      <c r="V855">
        <v>9.5744680851063829E-2</v>
      </c>
      <c r="W855">
        <v>1.7562117861324314E-3</v>
      </c>
      <c r="X855">
        <v>24</v>
      </c>
      <c r="Y855">
        <v>8.5106382978723402E-2</v>
      </c>
      <c r="Z855">
        <v>1.5610771432288278E-3</v>
      </c>
      <c r="AA855">
        <v>2</v>
      </c>
      <c r="AB855">
        <v>7.0921985815602835E-3</v>
      </c>
      <c r="AC855">
        <v>1.3008976193573565E-4</v>
      </c>
      <c r="AD855">
        <v>34</v>
      </c>
      <c r="AE855">
        <v>0.12056737588652482</v>
      </c>
      <c r="AF855">
        <v>2.2115259529075061E-3</v>
      </c>
    </row>
    <row r="856" spans="1:32" x14ac:dyDescent="0.2">
      <c r="A856">
        <v>1154.7123032407399</v>
      </c>
      <c r="B856">
        <v>580</v>
      </c>
      <c r="C856">
        <v>33</v>
      </c>
      <c r="D856">
        <v>83</v>
      </c>
      <c r="E856">
        <v>0</v>
      </c>
      <c r="F856">
        <v>5</v>
      </c>
      <c r="G856">
        <v>43</v>
      </c>
      <c r="H856">
        <v>278</v>
      </c>
      <c r="I856">
        <v>9</v>
      </c>
      <c r="J856">
        <v>173</v>
      </c>
      <c r="K856">
        <v>26</v>
      </c>
      <c r="L856">
        <v>5362</v>
      </c>
      <c r="M856">
        <v>5</v>
      </c>
      <c r="N856">
        <v>9.3248787765759045E-4</v>
      </c>
      <c r="O856">
        <v>0</v>
      </c>
      <c r="P856">
        <v>0</v>
      </c>
      <c r="Q856">
        <v>0</v>
      </c>
      <c r="R856">
        <v>1</v>
      </c>
      <c r="S856">
        <v>0.2</v>
      </c>
      <c r="T856">
        <v>1.864975755315181E-4</v>
      </c>
      <c r="U856">
        <v>0</v>
      </c>
      <c r="V856">
        <v>0</v>
      </c>
      <c r="W856">
        <v>0</v>
      </c>
      <c r="X856">
        <v>4</v>
      </c>
      <c r="Y856">
        <v>0.8</v>
      </c>
      <c r="Z856">
        <v>7.459903021260724E-4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">
      <c r="A857">
        <v>1657.2542592592581</v>
      </c>
      <c r="B857">
        <v>1484</v>
      </c>
      <c r="C857">
        <v>36</v>
      </c>
      <c r="D857">
        <v>268</v>
      </c>
      <c r="E857">
        <v>0</v>
      </c>
      <c r="F857">
        <v>6</v>
      </c>
      <c r="G857">
        <v>278</v>
      </c>
      <c r="H857">
        <v>78</v>
      </c>
      <c r="I857">
        <v>3</v>
      </c>
      <c r="J857">
        <v>228</v>
      </c>
      <c r="K857">
        <v>110</v>
      </c>
      <c r="L857">
        <v>1203</v>
      </c>
      <c r="M857">
        <v>4</v>
      </c>
      <c r="N857">
        <v>3.3250207813798837E-3</v>
      </c>
      <c r="O857">
        <v>0</v>
      </c>
      <c r="P857">
        <v>0</v>
      </c>
      <c r="Q857">
        <v>0</v>
      </c>
      <c r="R857">
        <v>1</v>
      </c>
      <c r="S857">
        <v>0.25</v>
      </c>
      <c r="T857">
        <v>8.3125519534497092E-4</v>
      </c>
      <c r="U857">
        <v>1</v>
      </c>
      <c r="V857">
        <v>0.25</v>
      </c>
      <c r="W857">
        <v>8.3125519534497092E-4</v>
      </c>
      <c r="X857">
        <v>2</v>
      </c>
      <c r="Y857">
        <v>0.5</v>
      </c>
      <c r="Z857">
        <v>1.6625103906899418E-3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">
      <c r="A858">
        <v>1677.2349189814777</v>
      </c>
      <c r="B858">
        <v>626</v>
      </c>
      <c r="C858">
        <v>26</v>
      </c>
      <c r="D858">
        <v>403</v>
      </c>
      <c r="E858">
        <v>5</v>
      </c>
      <c r="F858">
        <v>8</v>
      </c>
      <c r="G858">
        <v>389</v>
      </c>
      <c r="H858">
        <v>267</v>
      </c>
      <c r="I858">
        <v>11</v>
      </c>
      <c r="J858">
        <v>315</v>
      </c>
      <c r="K858">
        <v>7</v>
      </c>
      <c r="L858">
        <v>11152</v>
      </c>
      <c r="M858">
        <v>1</v>
      </c>
      <c r="N858">
        <v>8.96700143472023E-5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1</v>
      </c>
      <c r="W858">
        <v>8.96700143472023E-5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">
      <c r="A859">
        <v>1463.8153587962952</v>
      </c>
      <c r="B859">
        <v>930</v>
      </c>
      <c r="C859">
        <v>29</v>
      </c>
      <c r="D859">
        <v>116</v>
      </c>
      <c r="E859">
        <v>0</v>
      </c>
      <c r="F859">
        <v>10</v>
      </c>
      <c r="G859">
        <v>33</v>
      </c>
      <c r="H859">
        <v>196</v>
      </c>
      <c r="I859">
        <v>4</v>
      </c>
      <c r="J859">
        <v>217</v>
      </c>
      <c r="K859">
        <v>86</v>
      </c>
      <c r="L859">
        <v>6254</v>
      </c>
      <c r="M859">
        <v>4</v>
      </c>
      <c r="N859">
        <v>6.3959066197633518E-4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0.25</v>
      </c>
      <c r="W859">
        <v>1.5989766549408379E-4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3</v>
      </c>
      <c r="AE859">
        <v>0.75</v>
      </c>
      <c r="AF859">
        <v>4.7969299648225136E-4</v>
      </c>
    </row>
    <row r="860" spans="1:32" x14ac:dyDescent="0.2">
      <c r="A860">
        <v>1369.4483680555568</v>
      </c>
      <c r="B860">
        <v>2357</v>
      </c>
      <c r="C860">
        <v>81</v>
      </c>
      <c r="D860">
        <v>960</v>
      </c>
      <c r="E860">
        <v>0</v>
      </c>
      <c r="F860">
        <v>1</v>
      </c>
      <c r="G860">
        <v>14</v>
      </c>
      <c r="H860">
        <v>33</v>
      </c>
      <c r="I860">
        <v>4</v>
      </c>
      <c r="J860">
        <v>83</v>
      </c>
      <c r="K860">
        <v>12</v>
      </c>
      <c r="L860">
        <v>866</v>
      </c>
      <c r="M860">
        <v>34</v>
      </c>
      <c r="N860">
        <v>3.9260969976905313E-2</v>
      </c>
      <c r="O860">
        <v>8</v>
      </c>
      <c r="P860">
        <v>0.23529411764705882</v>
      </c>
      <c r="Q860">
        <v>9.2378752886836026E-3</v>
      </c>
      <c r="R860">
        <v>26</v>
      </c>
      <c r="S860">
        <v>0.76470588235294112</v>
      </c>
      <c r="T860">
        <v>3.0023094688221709E-2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">
      <c r="A861">
        <v>1361.4199074074131</v>
      </c>
      <c r="B861">
        <v>4149</v>
      </c>
      <c r="C861">
        <v>250</v>
      </c>
      <c r="D861">
        <v>1255</v>
      </c>
      <c r="E861">
        <v>2</v>
      </c>
      <c r="F861">
        <v>0</v>
      </c>
      <c r="G861">
        <v>5</v>
      </c>
      <c r="H861">
        <v>9</v>
      </c>
      <c r="I861">
        <v>2</v>
      </c>
      <c r="J861">
        <v>48</v>
      </c>
      <c r="K861">
        <v>29</v>
      </c>
      <c r="L861">
        <v>1545</v>
      </c>
      <c r="M861">
        <v>33</v>
      </c>
      <c r="N861">
        <v>2.1359223300970873E-2</v>
      </c>
      <c r="O861">
        <v>0</v>
      </c>
      <c r="P861">
        <v>0</v>
      </c>
      <c r="Q861">
        <v>0</v>
      </c>
      <c r="R861">
        <v>33</v>
      </c>
      <c r="S861">
        <v>1</v>
      </c>
      <c r="T861">
        <v>2.1359223300970873E-2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">
      <c r="A862">
        <v>1434.8503703703755</v>
      </c>
      <c r="B862">
        <v>1286</v>
      </c>
      <c r="C862">
        <v>53</v>
      </c>
      <c r="D862">
        <v>291</v>
      </c>
      <c r="E862">
        <v>12</v>
      </c>
      <c r="F862">
        <v>13</v>
      </c>
      <c r="G862">
        <v>118</v>
      </c>
      <c r="H862">
        <v>1024</v>
      </c>
      <c r="I862">
        <v>33</v>
      </c>
      <c r="J862">
        <v>416</v>
      </c>
      <c r="K862">
        <v>112</v>
      </c>
      <c r="L862">
        <v>10476</v>
      </c>
      <c r="M862">
        <v>61</v>
      </c>
      <c r="N862">
        <v>5.8228331424207717E-3</v>
      </c>
      <c r="O862">
        <v>0</v>
      </c>
      <c r="P862">
        <v>0</v>
      </c>
      <c r="Q862">
        <v>0</v>
      </c>
      <c r="R862">
        <v>51</v>
      </c>
      <c r="S862">
        <v>0.83606557377049184</v>
      </c>
      <c r="T862">
        <v>4.868270332187858E-3</v>
      </c>
      <c r="U862">
        <v>10</v>
      </c>
      <c r="V862">
        <v>0.16393442622950818</v>
      </c>
      <c r="W862">
        <v>9.5456281023291337E-4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">
      <c r="A863">
        <v>554.90428240741312</v>
      </c>
      <c r="B863">
        <v>632</v>
      </c>
      <c r="C863">
        <v>34</v>
      </c>
      <c r="D863">
        <v>70</v>
      </c>
      <c r="E863">
        <v>8</v>
      </c>
      <c r="F863">
        <v>0</v>
      </c>
      <c r="G863">
        <v>31</v>
      </c>
      <c r="H863">
        <v>98</v>
      </c>
      <c r="I863">
        <v>1</v>
      </c>
      <c r="J863">
        <v>48</v>
      </c>
      <c r="K863">
        <v>7</v>
      </c>
      <c r="L863">
        <v>3996</v>
      </c>
      <c r="M863">
        <v>42</v>
      </c>
      <c r="N863">
        <v>1.0510510510510511E-2</v>
      </c>
      <c r="O863">
        <v>2</v>
      </c>
      <c r="P863">
        <v>4.7619047619047616E-2</v>
      </c>
      <c r="Q863">
        <v>5.005005005005005E-4</v>
      </c>
      <c r="R863">
        <v>38</v>
      </c>
      <c r="S863">
        <v>0.90476190476190477</v>
      </c>
      <c r="T863">
        <v>9.5095095095095103E-3</v>
      </c>
      <c r="U863">
        <v>2</v>
      </c>
      <c r="V863">
        <v>4.7619047619047616E-2</v>
      </c>
      <c r="W863">
        <v>5.005005005005005E-4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">
      <c r="A864">
        <v>1578.3342592592599</v>
      </c>
      <c r="B864">
        <v>2715</v>
      </c>
      <c r="C864">
        <v>210</v>
      </c>
      <c r="D864">
        <v>599</v>
      </c>
      <c r="E864">
        <v>13</v>
      </c>
      <c r="F864">
        <v>4</v>
      </c>
      <c r="G864">
        <v>104</v>
      </c>
      <c r="H864">
        <v>730</v>
      </c>
      <c r="I864">
        <v>73</v>
      </c>
      <c r="J864">
        <v>547</v>
      </c>
      <c r="K864">
        <v>224</v>
      </c>
      <c r="L864">
        <v>9402</v>
      </c>
      <c r="M864">
        <v>63</v>
      </c>
      <c r="N864">
        <v>6.7007019783024892E-3</v>
      </c>
      <c r="O864">
        <v>0</v>
      </c>
      <c r="P864">
        <v>0</v>
      </c>
      <c r="Q864">
        <v>0</v>
      </c>
      <c r="R864">
        <v>59</v>
      </c>
      <c r="S864">
        <v>0.93650793650793651</v>
      </c>
      <c r="T864">
        <v>6.2752605828547119E-3</v>
      </c>
      <c r="U864">
        <v>4</v>
      </c>
      <c r="V864">
        <v>6.3492063492063489E-2</v>
      </c>
      <c r="W864">
        <v>4.2544139544777704E-4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">
      <c r="A865">
        <v>1076.592280092591</v>
      </c>
      <c r="B865">
        <v>685</v>
      </c>
      <c r="C865">
        <v>43</v>
      </c>
      <c r="D865">
        <v>162</v>
      </c>
      <c r="E865">
        <v>0</v>
      </c>
      <c r="F865">
        <v>2</v>
      </c>
      <c r="G865">
        <v>54</v>
      </c>
      <c r="H865">
        <v>666</v>
      </c>
      <c r="I865">
        <v>16</v>
      </c>
      <c r="J865">
        <v>38</v>
      </c>
      <c r="K865">
        <v>11</v>
      </c>
      <c r="L865">
        <v>11692</v>
      </c>
      <c r="M865">
        <v>3</v>
      </c>
      <c r="N865">
        <v>2.565856996236743E-4</v>
      </c>
      <c r="O865">
        <v>0</v>
      </c>
      <c r="P865">
        <v>0</v>
      </c>
      <c r="Q865">
        <v>0</v>
      </c>
      <c r="R865">
        <v>2</v>
      </c>
      <c r="S865">
        <v>0.66666666666666663</v>
      </c>
      <c r="T865">
        <v>1.7105713308244953E-4</v>
      </c>
      <c r="U865">
        <v>1</v>
      </c>
      <c r="V865">
        <v>0.33333333333333331</v>
      </c>
      <c r="W865">
        <v>8.5528566541224766E-5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">
      <c r="A866">
        <v>740.10662037036673</v>
      </c>
      <c r="B866">
        <v>12898</v>
      </c>
      <c r="C866">
        <v>212</v>
      </c>
      <c r="D866">
        <v>1483</v>
      </c>
      <c r="E866">
        <v>50</v>
      </c>
      <c r="F866">
        <v>34</v>
      </c>
      <c r="G866">
        <v>432</v>
      </c>
      <c r="H866">
        <v>3384</v>
      </c>
      <c r="I866">
        <v>61</v>
      </c>
      <c r="J866">
        <v>3102</v>
      </c>
      <c r="K866">
        <v>252</v>
      </c>
      <c r="L866">
        <v>33017</v>
      </c>
      <c r="M866">
        <v>69</v>
      </c>
      <c r="N866">
        <v>2.0898325105248813E-3</v>
      </c>
      <c r="O866">
        <v>8</v>
      </c>
      <c r="P866">
        <v>0.11594202898550725</v>
      </c>
      <c r="Q866">
        <v>2.4229942151013115E-4</v>
      </c>
      <c r="R866">
        <v>41</v>
      </c>
      <c r="S866">
        <v>0.59420289855072461</v>
      </c>
      <c r="T866">
        <v>1.2417845352394221E-3</v>
      </c>
      <c r="U866">
        <v>19</v>
      </c>
      <c r="V866">
        <v>0.27536231884057971</v>
      </c>
      <c r="W866">
        <v>5.7546112608656142E-4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1.4492753623188406E-2</v>
      </c>
      <c r="AF866">
        <v>3.0287427688766394E-5</v>
      </c>
    </row>
    <row r="867" spans="1:32" x14ac:dyDescent="0.2">
      <c r="A867">
        <v>1407.8565972222204</v>
      </c>
      <c r="B867">
        <v>761</v>
      </c>
      <c r="C867">
        <v>29</v>
      </c>
      <c r="D867">
        <v>147</v>
      </c>
      <c r="E867">
        <v>33</v>
      </c>
      <c r="F867">
        <v>32</v>
      </c>
      <c r="G867">
        <v>56</v>
      </c>
      <c r="H867">
        <v>782</v>
      </c>
      <c r="I867">
        <v>6</v>
      </c>
      <c r="J867">
        <v>428</v>
      </c>
      <c r="K867">
        <v>128</v>
      </c>
      <c r="L867">
        <v>22273</v>
      </c>
      <c r="M867">
        <v>31</v>
      </c>
      <c r="N867">
        <v>1.3918196920037714E-3</v>
      </c>
      <c r="O867">
        <v>10</v>
      </c>
      <c r="P867">
        <v>0.32258064516129031</v>
      </c>
      <c r="Q867">
        <v>4.4897409419476499E-4</v>
      </c>
      <c r="R867">
        <v>0</v>
      </c>
      <c r="S867">
        <v>0</v>
      </c>
      <c r="T867">
        <v>0</v>
      </c>
      <c r="U867">
        <v>20</v>
      </c>
      <c r="V867">
        <v>0.64516129032258063</v>
      </c>
      <c r="W867">
        <v>8.9794818838952997E-4</v>
      </c>
      <c r="X867">
        <v>1</v>
      </c>
      <c r="Y867">
        <v>3.2258064516129031E-2</v>
      </c>
      <c r="Z867">
        <v>4.4897409419476499E-5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">
      <c r="A868">
        <v>595.0080092592616</v>
      </c>
      <c r="B868">
        <v>2236</v>
      </c>
      <c r="C868">
        <v>81</v>
      </c>
      <c r="D868">
        <v>337</v>
      </c>
      <c r="E868">
        <v>14</v>
      </c>
      <c r="F868">
        <v>12</v>
      </c>
      <c r="G868">
        <v>74</v>
      </c>
      <c r="H868">
        <v>519</v>
      </c>
      <c r="I868">
        <v>13</v>
      </c>
      <c r="J868">
        <v>244</v>
      </c>
      <c r="K868">
        <v>44</v>
      </c>
      <c r="L868">
        <v>34124</v>
      </c>
      <c r="M868">
        <v>713</v>
      </c>
      <c r="N868">
        <v>2.0894385183448598E-2</v>
      </c>
      <c r="O868">
        <v>402</v>
      </c>
      <c r="P868">
        <v>0.56381486676016834</v>
      </c>
      <c r="Q868">
        <v>1.1780564998241707E-2</v>
      </c>
      <c r="R868">
        <v>219</v>
      </c>
      <c r="S868">
        <v>0.30715287517531559</v>
      </c>
      <c r="T868">
        <v>6.4177704841167508E-3</v>
      </c>
      <c r="U868">
        <v>30</v>
      </c>
      <c r="V868">
        <v>4.2075736325385693E-2</v>
      </c>
      <c r="W868">
        <v>8.7914664165982882E-4</v>
      </c>
      <c r="X868">
        <v>50</v>
      </c>
      <c r="Y868">
        <v>7.0126227208976155E-2</v>
      </c>
      <c r="Z868">
        <v>1.4652444027663815E-3</v>
      </c>
      <c r="AA868">
        <v>2</v>
      </c>
      <c r="AB868">
        <v>2.8050490883590462E-3</v>
      </c>
      <c r="AC868">
        <v>5.8609776110655256E-5</v>
      </c>
      <c r="AD868">
        <v>10</v>
      </c>
      <c r="AE868">
        <v>1.4025245441795231E-2</v>
      </c>
      <c r="AF868">
        <v>2.9304888055327631E-4</v>
      </c>
    </row>
    <row r="869" spans="1:32" x14ac:dyDescent="0.2">
      <c r="A869">
        <v>2062.9032175925895</v>
      </c>
      <c r="B869">
        <v>3757</v>
      </c>
      <c r="C869">
        <v>180</v>
      </c>
      <c r="D869">
        <v>982</v>
      </c>
      <c r="E869">
        <v>6</v>
      </c>
      <c r="F869">
        <v>68</v>
      </c>
      <c r="G869">
        <v>15</v>
      </c>
      <c r="H869">
        <v>76</v>
      </c>
      <c r="I869">
        <v>10</v>
      </c>
      <c r="J869">
        <v>289</v>
      </c>
      <c r="K869">
        <v>78</v>
      </c>
      <c r="L869">
        <v>6060</v>
      </c>
      <c r="M869">
        <v>7</v>
      </c>
      <c r="N869">
        <v>1.1551155115511551E-3</v>
      </c>
      <c r="O869">
        <v>0</v>
      </c>
      <c r="P869">
        <v>0</v>
      </c>
      <c r="Q869">
        <v>0</v>
      </c>
      <c r="R869">
        <v>1</v>
      </c>
      <c r="S869">
        <v>0.14285714285714285</v>
      </c>
      <c r="T869">
        <v>1.6501650165016502E-4</v>
      </c>
      <c r="U869">
        <v>0</v>
      </c>
      <c r="V869">
        <v>0</v>
      </c>
      <c r="W869">
        <v>0</v>
      </c>
      <c r="X869">
        <v>3</v>
      </c>
      <c r="Y869">
        <v>0.42857142857142855</v>
      </c>
      <c r="Z869">
        <v>4.9504950495049506E-4</v>
      </c>
      <c r="AA869">
        <v>0</v>
      </c>
      <c r="AB869">
        <v>0</v>
      </c>
      <c r="AC869">
        <v>0</v>
      </c>
      <c r="AD869">
        <v>3</v>
      </c>
      <c r="AE869">
        <v>0.42857142857142855</v>
      </c>
      <c r="AF869">
        <v>4.9504950495049506E-4</v>
      </c>
    </row>
    <row r="870" spans="1:32" x14ac:dyDescent="0.2">
      <c r="A870">
        <v>1836.562349537031</v>
      </c>
      <c r="B870">
        <v>5364</v>
      </c>
      <c r="C870">
        <v>550</v>
      </c>
      <c r="D870">
        <v>1915</v>
      </c>
      <c r="E870">
        <v>61</v>
      </c>
      <c r="F870">
        <v>9</v>
      </c>
      <c r="G870">
        <v>56</v>
      </c>
      <c r="H870">
        <v>1264</v>
      </c>
      <c r="I870">
        <v>1</v>
      </c>
      <c r="J870">
        <v>421</v>
      </c>
      <c r="K870">
        <v>161</v>
      </c>
      <c r="L870">
        <v>27588</v>
      </c>
      <c r="M870">
        <v>30</v>
      </c>
      <c r="N870">
        <v>1.0874293170943889E-3</v>
      </c>
      <c r="O870">
        <v>9</v>
      </c>
      <c r="P870">
        <v>0.3</v>
      </c>
      <c r="Q870">
        <v>3.2622879512831667E-4</v>
      </c>
      <c r="R870">
        <v>7</v>
      </c>
      <c r="S870">
        <v>0.23333333333333334</v>
      </c>
      <c r="T870">
        <v>2.5373350732202409E-4</v>
      </c>
      <c r="U870">
        <v>10</v>
      </c>
      <c r="V870">
        <v>0.33333333333333331</v>
      </c>
      <c r="W870">
        <v>3.6247643903146296E-4</v>
      </c>
      <c r="X870">
        <v>3</v>
      </c>
      <c r="Y870">
        <v>0.1</v>
      </c>
      <c r="Z870">
        <v>1.0874293170943889E-4</v>
      </c>
      <c r="AA870">
        <v>0</v>
      </c>
      <c r="AB870">
        <v>0</v>
      </c>
      <c r="AC870">
        <v>0</v>
      </c>
      <c r="AD870">
        <v>1</v>
      </c>
      <c r="AE870">
        <v>3.3333333333333333E-2</v>
      </c>
      <c r="AF870">
        <v>3.6247643903146298E-5</v>
      </c>
    </row>
    <row r="871" spans="1:32" x14ac:dyDescent="0.2">
      <c r="A871">
        <v>3093.4505324074053</v>
      </c>
      <c r="B871">
        <v>13690</v>
      </c>
      <c r="C871">
        <v>1005</v>
      </c>
      <c r="D871">
        <v>3670</v>
      </c>
      <c r="E871">
        <v>13</v>
      </c>
      <c r="F871">
        <v>510</v>
      </c>
      <c r="G871">
        <v>120</v>
      </c>
      <c r="H871">
        <v>1860</v>
      </c>
      <c r="I871">
        <v>36</v>
      </c>
      <c r="J871">
        <v>951</v>
      </c>
      <c r="K871">
        <v>304</v>
      </c>
      <c r="L871">
        <v>40057</v>
      </c>
      <c r="M871">
        <v>54</v>
      </c>
      <c r="N871">
        <v>1.3480789874428939E-3</v>
      </c>
      <c r="O871">
        <v>5</v>
      </c>
      <c r="P871">
        <v>9.2592592592592587E-2</v>
      </c>
      <c r="Q871">
        <v>1.2482212846693462E-4</v>
      </c>
      <c r="R871">
        <v>20</v>
      </c>
      <c r="S871">
        <v>0.37037037037037035</v>
      </c>
      <c r="T871">
        <v>4.9928851386773848E-4</v>
      </c>
      <c r="U871">
        <v>26</v>
      </c>
      <c r="V871">
        <v>0.48148148148148145</v>
      </c>
      <c r="W871">
        <v>6.4907506802806001E-4</v>
      </c>
      <c r="X871">
        <v>2</v>
      </c>
      <c r="Y871">
        <v>3.7037037037037035E-2</v>
      </c>
      <c r="Z871">
        <v>4.9928851386773846E-5</v>
      </c>
      <c r="AA871">
        <v>0</v>
      </c>
      <c r="AB871">
        <v>0</v>
      </c>
      <c r="AC871">
        <v>0</v>
      </c>
      <c r="AD871">
        <v>1</v>
      </c>
      <c r="AE871">
        <v>1.8518518518518517E-2</v>
      </c>
      <c r="AF871">
        <v>2.4964425693386923E-5</v>
      </c>
    </row>
    <row r="872" spans="1:32" x14ac:dyDescent="0.2">
      <c r="A872">
        <v>1211.0118287037039</v>
      </c>
      <c r="B872">
        <v>2813</v>
      </c>
      <c r="C872">
        <v>173</v>
      </c>
      <c r="D872">
        <v>582</v>
      </c>
      <c r="E872">
        <v>13</v>
      </c>
      <c r="F872">
        <v>25</v>
      </c>
      <c r="G872">
        <v>124</v>
      </c>
      <c r="H872">
        <v>2519</v>
      </c>
      <c r="I872">
        <v>42</v>
      </c>
      <c r="J872">
        <v>1491</v>
      </c>
      <c r="K872">
        <v>345</v>
      </c>
      <c r="L872">
        <v>76391</v>
      </c>
      <c r="M872">
        <v>71</v>
      </c>
      <c r="N872">
        <v>9.2942885942061241E-4</v>
      </c>
      <c r="O872">
        <v>3</v>
      </c>
      <c r="P872">
        <v>4.2253521126760563E-2</v>
      </c>
      <c r="Q872">
        <v>3.9271641947349821E-5</v>
      </c>
      <c r="R872">
        <v>4</v>
      </c>
      <c r="S872">
        <v>5.6338028169014086E-2</v>
      </c>
      <c r="T872">
        <v>5.236218926313309E-5</v>
      </c>
      <c r="U872">
        <v>30</v>
      </c>
      <c r="V872">
        <v>0.42253521126760563</v>
      </c>
      <c r="W872">
        <v>3.9271641947349819E-4</v>
      </c>
      <c r="X872">
        <v>32</v>
      </c>
      <c r="Y872">
        <v>0.45070422535211269</v>
      </c>
      <c r="Z872">
        <v>4.1889751410506472E-4</v>
      </c>
      <c r="AA872">
        <v>2</v>
      </c>
      <c r="AB872">
        <v>2.8169014084507043E-2</v>
      </c>
      <c r="AC872">
        <v>2.6181094631566545E-5</v>
      </c>
      <c r="AD872">
        <v>0</v>
      </c>
      <c r="AE872">
        <v>0</v>
      </c>
      <c r="AF872">
        <v>0</v>
      </c>
    </row>
    <row r="873" spans="1:32" x14ac:dyDescent="0.2">
      <c r="A873">
        <v>1293.8926273148099</v>
      </c>
      <c r="B873">
        <v>1107</v>
      </c>
      <c r="C873">
        <v>108</v>
      </c>
      <c r="D873">
        <v>274</v>
      </c>
      <c r="E873">
        <v>16</v>
      </c>
      <c r="F873">
        <v>2</v>
      </c>
      <c r="G873">
        <v>54</v>
      </c>
      <c r="H873">
        <v>504</v>
      </c>
      <c r="I873">
        <v>1</v>
      </c>
      <c r="J873">
        <v>217</v>
      </c>
      <c r="K873">
        <v>60</v>
      </c>
      <c r="L873">
        <v>24863</v>
      </c>
      <c r="M873">
        <v>23</v>
      </c>
      <c r="N873">
        <v>9.2506938020351531E-4</v>
      </c>
      <c r="O873">
        <v>0</v>
      </c>
      <c r="P873">
        <v>0</v>
      </c>
      <c r="Q873">
        <v>0</v>
      </c>
      <c r="R873">
        <v>16</v>
      </c>
      <c r="S873">
        <v>0.69565217391304346</v>
      </c>
      <c r="T873">
        <v>6.4352652535896711E-4</v>
      </c>
      <c r="U873">
        <v>7</v>
      </c>
      <c r="V873">
        <v>0.30434782608695654</v>
      </c>
      <c r="W873">
        <v>2.8154285484454814E-4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">
      <c r="A874">
        <v>534.89394675926451</v>
      </c>
      <c r="B874">
        <v>538</v>
      </c>
      <c r="C874">
        <v>33</v>
      </c>
      <c r="D874">
        <v>73</v>
      </c>
      <c r="E874">
        <v>22</v>
      </c>
      <c r="F874">
        <v>0</v>
      </c>
      <c r="G874">
        <v>15</v>
      </c>
      <c r="H874">
        <v>101</v>
      </c>
      <c r="I874">
        <v>0</v>
      </c>
      <c r="J874">
        <v>52</v>
      </c>
      <c r="K874">
        <v>21</v>
      </c>
      <c r="L874">
        <v>1608</v>
      </c>
      <c r="M874">
        <v>4</v>
      </c>
      <c r="N874">
        <v>2.4875621890547263E-3</v>
      </c>
      <c r="O874">
        <v>0</v>
      </c>
      <c r="P874">
        <v>0</v>
      </c>
      <c r="Q874">
        <v>0</v>
      </c>
      <c r="R874">
        <v>1</v>
      </c>
      <c r="S874">
        <v>0.25</v>
      </c>
      <c r="T874">
        <v>6.2189054726368158E-4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3</v>
      </c>
      <c r="AE874">
        <v>0.75</v>
      </c>
      <c r="AF874">
        <v>1.8656716417910447E-3</v>
      </c>
    </row>
    <row r="875" spans="1:32" x14ac:dyDescent="0.2">
      <c r="A875">
        <v>516.80765046296438</v>
      </c>
      <c r="B875">
        <v>1729</v>
      </c>
      <c r="C875">
        <v>25</v>
      </c>
      <c r="D875">
        <v>157</v>
      </c>
      <c r="E875">
        <v>4</v>
      </c>
      <c r="F875">
        <v>0</v>
      </c>
      <c r="G875">
        <v>41</v>
      </c>
      <c r="H875">
        <v>725</v>
      </c>
      <c r="I875">
        <v>31</v>
      </c>
      <c r="J875">
        <v>0</v>
      </c>
      <c r="K875">
        <v>0</v>
      </c>
      <c r="L875">
        <v>62677</v>
      </c>
      <c r="M875">
        <v>997</v>
      </c>
      <c r="N875">
        <v>1.5906951513314293E-2</v>
      </c>
      <c r="O875">
        <v>553</v>
      </c>
      <c r="P875">
        <v>0.55466399197592775</v>
      </c>
      <c r="Q875">
        <v>8.8230132265424317E-3</v>
      </c>
      <c r="R875">
        <v>61</v>
      </c>
      <c r="S875">
        <v>6.1183550651955868E-2</v>
      </c>
      <c r="T875">
        <v>9.7324377363307117E-4</v>
      </c>
      <c r="U875">
        <v>77</v>
      </c>
      <c r="V875">
        <v>7.7231695085255764E-2</v>
      </c>
      <c r="W875">
        <v>1.2285208290122374E-3</v>
      </c>
      <c r="X875">
        <v>85</v>
      </c>
      <c r="Y875">
        <v>8.5255767301905719E-2</v>
      </c>
      <c r="Z875">
        <v>1.3561593567018204E-3</v>
      </c>
      <c r="AA875">
        <v>0</v>
      </c>
      <c r="AB875">
        <v>0</v>
      </c>
      <c r="AC875">
        <v>0</v>
      </c>
      <c r="AD875">
        <v>221</v>
      </c>
      <c r="AE875">
        <v>0.22166499498495487</v>
      </c>
      <c r="AF875">
        <v>3.5260143274247332E-3</v>
      </c>
    </row>
    <row r="876" spans="1:32" x14ac:dyDescent="0.2">
      <c r="A876">
        <v>2596.4698263888858</v>
      </c>
      <c r="B876">
        <v>931</v>
      </c>
      <c r="C876">
        <v>56</v>
      </c>
      <c r="D876">
        <v>246</v>
      </c>
      <c r="E876">
        <v>10</v>
      </c>
      <c r="F876">
        <v>1</v>
      </c>
      <c r="G876">
        <v>7</v>
      </c>
      <c r="H876">
        <v>16</v>
      </c>
      <c r="I876">
        <v>4</v>
      </c>
      <c r="J876">
        <v>39</v>
      </c>
      <c r="K876">
        <v>4</v>
      </c>
      <c r="L876">
        <v>6515</v>
      </c>
      <c r="M876">
        <v>664</v>
      </c>
      <c r="N876">
        <v>0.10191864927091328</v>
      </c>
      <c r="O876">
        <v>215</v>
      </c>
      <c r="P876">
        <v>0.32379518072289154</v>
      </c>
      <c r="Q876">
        <v>3.3000767459708362E-2</v>
      </c>
      <c r="R876">
        <v>372</v>
      </c>
      <c r="S876">
        <v>0.56024096385542166</v>
      </c>
      <c r="T876">
        <v>5.7099002302379125E-2</v>
      </c>
      <c r="U876">
        <v>27</v>
      </c>
      <c r="V876">
        <v>4.0662650602409638E-2</v>
      </c>
      <c r="W876">
        <v>4.1442824251726783E-3</v>
      </c>
      <c r="X876">
        <v>22</v>
      </c>
      <c r="Y876">
        <v>3.313253012048193E-2</v>
      </c>
      <c r="Z876">
        <v>3.3768227168073676E-3</v>
      </c>
      <c r="AA876">
        <v>28</v>
      </c>
      <c r="AB876">
        <v>4.2168674698795178E-2</v>
      </c>
      <c r="AC876">
        <v>4.2977743668457403E-3</v>
      </c>
      <c r="AD876">
        <v>0</v>
      </c>
      <c r="AE876">
        <v>0</v>
      </c>
      <c r="AF876">
        <v>0</v>
      </c>
    </row>
    <row r="877" spans="1:32" x14ac:dyDescent="0.2">
      <c r="A877">
        <v>351.41593749999447</v>
      </c>
      <c r="B877">
        <v>469</v>
      </c>
      <c r="C877">
        <v>25</v>
      </c>
      <c r="D877">
        <v>75</v>
      </c>
      <c r="E877">
        <v>2</v>
      </c>
      <c r="F877">
        <v>0</v>
      </c>
      <c r="G877">
        <v>9</v>
      </c>
      <c r="H877">
        <v>292</v>
      </c>
      <c r="I877">
        <v>6</v>
      </c>
      <c r="J877">
        <v>267</v>
      </c>
      <c r="K877">
        <v>48</v>
      </c>
      <c r="L877">
        <v>34179</v>
      </c>
      <c r="M877">
        <v>509</v>
      </c>
      <c r="N877">
        <v>1.4892185259954943E-2</v>
      </c>
      <c r="O877">
        <v>194</v>
      </c>
      <c r="P877">
        <v>0.38113948919449903</v>
      </c>
      <c r="Q877">
        <v>5.6759998829690747E-3</v>
      </c>
      <c r="R877">
        <v>210</v>
      </c>
      <c r="S877">
        <v>0.412573673870334</v>
      </c>
      <c r="T877">
        <v>6.1441235846572458E-3</v>
      </c>
      <c r="U877">
        <v>14</v>
      </c>
      <c r="V877">
        <v>2.75049115913556E-2</v>
      </c>
      <c r="W877">
        <v>4.096082389771497E-4</v>
      </c>
      <c r="X877">
        <v>69</v>
      </c>
      <c r="Y877">
        <v>0.13555992141453832</v>
      </c>
      <c r="Z877">
        <v>2.0187834635302378E-3</v>
      </c>
      <c r="AA877">
        <v>22</v>
      </c>
      <c r="AB877">
        <v>4.3222003929273084E-2</v>
      </c>
      <c r="AC877">
        <v>6.4367008982123524E-4</v>
      </c>
      <c r="AD877">
        <v>0</v>
      </c>
      <c r="AE877">
        <v>0</v>
      </c>
      <c r="AF877">
        <v>0</v>
      </c>
    </row>
    <row r="878" spans="1:32" x14ac:dyDescent="0.2">
      <c r="A878">
        <v>2216.924490740741</v>
      </c>
      <c r="B878">
        <v>926</v>
      </c>
      <c r="C878">
        <v>56</v>
      </c>
      <c r="D878">
        <v>168</v>
      </c>
      <c r="E878">
        <v>82</v>
      </c>
      <c r="F878">
        <v>111</v>
      </c>
      <c r="G878">
        <v>117</v>
      </c>
      <c r="H878">
        <v>512</v>
      </c>
      <c r="I878">
        <v>15</v>
      </c>
      <c r="J878">
        <v>3084</v>
      </c>
      <c r="K878">
        <v>693</v>
      </c>
      <c r="L878">
        <v>78327</v>
      </c>
      <c r="M878">
        <v>29</v>
      </c>
      <c r="N878">
        <v>3.7024270047365533E-4</v>
      </c>
      <c r="O878">
        <v>8</v>
      </c>
      <c r="P878">
        <v>0.27586206896551724</v>
      </c>
      <c r="Q878">
        <v>1.0213591737204284E-4</v>
      </c>
      <c r="R878">
        <v>4</v>
      </c>
      <c r="S878">
        <v>0.13793103448275862</v>
      </c>
      <c r="T878">
        <v>5.1067958686021421E-5</v>
      </c>
      <c r="U878">
        <v>7</v>
      </c>
      <c r="V878">
        <v>0.2413793103448276</v>
      </c>
      <c r="W878">
        <v>8.9368927700537486E-5</v>
      </c>
      <c r="X878">
        <v>5</v>
      </c>
      <c r="Y878">
        <v>0.17241379310344829</v>
      </c>
      <c r="Z878">
        <v>6.3834948357526785E-5</v>
      </c>
      <c r="AA878">
        <v>0</v>
      </c>
      <c r="AB878">
        <v>0</v>
      </c>
      <c r="AC878">
        <v>0</v>
      </c>
      <c r="AD878">
        <v>5</v>
      </c>
      <c r="AE878">
        <v>0.17241379310344829</v>
      </c>
      <c r="AF878">
        <v>6.3834948357526785E-5</v>
      </c>
    </row>
    <row r="879" spans="1:32" x14ac:dyDescent="0.2">
      <c r="A879">
        <v>2832.4198379629597</v>
      </c>
      <c r="B879">
        <v>2195</v>
      </c>
      <c r="C879">
        <v>156</v>
      </c>
      <c r="D879">
        <v>447</v>
      </c>
      <c r="E879">
        <v>2</v>
      </c>
      <c r="F879">
        <v>45</v>
      </c>
      <c r="G879">
        <v>9</v>
      </c>
      <c r="H879">
        <v>263</v>
      </c>
      <c r="I879">
        <v>10</v>
      </c>
      <c r="J879">
        <v>425</v>
      </c>
      <c r="K879">
        <v>64</v>
      </c>
      <c r="L879">
        <v>2794</v>
      </c>
      <c r="M879">
        <v>13</v>
      </c>
      <c r="N879">
        <v>4.6528274874731565E-3</v>
      </c>
      <c r="O879">
        <v>1</v>
      </c>
      <c r="P879">
        <v>7.6923076923076927E-2</v>
      </c>
      <c r="Q879">
        <v>3.5790980672870435E-4</v>
      </c>
      <c r="R879">
        <v>7</v>
      </c>
      <c r="S879">
        <v>0.53846153846153844</v>
      </c>
      <c r="T879">
        <v>2.5053686471009306E-3</v>
      </c>
      <c r="U879">
        <v>1</v>
      </c>
      <c r="V879">
        <v>7.6923076923076927E-2</v>
      </c>
      <c r="W879">
        <v>3.5790980672870435E-4</v>
      </c>
      <c r="X879">
        <v>4</v>
      </c>
      <c r="Y879">
        <v>0.30769230769230771</v>
      </c>
      <c r="Z879">
        <v>1.4316392269148174E-3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">
      <c r="A880">
        <v>747.77594907407183</v>
      </c>
      <c r="B880">
        <v>443</v>
      </c>
      <c r="C880">
        <v>17</v>
      </c>
      <c r="D880">
        <v>158</v>
      </c>
      <c r="E880">
        <v>0</v>
      </c>
      <c r="F880">
        <v>0</v>
      </c>
      <c r="G880">
        <v>2</v>
      </c>
      <c r="H880">
        <v>6</v>
      </c>
      <c r="I880">
        <v>4</v>
      </c>
      <c r="J880">
        <v>1</v>
      </c>
      <c r="K880">
        <v>0</v>
      </c>
      <c r="L880">
        <v>1563</v>
      </c>
      <c r="M880">
        <v>12</v>
      </c>
      <c r="N880">
        <v>7.677543186180422E-3</v>
      </c>
      <c r="O880">
        <v>3</v>
      </c>
      <c r="P880">
        <v>0.25</v>
      </c>
      <c r="Q880">
        <v>1.9193857965451055E-3</v>
      </c>
      <c r="R880">
        <v>1</v>
      </c>
      <c r="S880">
        <v>8.3333333333333329E-2</v>
      </c>
      <c r="T880">
        <v>6.3979526551503517E-4</v>
      </c>
      <c r="U880">
        <v>1</v>
      </c>
      <c r="V880">
        <v>8.3333333333333329E-2</v>
      </c>
      <c r="W880">
        <v>6.3979526551503517E-4</v>
      </c>
      <c r="X880">
        <v>5</v>
      </c>
      <c r="Y880">
        <v>0.41666666666666669</v>
      </c>
      <c r="Z880">
        <v>3.1989763275751758E-3</v>
      </c>
      <c r="AA880">
        <v>1</v>
      </c>
      <c r="AB880">
        <v>8.3333333333333329E-2</v>
      </c>
      <c r="AC880">
        <v>6.3979526551503517E-4</v>
      </c>
      <c r="AD880">
        <v>1</v>
      </c>
      <c r="AE880">
        <v>8.3333333333333329E-2</v>
      </c>
      <c r="AF880">
        <v>6.3979526551503517E-4</v>
      </c>
    </row>
    <row r="881" spans="1:32" x14ac:dyDescent="0.2">
      <c r="A881">
        <v>1923.7598263888867</v>
      </c>
      <c r="B881">
        <v>379</v>
      </c>
      <c r="C881">
        <v>69</v>
      </c>
      <c r="D881">
        <v>147</v>
      </c>
      <c r="E881">
        <v>29</v>
      </c>
      <c r="F881">
        <v>14</v>
      </c>
      <c r="G881">
        <v>58</v>
      </c>
      <c r="H881">
        <v>666</v>
      </c>
      <c r="I881">
        <v>11</v>
      </c>
      <c r="J881">
        <v>0</v>
      </c>
      <c r="K881">
        <v>0</v>
      </c>
      <c r="L881">
        <v>18269</v>
      </c>
      <c r="M881">
        <v>551</v>
      </c>
      <c r="N881">
        <v>3.0160380973233345E-2</v>
      </c>
      <c r="O881">
        <v>187</v>
      </c>
      <c r="P881">
        <v>0.33938294010889292</v>
      </c>
      <c r="Q881">
        <v>1.0235918769500247E-2</v>
      </c>
      <c r="R881">
        <v>217</v>
      </c>
      <c r="S881">
        <v>0.39382940108892922</v>
      </c>
      <c r="T881">
        <v>1.1878044775302425E-2</v>
      </c>
      <c r="U881">
        <v>27</v>
      </c>
      <c r="V881">
        <v>4.9001814882032667E-2</v>
      </c>
      <c r="W881">
        <v>1.4779134052219608E-3</v>
      </c>
      <c r="X881">
        <v>120</v>
      </c>
      <c r="Y881">
        <v>0.21778584392014519</v>
      </c>
      <c r="Z881">
        <v>6.5685040232087146E-3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">
      <c r="A882">
        <v>3209.7056365740791</v>
      </c>
      <c r="B882">
        <v>2093</v>
      </c>
      <c r="C882">
        <v>99</v>
      </c>
      <c r="D882">
        <v>446</v>
      </c>
      <c r="E882">
        <v>43</v>
      </c>
      <c r="F882">
        <v>22</v>
      </c>
      <c r="G882">
        <v>27</v>
      </c>
      <c r="H882">
        <v>309</v>
      </c>
      <c r="I882">
        <v>8</v>
      </c>
      <c r="J882">
        <v>1048</v>
      </c>
      <c r="K882">
        <v>65</v>
      </c>
      <c r="L882">
        <v>48608</v>
      </c>
      <c r="M882">
        <v>17</v>
      </c>
      <c r="N882">
        <v>3.4973666886109283E-4</v>
      </c>
      <c r="O882">
        <v>0</v>
      </c>
      <c r="P882">
        <v>0</v>
      </c>
      <c r="Q882">
        <v>0</v>
      </c>
      <c r="R882">
        <v>6</v>
      </c>
      <c r="S882">
        <v>0.35294117647058826</v>
      </c>
      <c r="T882">
        <v>1.2343647136273865E-4</v>
      </c>
      <c r="U882">
        <v>1</v>
      </c>
      <c r="V882">
        <v>5.8823529411764705E-2</v>
      </c>
      <c r="W882">
        <v>2.0572745227123106E-5</v>
      </c>
      <c r="X882">
        <v>8</v>
      </c>
      <c r="Y882">
        <v>0.47058823529411764</v>
      </c>
      <c r="Z882">
        <v>1.6458196181698485E-4</v>
      </c>
      <c r="AA882">
        <v>0</v>
      </c>
      <c r="AB882">
        <v>0</v>
      </c>
      <c r="AC882">
        <v>0</v>
      </c>
      <c r="AD882">
        <v>2</v>
      </c>
      <c r="AE882">
        <v>0.11764705882352941</v>
      </c>
      <c r="AF882">
        <v>4.1145490454246213E-5</v>
      </c>
    </row>
    <row r="883" spans="1:32" x14ac:dyDescent="0.2">
      <c r="A883">
        <v>1896.2848032407419</v>
      </c>
      <c r="B883">
        <v>1790</v>
      </c>
      <c r="C883">
        <v>191</v>
      </c>
      <c r="D883">
        <v>360</v>
      </c>
      <c r="E883">
        <v>65</v>
      </c>
      <c r="F883">
        <v>117</v>
      </c>
      <c r="G883">
        <v>77</v>
      </c>
      <c r="H883">
        <v>4344</v>
      </c>
      <c r="I883">
        <v>12</v>
      </c>
      <c r="J883">
        <v>2547</v>
      </c>
      <c r="K883">
        <v>351</v>
      </c>
      <c r="L883">
        <v>41013</v>
      </c>
      <c r="M883">
        <v>327</v>
      </c>
      <c r="N883">
        <v>7.9730817058006002E-3</v>
      </c>
      <c r="O883">
        <v>199</v>
      </c>
      <c r="P883">
        <v>0.60856269113149852</v>
      </c>
      <c r="Q883">
        <v>4.852120059493331E-3</v>
      </c>
      <c r="R883">
        <v>46</v>
      </c>
      <c r="S883">
        <v>0.14067278287461774</v>
      </c>
      <c r="T883">
        <v>1.1215955916416746E-3</v>
      </c>
      <c r="U883">
        <v>42</v>
      </c>
      <c r="V883">
        <v>0.12844036697247707</v>
      </c>
      <c r="W883">
        <v>1.0240655401945725E-3</v>
      </c>
      <c r="X883">
        <v>24</v>
      </c>
      <c r="Y883">
        <v>7.3394495412844041E-2</v>
      </c>
      <c r="Z883">
        <v>5.8518030868261281E-4</v>
      </c>
      <c r="AA883">
        <v>10</v>
      </c>
      <c r="AB883">
        <v>3.0581039755351681E-2</v>
      </c>
      <c r="AC883">
        <v>2.4382512861775534E-4</v>
      </c>
      <c r="AD883">
        <v>6</v>
      </c>
      <c r="AE883">
        <v>1.834862385321101E-2</v>
      </c>
      <c r="AF883">
        <v>1.462950771706532E-4</v>
      </c>
    </row>
    <row r="884" spans="1:32" x14ac:dyDescent="0.2">
      <c r="A884">
        <v>316.52468750000116</v>
      </c>
      <c r="B884">
        <v>1598</v>
      </c>
      <c r="C884">
        <v>76</v>
      </c>
      <c r="D884">
        <v>217</v>
      </c>
      <c r="E884">
        <v>0</v>
      </c>
      <c r="F884">
        <v>0</v>
      </c>
      <c r="G884">
        <v>3</v>
      </c>
      <c r="H884">
        <v>11</v>
      </c>
      <c r="I884">
        <v>10</v>
      </c>
      <c r="J884">
        <v>75</v>
      </c>
      <c r="K884">
        <v>35</v>
      </c>
      <c r="L884">
        <v>4105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">
      <c r="A885">
        <v>4326.8821759259299</v>
      </c>
      <c r="B885">
        <v>9483</v>
      </c>
      <c r="C885">
        <v>158</v>
      </c>
      <c r="D885">
        <v>633</v>
      </c>
      <c r="E885">
        <v>0</v>
      </c>
      <c r="F885">
        <v>42</v>
      </c>
      <c r="G885">
        <v>168</v>
      </c>
      <c r="H885">
        <v>732</v>
      </c>
      <c r="I885">
        <v>116</v>
      </c>
      <c r="J885">
        <v>1560</v>
      </c>
      <c r="K885">
        <v>515</v>
      </c>
      <c r="L885">
        <v>14254</v>
      </c>
      <c r="M885">
        <v>27</v>
      </c>
      <c r="N885">
        <v>1.8942051354005893E-3</v>
      </c>
      <c r="O885">
        <v>11</v>
      </c>
      <c r="P885">
        <v>0.40740740740740738</v>
      </c>
      <c r="Q885">
        <v>7.717132033113512E-4</v>
      </c>
      <c r="R885">
        <v>4</v>
      </c>
      <c r="S885">
        <v>0.14814814814814814</v>
      </c>
      <c r="T885">
        <v>2.8062298302230951E-4</v>
      </c>
      <c r="U885">
        <v>0</v>
      </c>
      <c r="V885">
        <v>0</v>
      </c>
      <c r="W885">
        <v>0</v>
      </c>
      <c r="X885">
        <v>4</v>
      </c>
      <c r="Y885">
        <v>0.14814814814814814</v>
      </c>
      <c r="Z885">
        <v>2.8062298302230951E-4</v>
      </c>
      <c r="AA885">
        <v>1</v>
      </c>
      <c r="AB885">
        <v>3.7037037037037035E-2</v>
      </c>
      <c r="AC885">
        <v>7.0155745755577377E-5</v>
      </c>
      <c r="AD885">
        <v>7</v>
      </c>
      <c r="AE885">
        <v>0.25925925925925924</v>
      </c>
      <c r="AF885">
        <v>4.9109022028904169E-4</v>
      </c>
    </row>
    <row r="886" spans="1:32" x14ac:dyDescent="0.2">
      <c r="A886">
        <v>1637.5592245370426</v>
      </c>
      <c r="B886">
        <v>11120</v>
      </c>
      <c r="C886">
        <v>342</v>
      </c>
      <c r="D886">
        <v>3325</v>
      </c>
      <c r="E886">
        <v>93</v>
      </c>
      <c r="F886">
        <v>48</v>
      </c>
      <c r="G886">
        <v>415</v>
      </c>
      <c r="H886">
        <v>3208</v>
      </c>
      <c r="I886">
        <v>106</v>
      </c>
      <c r="J886">
        <v>5181</v>
      </c>
      <c r="K886">
        <v>544</v>
      </c>
      <c r="L886">
        <v>47695</v>
      </c>
      <c r="M886">
        <v>492</v>
      </c>
      <c r="N886">
        <v>1.0315546703008702E-2</v>
      </c>
      <c r="O886">
        <v>259</v>
      </c>
      <c r="P886">
        <v>0.52642276422764223</v>
      </c>
      <c r="Q886">
        <v>5.4303386099171817E-3</v>
      </c>
      <c r="R886">
        <v>112</v>
      </c>
      <c r="S886">
        <v>0.22764227642276422</v>
      </c>
      <c r="T886">
        <v>2.3482545340182408E-3</v>
      </c>
      <c r="U886">
        <v>42</v>
      </c>
      <c r="V886">
        <v>8.5365853658536592E-2</v>
      </c>
      <c r="W886">
        <v>8.8059545025684035E-4</v>
      </c>
      <c r="X886">
        <v>64</v>
      </c>
      <c r="Y886">
        <v>0.13008130081300814</v>
      </c>
      <c r="Z886">
        <v>1.3418597337247092E-3</v>
      </c>
      <c r="AA886">
        <v>0</v>
      </c>
      <c r="AB886">
        <v>0</v>
      </c>
      <c r="AC886">
        <v>0</v>
      </c>
      <c r="AD886">
        <v>15</v>
      </c>
      <c r="AE886">
        <v>3.048780487804878E-2</v>
      </c>
      <c r="AF886">
        <v>3.144983750917287E-4</v>
      </c>
    </row>
    <row r="887" spans="1:32" x14ac:dyDescent="0.2">
      <c r="A887">
        <v>1291.4754398148143</v>
      </c>
      <c r="B887">
        <v>2304</v>
      </c>
      <c r="C887">
        <v>161</v>
      </c>
      <c r="D887">
        <v>1032</v>
      </c>
      <c r="E887">
        <v>2</v>
      </c>
      <c r="F887">
        <v>15</v>
      </c>
      <c r="G887">
        <v>106</v>
      </c>
      <c r="H887">
        <v>584</v>
      </c>
      <c r="I887">
        <v>0</v>
      </c>
      <c r="J887">
        <v>0</v>
      </c>
      <c r="K887">
        <v>0</v>
      </c>
      <c r="L887">
        <v>14859</v>
      </c>
      <c r="M887">
        <v>243</v>
      </c>
      <c r="N887">
        <v>1.6353725015142338E-2</v>
      </c>
      <c r="O887">
        <v>91</v>
      </c>
      <c r="P887">
        <v>0.37448559670781895</v>
      </c>
      <c r="Q887">
        <v>6.1242344706911632E-3</v>
      </c>
      <c r="R887">
        <v>55</v>
      </c>
      <c r="S887">
        <v>0.22633744855967078</v>
      </c>
      <c r="T887">
        <v>3.7014603943737803E-3</v>
      </c>
      <c r="U887">
        <v>51</v>
      </c>
      <c r="V887">
        <v>0.20987654320987653</v>
      </c>
      <c r="W887">
        <v>3.4322632747829599E-3</v>
      </c>
      <c r="X887">
        <v>30</v>
      </c>
      <c r="Y887">
        <v>0.12345679012345678</v>
      </c>
      <c r="Z887">
        <v>2.0189783969311527E-3</v>
      </c>
      <c r="AA887">
        <v>0</v>
      </c>
      <c r="AB887">
        <v>0</v>
      </c>
      <c r="AC887">
        <v>0</v>
      </c>
      <c r="AD887">
        <v>16</v>
      </c>
      <c r="AE887">
        <v>6.584362139917696E-2</v>
      </c>
      <c r="AF887">
        <v>1.0767884783632815E-3</v>
      </c>
    </row>
    <row r="888" spans="1:32" x14ac:dyDescent="0.2">
      <c r="A888">
        <v>1050.4361574074064</v>
      </c>
      <c r="B888">
        <v>608</v>
      </c>
      <c r="C888">
        <v>53</v>
      </c>
      <c r="D888">
        <v>626</v>
      </c>
      <c r="E888">
        <v>0</v>
      </c>
      <c r="F888">
        <v>3</v>
      </c>
      <c r="G888">
        <v>25</v>
      </c>
      <c r="H888">
        <v>190</v>
      </c>
      <c r="I888">
        <v>4</v>
      </c>
      <c r="J888">
        <v>438</v>
      </c>
      <c r="K888">
        <v>66</v>
      </c>
      <c r="L888">
        <v>989</v>
      </c>
      <c r="M888">
        <v>9</v>
      </c>
      <c r="N888">
        <v>9.1001011122345803E-3</v>
      </c>
      <c r="O888">
        <v>3</v>
      </c>
      <c r="P888">
        <v>0.33333333333333331</v>
      </c>
      <c r="Q888">
        <v>3.0333670374115269E-3</v>
      </c>
      <c r="R888">
        <v>0</v>
      </c>
      <c r="S888">
        <v>0</v>
      </c>
      <c r="T888">
        <v>0</v>
      </c>
      <c r="U888">
        <v>3</v>
      </c>
      <c r="V888">
        <v>0.33333333333333331</v>
      </c>
      <c r="W888">
        <v>3.0333670374115269E-3</v>
      </c>
      <c r="X888">
        <v>3</v>
      </c>
      <c r="Y888">
        <v>0.33333333333333331</v>
      </c>
      <c r="Z888">
        <v>3.0333670374115269E-3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">
      <c r="A889">
        <v>610.2827893518479</v>
      </c>
      <c r="B889">
        <v>450</v>
      </c>
      <c r="C889">
        <v>14</v>
      </c>
      <c r="D889">
        <v>32</v>
      </c>
      <c r="E889">
        <v>0</v>
      </c>
      <c r="F889">
        <v>1</v>
      </c>
      <c r="G889">
        <v>4</v>
      </c>
      <c r="H889">
        <v>14</v>
      </c>
      <c r="I889">
        <v>0</v>
      </c>
      <c r="J889">
        <v>90</v>
      </c>
      <c r="K889">
        <v>11</v>
      </c>
      <c r="L889">
        <v>5846</v>
      </c>
      <c r="M889">
        <v>42</v>
      </c>
      <c r="N889">
        <v>7.1843995894628806E-3</v>
      </c>
      <c r="O889">
        <v>10</v>
      </c>
      <c r="P889">
        <v>0.23809523809523808</v>
      </c>
      <c r="Q889">
        <v>1.7105713308244953E-3</v>
      </c>
      <c r="R889">
        <v>9</v>
      </c>
      <c r="S889">
        <v>0.21428571428571427</v>
      </c>
      <c r="T889">
        <v>1.5395141977420459E-3</v>
      </c>
      <c r="U889">
        <v>3</v>
      </c>
      <c r="V889">
        <v>7.1428571428571425E-2</v>
      </c>
      <c r="W889">
        <v>5.131713992473486E-4</v>
      </c>
      <c r="X889">
        <v>18</v>
      </c>
      <c r="Y889">
        <v>0.42857142857142855</v>
      </c>
      <c r="Z889">
        <v>3.0790283954840918E-3</v>
      </c>
      <c r="AA889">
        <v>0</v>
      </c>
      <c r="AB889">
        <v>0</v>
      </c>
      <c r="AC889">
        <v>0</v>
      </c>
      <c r="AD889">
        <v>2</v>
      </c>
      <c r="AE889">
        <v>4.7619047619047616E-2</v>
      </c>
      <c r="AF889">
        <v>3.4211426616489907E-4</v>
      </c>
    </row>
    <row r="890" spans="1:32" x14ac:dyDescent="0.2">
      <c r="A890">
        <v>1626.3029166666674</v>
      </c>
      <c r="B890">
        <v>15520</v>
      </c>
      <c r="C890">
        <v>417</v>
      </c>
      <c r="D890">
        <v>2461</v>
      </c>
      <c r="E890">
        <v>40</v>
      </c>
      <c r="F890">
        <v>76</v>
      </c>
      <c r="G890">
        <v>460</v>
      </c>
      <c r="H890">
        <v>8582</v>
      </c>
      <c r="I890">
        <v>151</v>
      </c>
      <c r="J890">
        <v>6351</v>
      </c>
      <c r="K890">
        <v>1316</v>
      </c>
      <c r="L890">
        <v>133302</v>
      </c>
      <c r="M890">
        <v>1233</v>
      </c>
      <c r="N890">
        <v>9.249673673313228E-3</v>
      </c>
      <c r="O890">
        <v>316</v>
      </c>
      <c r="P890">
        <v>0.25628548256285483</v>
      </c>
      <c r="Q890">
        <v>2.3705570809140148E-3</v>
      </c>
      <c r="R890">
        <v>473</v>
      </c>
      <c r="S890">
        <v>0.38361719383617193</v>
      </c>
      <c r="T890">
        <v>3.5483338584567374E-3</v>
      </c>
      <c r="U890">
        <v>275</v>
      </c>
      <c r="V890">
        <v>0.22303325223033252</v>
      </c>
      <c r="W890">
        <v>2.0629848014283355E-3</v>
      </c>
      <c r="X890">
        <v>94</v>
      </c>
      <c r="Y890">
        <v>7.6236820762368207E-2</v>
      </c>
      <c r="Z890">
        <v>7.0516571394277654E-4</v>
      </c>
      <c r="AA890">
        <v>2</v>
      </c>
      <c r="AB890">
        <v>1.6220600162206002E-3</v>
      </c>
      <c r="AC890">
        <v>1.5003525828569714E-5</v>
      </c>
      <c r="AD890">
        <v>73</v>
      </c>
      <c r="AE890">
        <v>5.9205190592051905E-2</v>
      </c>
      <c r="AF890">
        <v>5.4762869274279453E-4</v>
      </c>
    </row>
    <row r="891" spans="1:32" x14ac:dyDescent="0.2">
      <c r="A891">
        <v>3888.3395254629577</v>
      </c>
      <c r="B891">
        <v>6402</v>
      </c>
      <c r="C891">
        <v>231</v>
      </c>
      <c r="D891">
        <v>3116</v>
      </c>
      <c r="E891">
        <v>0</v>
      </c>
      <c r="F891">
        <v>101</v>
      </c>
      <c r="G891">
        <v>402</v>
      </c>
      <c r="H891">
        <v>3693</v>
      </c>
      <c r="I891">
        <v>57</v>
      </c>
      <c r="J891">
        <v>4296</v>
      </c>
      <c r="K891">
        <v>267</v>
      </c>
      <c r="L891">
        <v>33467</v>
      </c>
      <c r="M891">
        <v>412</v>
      </c>
      <c r="N891">
        <v>1.2310634356231512E-2</v>
      </c>
      <c r="O891">
        <v>65</v>
      </c>
      <c r="P891">
        <v>0.15776699029126215</v>
      </c>
      <c r="Q891">
        <v>1.942211730958855E-3</v>
      </c>
      <c r="R891">
        <v>188</v>
      </c>
      <c r="S891">
        <v>0.4563106796116505</v>
      </c>
      <c r="T891">
        <v>5.6174739295425345E-3</v>
      </c>
      <c r="U891">
        <v>74</v>
      </c>
      <c r="V891">
        <v>0.1796116504854369</v>
      </c>
      <c r="W891">
        <v>2.2111333552454655E-3</v>
      </c>
      <c r="X891">
        <v>28</v>
      </c>
      <c r="Y891">
        <v>6.7961165048543687E-2</v>
      </c>
      <c r="Z891">
        <v>8.366450533361222E-4</v>
      </c>
      <c r="AA891">
        <v>0</v>
      </c>
      <c r="AB891">
        <v>0</v>
      </c>
      <c r="AC891">
        <v>0</v>
      </c>
      <c r="AD891">
        <v>57</v>
      </c>
      <c r="AE891">
        <v>0.13834951456310679</v>
      </c>
      <c r="AF891">
        <v>1.7031702871485343E-3</v>
      </c>
    </row>
    <row r="892" spans="1:32" x14ac:dyDescent="0.2">
      <c r="A892">
        <v>2739.9889699074047</v>
      </c>
      <c r="B892">
        <v>462</v>
      </c>
      <c r="C892">
        <v>32</v>
      </c>
      <c r="D892">
        <v>96</v>
      </c>
      <c r="E892">
        <v>2</v>
      </c>
      <c r="F892">
        <v>0</v>
      </c>
      <c r="G892">
        <v>4</v>
      </c>
      <c r="H892">
        <v>10</v>
      </c>
      <c r="I892">
        <v>2</v>
      </c>
      <c r="J892">
        <v>20</v>
      </c>
      <c r="K892">
        <v>4</v>
      </c>
      <c r="L892">
        <v>424</v>
      </c>
      <c r="M892">
        <v>22</v>
      </c>
      <c r="N892">
        <v>5.1886792452830191E-2</v>
      </c>
      <c r="O892">
        <v>13</v>
      </c>
      <c r="P892">
        <v>0.59090909090909094</v>
      </c>
      <c r="Q892">
        <v>3.0660377358490566E-2</v>
      </c>
      <c r="R892">
        <v>4</v>
      </c>
      <c r="S892">
        <v>0.18181818181818182</v>
      </c>
      <c r="T892">
        <v>9.433962264150943E-3</v>
      </c>
      <c r="U892">
        <v>1</v>
      </c>
      <c r="V892">
        <v>4.5454545454545456E-2</v>
      </c>
      <c r="W892">
        <v>2.3584905660377358E-3</v>
      </c>
      <c r="X892">
        <v>4</v>
      </c>
      <c r="Y892">
        <v>0.18181818181818182</v>
      </c>
      <c r="Z892">
        <v>9.433962264150943E-3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">
      <c r="A893">
        <v>1994.2942361111127</v>
      </c>
      <c r="B893">
        <v>418</v>
      </c>
      <c r="C893">
        <v>87</v>
      </c>
      <c r="D893">
        <v>114</v>
      </c>
      <c r="E893">
        <v>67</v>
      </c>
      <c r="F893">
        <v>25</v>
      </c>
      <c r="G893">
        <v>41</v>
      </c>
      <c r="H893">
        <v>435</v>
      </c>
      <c r="I893">
        <v>9</v>
      </c>
      <c r="J893">
        <v>148</v>
      </c>
      <c r="K893">
        <v>32</v>
      </c>
      <c r="L893">
        <v>11988</v>
      </c>
      <c r="M893">
        <v>111</v>
      </c>
      <c r="N893">
        <v>9.2592592592592587E-3</v>
      </c>
      <c r="O893">
        <v>39</v>
      </c>
      <c r="P893">
        <v>0.35135135135135137</v>
      </c>
      <c r="Q893">
        <v>3.2532532532532532E-3</v>
      </c>
      <c r="R893">
        <v>29</v>
      </c>
      <c r="S893">
        <v>0.26126126126126126</v>
      </c>
      <c r="T893">
        <v>2.4190857524190859E-3</v>
      </c>
      <c r="U893">
        <v>19</v>
      </c>
      <c r="V893">
        <v>0.17117117117117117</v>
      </c>
      <c r="W893">
        <v>1.5849182515849183E-3</v>
      </c>
      <c r="X893">
        <v>7</v>
      </c>
      <c r="Y893">
        <v>6.3063063063063057E-2</v>
      </c>
      <c r="Z893">
        <v>5.8391725058391721E-4</v>
      </c>
      <c r="AA893">
        <v>0</v>
      </c>
      <c r="AB893">
        <v>0</v>
      </c>
      <c r="AC893">
        <v>0</v>
      </c>
      <c r="AD893">
        <v>17</v>
      </c>
      <c r="AE893">
        <v>0.15315315315315314</v>
      </c>
      <c r="AF893">
        <v>1.4180847514180847E-3</v>
      </c>
    </row>
    <row r="894" spans="1:32" x14ac:dyDescent="0.2">
      <c r="A894">
        <v>2701.0300578703682</v>
      </c>
      <c r="B894">
        <v>7225</v>
      </c>
      <c r="C894">
        <v>363</v>
      </c>
      <c r="D894">
        <v>1069</v>
      </c>
      <c r="E894">
        <v>7</v>
      </c>
      <c r="F894">
        <v>7</v>
      </c>
      <c r="G894">
        <v>70</v>
      </c>
      <c r="H894">
        <v>192</v>
      </c>
      <c r="I894">
        <v>17</v>
      </c>
      <c r="J894">
        <v>342</v>
      </c>
      <c r="K894">
        <v>76</v>
      </c>
      <c r="L894">
        <v>4418</v>
      </c>
      <c r="M894">
        <v>42</v>
      </c>
      <c r="N894">
        <v>9.5065640561339971E-3</v>
      </c>
      <c r="O894">
        <v>23</v>
      </c>
      <c r="P894">
        <v>0.54761904761904767</v>
      </c>
      <c r="Q894">
        <v>5.2059755545495702E-3</v>
      </c>
      <c r="R894">
        <v>0</v>
      </c>
      <c r="S894">
        <v>0</v>
      </c>
      <c r="T894">
        <v>0</v>
      </c>
      <c r="U894">
        <v>14</v>
      </c>
      <c r="V894">
        <v>0.33333333333333331</v>
      </c>
      <c r="W894">
        <v>3.1688546853779992E-3</v>
      </c>
      <c r="X894">
        <v>5</v>
      </c>
      <c r="Y894">
        <v>0.11904761904761904</v>
      </c>
      <c r="Z894">
        <v>1.1317338162064282E-3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">
      <c r="A895">
        <v>4246.4607754629615</v>
      </c>
      <c r="B895">
        <v>1340</v>
      </c>
      <c r="C895">
        <v>103</v>
      </c>
      <c r="D895">
        <v>376</v>
      </c>
      <c r="E895">
        <v>0</v>
      </c>
      <c r="F895">
        <v>21</v>
      </c>
      <c r="G895">
        <v>205</v>
      </c>
      <c r="H895">
        <v>45</v>
      </c>
      <c r="I895">
        <v>1</v>
      </c>
      <c r="J895">
        <v>0</v>
      </c>
      <c r="K895">
        <v>0</v>
      </c>
      <c r="L895">
        <v>83913</v>
      </c>
      <c r="M895">
        <v>382</v>
      </c>
      <c r="N895">
        <v>4.5523339649398784E-3</v>
      </c>
      <c r="O895">
        <v>44</v>
      </c>
      <c r="P895">
        <v>0.11518324607329843</v>
      </c>
      <c r="Q895">
        <v>5.2435260329150427E-4</v>
      </c>
      <c r="R895">
        <v>7</v>
      </c>
      <c r="S895">
        <v>1.832460732984293E-2</v>
      </c>
      <c r="T895">
        <v>8.3419732341830227E-5</v>
      </c>
      <c r="U895">
        <v>85</v>
      </c>
      <c r="V895">
        <v>0.22251308900523561</v>
      </c>
      <c r="W895">
        <v>1.0129538927222243E-3</v>
      </c>
      <c r="X895">
        <v>162</v>
      </c>
      <c r="Y895">
        <v>0.42408376963350786</v>
      </c>
      <c r="Z895">
        <v>1.9305709484823568E-3</v>
      </c>
      <c r="AA895">
        <v>6</v>
      </c>
      <c r="AB895">
        <v>1.5706806282722512E-2</v>
      </c>
      <c r="AC895">
        <v>7.150262772156877E-5</v>
      </c>
      <c r="AD895">
        <v>78</v>
      </c>
      <c r="AE895">
        <v>0.20418848167539266</v>
      </c>
      <c r="AF895">
        <v>9.2953416038039395E-4</v>
      </c>
    </row>
    <row r="896" spans="1:32" x14ac:dyDescent="0.2">
      <c r="A896">
        <v>1029.6153587962981</v>
      </c>
      <c r="B896">
        <v>1968</v>
      </c>
      <c r="C896">
        <v>95</v>
      </c>
      <c r="D896">
        <v>335</v>
      </c>
      <c r="E896">
        <v>0</v>
      </c>
      <c r="F896">
        <v>0</v>
      </c>
      <c r="G896">
        <v>23</v>
      </c>
      <c r="H896">
        <v>176</v>
      </c>
      <c r="I896">
        <v>8</v>
      </c>
      <c r="J896">
        <v>65</v>
      </c>
      <c r="K896">
        <v>22</v>
      </c>
      <c r="L896">
        <v>9853</v>
      </c>
      <c r="M896">
        <v>4</v>
      </c>
      <c r="N896">
        <v>4.0596772556581752E-4</v>
      </c>
      <c r="O896">
        <v>2</v>
      </c>
      <c r="P896">
        <v>0.5</v>
      </c>
      <c r="Q896">
        <v>2.0298386278290876E-4</v>
      </c>
      <c r="R896">
        <v>2</v>
      </c>
      <c r="S896">
        <v>0.5</v>
      </c>
      <c r="T896">
        <v>2.0298386278290876E-4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">
      <c r="A897">
        <v>2256.637037037035</v>
      </c>
      <c r="B897">
        <v>337</v>
      </c>
      <c r="C897">
        <v>48</v>
      </c>
      <c r="D897">
        <v>229</v>
      </c>
      <c r="E897">
        <v>0</v>
      </c>
      <c r="F897">
        <v>65</v>
      </c>
      <c r="G897">
        <v>147</v>
      </c>
      <c r="H897">
        <v>3162</v>
      </c>
      <c r="I897">
        <v>40</v>
      </c>
      <c r="J897">
        <v>0</v>
      </c>
      <c r="K897">
        <v>0</v>
      </c>
      <c r="L897">
        <v>73299</v>
      </c>
      <c r="M897">
        <v>1443</v>
      </c>
      <c r="N897">
        <v>1.9686489583759671E-2</v>
      </c>
      <c r="O897">
        <v>817</v>
      </c>
      <c r="P897">
        <v>0.56618156618156623</v>
      </c>
      <c r="Q897">
        <v>1.1146127505150139E-2</v>
      </c>
      <c r="R897">
        <v>258</v>
      </c>
      <c r="S897">
        <v>0.1787941787941788</v>
      </c>
      <c r="T897">
        <v>3.5198297384684647E-3</v>
      </c>
      <c r="U897">
        <v>143</v>
      </c>
      <c r="V897">
        <v>9.90990990990991E-2</v>
      </c>
      <c r="W897">
        <v>1.9509133821743816E-3</v>
      </c>
      <c r="X897">
        <v>206</v>
      </c>
      <c r="Y897">
        <v>0.14275814275814275</v>
      </c>
      <c r="Z897">
        <v>2.8104066904050531E-3</v>
      </c>
      <c r="AA897">
        <v>5</v>
      </c>
      <c r="AB897">
        <v>3.4650034650034649E-3</v>
      </c>
      <c r="AC897">
        <v>6.8213754621481871E-5</v>
      </c>
      <c r="AD897">
        <v>14</v>
      </c>
      <c r="AE897">
        <v>9.7020097020097014E-3</v>
      </c>
      <c r="AF897">
        <v>1.9099851294014926E-4</v>
      </c>
    </row>
    <row r="898" spans="1:32" x14ac:dyDescent="0.2">
      <c r="A898">
        <v>2152.5882175925944</v>
      </c>
      <c r="B898">
        <v>1266</v>
      </c>
      <c r="C898">
        <v>55</v>
      </c>
      <c r="D898">
        <v>101</v>
      </c>
      <c r="E898">
        <v>0</v>
      </c>
      <c r="F898">
        <v>0</v>
      </c>
      <c r="G898">
        <v>16</v>
      </c>
      <c r="H898">
        <v>440</v>
      </c>
      <c r="I898">
        <v>5</v>
      </c>
      <c r="J898">
        <v>379</v>
      </c>
      <c r="K898">
        <v>110</v>
      </c>
      <c r="L898">
        <v>16073</v>
      </c>
      <c r="M898">
        <v>92</v>
      </c>
      <c r="N898">
        <v>5.7238847757108196E-3</v>
      </c>
      <c r="O898">
        <v>57</v>
      </c>
      <c r="P898">
        <v>0.61956521739130432</v>
      </c>
      <c r="Q898">
        <v>3.5463199153860513E-3</v>
      </c>
      <c r="R898">
        <v>23</v>
      </c>
      <c r="S898">
        <v>0.25</v>
      </c>
      <c r="T898">
        <v>1.4309711939277049E-3</v>
      </c>
      <c r="U898">
        <v>1</v>
      </c>
      <c r="V898">
        <v>1.0869565217391304E-2</v>
      </c>
      <c r="W898">
        <v>6.2216138866421944E-5</v>
      </c>
      <c r="X898">
        <v>11</v>
      </c>
      <c r="Y898">
        <v>0.11956521739130435</v>
      </c>
      <c r="Z898">
        <v>6.8437752753064147E-4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">
      <c r="A899">
        <v>960.68000000000029</v>
      </c>
      <c r="B899">
        <v>436</v>
      </c>
      <c r="C899">
        <v>21</v>
      </c>
      <c r="D899">
        <v>132</v>
      </c>
      <c r="E899">
        <v>0</v>
      </c>
      <c r="F899">
        <v>0</v>
      </c>
      <c r="G899">
        <v>5</v>
      </c>
      <c r="H899">
        <v>15</v>
      </c>
      <c r="I899">
        <v>9</v>
      </c>
      <c r="J899">
        <v>9</v>
      </c>
      <c r="K899">
        <v>5</v>
      </c>
      <c r="L899">
        <v>149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">
      <c r="A900">
        <v>839.53010416666802</v>
      </c>
      <c r="B900">
        <v>437</v>
      </c>
      <c r="C900">
        <v>20</v>
      </c>
      <c r="D900">
        <v>52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18</v>
      </c>
      <c r="K900">
        <v>13</v>
      </c>
      <c r="L900">
        <v>12434</v>
      </c>
      <c r="M900">
        <v>310</v>
      </c>
      <c r="N900">
        <v>2.4931639054206207E-2</v>
      </c>
      <c r="O900">
        <v>3</v>
      </c>
      <c r="P900">
        <v>9.6774193548387101E-3</v>
      </c>
      <c r="Q900">
        <v>2.4127392633102783E-4</v>
      </c>
      <c r="R900">
        <v>293</v>
      </c>
      <c r="S900">
        <v>0.94516129032258067</v>
      </c>
      <c r="T900">
        <v>2.3564420138330384E-2</v>
      </c>
      <c r="U900">
        <v>5</v>
      </c>
      <c r="V900">
        <v>1.6129032258064516E-2</v>
      </c>
      <c r="W900">
        <v>4.0212321055171305E-4</v>
      </c>
      <c r="X900">
        <v>8</v>
      </c>
      <c r="Y900">
        <v>2.5806451612903226E-2</v>
      </c>
      <c r="Z900">
        <v>6.4339713688274091E-4</v>
      </c>
      <c r="AA900">
        <v>0</v>
      </c>
      <c r="AB900">
        <v>0</v>
      </c>
      <c r="AC900">
        <v>0</v>
      </c>
      <c r="AD900">
        <v>1</v>
      </c>
      <c r="AE900">
        <v>3.2258064516129032E-3</v>
      </c>
      <c r="AF900">
        <v>8.0424642110342613E-5</v>
      </c>
    </row>
    <row r="901" spans="1:32" x14ac:dyDescent="0.2">
      <c r="A901">
        <v>1549.4496990740809</v>
      </c>
      <c r="B901">
        <v>1155</v>
      </c>
      <c r="C901">
        <v>87</v>
      </c>
      <c r="D901">
        <v>296</v>
      </c>
      <c r="E901">
        <v>55</v>
      </c>
      <c r="F901">
        <v>6</v>
      </c>
      <c r="G901">
        <v>81</v>
      </c>
      <c r="H901">
        <v>766</v>
      </c>
      <c r="I901">
        <v>9</v>
      </c>
      <c r="J901">
        <v>549</v>
      </c>
      <c r="K901">
        <v>123</v>
      </c>
      <c r="L901">
        <v>15825</v>
      </c>
      <c r="M901">
        <v>77</v>
      </c>
      <c r="N901">
        <v>4.8657187993680889E-3</v>
      </c>
      <c r="O901">
        <v>9</v>
      </c>
      <c r="P901">
        <v>0.11688311688311688</v>
      </c>
      <c r="Q901">
        <v>5.6872037914691947E-4</v>
      </c>
      <c r="R901">
        <v>2</v>
      </c>
      <c r="S901">
        <v>2.5974025974025976E-2</v>
      </c>
      <c r="T901">
        <v>1.2638230647709321E-4</v>
      </c>
      <c r="U901">
        <v>65</v>
      </c>
      <c r="V901">
        <v>0.8441558441558441</v>
      </c>
      <c r="W901">
        <v>4.1074249605055294E-3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1.2987012987012988E-2</v>
      </c>
      <c r="AF901">
        <v>6.3191153238546606E-5</v>
      </c>
    </row>
    <row r="902" spans="1:32" x14ac:dyDescent="0.2">
      <c r="A902">
        <v>1214.9232754629629</v>
      </c>
      <c r="B902">
        <v>439</v>
      </c>
      <c r="C902">
        <v>42</v>
      </c>
      <c r="D902">
        <v>37</v>
      </c>
      <c r="E902">
        <v>3</v>
      </c>
      <c r="F902">
        <v>0</v>
      </c>
      <c r="G902">
        <v>13</v>
      </c>
      <c r="H902">
        <v>197</v>
      </c>
      <c r="I902">
        <v>2</v>
      </c>
      <c r="J902">
        <v>94</v>
      </c>
      <c r="K902">
        <v>29</v>
      </c>
      <c r="L902">
        <v>8894</v>
      </c>
      <c r="M902">
        <v>265</v>
      </c>
      <c r="N902">
        <v>2.9795367663593433E-2</v>
      </c>
      <c r="O902">
        <v>86</v>
      </c>
      <c r="P902">
        <v>0.32452830188679244</v>
      </c>
      <c r="Q902">
        <v>9.6694400719586245E-3</v>
      </c>
      <c r="R902">
        <v>82</v>
      </c>
      <c r="S902">
        <v>0.30943396226415093</v>
      </c>
      <c r="T902">
        <v>9.2196986732628744E-3</v>
      </c>
      <c r="U902">
        <v>20</v>
      </c>
      <c r="V902">
        <v>7.5471698113207544E-2</v>
      </c>
      <c r="W902">
        <v>2.2487069934787498E-3</v>
      </c>
      <c r="X902">
        <v>27</v>
      </c>
      <c r="Y902">
        <v>0.10188679245283019</v>
      </c>
      <c r="Z902">
        <v>3.035754441196312E-3</v>
      </c>
      <c r="AA902">
        <v>0</v>
      </c>
      <c r="AB902">
        <v>0</v>
      </c>
      <c r="AC902">
        <v>0</v>
      </c>
      <c r="AD902">
        <v>50</v>
      </c>
      <c r="AE902">
        <v>0.18867924528301888</v>
      </c>
      <c r="AF902">
        <v>5.621767483696874E-3</v>
      </c>
    </row>
    <row r="903" spans="1:32" x14ac:dyDescent="0.2">
      <c r="A903">
        <v>1812.5958912037022</v>
      </c>
      <c r="B903">
        <v>2561</v>
      </c>
      <c r="C903">
        <v>183</v>
      </c>
      <c r="D903">
        <v>683</v>
      </c>
      <c r="E903">
        <v>0</v>
      </c>
      <c r="F903">
        <v>15</v>
      </c>
      <c r="G903">
        <v>27</v>
      </c>
      <c r="H903">
        <v>74</v>
      </c>
      <c r="I903">
        <v>15</v>
      </c>
      <c r="J903">
        <v>181</v>
      </c>
      <c r="K903">
        <v>101</v>
      </c>
      <c r="L903">
        <v>26486</v>
      </c>
      <c r="M903">
        <v>3</v>
      </c>
      <c r="N903">
        <v>1.1326738654383448E-4</v>
      </c>
      <c r="O903">
        <v>0</v>
      </c>
      <c r="P903">
        <v>0</v>
      </c>
      <c r="Q903">
        <v>0</v>
      </c>
      <c r="R903">
        <v>1</v>
      </c>
      <c r="S903">
        <v>0.33333333333333331</v>
      </c>
      <c r="T903">
        <v>3.7755795514611494E-5</v>
      </c>
      <c r="U903">
        <v>1</v>
      </c>
      <c r="V903">
        <v>0.33333333333333331</v>
      </c>
      <c r="W903">
        <v>3.7755795514611494E-5</v>
      </c>
      <c r="X903">
        <v>1</v>
      </c>
      <c r="Y903">
        <v>0.33333333333333331</v>
      </c>
      <c r="Z903">
        <v>3.7755795514611494E-5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">
      <c r="A904">
        <v>3510.9438078703679</v>
      </c>
      <c r="B904">
        <v>4841</v>
      </c>
      <c r="C904">
        <v>295</v>
      </c>
      <c r="D904">
        <v>1451</v>
      </c>
      <c r="E904">
        <v>2</v>
      </c>
      <c r="F904">
        <v>9</v>
      </c>
      <c r="G904">
        <v>20</v>
      </c>
      <c r="H904">
        <v>45</v>
      </c>
      <c r="I904">
        <v>3</v>
      </c>
      <c r="J904">
        <v>146</v>
      </c>
      <c r="K904">
        <v>59</v>
      </c>
      <c r="L904">
        <v>1100</v>
      </c>
      <c r="M904">
        <v>12</v>
      </c>
      <c r="N904">
        <v>1.090909090909091E-2</v>
      </c>
      <c r="O904">
        <v>5</v>
      </c>
      <c r="P904">
        <v>0.41666666666666669</v>
      </c>
      <c r="Q904">
        <v>4.5454545454545452E-3</v>
      </c>
      <c r="R904">
        <v>4</v>
      </c>
      <c r="S904">
        <v>0.33333333333333331</v>
      </c>
      <c r="T904">
        <v>3.6363636363636364E-3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3</v>
      </c>
      <c r="AE904">
        <v>0.25</v>
      </c>
      <c r="AF904">
        <v>2.7272727272727275E-3</v>
      </c>
    </row>
    <row r="905" spans="1:32" x14ac:dyDescent="0.2">
      <c r="A905">
        <v>410.04837962963211</v>
      </c>
      <c r="B905">
        <v>785</v>
      </c>
      <c r="C905">
        <v>20</v>
      </c>
      <c r="D905">
        <v>82</v>
      </c>
      <c r="E905">
        <v>1</v>
      </c>
      <c r="F905">
        <v>0</v>
      </c>
      <c r="G905">
        <v>16</v>
      </c>
      <c r="H905">
        <v>76</v>
      </c>
      <c r="I905">
        <v>18</v>
      </c>
      <c r="J905">
        <v>137</v>
      </c>
      <c r="K905">
        <v>49</v>
      </c>
      <c r="L905">
        <v>1987</v>
      </c>
      <c r="M905">
        <v>1</v>
      </c>
      <c r="N905">
        <v>5.0327126321087065E-4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5.0327126321087065E-4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">
      <c r="A906">
        <v>1492.3429861111072</v>
      </c>
      <c r="B906">
        <v>5450</v>
      </c>
      <c r="C906">
        <v>138</v>
      </c>
      <c r="D906">
        <v>443</v>
      </c>
      <c r="E906">
        <v>3</v>
      </c>
      <c r="F906">
        <v>7</v>
      </c>
      <c r="G906">
        <v>79</v>
      </c>
      <c r="H906">
        <v>276</v>
      </c>
      <c r="I906">
        <v>37</v>
      </c>
      <c r="J906">
        <v>423</v>
      </c>
      <c r="K906">
        <v>200</v>
      </c>
      <c r="L906">
        <v>35615</v>
      </c>
      <c r="M906">
        <v>133</v>
      </c>
      <c r="N906">
        <v>3.7343815807946092E-3</v>
      </c>
      <c r="O906">
        <v>8</v>
      </c>
      <c r="P906">
        <v>6.0150375939849621E-2</v>
      </c>
      <c r="Q906">
        <v>2.2462445598764566E-4</v>
      </c>
      <c r="R906">
        <v>72</v>
      </c>
      <c r="S906">
        <v>0.54135338345864659</v>
      </c>
      <c r="T906">
        <v>2.0216201038888108E-3</v>
      </c>
      <c r="U906">
        <v>24</v>
      </c>
      <c r="V906">
        <v>0.18045112781954886</v>
      </c>
      <c r="W906">
        <v>6.7387336796293699E-4</v>
      </c>
      <c r="X906">
        <v>14</v>
      </c>
      <c r="Y906">
        <v>0.10526315789473684</v>
      </c>
      <c r="Z906">
        <v>3.9309279797837988E-4</v>
      </c>
      <c r="AA906">
        <v>2</v>
      </c>
      <c r="AB906">
        <v>1.5037593984962405E-2</v>
      </c>
      <c r="AC906">
        <v>5.6156113996911414E-5</v>
      </c>
      <c r="AD906">
        <v>13</v>
      </c>
      <c r="AE906">
        <v>9.7744360902255634E-2</v>
      </c>
      <c r="AF906">
        <v>3.6501474097992421E-4</v>
      </c>
    </row>
    <row r="907" spans="1:32" x14ac:dyDescent="0.2">
      <c r="A907">
        <v>2063.829016203701</v>
      </c>
      <c r="B907">
        <v>1504</v>
      </c>
      <c r="C907">
        <v>32</v>
      </c>
      <c r="D907">
        <v>157</v>
      </c>
      <c r="E907">
        <v>52</v>
      </c>
      <c r="F907">
        <v>5</v>
      </c>
      <c r="G907">
        <v>59</v>
      </c>
      <c r="H907">
        <v>299</v>
      </c>
      <c r="I907">
        <v>4</v>
      </c>
      <c r="J907">
        <v>260</v>
      </c>
      <c r="K907">
        <v>46</v>
      </c>
      <c r="L907">
        <v>38571</v>
      </c>
      <c r="M907">
        <v>28</v>
      </c>
      <c r="N907">
        <v>7.259339918591688E-4</v>
      </c>
      <c r="O907">
        <v>0</v>
      </c>
      <c r="P907">
        <v>0</v>
      </c>
      <c r="Q907">
        <v>0</v>
      </c>
      <c r="R907">
        <v>1</v>
      </c>
      <c r="S907">
        <v>3.5714285714285712E-2</v>
      </c>
      <c r="T907">
        <v>2.5926213994970316E-5</v>
      </c>
      <c r="U907">
        <v>27</v>
      </c>
      <c r="V907">
        <v>0.9642857142857143</v>
      </c>
      <c r="W907">
        <v>7.000077778641985E-4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">
      <c r="A908">
        <v>1705.0499884259189</v>
      </c>
      <c r="B908">
        <v>2797</v>
      </c>
      <c r="C908">
        <v>282</v>
      </c>
      <c r="D908">
        <v>1523</v>
      </c>
      <c r="E908">
        <v>4</v>
      </c>
      <c r="F908">
        <v>356</v>
      </c>
      <c r="G908">
        <v>348</v>
      </c>
      <c r="H908">
        <v>1351</v>
      </c>
      <c r="I908">
        <v>37</v>
      </c>
      <c r="J908">
        <v>1202</v>
      </c>
      <c r="K908">
        <v>31</v>
      </c>
      <c r="L908">
        <v>6104</v>
      </c>
      <c r="M908">
        <v>409</v>
      </c>
      <c r="N908">
        <v>6.7005242463958059E-2</v>
      </c>
      <c r="O908">
        <v>135</v>
      </c>
      <c r="P908">
        <v>0.33007334963325186</v>
      </c>
      <c r="Q908">
        <v>2.2116644823066842E-2</v>
      </c>
      <c r="R908">
        <v>149</v>
      </c>
      <c r="S908">
        <v>0.36430317848410759</v>
      </c>
      <c r="T908">
        <v>2.4410222804718218E-2</v>
      </c>
      <c r="U908">
        <v>52</v>
      </c>
      <c r="V908">
        <v>0.12713936430317849</v>
      </c>
      <c r="W908">
        <v>8.5190039318479693E-3</v>
      </c>
      <c r="X908">
        <v>30</v>
      </c>
      <c r="Y908">
        <v>7.3349633251833746E-2</v>
      </c>
      <c r="Z908">
        <v>4.9148099606815205E-3</v>
      </c>
      <c r="AA908">
        <v>15</v>
      </c>
      <c r="AB908">
        <v>3.6674816625916873E-2</v>
      </c>
      <c r="AC908">
        <v>2.4574049803407602E-3</v>
      </c>
      <c r="AD908">
        <v>28</v>
      </c>
      <c r="AE908">
        <v>6.8459657701711488E-2</v>
      </c>
      <c r="AF908">
        <v>4.5871559633027525E-3</v>
      </c>
    </row>
    <row r="909" spans="1:32" x14ac:dyDescent="0.2">
      <c r="A909">
        <v>1070.1384953703673</v>
      </c>
      <c r="B909">
        <v>404</v>
      </c>
      <c r="C909">
        <v>22</v>
      </c>
      <c r="D909">
        <v>72</v>
      </c>
      <c r="E909">
        <v>0</v>
      </c>
      <c r="F909">
        <v>0</v>
      </c>
      <c r="G909">
        <v>9</v>
      </c>
      <c r="H909">
        <v>0</v>
      </c>
      <c r="I909">
        <v>0</v>
      </c>
      <c r="J909">
        <v>12</v>
      </c>
      <c r="K909">
        <v>10</v>
      </c>
      <c r="L909">
        <v>9312</v>
      </c>
      <c r="M909">
        <v>166</v>
      </c>
      <c r="N909">
        <v>1.7826460481099655E-2</v>
      </c>
      <c r="O909">
        <v>26</v>
      </c>
      <c r="P909">
        <v>0.15662650602409639</v>
      </c>
      <c r="Q909">
        <v>2.7920962199312715E-3</v>
      </c>
      <c r="R909">
        <v>118</v>
      </c>
      <c r="S909">
        <v>0.71084337349397586</v>
      </c>
      <c r="T909">
        <v>1.2671821305841924E-2</v>
      </c>
      <c r="U909">
        <v>19</v>
      </c>
      <c r="V909">
        <v>0.1144578313253012</v>
      </c>
      <c r="W909">
        <v>2.0403780068728524E-3</v>
      </c>
      <c r="X909">
        <v>2</v>
      </c>
      <c r="Y909">
        <v>1.2048192771084338E-2</v>
      </c>
      <c r="Z909">
        <v>2.1477663230240549E-4</v>
      </c>
      <c r="AA909">
        <v>1</v>
      </c>
      <c r="AB909">
        <v>6.024096385542169E-3</v>
      </c>
      <c r="AC909">
        <v>1.0738831615120275E-4</v>
      </c>
      <c r="AD909">
        <v>0</v>
      </c>
      <c r="AE909">
        <v>0</v>
      </c>
      <c r="AF909">
        <v>0</v>
      </c>
    </row>
    <row r="910" spans="1:32" x14ac:dyDescent="0.2">
      <c r="A910">
        <v>2713.6778935185139</v>
      </c>
      <c r="B910">
        <v>2119</v>
      </c>
      <c r="C910">
        <v>128</v>
      </c>
      <c r="D910">
        <v>1698</v>
      </c>
      <c r="E910">
        <v>0</v>
      </c>
      <c r="F910">
        <v>7</v>
      </c>
      <c r="G910">
        <v>261</v>
      </c>
      <c r="H910">
        <v>481</v>
      </c>
      <c r="I910">
        <v>9</v>
      </c>
      <c r="J910">
        <v>98</v>
      </c>
      <c r="K910">
        <v>31</v>
      </c>
      <c r="L910">
        <v>9984</v>
      </c>
      <c r="M910">
        <v>101</v>
      </c>
      <c r="N910">
        <v>1.0116185897435898E-2</v>
      </c>
      <c r="O910">
        <v>78</v>
      </c>
      <c r="P910">
        <v>0.7722772277227723</v>
      </c>
      <c r="Q910">
        <v>7.8125E-3</v>
      </c>
      <c r="R910">
        <v>3</v>
      </c>
      <c r="S910">
        <v>2.9702970297029702E-2</v>
      </c>
      <c r="T910">
        <v>3.0048076923076925E-4</v>
      </c>
      <c r="U910">
        <v>5</v>
      </c>
      <c r="V910">
        <v>4.9504950495049507E-2</v>
      </c>
      <c r="W910">
        <v>5.0080128205128201E-4</v>
      </c>
      <c r="X910">
        <v>11</v>
      </c>
      <c r="Y910">
        <v>0.10891089108910891</v>
      </c>
      <c r="Z910">
        <v>1.1017628205128205E-3</v>
      </c>
      <c r="AA910">
        <v>0</v>
      </c>
      <c r="AB910">
        <v>0</v>
      </c>
      <c r="AC910">
        <v>0</v>
      </c>
      <c r="AD910">
        <v>4</v>
      </c>
      <c r="AE910">
        <v>3.9603960396039604E-2</v>
      </c>
      <c r="AF910">
        <v>4.0064102564102563E-4</v>
      </c>
    </row>
    <row r="911" spans="1:32" x14ac:dyDescent="0.2">
      <c r="A911">
        <v>810.16569444444031</v>
      </c>
      <c r="B911">
        <v>402</v>
      </c>
      <c r="C911">
        <v>13</v>
      </c>
      <c r="D911">
        <v>61</v>
      </c>
      <c r="E911">
        <v>7</v>
      </c>
      <c r="F911">
        <v>0</v>
      </c>
      <c r="G911">
        <v>54</v>
      </c>
      <c r="H911">
        <v>3</v>
      </c>
      <c r="I911">
        <v>2</v>
      </c>
      <c r="J911">
        <v>8</v>
      </c>
      <c r="K911">
        <v>5</v>
      </c>
      <c r="L911">
        <v>87670</v>
      </c>
      <c r="M911">
        <v>1205</v>
      </c>
      <c r="N911">
        <v>1.3744724535188777E-2</v>
      </c>
      <c r="O911">
        <v>381</v>
      </c>
      <c r="P911">
        <v>0.31618257261410787</v>
      </c>
      <c r="Q911">
        <v>4.3458423634082357E-3</v>
      </c>
      <c r="R911">
        <v>340</v>
      </c>
      <c r="S911">
        <v>0.28215767634854771</v>
      </c>
      <c r="T911">
        <v>3.8781795368997376E-3</v>
      </c>
      <c r="U911">
        <v>21</v>
      </c>
      <c r="V911">
        <v>1.7427385892116183E-2</v>
      </c>
      <c r="W911">
        <v>2.3953461845557203E-4</v>
      </c>
      <c r="X911">
        <v>364</v>
      </c>
      <c r="Y911">
        <v>0.30207468879668048</v>
      </c>
      <c r="Z911">
        <v>4.1519333865632484E-3</v>
      </c>
      <c r="AA911">
        <v>99</v>
      </c>
      <c r="AB911">
        <v>8.2157676348547717E-2</v>
      </c>
      <c r="AC911">
        <v>1.1292346298619825E-3</v>
      </c>
      <c r="AD911">
        <v>0</v>
      </c>
      <c r="AE911">
        <v>0</v>
      </c>
      <c r="AF911">
        <v>0</v>
      </c>
    </row>
    <row r="912" spans="1:32" x14ac:dyDescent="0.2">
      <c r="A912">
        <v>1130.4618750000009</v>
      </c>
      <c r="B912">
        <v>721</v>
      </c>
      <c r="C912">
        <v>36</v>
      </c>
      <c r="D912">
        <v>157</v>
      </c>
      <c r="E912">
        <v>55</v>
      </c>
      <c r="F912">
        <v>5</v>
      </c>
      <c r="G912">
        <v>55</v>
      </c>
      <c r="H912">
        <v>1366</v>
      </c>
      <c r="I912">
        <v>11</v>
      </c>
      <c r="J912">
        <v>1333</v>
      </c>
      <c r="K912">
        <v>348</v>
      </c>
      <c r="L912">
        <v>45717</v>
      </c>
      <c r="M912">
        <v>535</v>
      </c>
      <c r="N912">
        <v>1.1702430168208763E-2</v>
      </c>
      <c r="O912">
        <v>199</v>
      </c>
      <c r="P912">
        <v>0.37196261682242993</v>
      </c>
      <c r="Q912">
        <v>4.3528665485486799E-3</v>
      </c>
      <c r="R912">
        <v>41</v>
      </c>
      <c r="S912">
        <v>7.6635514018691592E-2</v>
      </c>
      <c r="T912">
        <v>8.9682175120852205E-4</v>
      </c>
      <c r="U912">
        <v>76</v>
      </c>
      <c r="V912">
        <v>0.14205607476635515</v>
      </c>
      <c r="W912">
        <v>1.6624012949231139E-3</v>
      </c>
      <c r="X912">
        <v>204</v>
      </c>
      <c r="Y912">
        <v>0.38130841121495329</v>
      </c>
      <c r="Z912">
        <v>4.4622350547936221E-3</v>
      </c>
      <c r="AA912">
        <v>15</v>
      </c>
      <c r="AB912">
        <v>2.8037383177570093E-2</v>
      </c>
      <c r="AC912">
        <v>3.2810551873482514E-4</v>
      </c>
      <c r="AD912">
        <v>0</v>
      </c>
      <c r="AE912">
        <v>0</v>
      </c>
      <c r="AF912">
        <v>0</v>
      </c>
    </row>
    <row r="913" spans="1:32" x14ac:dyDescent="0.2">
      <c r="A913">
        <v>3433.5952430555553</v>
      </c>
      <c r="B913">
        <v>7624</v>
      </c>
      <c r="C913">
        <v>215</v>
      </c>
      <c r="D913">
        <v>1197</v>
      </c>
      <c r="E913">
        <v>14</v>
      </c>
      <c r="F913">
        <v>66</v>
      </c>
      <c r="G913">
        <v>202</v>
      </c>
      <c r="H913">
        <v>603</v>
      </c>
      <c r="I913">
        <v>11</v>
      </c>
      <c r="J913">
        <v>830</v>
      </c>
      <c r="K913">
        <v>138</v>
      </c>
      <c r="L913">
        <v>7464</v>
      </c>
      <c r="M913">
        <v>60</v>
      </c>
      <c r="N913">
        <v>8.0385852090032149E-3</v>
      </c>
      <c r="O913">
        <v>15</v>
      </c>
      <c r="P913">
        <v>0.25</v>
      </c>
      <c r="Q913">
        <v>2.0096463022508037E-3</v>
      </c>
      <c r="R913">
        <v>30</v>
      </c>
      <c r="S913">
        <v>0.5</v>
      </c>
      <c r="T913">
        <v>4.0192926045016075E-3</v>
      </c>
      <c r="U913">
        <v>11</v>
      </c>
      <c r="V913">
        <v>0.18333333333333332</v>
      </c>
      <c r="W913">
        <v>1.4737406216505896E-3</v>
      </c>
      <c r="X913">
        <v>4</v>
      </c>
      <c r="Y913">
        <v>6.6666666666666666E-2</v>
      </c>
      <c r="Z913">
        <v>5.3590568060021436E-4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">
      <c r="A914">
        <v>1325.8473032407346</v>
      </c>
      <c r="B914">
        <v>12332</v>
      </c>
      <c r="C914">
        <v>166</v>
      </c>
      <c r="D914">
        <v>273</v>
      </c>
      <c r="E914">
        <v>50</v>
      </c>
      <c r="F914">
        <v>26</v>
      </c>
      <c r="G914">
        <v>11</v>
      </c>
      <c r="H914">
        <v>48</v>
      </c>
      <c r="I914">
        <v>0</v>
      </c>
      <c r="J914">
        <v>315</v>
      </c>
      <c r="K914">
        <v>54</v>
      </c>
      <c r="L914">
        <v>6425</v>
      </c>
      <c r="M914">
        <v>16</v>
      </c>
      <c r="N914">
        <v>2.4902723735408562E-3</v>
      </c>
      <c r="O914">
        <v>5</v>
      </c>
      <c r="P914">
        <v>0.3125</v>
      </c>
      <c r="Q914">
        <v>7.7821011673151756E-4</v>
      </c>
      <c r="R914">
        <v>6</v>
      </c>
      <c r="S914">
        <v>0.375</v>
      </c>
      <c r="T914">
        <v>9.3385214007782097E-4</v>
      </c>
      <c r="U914">
        <v>0</v>
      </c>
      <c r="V914">
        <v>0</v>
      </c>
      <c r="W914">
        <v>0</v>
      </c>
      <c r="X914">
        <v>5</v>
      </c>
      <c r="Y914">
        <v>0.3125</v>
      </c>
      <c r="Z914">
        <v>7.7821011673151756E-4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">
      <c r="A915">
        <v>2653.2900000000009</v>
      </c>
      <c r="B915">
        <v>1379</v>
      </c>
      <c r="C915">
        <v>127</v>
      </c>
      <c r="D915">
        <v>382</v>
      </c>
      <c r="E915">
        <v>29</v>
      </c>
      <c r="F915">
        <v>4</v>
      </c>
      <c r="G915">
        <v>16</v>
      </c>
      <c r="H915">
        <v>113</v>
      </c>
      <c r="I915">
        <v>5</v>
      </c>
      <c r="J915">
        <v>344</v>
      </c>
      <c r="K915">
        <v>7</v>
      </c>
      <c r="L915">
        <v>20180</v>
      </c>
      <c r="M915">
        <v>506</v>
      </c>
      <c r="N915">
        <v>2.5074331020812687E-2</v>
      </c>
      <c r="O915">
        <v>145</v>
      </c>
      <c r="P915">
        <v>0.2865612648221344</v>
      </c>
      <c r="Q915">
        <v>7.1853320118929632E-3</v>
      </c>
      <c r="R915">
        <v>99</v>
      </c>
      <c r="S915">
        <v>0.19565217391304349</v>
      </c>
      <c r="T915">
        <v>4.9058473736372649E-3</v>
      </c>
      <c r="U915">
        <v>177</v>
      </c>
      <c r="V915">
        <v>0.34980237154150196</v>
      </c>
      <c r="W915">
        <v>8.7710604558969285E-3</v>
      </c>
      <c r="X915">
        <v>68</v>
      </c>
      <c r="Y915">
        <v>0.13438735177865613</v>
      </c>
      <c r="Z915">
        <v>3.3696729435084244E-3</v>
      </c>
      <c r="AA915">
        <v>16</v>
      </c>
      <c r="AB915">
        <v>3.1620553359683792E-2</v>
      </c>
      <c r="AC915">
        <v>7.9286422200198212E-4</v>
      </c>
      <c r="AD915">
        <v>1</v>
      </c>
      <c r="AE915">
        <v>1.976284584980237E-3</v>
      </c>
      <c r="AF915">
        <v>4.9554013875123883E-5</v>
      </c>
    </row>
    <row r="916" spans="1:32" x14ac:dyDescent="0.2">
      <c r="A916">
        <v>1694.3410185185203</v>
      </c>
      <c r="B916">
        <v>384</v>
      </c>
      <c r="C916">
        <v>19</v>
      </c>
      <c r="D916">
        <v>110</v>
      </c>
      <c r="E916">
        <v>0</v>
      </c>
      <c r="F916">
        <v>0</v>
      </c>
      <c r="G916">
        <v>3</v>
      </c>
      <c r="H916">
        <v>16</v>
      </c>
      <c r="I916">
        <v>0</v>
      </c>
      <c r="J916">
        <v>14</v>
      </c>
      <c r="K916">
        <v>0</v>
      </c>
      <c r="L916">
        <v>122</v>
      </c>
      <c r="M916">
        <v>3</v>
      </c>
      <c r="N916">
        <v>2.4590163934426229E-2</v>
      </c>
      <c r="O916">
        <v>0</v>
      </c>
      <c r="P916">
        <v>0</v>
      </c>
      <c r="Q916">
        <v>0</v>
      </c>
      <c r="R916">
        <v>3</v>
      </c>
      <c r="S916">
        <v>1</v>
      </c>
      <c r="T916">
        <v>2.4590163934426229E-2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">
      <c r="A917">
        <v>1646.0241782407393</v>
      </c>
      <c r="B917">
        <v>8439</v>
      </c>
      <c r="C917">
        <v>428</v>
      </c>
      <c r="D917">
        <v>1410</v>
      </c>
      <c r="E917">
        <v>0</v>
      </c>
      <c r="F917">
        <v>0</v>
      </c>
      <c r="G917">
        <v>24</v>
      </c>
      <c r="H917">
        <v>58</v>
      </c>
      <c r="I917">
        <v>0</v>
      </c>
      <c r="J917">
        <v>22</v>
      </c>
      <c r="K917">
        <v>6</v>
      </c>
      <c r="L917">
        <v>2970</v>
      </c>
      <c r="M917">
        <v>15</v>
      </c>
      <c r="N917">
        <v>5.0505050505050509E-3</v>
      </c>
      <c r="O917">
        <v>3</v>
      </c>
      <c r="P917">
        <v>0.2</v>
      </c>
      <c r="Q917">
        <v>1.0101010101010101E-3</v>
      </c>
      <c r="R917">
        <v>12</v>
      </c>
      <c r="S917">
        <v>0.8</v>
      </c>
      <c r="T917">
        <v>4.0404040404040404E-3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">
      <c r="A918">
        <v>1280.3962384259285</v>
      </c>
      <c r="B918">
        <v>10660</v>
      </c>
      <c r="C918">
        <v>236</v>
      </c>
      <c r="D918">
        <v>1784</v>
      </c>
      <c r="E918">
        <v>23</v>
      </c>
      <c r="F918">
        <v>22</v>
      </c>
      <c r="G918">
        <v>136</v>
      </c>
      <c r="H918">
        <v>318</v>
      </c>
      <c r="I918">
        <v>19</v>
      </c>
      <c r="J918">
        <v>1913</v>
      </c>
      <c r="K918">
        <v>739</v>
      </c>
      <c r="L918">
        <v>24605</v>
      </c>
      <c r="M918">
        <v>10</v>
      </c>
      <c r="N918">
        <v>4.06421459053038E-4</v>
      </c>
      <c r="O918">
        <v>3</v>
      </c>
      <c r="P918">
        <v>0.3</v>
      </c>
      <c r="Q918">
        <v>1.2192643771591141E-4</v>
      </c>
      <c r="R918">
        <v>0</v>
      </c>
      <c r="S918">
        <v>0</v>
      </c>
      <c r="T918">
        <v>0</v>
      </c>
      <c r="U918">
        <v>7</v>
      </c>
      <c r="V918">
        <v>0.7</v>
      </c>
      <c r="W918">
        <v>2.8449502133712662E-4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">
      <c r="A919">
        <v>3232.5163078703699</v>
      </c>
      <c r="B919">
        <v>689</v>
      </c>
      <c r="C919">
        <v>28</v>
      </c>
      <c r="D919">
        <v>64</v>
      </c>
      <c r="E919">
        <v>0</v>
      </c>
      <c r="F919">
        <v>0</v>
      </c>
      <c r="G919">
        <v>6</v>
      </c>
      <c r="H919">
        <v>9</v>
      </c>
      <c r="I919">
        <v>1</v>
      </c>
      <c r="J919">
        <v>23</v>
      </c>
      <c r="K919">
        <v>3</v>
      </c>
      <c r="L919">
        <v>337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">
      <c r="A920">
        <v>2094.9167592592567</v>
      </c>
      <c r="B920">
        <v>738</v>
      </c>
      <c r="C920">
        <v>28</v>
      </c>
      <c r="D920">
        <v>75</v>
      </c>
      <c r="E920">
        <v>17</v>
      </c>
      <c r="F920">
        <v>4</v>
      </c>
      <c r="G920">
        <v>33</v>
      </c>
      <c r="H920">
        <v>97</v>
      </c>
      <c r="I920">
        <v>1</v>
      </c>
      <c r="J920">
        <v>148</v>
      </c>
      <c r="K920">
        <v>12</v>
      </c>
      <c r="L920">
        <v>14519</v>
      </c>
      <c r="M920">
        <v>407</v>
      </c>
      <c r="N920">
        <v>2.8032233624905298E-2</v>
      </c>
      <c r="O920">
        <v>193</v>
      </c>
      <c r="P920">
        <v>0.47420147420147418</v>
      </c>
      <c r="Q920">
        <v>1.3292926510090227E-2</v>
      </c>
      <c r="R920">
        <v>116</v>
      </c>
      <c r="S920">
        <v>0.28501228501228504</v>
      </c>
      <c r="T920">
        <v>7.9895309594324674E-3</v>
      </c>
      <c r="U920">
        <v>64</v>
      </c>
      <c r="V920">
        <v>0.15724815724815724</v>
      </c>
      <c r="W920">
        <v>4.4080170810661895E-3</v>
      </c>
      <c r="X920">
        <v>33</v>
      </c>
      <c r="Y920">
        <v>8.1081081081081086E-2</v>
      </c>
      <c r="Z920">
        <v>2.2728838074247536E-3</v>
      </c>
      <c r="AA920">
        <v>0</v>
      </c>
      <c r="AB920">
        <v>0</v>
      </c>
      <c r="AC920">
        <v>0</v>
      </c>
      <c r="AD920">
        <v>1</v>
      </c>
      <c r="AE920">
        <v>2.4570024570024569E-3</v>
      </c>
      <c r="AF920">
        <v>6.8875266891659212E-5</v>
      </c>
    </row>
    <row r="921" spans="1:32" x14ac:dyDescent="0.2">
      <c r="A921">
        <v>1388.7796990740753</v>
      </c>
      <c r="B921">
        <v>1330</v>
      </c>
      <c r="C921">
        <v>58</v>
      </c>
      <c r="D921">
        <v>212</v>
      </c>
      <c r="E921">
        <v>4</v>
      </c>
      <c r="F921">
        <v>0</v>
      </c>
      <c r="G921">
        <v>6</v>
      </c>
      <c r="H921">
        <v>35</v>
      </c>
      <c r="I921">
        <v>2</v>
      </c>
      <c r="J921">
        <v>72</v>
      </c>
      <c r="K921">
        <v>23</v>
      </c>
      <c r="L921">
        <v>415</v>
      </c>
      <c r="M921">
        <v>6</v>
      </c>
      <c r="N921">
        <v>1.4457831325301205E-2</v>
      </c>
      <c r="O921">
        <v>1</v>
      </c>
      <c r="P921">
        <v>0.16666666666666666</v>
      </c>
      <c r="Q921">
        <v>2.4096385542168677E-3</v>
      </c>
      <c r="R921">
        <v>2</v>
      </c>
      <c r="S921">
        <v>0.33333333333333331</v>
      </c>
      <c r="T921">
        <v>4.8192771084337354E-3</v>
      </c>
      <c r="U921">
        <v>0</v>
      </c>
      <c r="V921">
        <v>0</v>
      </c>
      <c r="W921">
        <v>0</v>
      </c>
      <c r="X921">
        <v>3</v>
      </c>
      <c r="Y921">
        <v>0.5</v>
      </c>
      <c r="Z921">
        <v>7.2289156626506026E-3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">
      <c r="A922">
        <v>940.02828703703562</v>
      </c>
      <c r="B922">
        <v>564</v>
      </c>
      <c r="C922">
        <v>165</v>
      </c>
      <c r="D922">
        <v>123</v>
      </c>
      <c r="E922">
        <v>0</v>
      </c>
      <c r="F922">
        <v>3</v>
      </c>
      <c r="G922">
        <v>0</v>
      </c>
      <c r="H922">
        <v>3</v>
      </c>
      <c r="I922">
        <v>0</v>
      </c>
      <c r="J922">
        <v>17</v>
      </c>
      <c r="K922">
        <v>15</v>
      </c>
      <c r="L922">
        <v>36966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">
      <c r="A923">
        <v>3225.2781944444432</v>
      </c>
      <c r="B923">
        <v>1456</v>
      </c>
      <c r="C923">
        <v>122</v>
      </c>
      <c r="D923">
        <v>360</v>
      </c>
      <c r="E923">
        <v>6</v>
      </c>
      <c r="F923">
        <v>6</v>
      </c>
      <c r="G923">
        <v>556</v>
      </c>
      <c r="H923">
        <v>66</v>
      </c>
      <c r="I923">
        <v>0</v>
      </c>
      <c r="J923">
        <v>34</v>
      </c>
      <c r="K923">
        <v>0</v>
      </c>
      <c r="L923">
        <v>446058</v>
      </c>
      <c r="M923">
        <v>227</v>
      </c>
      <c r="N923">
        <v>5.0890242972886934E-4</v>
      </c>
      <c r="O923">
        <v>75</v>
      </c>
      <c r="P923">
        <v>0.33039647577092512</v>
      </c>
      <c r="Q923">
        <v>1.6813956929367929E-4</v>
      </c>
      <c r="R923">
        <v>76</v>
      </c>
      <c r="S923">
        <v>0.33480176211453744</v>
      </c>
      <c r="T923">
        <v>1.7038143021759502E-4</v>
      </c>
      <c r="U923">
        <v>59</v>
      </c>
      <c r="V923">
        <v>0.25991189427312777</v>
      </c>
      <c r="W923">
        <v>1.3226979451102771E-4</v>
      </c>
      <c r="X923">
        <v>13</v>
      </c>
      <c r="Y923">
        <v>5.7268722466960353E-2</v>
      </c>
      <c r="Z923">
        <v>2.914419201090441E-5</v>
      </c>
      <c r="AA923">
        <v>4</v>
      </c>
      <c r="AB923">
        <v>1.7621145374449341E-2</v>
      </c>
      <c r="AC923">
        <v>8.9674436956628953E-6</v>
      </c>
      <c r="AD923">
        <v>0</v>
      </c>
      <c r="AE923">
        <v>0</v>
      </c>
      <c r="AF923">
        <v>0</v>
      </c>
    </row>
    <row r="924" spans="1:32" x14ac:dyDescent="0.2">
      <c r="A924">
        <v>3396.672743055562</v>
      </c>
      <c r="B924">
        <v>333</v>
      </c>
      <c r="C924">
        <v>45</v>
      </c>
      <c r="D924">
        <v>506</v>
      </c>
      <c r="E924">
        <v>0</v>
      </c>
      <c r="F924">
        <v>1529</v>
      </c>
      <c r="G924">
        <v>78</v>
      </c>
      <c r="H924">
        <v>1432</v>
      </c>
      <c r="I924">
        <v>70</v>
      </c>
      <c r="J924">
        <v>129</v>
      </c>
      <c r="K924">
        <v>23</v>
      </c>
      <c r="L924">
        <v>257567</v>
      </c>
      <c r="M924">
        <v>1039</v>
      </c>
      <c r="N924">
        <v>4.0339018585455431E-3</v>
      </c>
      <c r="O924">
        <v>99</v>
      </c>
      <c r="P924">
        <v>9.528392685274302E-2</v>
      </c>
      <c r="Q924">
        <v>3.8436600962079767E-4</v>
      </c>
      <c r="R924">
        <v>42</v>
      </c>
      <c r="S924">
        <v>4.0423484119345522E-2</v>
      </c>
      <c r="T924">
        <v>1.6306436771791418E-4</v>
      </c>
      <c r="U924">
        <v>118</v>
      </c>
      <c r="V924">
        <v>0.11357074109720885</v>
      </c>
      <c r="W924">
        <v>4.5813322358842555E-4</v>
      </c>
      <c r="X924">
        <v>777</v>
      </c>
      <c r="Y924">
        <v>0.74783445620789224</v>
      </c>
      <c r="Z924">
        <v>3.0166908027814123E-3</v>
      </c>
      <c r="AA924">
        <v>3</v>
      </c>
      <c r="AB924">
        <v>2.8873917228103944E-3</v>
      </c>
      <c r="AC924">
        <v>1.1647454836993869E-5</v>
      </c>
      <c r="AD924">
        <v>0</v>
      </c>
      <c r="AE924">
        <v>0</v>
      </c>
      <c r="AF924">
        <v>0</v>
      </c>
    </row>
    <row r="925" spans="1:32" x14ac:dyDescent="0.2">
      <c r="A925">
        <v>1336.4806249999965</v>
      </c>
      <c r="B925">
        <v>465</v>
      </c>
      <c r="C925">
        <v>24</v>
      </c>
      <c r="D925">
        <v>88</v>
      </c>
      <c r="E925">
        <v>0</v>
      </c>
      <c r="F925">
        <v>0</v>
      </c>
      <c r="G925">
        <v>4</v>
      </c>
      <c r="H925">
        <v>5</v>
      </c>
      <c r="I925">
        <v>0</v>
      </c>
      <c r="J925">
        <v>20</v>
      </c>
      <c r="K925">
        <v>5</v>
      </c>
      <c r="L925">
        <v>1357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">
      <c r="A926">
        <v>930.58412037037488</v>
      </c>
      <c r="B926">
        <v>397</v>
      </c>
      <c r="C926">
        <v>24</v>
      </c>
      <c r="D926">
        <v>58</v>
      </c>
      <c r="E926">
        <v>0</v>
      </c>
      <c r="F926">
        <v>0</v>
      </c>
      <c r="G926">
        <v>5</v>
      </c>
      <c r="H926">
        <v>7</v>
      </c>
      <c r="I926">
        <v>3</v>
      </c>
      <c r="J926">
        <v>6</v>
      </c>
      <c r="K926">
        <v>3</v>
      </c>
      <c r="L926">
        <v>374</v>
      </c>
      <c r="M926">
        <v>6</v>
      </c>
      <c r="N926">
        <v>1.6042780748663103E-2</v>
      </c>
      <c r="O926">
        <v>0</v>
      </c>
      <c r="P926">
        <v>0</v>
      </c>
      <c r="Q926">
        <v>0</v>
      </c>
      <c r="R926">
        <v>6</v>
      </c>
      <c r="S926">
        <v>1</v>
      </c>
      <c r="T926">
        <v>1.6042780748663103E-2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">
      <c r="A927">
        <v>566.89052083333809</v>
      </c>
      <c r="B927">
        <v>1311</v>
      </c>
      <c r="C927">
        <v>17</v>
      </c>
      <c r="D927">
        <v>80</v>
      </c>
      <c r="E927">
        <v>59</v>
      </c>
      <c r="F927">
        <v>1</v>
      </c>
      <c r="G927">
        <v>25</v>
      </c>
      <c r="H927">
        <v>222</v>
      </c>
      <c r="I927">
        <v>0</v>
      </c>
      <c r="J927">
        <v>131</v>
      </c>
      <c r="K927">
        <v>7</v>
      </c>
      <c r="L927">
        <v>3480</v>
      </c>
      <c r="M927">
        <v>101</v>
      </c>
      <c r="N927">
        <v>2.9022988505747128E-2</v>
      </c>
      <c r="O927">
        <v>60</v>
      </c>
      <c r="P927">
        <v>0.59405940594059403</v>
      </c>
      <c r="Q927">
        <v>1.7241379310344827E-2</v>
      </c>
      <c r="R927">
        <v>7</v>
      </c>
      <c r="S927">
        <v>6.9306930693069313E-2</v>
      </c>
      <c r="T927">
        <v>2.0114942528735632E-3</v>
      </c>
      <c r="U927">
        <v>7</v>
      </c>
      <c r="V927">
        <v>6.9306930693069313E-2</v>
      </c>
      <c r="W927">
        <v>2.0114942528735632E-3</v>
      </c>
      <c r="X927">
        <v>0</v>
      </c>
      <c r="Y927">
        <v>0</v>
      </c>
      <c r="Z927">
        <v>0</v>
      </c>
      <c r="AA927">
        <v>27</v>
      </c>
      <c r="AB927">
        <v>0.26732673267326734</v>
      </c>
      <c r="AC927">
        <v>7.7586206896551723E-3</v>
      </c>
      <c r="AD927">
        <v>0</v>
      </c>
      <c r="AE927">
        <v>0</v>
      </c>
      <c r="AF927">
        <v>0</v>
      </c>
    </row>
    <row r="928" spans="1:32" x14ac:dyDescent="0.2">
      <c r="A928">
        <v>3700.1219328703664</v>
      </c>
      <c r="B928">
        <v>11662</v>
      </c>
      <c r="C928">
        <v>577</v>
      </c>
      <c r="D928">
        <v>4873</v>
      </c>
      <c r="E928">
        <v>164</v>
      </c>
      <c r="F928">
        <v>1969</v>
      </c>
      <c r="G928">
        <v>2311</v>
      </c>
      <c r="H928">
        <v>36528</v>
      </c>
      <c r="I928">
        <v>650</v>
      </c>
      <c r="J928">
        <v>23451</v>
      </c>
      <c r="K928">
        <v>1997</v>
      </c>
      <c r="L928">
        <v>500297</v>
      </c>
      <c r="M928">
        <v>8387</v>
      </c>
      <c r="N928">
        <v>1.676404215895758E-2</v>
      </c>
      <c r="O928">
        <v>3194</v>
      </c>
      <c r="P928">
        <v>0.38082747108620485</v>
      </c>
      <c r="Q928">
        <v>6.3842077805783366E-3</v>
      </c>
      <c r="R928">
        <v>1266</v>
      </c>
      <c r="S928">
        <v>0.15094789555264099</v>
      </c>
      <c r="T928">
        <v>2.5304968848503988E-3</v>
      </c>
      <c r="U928">
        <v>828</v>
      </c>
      <c r="V928">
        <v>9.8724216048646715E-2</v>
      </c>
      <c r="W928">
        <v>1.65501691994955E-3</v>
      </c>
      <c r="X928">
        <v>2525</v>
      </c>
      <c r="Y928">
        <v>0.30106116609037797</v>
      </c>
      <c r="Z928">
        <v>5.0470020807640258E-3</v>
      </c>
      <c r="AA928">
        <v>167</v>
      </c>
      <c r="AB928">
        <v>1.9911768212710148E-2</v>
      </c>
      <c r="AC928">
        <v>3.3380172177726431E-4</v>
      </c>
      <c r="AD928">
        <v>407</v>
      </c>
      <c r="AE928">
        <v>4.8527483009419337E-2</v>
      </c>
      <c r="AF928">
        <v>8.1351677103800343E-4</v>
      </c>
    </row>
    <row r="929" spans="1:32" x14ac:dyDescent="0.2">
      <c r="A929">
        <v>1290.1550578703682</v>
      </c>
      <c r="B929">
        <v>576</v>
      </c>
      <c r="C929">
        <v>65</v>
      </c>
      <c r="D929">
        <v>199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20</v>
      </c>
      <c r="K929">
        <v>6</v>
      </c>
      <c r="L929">
        <v>814</v>
      </c>
      <c r="M929">
        <v>18</v>
      </c>
      <c r="N929">
        <v>2.2113022113022112E-2</v>
      </c>
      <c r="O929">
        <v>1</v>
      </c>
      <c r="P929">
        <v>5.5555555555555552E-2</v>
      </c>
      <c r="Q929">
        <v>1.2285012285012285E-3</v>
      </c>
      <c r="R929">
        <v>13</v>
      </c>
      <c r="S929">
        <v>0.72222222222222221</v>
      </c>
      <c r="T929">
        <v>1.5970515970515971E-2</v>
      </c>
      <c r="U929">
        <v>0</v>
      </c>
      <c r="V929">
        <v>0</v>
      </c>
      <c r="W929">
        <v>0</v>
      </c>
      <c r="X929">
        <v>4</v>
      </c>
      <c r="Y929">
        <v>0.22222222222222221</v>
      </c>
      <c r="Z929">
        <v>4.9140049140049139E-3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">
      <c r="A930">
        <v>864.16957175925927</v>
      </c>
      <c r="B930">
        <v>330</v>
      </c>
      <c r="C930">
        <v>10</v>
      </c>
      <c r="D930">
        <v>15</v>
      </c>
      <c r="E930">
        <v>34</v>
      </c>
      <c r="F930">
        <v>6</v>
      </c>
      <c r="G930">
        <v>8</v>
      </c>
      <c r="H930">
        <v>145</v>
      </c>
      <c r="I930">
        <v>1</v>
      </c>
      <c r="J930">
        <v>224</v>
      </c>
      <c r="K930">
        <v>38</v>
      </c>
      <c r="L930">
        <v>9138</v>
      </c>
      <c r="M930">
        <v>151</v>
      </c>
      <c r="N930">
        <v>1.6524403589406874E-2</v>
      </c>
      <c r="O930">
        <v>70</v>
      </c>
      <c r="P930">
        <v>0.46357615894039733</v>
      </c>
      <c r="Q930">
        <v>7.6603195447581532E-3</v>
      </c>
      <c r="R930">
        <v>59</v>
      </c>
      <c r="S930">
        <v>0.39072847682119205</v>
      </c>
      <c r="T930">
        <v>6.4565550448675863E-3</v>
      </c>
      <c r="U930">
        <v>11</v>
      </c>
      <c r="V930">
        <v>7.2847682119205295E-2</v>
      </c>
      <c r="W930">
        <v>1.2037644998905668E-3</v>
      </c>
      <c r="X930">
        <v>11</v>
      </c>
      <c r="Y930">
        <v>7.2847682119205295E-2</v>
      </c>
      <c r="Z930">
        <v>1.2037644998905668E-3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">
      <c r="A931">
        <v>1778.9839814814841</v>
      </c>
      <c r="B931">
        <v>14808</v>
      </c>
      <c r="C931">
        <v>432</v>
      </c>
      <c r="D931">
        <v>1300</v>
      </c>
      <c r="E931">
        <v>41</v>
      </c>
      <c r="F931">
        <v>44</v>
      </c>
      <c r="G931">
        <v>251</v>
      </c>
      <c r="H931">
        <v>1116</v>
      </c>
      <c r="I931">
        <v>3</v>
      </c>
      <c r="J931">
        <v>987</v>
      </c>
      <c r="K931">
        <v>36</v>
      </c>
      <c r="L931">
        <v>13590</v>
      </c>
      <c r="M931">
        <v>56</v>
      </c>
      <c r="N931">
        <v>4.1206769683590876E-3</v>
      </c>
      <c r="O931">
        <v>7</v>
      </c>
      <c r="P931">
        <v>0.125</v>
      </c>
      <c r="Q931">
        <v>5.1508462104488595E-4</v>
      </c>
      <c r="R931">
        <v>25</v>
      </c>
      <c r="S931">
        <v>0.44642857142857145</v>
      </c>
      <c r="T931">
        <v>1.8395879323031641E-3</v>
      </c>
      <c r="U931">
        <v>6</v>
      </c>
      <c r="V931">
        <v>0.10714285714285714</v>
      </c>
      <c r="W931">
        <v>4.4150110375275938E-4</v>
      </c>
      <c r="X931">
        <v>3</v>
      </c>
      <c r="Y931">
        <v>5.3571428571428568E-2</v>
      </c>
      <c r="Z931">
        <v>2.2075055187637969E-4</v>
      </c>
      <c r="AA931">
        <v>0</v>
      </c>
      <c r="AB931">
        <v>0</v>
      </c>
      <c r="AC931">
        <v>0</v>
      </c>
      <c r="AD931">
        <v>15</v>
      </c>
      <c r="AE931">
        <v>0.26785714285714285</v>
      </c>
      <c r="AF931">
        <v>1.1037527593818985E-3</v>
      </c>
    </row>
    <row r="932" spans="1:32" x14ac:dyDescent="0.2">
      <c r="A932">
        <v>1928.2676851851793</v>
      </c>
      <c r="B932">
        <v>614</v>
      </c>
      <c r="C932">
        <v>23</v>
      </c>
      <c r="D932">
        <v>108</v>
      </c>
      <c r="E932">
        <v>19</v>
      </c>
      <c r="F932">
        <v>3</v>
      </c>
      <c r="G932">
        <v>23</v>
      </c>
      <c r="H932">
        <v>83</v>
      </c>
      <c r="I932">
        <v>6</v>
      </c>
      <c r="J932">
        <v>88</v>
      </c>
      <c r="K932">
        <v>20</v>
      </c>
      <c r="L932">
        <v>397</v>
      </c>
      <c r="M932">
        <v>19</v>
      </c>
      <c r="N932">
        <v>4.7858942065491183E-2</v>
      </c>
      <c r="O932">
        <v>10</v>
      </c>
      <c r="P932">
        <v>0.52631578947368418</v>
      </c>
      <c r="Q932">
        <v>2.5188916876574308E-2</v>
      </c>
      <c r="R932">
        <v>6</v>
      </c>
      <c r="S932">
        <v>0.31578947368421051</v>
      </c>
      <c r="T932">
        <v>1.5113350125944584E-2</v>
      </c>
      <c r="U932">
        <v>0</v>
      </c>
      <c r="V932">
        <v>0</v>
      </c>
      <c r="W932">
        <v>0</v>
      </c>
      <c r="X932">
        <v>3</v>
      </c>
      <c r="Y932">
        <v>0.15789473684210525</v>
      </c>
      <c r="Z932">
        <v>7.556675062972292E-3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">
      <c r="A933">
        <v>1624.0746759259273</v>
      </c>
      <c r="B933">
        <v>3728</v>
      </c>
      <c r="C933">
        <v>58</v>
      </c>
      <c r="D933">
        <v>146</v>
      </c>
      <c r="E933">
        <v>27</v>
      </c>
      <c r="F933">
        <v>90</v>
      </c>
      <c r="G933">
        <v>41</v>
      </c>
      <c r="H933">
        <v>256</v>
      </c>
      <c r="I933">
        <v>3</v>
      </c>
      <c r="J933">
        <v>665</v>
      </c>
      <c r="K933">
        <v>24</v>
      </c>
      <c r="L933">
        <v>12922</v>
      </c>
      <c r="M933">
        <v>63</v>
      </c>
      <c r="N933">
        <v>4.8754062838569879E-3</v>
      </c>
      <c r="O933">
        <v>3</v>
      </c>
      <c r="P933">
        <v>4.7619047619047616E-2</v>
      </c>
      <c r="Q933">
        <v>2.3216220399318991E-4</v>
      </c>
      <c r="R933">
        <v>0</v>
      </c>
      <c r="S933">
        <v>0</v>
      </c>
      <c r="T933">
        <v>0</v>
      </c>
      <c r="U933">
        <v>46</v>
      </c>
      <c r="V933">
        <v>0.73015873015873012</v>
      </c>
      <c r="W933">
        <v>3.5598204612289118E-3</v>
      </c>
      <c r="X933">
        <v>14</v>
      </c>
      <c r="Y933">
        <v>0.22222222222222221</v>
      </c>
      <c r="Z933">
        <v>1.0834236186348862E-3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">
      <c r="A934">
        <v>1213.2522337962946</v>
      </c>
      <c r="B934">
        <v>471</v>
      </c>
      <c r="C934">
        <v>14</v>
      </c>
      <c r="D934">
        <v>44</v>
      </c>
      <c r="E934">
        <v>0</v>
      </c>
      <c r="F934">
        <v>0</v>
      </c>
      <c r="G934">
        <v>3</v>
      </c>
      <c r="H934">
        <v>2</v>
      </c>
      <c r="I934">
        <v>0</v>
      </c>
      <c r="J934">
        <v>2</v>
      </c>
      <c r="K934">
        <v>0</v>
      </c>
      <c r="L934">
        <v>2414</v>
      </c>
      <c r="M934">
        <v>85</v>
      </c>
      <c r="N934">
        <v>3.5211267605633804E-2</v>
      </c>
      <c r="O934">
        <v>14</v>
      </c>
      <c r="P934">
        <v>0.16470588235294117</v>
      </c>
      <c r="Q934">
        <v>5.7995028997514502E-3</v>
      </c>
      <c r="R934">
        <v>63</v>
      </c>
      <c r="S934">
        <v>0.74117647058823533</v>
      </c>
      <c r="T934">
        <v>2.6097763048881523E-2</v>
      </c>
      <c r="U934">
        <v>1</v>
      </c>
      <c r="V934">
        <v>1.1764705882352941E-2</v>
      </c>
      <c r="W934">
        <v>4.1425020712510354E-4</v>
      </c>
      <c r="X934">
        <v>3</v>
      </c>
      <c r="Y934">
        <v>3.5294117647058823E-2</v>
      </c>
      <c r="Z934">
        <v>1.2427506213753107E-3</v>
      </c>
      <c r="AA934">
        <v>0</v>
      </c>
      <c r="AB934">
        <v>0</v>
      </c>
      <c r="AC934">
        <v>0</v>
      </c>
      <c r="AD934">
        <v>4</v>
      </c>
      <c r="AE934">
        <v>4.7058823529411764E-2</v>
      </c>
      <c r="AF934">
        <v>1.6570008285004142E-3</v>
      </c>
    </row>
    <row r="935" spans="1:32" x14ac:dyDescent="0.2">
      <c r="A935">
        <v>2769.6931481481515</v>
      </c>
      <c r="B935">
        <v>418</v>
      </c>
      <c r="C935">
        <v>35</v>
      </c>
      <c r="D935">
        <v>187</v>
      </c>
      <c r="E935">
        <v>0</v>
      </c>
      <c r="F935">
        <v>0</v>
      </c>
      <c r="G935">
        <v>4</v>
      </c>
      <c r="H935">
        <v>4</v>
      </c>
      <c r="I935">
        <v>1</v>
      </c>
      <c r="J935">
        <v>65</v>
      </c>
      <c r="K935">
        <v>14</v>
      </c>
      <c r="L935">
        <v>1904</v>
      </c>
      <c r="M935">
        <v>41</v>
      </c>
      <c r="N935">
        <v>2.1533613445378151E-2</v>
      </c>
      <c r="O935">
        <v>0</v>
      </c>
      <c r="P935">
        <v>0</v>
      </c>
      <c r="Q935">
        <v>0</v>
      </c>
      <c r="R935">
        <v>35</v>
      </c>
      <c r="S935">
        <v>0.85365853658536583</v>
      </c>
      <c r="T935">
        <v>1.8382352941176471E-2</v>
      </c>
      <c r="U935">
        <v>0</v>
      </c>
      <c r="V935">
        <v>0</v>
      </c>
      <c r="W935">
        <v>0</v>
      </c>
      <c r="X935">
        <v>6</v>
      </c>
      <c r="Y935">
        <v>0.14634146341463414</v>
      </c>
      <c r="Z935">
        <v>3.1512605042016808E-3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">
      <c r="A936">
        <v>627.9310995370397</v>
      </c>
      <c r="B936">
        <v>355</v>
      </c>
      <c r="C936">
        <v>16</v>
      </c>
      <c r="D936">
        <v>43</v>
      </c>
      <c r="E936">
        <v>21</v>
      </c>
      <c r="F936">
        <v>0</v>
      </c>
      <c r="G936">
        <v>29</v>
      </c>
      <c r="H936">
        <v>186</v>
      </c>
      <c r="I936">
        <v>4</v>
      </c>
      <c r="J936">
        <v>165</v>
      </c>
      <c r="K936">
        <v>25</v>
      </c>
      <c r="L936">
        <v>2014</v>
      </c>
      <c r="M936">
        <v>14</v>
      </c>
      <c r="N936">
        <v>6.9513406156901684E-3</v>
      </c>
      <c r="O936">
        <v>2</v>
      </c>
      <c r="P936">
        <v>0.14285714285714285</v>
      </c>
      <c r="Q936">
        <v>9.930486593843098E-4</v>
      </c>
      <c r="R936">
        <v>5</v>
      </c>
      <c r="S936">
        <v>0.35714285714285715</v>
      </c>
      <c r="T936">
        <v>2.4826216484607746E-3</v>
      </c>
      <c r="U936">
        <v>0</v>
      </c>
      <c r="V936">
        <v>0</v>
      </c>
      <c r="W936">
        <v>0</v>
      </c>
      <c r="X936">
        <v>7</v>
      </c>
      <c r="Y936">
        <v>0.5</v>
      </c>
      <c r="Z936">
        <v>3.4756703078450842E-3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">
      <c r="A937">
        <v>1526.8960879629667</v>
      </c>
      <c r="B937">
        <v>1169</v>
      </c>
      <c r="C937">
        <v>51</v>
      </c>
      <c r="D937">
        <v>263</v>
      </c>
      <c r="E937">
        <v>0</v>
      </c>
      <c r="F937">
        <v>8</v>
      </c>
      <c r="G937">
        <v>61</v>
      </c>
      <c r="H937">
        <v>438</v>
      </c>
      <c r="I937">
        <v>22</v>
      </c>
      <c r="J937">
        <v>537</v>
      </c>
      <c r="K937">
        <v>103</v>
      </c>
      <c r="L937">
        <v>5287</v>
      </c>
      <c r="M937">
        <v>66</v>
      </c>
      <c r="N937">
        <v>1.2483449971628523E-2</v>
      </c>
      <c r="O937">
        <v>44</v>
      </c>
      <c r="P937">
        <v>0.66666666666666663</v>
      </c>
      <c r="Q937">
        <v>8.3222999810856815E-3</v>
      </c>
      <c r="R937">
        <v>18</v>
      </c>
      <c r="S937">
        <v>0.27272727272727271</v>
      </c>
      <c r="T937">
        <v>3.4045772649895973E-3</v>
      </c>
      <c r="U937">
        <v>1</v>
      </c>
      <c r="V937">
        <v>1.5151515151515152E-2</v>
      </c>
      <c r="W937">
        <v>1.8914318138831096E-4</v>
      </c>
      <c r="X937">
        <v>3</v>
      </c>
      <c r="Y937">
        <v>4.5454545454545456E-2</v>
      </c>
      <c r="Z937">
        <v>5.6742954416493289E-4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">
      <c r="A938">
        <v>598.58843750000233</v>
      </c>
      <c r="B938">
        <v>801</v>
      </c>
      <c r="C938">
        <v>15</v>
      </c>
      <c r="D938">
        <v>61</v>
      </c>
      <c r="E938">
        <v>140</v>
      </c>
      <c r="F938">
        <v>10</v>
      </c>
      <c r="G938">
        <v>25</v>
      </c>
      <c r="H938">
        <v>613</v>
      </c>
      <c r="I938">
        <v>7</v>
      </c>
      <c r="J938">
        <v>500</v>
      </c>
      <c r="K938">
        <v>64</v>
      </c>
      <c r="L938">
        <v>12508</v>
      </c>
      <c r="M938">
        <v>2</v>
      </c>
      <c r="N938">
        <v>1.5989766549408379E-4</v>
      </c>
      <c r="O938">
        <v>0</v>
      </c>
      <c r="P938">
        <v>0</v>
      </c>
      <c r="Q938">
        <v>0</v>
      </c>
      <c r="R938">
        <v>1</v>
      </c>
      <c r="S938">
        <v>0.5</v>
      </c>
      <c r="T938">
        <v>7.9948832747041897E-5</v>
      </c>
      <c r="U938">
        <v>1</v>
      </c>
      <c r="V938">
        <v>0.5</v>
      </c>
      <c r="W938">
        <v>7.9948832747041897E-5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">
      <c r="A939">
        <v>1134.1766550925895</v>
      </c>
      <c r="B939">
        <v>588</v>
      </c>
      <c r="C939">
        <v>48</v>
      </c>
      <c r="D939">
        <v>113</v>
      </c>
      <c r="E939">
        <v>0</v>
      </c>
      <c r="F939">
        <v>0</v>
      </c>
      <c r="G939">
        <v>6</v>
      </c>
      <c r="H939">
        <v>6</v>
      </c>
      <c r="I939">
        <v>0</v>
      </c>
      <c r="J939">
        <v>8</v>
      </c>
      <c r="K939">
        <v>0</v>
      </c>
      <c r="L939">
        <v>5386</v>
      </c>
      <c r="M939">
        <v>129</v>
      </c>
      <c r="N939">
        <v>2.395098403267731E-2</v>
      </c>
      <c r="O939">
        <v>32</v>
      </c>
      <c r="P939">
        <v>0.24806201550387597</v>
      </c>
      <c r="Q939">
        <v>5.9413293724470849E-3</v>
      </c>
      <c r="R939">
        <v>59</v>
      </c>
      <c r="S939">
        <v>0.4573643410852713</v>
      </c>
      <c r="T939">
        <v>1.0954326030449314E-2</v>
      </c>
      <c r="U939">
        <v>11</v>
      </c>
      <c r="V939">
        <v>8.5271317829457363E-2</v>
      </c>
      <c r="W939">
        <v>2.0423319717786854E-3</v>
      </c>
      <c r="X939">
        <v>20</v>
      </c>
      <c r="Y939">
        <v>0.15503875968992248</v>
      </c>
      <c r="Z939">
        <v>3.7133308577794281E-3</v>
      </c>
      <c r="AA939">
        <v>4</v>
      </c>
      <c r="AB939">
        <v>3.1007751937984496E-2</v>
      </c>
      <c r="AC939">
        <v>7.4266617155588561E-4</v>
      </c>
      <c r="AD939">
        <v>3</v>
      </c>
      <c r="AE939">
        <v>2.3255813953488372E-2</v>
      </c>
      <c r="AF939">
        <v>5.5699962866691418E-4</v>
      </c>
    </row>
    <row r="940" spans="1:32" x14ac:dyDescent="0.2">
      <c r="A940">
        <v>1238.4025925925962</v>
      </c>
      <c r="B940">
        <v>495</v>
      </c>
      <c r="C940">
        <v>29</v>
      </c>
      <c r="D940">
        <v>140</v>
      </c>
      <c r="E940">
        <v>10</v>
      </c>
      <c r="F940">
        <v>4</v>
      </c>
      <c r="G940">
        <v>31</v>
      </c>
      <c r="H940">
        <v>129</v>
      </c>
      <c r="I940">
        <v>12</v>
      </c>
      <c r="J940">
        <v>169</v>
      </c>
      <c r="K940">
        <v>35</v>
      </c>
      <c r="L940">
        <v>21082</v>
      </c>
      <c r="M940">
        <v>68</v>
      </c>
      <c r="N940">
        <v>3.2255004269044684E-3</v>
      </c>
      <c r="O940">
        <v>1</v>
      </c>
      <c r="P940">
        <v>1.4705882352941176E-2</v>
      </c>
      <c r="Q940">
        <v>4.7433829807418652E-5</v>
      </c>
      <c r="R940">
        <v>27</v>
      </c>
      <c r="S940">
        <v>0.39705882352941174</v>
      </c>
      <c r="T940">
        <v>1.2807134048003037E-3</v>
      </c>
      <c r="U940">
        <v>40</v>
      </c>
      <c r="V940">
        <v>0.58823529411764708</v>
      </c>
      <c r="W940">
        <v>1.8973531922967461E-3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">
      <c r="A941">
        <v>3683.3133217592549</v>
      </c>
      <c r="B941">
        <v>8088</v>
      </c>
      <c r="C941">
        <v>329</v>
      </c>
      <c r="D941">
        <v>3525</v>
      </c>
      <c r="E941">
        <v>52</v>
      </c>
      <c r="F941">
        <v>238</v>
      </c>
      <c r="G941">
        <v>989</v>
      </c>
      <c r="H941">
        <v>6697</v>
      </c>
      <c r="I941">
        <v>322</v>
      </c>
      <c r="J941">
        <v>7124</v>
      </c>
      <c r="K941">
        <v>1297</v>
      </c>
      <c r="L941">
        <v>163227</v>
      </c>
      <c r="M941">
        <v>198</v>
      </c>
      <c r="N941">
        <v>1.2130346082449594E-3</v>
      </c>
      <c r="O941">
        <v>0</v>
      </c>
      <c r="P941">
        <v>0</v>
      </c>
      <c r="Q941">
        <v>0</v>
      </c>
      <c r="R941">
        <v>21</v>
      </c>
      <c r="S941">
        <v>0.10606060606060606</v>
      </c>
      <c r="T941">
        <v>1.2865518572295024E-4</v>
      </c>
      <c r="U941">
        <v>170</v>
      </c>
      <c r="V941">
        <v>0.85858585858585856</v>
      </c>
      <c r="W941">
        <v>1.0414943606143591E-3</v>
      </c>
      <c r="X941">
        <v>7</v>
      </c>
      <c r="Y941">
        <v>3.5353535353535352E-2</v>
      </c>
      <c r="Z941">
        <v>4.2885061907650081E-5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">
      <c r="A942">
        <v>2423.4209143518528</v>
      </c>
      <c r="B942">
        <v>828</v>
      </c>
      <c r="C942">
        <v>33</v>
      </c>
      <c r="D942">
        <v>98</v>
      </c>
      <c r="E942">
        <v>2</v>
      </c>
      <c r="F942">
        <v>0</v>
      </c>
      <c r="G942">
        <v>24</v>
      </c>
      <c r="H942">
        <v>95</v>
      </c>
      <c r="I942">
        <v>11</v>
      </c>
      <c r="J942">
        <v>136</v>
      </c>
      <c r="K942">
        <v>62</v>
      </c>
      <c r="L942">
        <v>2369</v>
      </c>
      <c r="M942">
        <v>11</v>
      </c>
      <c r="N942">
        <v>4.6433094132545382E-3</v>
      </c>
      <c r="O942">
        <v>2</v>
      </c>
      <c r="P942">
        <v>0.18181818181818182</v>
      </c>
      <c r="Q942">
        <v>8.4423807513718866E-4</v>
      </c>
      <c r="R942">
        <v>4</v>
      </c>
      <c r="S942">
        <v>0.36363636363636365</v>
      </c>
      <c r="T942">
        <v>1.6884761502743773E-3</v>
      </c>
      <c r="U942">
        <v>1</v>
      </c>
      <c r="V942">
        <v>9.0909090909090912E-2</v>
      </c>
      <c r="W942">
        <v>4.2211903756859433E-4</v>
      </c>
      <c r="X942">
        <v>1</v>
      </c>
      <c r="Y942">
        <v>9.0909090909090912E-2</v>
      </c>
      <c r="Z942">
        <v>4.2211903756859433E-4</v>
      </c>
      <c r="AA942">
        <v>0</v>
      </c>
      <c r="AB942">
        <v>0</v>
      </c>
      <c r="AC942">
        <v>0</v>
      </c>
      <c r="AD942">
        <v>3</v>
      </c>
      <c r="AE942">
        <v>0.27272727272727271</v>
      </c>
      <c r="AF942">
        <v>1.2663571127057829E-3</v>
      </c>
    </row>
    <row r="943" spans="1:32" x14ac:dyDescent="0.2">
      <c r="A943">
        <v>2329.4601157407451</v>
      </c>
      <c r="B943">
        <v>1154</v>
      </c>
      <c r="C943">
        <v>158</v>
      </c>
      <c r="D943">
        <v>203</v>
      </c>
      <c r="E943">
        <v>22</v>
      </c>
      <c r="F943">
        <v>20</v>
      </c>
      <c r="G943">
        <v>34</v>
      </c>
      <c r="H943">
        <v>256</v>
      </c>
      <c r="I943">
        <v>22</v>
      </c>
      <c r="J943">
        <v>154</v>
      </c>
      <c r="K943">
        <v>80</v>
      </c>
      <c r="L943">
        <v>10607</v>
      </c>
      <c r="M943">
        <v>225</v>
      </c>
      <c r="N943">
        <v>2.1212406901103046E-2</v>
      </c>
      <c r="O943">
        <v>105</v>
      </c>
      <c r="P943">
        <v>0.46666666666666667</v>
      </c>
      <c r="Q943">
        <v>9.899123220514755E-3</v>
      </c>
      <c r="R943">
        <v>52</v>
      </c>
      <c r="S943">
        <v>0.2311111111111111</v>
      </c>
      <c r="T943">
        <v>4.9024229282549261E-3</v>
      </c>
      <c r="U943">
        <v>20</v>
      </c>
      <c r="V943">
        <v>8.8888888888888892E-2</v>
      </c>
      <c r="W943">
        <v>1.8855472800980485E-3</v>
      </c>
      <c r="X943">
        <v>15</v>
      </c>
      <c r="Y943">
        <v>6.6666666666666666E-2</v>
      </c>
      <c r="Z943">
        <v>1.4141604600735364E-3</v>
      </c>
      <c r="AA943">
        <v>7</v>
      </c>
      <c r="AB943">
        <v>3.111111111111111E-2</v>
      </c>
      <c r="AC943">
        <v>6.5994154803431697E-4</v>
      </c>
      <c r="AD943">
        <v>26</v>
      </c>
      <c r="AE943">
        <v>0.11555555555555555</v>
      </c>
      <c r="AF943">
        <v>2.451211464127463E-3</v>
      </c>
    </row>
    <row r="944" spans="1:32" x14ac:dyDescent="0.2">
      <c r="A944">
        <v>2575.2595023148097</v>
      </c>
      <c r="B944">
        <v>8147</v>
      </c>
      <c r="C944">
        <v>514</v>
      </c>
      <c r="D944">
        <v>1295</v>
      </c>
      <c r="E944">
        <v>1</v>
      </c>
      <c r="F944">
        <v>31</v>
      </c>
      <c r="G944">
        <v>39</v>
      </c>
      <c r="H944">
        <v>469</v>
      </c>
      <c r="I944">
        <v>9</v>
      </c>
      <c r="J944">
        <v>443</v>
      </c>
      <c r="K944">
        <v>107</v>
      </c>
      <c r="L944">
        <v>16314</v>
      </c>
      <c r="M944">
        <v>11</v>
      </c>
      <c r="N944">
        <v>6.7426750030648525E-4</v>
      </c>
      <c r="O944">
        <v>3</v>
      </c>
      <c r="P944">
        <v>0.27272727272727271</v>
      </c>
      <c r="Q944">
        <v>1.8389113644722325E-4</v>
      </c>
      <c r="R944">
        <v>2</v>
      </c>
      <c r="S944">
        <v>0.18181818181818182</v>
      </c>
      <c r="T944">
        <v>1.225940909648155E-4</v>
      </c>
      <c r="U944">
        <v>4</v>
      </c>
      <c r="V944">
        <v>0.36363636363636365</v>
      </c>
      <c r="W944">
        <v>2.45188181929631E-4</v>
      </c>
      <c r="X944">
        <v>2</v>
      </c>
      <c r="Y944">
        <v>0.18181818181818182</v>
      </c>
      <c r="Z944">
        <v>1.225940909648155E-4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">
      <c r="A945">
        <v>2283.6540856481442</v>
      </c>
      <c r="B945">
        <v>647</v>
      </c>
      <c r="C945">
        <v>48</v>
      </c>
      <c r="D945">
        <v>139</v>
      </c>
      <c r="E945">
        <v>3</v>
      </c>
      <c r="F945">
        <v>4</v>
      </c>
      <c r="G945">
        <v>12</v>
      </c>
      <c r="H945">
        <v>53</v>
      </c>
      <c r="I945">
        <v>4</v>
      </c>
      <c r="J945">
        <v>73</v>
      </c>
      <c r="K945">
        <v>25</v>
      </c>
      <c r="L945">
        <v>1961</v>
      </c>
      <c r="M945">
        <v>2</v>
      </c>
      <c r="N945">
        <v>1.0198878123406426E-3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0.5</v>
      </c>
      <c r="W945">
        <v>5.099439061703213E-4</v>
      </c>
      <c r="X945">
        <v>1</v>
      </c>
      <c r="Y945">
        <v>0.5</v>
      </c>
      <c r="Z945">
        <v>5.099439061703213E-4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">
      <c r="A946">
        <v>1548.7036226851851</v>
      </c>
      <c r="B946">
        <v>1634</v>
      </c>
      <c r="C946">
        <v>60</v>
      </c>
      <c r="D946">
        <v>542</v>
      </c>
      <c r="E946">
        <v>6</v>
      </c>
      <c r="F946">
        <v>20</v>
      </c>
      <c r="G946">
        <v>41</v>
      </c>
      <c r="H946">
        <v>182</v>
      </c>
      <c r="I946">
        <v>3</v>
      </c>
      <c r="J946">
        <v>451</v>
      </c>
      <c r="K946">
        <v>9</v>
      </c>
      <c r="L946">
        <v>2129</v>
      </c>
      <c r="M946">
        <v>4</v>
      </c>
      <c r="N946">
        <v>1.8788163457022077E-3</v>
      </c>
      <c r="O946">
        <v>0</v>
      </c>
      <c r="P946">
        <v>0</v>
      </c>
      <c r="Q946">
        <v>0</v>
      </c>
      <c r="R946">
        <v>4</v>
      </c>
      <c r="S946">
        <v>1</v>
      </c>
      <c r="T946">
        <v>1.8788163457022077E-3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">
      <c r="A947">
        <v>2732.0607060185212</v>
      </c>
      <c r="B947">
        <v>8619</v>
      </c>
      <c r="C947">
        <v>287</v>
      </c>
      <c r="D947">
        <v>1170</v>
      </c>
      <c r="E947">
        <v>14</v>
      </c>
      <c r="F947">
        <v>72</v>
      </c>
      <c r="G947">
        <v>140</v>
      </c>
      <c r="H947">
        <v>1140</v>
      </c>
      <c r="I947">
        <v>32</v>
      </c>
      <c r="J947">
        <v>1478</v>
      </c>
      <c r="K947">
        <v>274</v>
      </c>
      <c r="L947">
        <v>11682</v>
      </c>
      <c r="M947">
        <v>99</v>
      </c>
      <c r="N947">
        <v>8.4745762711864406E-3</v>
      </c>
      <c r="O947">
        <v>46</v>
      </c>
      <c r="P947">
        <v>0.46464646464646464</v>
      </c>
      <c r="Q947">
        <v>3.9376819037835985E-3</v>
      </c>
      <c r="R947">
        <v>13</v>
      </c>
      <c r="S947">
        <v>0.13131313131313133</v>
      </c>
      <c r="T947">
        <v>1.1128231467214518E-3</v>
      </c>
      <c r="U947">
        <v>4</v>
      </c>
      <c r="V947">
        <v>4.0404040404040407E-2</v>
      </c>
      <c r="W947">
        <v>3.4240712206813899E-4</v>
      </c>
      <c r="X947">
        <v>13</v>
      </c>
      <c r="Y947">
        <v>0.13131313131313133</v>
      </c>
      <c r="Z947">
        <v>1.1128231467214518E-3</v>
      </c>
      <c r="AA947">
        <v>8</v>
      </c>
      <c r="AB947">
        <v>8.0808080808080815E-2</v>
      </c>
      <c r="AC947">
        <v>6.8481424413627799E-4</v>
      </c>
      <c r="AD947">
        <v>15</v>
      </c>
      <c r="AE947">
        <v>0.15151515151515152</v>
      </c>
      <c r="AF947">
        <v>1.2840267077555213E-3</v>
      </c>
    </row>
    <row r="948" spans="1:32" x14ac:dyDescent="0.2">
      <c r="A948">
        <v>1659.4009606481486</v>
      </c>
      <c r="B948">
        <v>388</v>
      </c>
      <c r="C948">
        <v>34</v>
      </c>
      <c r="D948">
        <v>87</v>
      </c>
      <c r="E948">
        <v>0</v>
      </c>
      <c r="F948">
        <v>1</v>
      </c>
      <c r="G948">
        <v>6</v>
      </c>
      <c r="H948">
        <v>41</v>
      </c>
      <c r="I948">
        <v>0</v>
      </c>
      <c r="J948">
        <v>19</v>
      </c>
      <c r="K948">
        <v>6</v>
      </c>
      <c r="L948">
        <v>1521</v>
      </c>
      <c r="M948">
        <v>5</v>
      </c>
      <c r="N948">
        <v>3.2873109796186721E-3</v>
      </c>
      <c r="O948">
        <v>5</v>
      </c>
      <c r="P948">
        <v>1</v>
      </c>
      <c r="Q948">
        <v>3.2873109796186721E-3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">
      <c r="A949">
        <v>2185.5549652777772</v>
      </c>
      <c r="B949">
        <v>6521</v>
      </c>
      <c r="C949">
        <v>327</v>
      </c>
      <c r="D949">
        <v>1835</v>
      </c>
      <c r="E949">
        <v>9</v>
      </c>
      <c r="F949">
        <v>47</v>
      </c>
      <c r="G949">
        <v>105</v>
      </c>
      <c r="H949">
        <v>409</v>
      </c>
      <c r="I949">
        <v>45</v>
      </c>
      <c r="J949">
        <v>637</v>
      </c>
      <c r="K949">
        <v>118</v>
      </c>
      <c r="L949">
        <v>87972</v>
      </c>
      <c r="M949">
        <v>1212</v>
      </c>
      <c r="N949">
        <v>1.3777110898922385E-2</v>
      </c>
      <c r="O949">
        <v>387</v>
      </c>
      <c r="P949">
        <v>0.31930693069306931</v>
      </c>
      <c r="Q949">
        <v>4.3991269949529392E-3</v>
      </c>
      <c r="R949">
        <v>341</v>
      </c>
      <c r="S949">
        <v>0.28135313531353134</v>
      </c>
      <c r="T949">
        <v>3.8762333469740374E-3</v>
      </c>
      <c r="U949">
        <v>21</v>
      </c>
      <c r="V949">
        <v>1.7326732673267328E-2</v>
      </c>
      <c r="W949">
        <v>2.3871231755558586E-4</v>
      </c>
      <c r="X949">
        <v>364</v>
      </c>
      <c r="Y949">
        <v>0.30033003300330036</v>
      </c>
      <c r="Z949">
        <v>4.1376801709634885E-3</v>
      </c>
      <c r="AA949">
        <v>99</v>
      </c>
      <c r="AB949">
        <v>8.1683168316831686E-2</v>
      </c>
      <c r="AC949">
        <v>1.1253580684763335E-3</v>
      </c>
      <c r="AD949">
        <v>0</v>
      </c>
      <c r="AE949">
        <v>0</v>
      </c>
      <c r="AF949">
        <v>0</v>
      </c>
    </row>
    <row r="950" spans="1:32" x14ac:dyDescent="0.2">
      <c r="A950">
        <v>1857.6359259259261</v>
      </c>
      <c r="B950">
        <v>460</v>
      </c>
      <c r="C950">
        <v>66</v>
      </c>
      <c r="D950">
        <v>93</v>
      </c>
      <c r="E950">
        <v>0</v>
      </c>
      <c r="F950">
        <v>0</v>
      </c>
      <c r="G950">
        <v>2</v>
      </c>
      <c r="H950">
        <v>1</v>
      </c>
      <c r="I950">
        <v>0</v>
      </c>
      <c r="J950">
        <v>6</v>
      </c>
      <c r="K950">
        <v>3</v>
      </c>
      <c r="L950">
        <v>395</v>
      </c>
      <c r="M950">
        <v>25</v>
      </c>
      <c r="N950">
        <v>6.3291139240506333E-2</v>
      </c>
      <c r="O950">
        <v>8</v>
      </c>
      <c r="P950">
        <v>0.32</v>
      </c>
      <c r="Q950">
        <v>2.0253164556962026E-2</v>
      </c>
      <c r="R950">
        <v>10</v>
      </c>
      <c r="S950">
        <v>0.4</v>
      </c>
      <c r="T950">
        <v>2.5316455696202531E-2</v>
      </c>
      <c r="U950">
        <v>0</v>
      </c>
      <c r="V950">
        <v>0</v>
      </c>
      <c r="W950">
        <v>0</v>
      </c>
      <c r="X950">
        <v>6</v>
      </c>
      <c r="Y950">
        <v>0.24</v>
      </c>
      <c r="Z950">
        <v>1.5189873417721518E-2</v>
      </c>
      <c r="AA950">
        <v>1</v>
      </c>
      <c r="AB950">
        <v>0.04</v>
      </c>
      <c r="AC950">
        <v>2.5316455696202532E-3</v>
      </c>
      <c r="AD950">
        <v>0</v>
      </c>
      <c r="AE950">
        <v>0</v>
      </c>
      <c r="AF950">
        <v>0</v>
      </c>
    </row>
    <row r="951" spans="1:32" x14ac:dyDescent="0.2">
      <c r="A951">
        <v>1046.9230787037086</v>
      </c>
      <c r="B951">
        <v>550</v>
      </c>
      <c r="C951">
        <v>28</v>
      </c>
      <c r="D951">
        <v>94</v>
      </c>
      <c r="E951">
        <v>0</v>
      </c>
      <c r="F951">
        <v>0</v>
      </c>
      <c r="G951">
        <v>6</v>
      </c>
      <c r="H951">
        <v>29</v>
      </c>
      <c r="I951">
        <v>3</v>
      </c>
      <c r="J951">
        <v>9</v>
      </c>
      <c r="K951">
        <v>3</v>
      </c>
      <c r="L951">
        <v>404</v>
      </c>
      <c r="M951">
        <v>17</v>
      </c>
      <c r="N951">
        <v>4.2079207920792082E-2</v>
      </c>
      <c r="O951">
        <v>0</v>
      </c>
      <c r="P951">
        <v>0</v>
      </c>
      <c r="Q951">
        <v>0</v>
      </c>
      <c r="R951">
        <v>5</v>
      </c>
      <c r="S951">
        <v>0.29411764705882354</v>
      </c>
      <c r="T951">
        <v>1.2376237623762377E-2</v>
      </c>
      <c r="U951">
        <v>0</v>
      </c>
      <c r="V951">
        <v>0</v>
      </c>
      <c r="W951">
        <v>0</v>
      </c>
      <c r="X951">
        <v>12</v>
      </c>
      <c r="Y951">
        <v>0.70588235294117652</v>
      </c>
      <c r="Z951">
        <v>2.9702970297029702E-2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">
      <c r="A952">
        <v>3577.5580092592572</v>
      </c>
      <c r="B952">
        <v>604</v>
      </c>
      <c r="C952">
        <v>64</v>
      </c>
      <c r="D952">
        <v>128</v>
      </c>
      <c r="E952">
        <v>3</v>
      </c>
      <c r="F952">
        <v>3</v>
      </c>
      <c r="G952">
        <v>28</v>
      </c>
      <c r="H952">
        <v>80</v>
      </c>
      <c r="I952">
        <v>24</v>
      </c>
      <c r="J952">
        <v>186</v>
      </c>
      <c r="K952">
        <v>71</v>
      </c>
      <c r="L952">
        <v>1990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">
      <c r="A953">
        <v>2592.0371296296289</v>
      </c>
      <c r="B953">
        <v>2107</v>
      </c>
      <c r="C953">
        <v>120</v>
      </c>
      <c r="D953">
        <v>462</v>
      </c>
      <c r="E953">
        <v>520</v>
      </c>
      <c r="F953">
        <v>6</v>
      </c>
      <c r="G953">
        <v>20</v>
      </c>
      <c r="H953">
        <v>630</v>
      </c>
      <c r="I953">
        <v>0</v>
      </c>
      <c r="J953">
        <v>204</v>
      </c>
      <c r="K953">
        <v>0</v>
      </c>
      <c r="L953">
        <v>24126</v>
      </c>
      <c r="M953">
        <v>31</v>
      </c>
      <c r="N953">
        <v>1.2849208322971068E-3</v>
      </c>
      <c r="O953">
        <v>25</v>
      </c>
      <c r="P953">
        <v>0.80645161290322576</v>
      </c>
      <c r="Q953">
        <v>1.0362264776589572E-3</v>
      </c>
      <c r="R953">
        <v>1</v>
      </c>
      <c r="S953">
        <v>3.2258064516129031E-2</v>
      </c>
      <c r="T953">
        <v>4.1449059106358285E-5</v>
      </c>
      <c r="U953">
        <v>3</v>
      </c>
      <c r="V953">
        <v>9.6774193548387094E-2</v>
      </c>
      <c r="W953">
        <v>1.2434717731907486E-4</v>
      </c>
      <c r="X953">
        <v>1</v>
      </c>
      <c r="Y953">
        <v>3.2258064516129031E-2</v>
      </c>
      <c r="Z953">
        <v>4.1449059106358285E-5</v>
      </c>
      <c r="AA953">
        <v>0</v>
      </c>
      <c r="AB953">
        <v>0</v>
      </c>
      <c r="AC953">
        <v>0</v>
      </c>
      <c r="AD953">
        <v>1</v>
      </c>
      <c r="AE953">
        <v>3.2258064516129031E-2</v>
      </c>
      <c r="AF953">
        <v>4.1449059106358285E-5</v>
      </c>
    </row>
    <row r="954" spans="1:32" x14ac:dyDescent="0.2">
      <c r="A954">
        <v>370.4104282407352</v>
      </c>
      <c r="B954">
        <v>410</v>
      </c>
      <c r="C954">
        <v>29</v>
      </c>
      <c r="D954">
        <v>52</v>
      </c>
      <c r="E954">
        <v>0</v>
      </c>
      <c r="F954">
        <v>0</v>
      </c>
      <c r="G954">
        <v>3</v>
      </c>
      <c r="H954">
        <v>1</v>
      </c>
      <c r="I954">
        <v>0</v>
      </c>
      <c r="J954">
        <v>32</v>
      </c>
      <c r="K954">
        <v>13</v>
      </c>
      <c r="L954">
        <v>21072</v>
      </c>
      <c r="M954">
        <v>20</v>
      </c>
      <c r="N954">
        <v>9.4912680334092634E-4</v>
      </c>
      <c r="O954">
        <v>5</v>
      </c>
      <c r="P954">
        <v>0.25</v>
      </c>
      <c r="Q954">
        <v>2.3728170083523158E-4</v>
      </c>
      <c r="R954">
        <v>7</v>
      </c>
      <c r="S954">
        <v>0.35</v>
      </c>
      <c r="T954">
        <v>3.321943811693242E-4</v>
      </c>
      <c r="U954">
        <v>8</v>
      </c>
      <c r="V954">
        <v>0.4</v>
      </c>
      <c r="W954">
        <v>3.7965072133637056E-4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">
      <c r="A955">
        <v>487.85217592593108</v>
      </c>
      <c r="B955">
        <v>853</v>
      </c>
      <c r="C955">
        <v>25</v>
      </c>
      <c r="D955">
        <v>138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92</v>
      </c>
      <c r="K955">
        <v>10</v>
      </c>
      <c r="L955">
        <v>8730</v>
      </c>
      <c r="M955">
        <v>47</v>
      </c>
      <c r="N955">
        <v>5.3837342497136311E-3</v>
      </c>
      <c r="O955">
        <v>0</v>
      </c>
      <c r="P955">
        <v>0</v>
      </c>
      <c r="Q955">
        <v>0</v>
      </c>
      <c r="R955">
        <v>42</v>
      </c>
      <c r="S955">
        <v>0.8936170212765957</v>
      </c>
      <c r="T955">
        <v>4.8109965635738834E-3</v>
      </c>
      <c r="U955">
        <v>4</v>
      </c>
      <c r="V955">
        <v>8.5106382978723402E-2</v>
      </c>
      <c r="W955">
        <v>4.5819014891179839E-4</v>
      </c>
      <c r="X955">
        <v>1</v>
      </c>
      <c r="Y955">
        <v>2.1276595744680851E-2</v>
      </c>
      <c r="Z955">
        <v>1.145475372279496E-4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">
      <c r="A956">
        <v>1303.5267129629647</v>
      </c>
      <c r="B956">
        <v>333</v>
      </c>
      <c r="C956">
        <v>12</v>
      </c>
      <c r="D956">
        <v>40</v>
      </c>
      <c r="E956">
        <v>7</v>
      </c>
      <c r="F956">
        <v>0</v>
      </c>
      <c r="G956">
        <v>16</v>
      </c>
      <c r="H956">
        <v>17</v>
      </c>
      <c r="I956">
        <v>0</v>
      </c>
      <c r="J956">
        <v>78</v>
      </c>
      <c r="K956">
        <v>4</v>
      </c>
      <c r="L956">
        <v>531</v>
      </c>
      <c r="M956">
        <v>19</v>
      </c>
      <c r="N956">
        <v>3.5781544256120526E-2</v>
      </c>
      <c r="O956">
        <v>0</v>
      </c>
      <c r="P956">
        <v>0</v>
      </c>
      <c r="Q956">
        <v>0</v>
      </c>
      <c r="R956">
        <v>8</v>
      </c>
      <c r="S956">
        <v>0.42105263157894735</v>
      </c>
      <c r="T956">
        <v>1.5065913370998116E-2</v>
      </c>
      <c r="U956">
        <v>5</v>
      </c>
      <c r="V956">
        <v>0.26315789473684209</v>
      </c>
      <c r="W956">
        <v>9.4161958568738224E-3</v>
      </c>
      <c r="X956">
        <v>6</v>
      </c>
      <c r="Y956">
        <v>0.31578947368421051</v>
      </c>
      <c r="Z956">
        <v>1.1299435028248588E-2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">
      <c r="A957">
        <v>1406.7413657407451</v>
      </c>
      <c r="B957">
        <v>533</v>
      </c>
      <c r="C957">
        <v>16</v>
      </c>
      <c r="D957">
        <v>43</v>
      </c>
      <c r="E957">
        <v>17</v>
      </c>
      <c r="F957">
        <v>2</v>
      </c>
      <c r="G957">
        <v>5</v>
      </c>
      <c r="H957">
        <v>41</v>
      </c>
      <c r="I957">
        <v>0</v>
      </c>
      <c r="J957">
        <v>155</v>
      </c>
      <c r="K957">
        <v>56</v>
      </c>
      <c r="L957">
        <v>5121</v>
      </c>
      <c r="M957">
        <v>16</v>
      </c>
      <c r="N957">
        <v>3.1243897676235112E-3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16</v>
      </c>
      <c r="Y957">
        <v>1</v>
      </c>
      <c r="Z957">
        <v>3.1243897676235112E-3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">
      <c r="A958">
        <v>1449.2387268518505</v>
      </c>
      <c r="B958">
        <v>2388</v>
      </c>
      <c r="C958">
        <v>86</v>
      </c>
      <c r="D958">
        <v>538</v>
      </c>
      <c r="E958">
        <v>7</v>
      </c>
      <c r="F958">
        <v>3</v>
      </c>
      <c r="G958">
        <v>3</v>
      </c>
      <c r="H958">
        <v>19</v>
      </c>
      <c r="I958">
        <v>1</v>
      </c>
      <c r="J958">
        <v>88</v>
      </c>
      <c r="K958">
        <v>3</v>
      </c>
      <c r="L958">
        <v>2828</v>
      </c>
      <c r="M958">
        <v>3</v>
      </c>
      <c r="N958">
        <v>1.0608203677510608E-3</v>
      </c>
      <c r="O958">
        <v>0</v>
      </c>
      <c r="P958">
        <v>0</v>
      </c>
      <c r="Q958">
        <v>0</v>
      </c>
      <c r="R958">
        <v>3</v>
      </c>
      <c r="S958">
        <v>1</v>
      </c>
      <c r="T958">
        <v>1.0608203677510608E-3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">
      <c r="A959">
        <v>761.72226851851883</v>
      </c>
      <c r="B959">
        <v>766</v>
      </c>
      <c r="C959">
        <v>46</v>
      </c>
      <c r="D959">
        <v>108</v>
      </c>
      <c r="E959">
        <v>4</v>
      </c>
      <c r="F959">
        <v>1</v>
      </c>
      <c r="G959">
        <v>11</v>
      </c>
      <c r="H959">
        <v>27</v>
      </c>
      <c r="I959">
        <v>0</v>
      </c>
      <c r="J959">
        <v>36</v>
      </c>
      <c r="K959">
        <v>0</v>
      </c>
      <c r="L959">
        <v>23933</v>
      </c>
      <c r="M959">
        <v>3</v>
      </c>
      <c r="N959">
        <v>1.253499352358668E-4</v>
      </c>
      <c r="O959">
        <v>0</v>
      </c>
      <c r="P959">
        <v>0</v>
      </c>
      <c r="Q959">
        <v>0</v>
      </c>
      <c r="R959">
        <v>1</v>
      </c>
      <c r="S959">
        <v>0.33333333333333331</v>
      </c>
      <c r="T959">
        <v>4.1783311745288929E-5</v>
      </c>
      <c r="U959">
        <v>2</v>
      </c>
      <c r="V959">
        <v>0.66666666666666663</v>
      </c>
      <c r="W959">
        <v>8.3566623490577858E-5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">
      <c r="A960">
        <v>1177.5999652777828</v>
      </c>
      <c r="B960">
        <v>361</v>
      </c>
      <c r="C960">
        <v>18</v>
      </c>
      <c r="D960">
        <v>83</v>
      </c>
      <c r="E960">
        <v>0</v>
      </c>
      <c r="F960">
        <v>0</v>
      </c>
      <c r="G960">
        <v>3</v>
      </c>
      <c r="H960">
        <v>23</v>
      </c>
      <c r="I960">
        <v>0</v>
      </c>
      <c r="J960">
        <v>21</v>
      </c>
      <c r="K960">
        <v>1</v>
      </c>
      <c r="L960">
        <v>2378</v>
      </c>
      <c r="M960">
        <v>133</v>
      </c>
      <c r="N960">
        <v>5.5929352396972248E-2</v>
      </c>
      <c r="O960">
        <v>40</v>
      </c>
      <c r="P960">
        <v>0.3007518796992481</v>
      </c>
      <c r="Q960">
        <v>1.6820857863751051E-2</v>
      </c>
      <c r="R960">
        <v>30</v>
      </c>
      <c r="S960">
        <v>0.22556390977443608</v>
      </c>
      <c r="T960">
        <v>1.2615643397813289E-2</v>
      </c>
      <c r="U960">
        <v>0</v>
      </c>
      <c r="V960">
        <v>0</v>
      </c>
      <c r="W960">
        <v>0</v>
      </c>
      <c r="X960">
        <v>63</v>
      </c>
      <c r="Y960">
        <v>0.47368421052631576</v>
      </c>
      <c r="Z960">
        <v>2.6492851135407905E-2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">
      <c r="A961">
        <v>1134.5941435185232</v>
      </c>
      <c r="B961">
        <v>2106</v>
      </c>
      <c r="C961">
        <v>70</v>
      </c>
      <c r="D961">
        <v>547</v>
      </c>
      <c r="E961">
        <v>1</v>
      </c>
      <c r="F961">
        <v>0</v>
      </c>
      <c r="G961">
        <v>9</v>
      </c>
      <c r="H961">
        <v>22</v>
      </c>
      <c r="I961">
        <v>0</v>
      </c>
      <c r="J961">
        <v>175</v>
      </c>
      <c r="K961">
        <v>2</v>
      </c>
      <c r="L961">
        <v>18540</v>
      </c>
      <c r="M961">
        <v>186</v>
      </c>
      <c r="N961">
        <v>1.0032362459546926E-2</v>
      </c>
      <c r="O961">
        <v>25</v>
      </c>
      <c r="P961">
        <v>0.13440860215053763</v>
      </c>
      <c r="Q961">
        <v>1.348435814455232E-3</v>
      </c>
      <c r="R961">
        <v>64</v>
      </c>
      <c r="S961">
        <v>0.34408602150537637</v>
      </c>
      <c r="T961">
        <v>3.4519956850053938E-3</v>
      </c>
      <c r="U961">
        <v>53</v>
      </c>
      <c r="V961">
        <v>0.28494623655913981</v>
      </c>
      <c r="W961">
        <v>2.8586839266450917E-3</v>
      </c>
      <c r="X961">
        <v>44</v>
      </c>
      <c r="Y961">
        <v>0.23655913978494625</v>
      </c>
      <c r="Z961">
        <v>2.3732470334412083E-3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">
      <c r="A962">
        <v>1292.0185879629571</v>
      </c>
      <c r="B962">
        <v>1073</v>
      </c>
      <c r="C962">
        <v>92</v>
      </c>
      <c r="D962">
        <v>277</v>
      </c>
      <c r="E962">
        <v>8</v>
      </c>
      <c r="F962">
        <v>0</v>
      </c>
      <c r="G962">
        <v>0</v>
      </c>
      <c r="H962">
        <v>6</v>
      </c>
      <c r="I962">
        <v>2</v>
      </c>
      <c r="J962">
        <v>23</v>
      </c>
      <c r="K962">
        <v>4</v>
      </c>
      <c r="L962">
        <v>711</v>
      </c>
      <c r="M962">
        <v>78</v>
      </c>
      <c r="N962">
        <v>0.10970464135021098</v>
      </c>
      <c r="O962">
        <v>14</v>
      </c>
      <c r="P962">
        <v>0.17948717948717949</v>
      </c>
      <c r="Q962">
        <v>1.969057665260197E-2</v>
      </c>
      <c r="R962">
        <v>47</v>
      </c>
      <c r="S962">
        <v>0.60256410256410253</v>
      </c>
      <c r="T962">
        <v>6.6104078762306617E-2</v>
      </c>
      <c r="U962">
        <v>12</v>
      </c>
      <c r="V962">
        <v>0.15384615384615385</v>
      </c>
      <c r="W962">
        <v>1.6877637130801686E-2</v>
      </c>
      <c r="X962">
        <v>5</v>
      </c>
      <c r="Y962">
        <v>6.4102564102564097E-2</v>
      </c>
      <c r="Z962">
        <v>7.0323488045007029E-3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">
      <c r="A963">
        <v>850.6960416666625</v>
      </c>
      <c r="B963">
        <v>3350</v>
      </c>
      <c r="C963">
        <v>80</v>
      </c>
      <c r="D963">
        <v>628</v>
      </c>
      <c r="E963">
        <v>16</v>
      </c>
      <c r="F963">
        <v>0</v>
      </c>
      <c r="G963">
        <v>11</v>
      </c>
      <c r="H963">
        <v>31</v>
      </c>
      <c r="I963">
        <v>0</v>
      </c>
      <c r="J963">
        <v>162</v>
      </c>
      <c r="K963">
        <v>18</v>
      </c>
      <c r="L963">
        <v>6522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">
      <c r="A964">
        <v>2136.3420486111063</v>
      </c>
      <c r="B964">
        <v>1553</v>
      </c>
      <c r="C964">
        <v>115</v>
      </c>
      <c r="D964">
        <v>792</v>
      </c>
      <c r="E964">
        <v>102</v>
      </c>
      <c r="F964">
        <v>62</v>
      </c>
      <c r="G964">
        <v>53</v>
      </c>
      <c r="H964">
        <v>2044</v>
      </c>
      <c r="I964">
        <v>23</v>
      </c>
      <c r="J964">
        <v>413</v>
      </c>
      <c r="K964">
        <v>126</v>
      </c>
      <c r="L964">
        <v>81597</v>
      </c>
      <c r="M964">
        <v>67</v>
      </c>
      <c r="N964">
        <v>8.2110861918943104E-4</v>
      </c>
      <c r="O964">
        <v>0</v>
      </c>
      <c r="P964">
        <v>0</v>
      </c>
      <c r="Q964">
        <v>0</v>
      </c>
      <c r="R964">
        <v>9</v>
      </c>
      <c r="S964">
        <v>0.13432835820895522</v>
      </c>
      <c r="T964">
        <v>1.1029817272693849E-4</v>
      </c>
      <c r="U964">
        <v>21</v>
      </c>
      <c r="V964">
        <v>0.31343283582089554</v>
      </c>
      <c r="W964">
        <v>2.5736240302952313E-4</v>
      </c>
      <c r="X964">
        <v>27</v>
      </c>
      <c r="Y964">
        <v>0.40298507462686567</v>
      </c>
      <c r="Z964">
        <v>3.3089451818081546E-4</v>
      </c>
      <c r="AA964">
        <v>0</v>
      </c>
      <c r="AB964">
        <v>0</v>
      </c>
      <c r="AC964">
        <v>0</v>
      </c>
      <c r="AD964">
        <v>10</v>
      </c>
      <c r="AE964">
        <v>0.14925373134328357</v>
      </c>
      <c r="AF964">
        <v>1.2255352525215388E-4</v>
      </c>
    </row>
    <row r="965" spans="1:32" x14ac:dyDescent="0.2">
      <c r="A965">
        <v>1971.3387152777796</v>
      </c>
      <c r="B965">
        <v>2077</v>
      </c>
      <c r="C965">
        <v>136</v>
      </c>
      <c r="D965">
        <v>614</v>
      </c>
      <c r="E965">
        <v>2</v>
      </c>
      <c r="F965">
        <v>361</v>
      </c>
      <c r="G965">
        <v>406</v>
      </c>
      <c r="H965">
        <v>2386</v>
      </c>
      <c r="I965">
        <v>1</v>
      </c>
      <c r="J965">
        <v>4642</v>
      </c>
      <c r="K965">
        <v>61</v>
      </c>
      <c r="L965">
        <v>438215</v>
      </c>
      <c r="M965">
        <v>3586</v>
      </c>
      <c r="N965">
        <v>8.1831977453989489E-3</v>
      </c>
      <c r="O965">
        <v>1503</v>
      </c>
      <c r="P965">
        <v>0.41912994980479645</v>
      </c>
      <c r="Q965">
        <v>3.4298232602717844E-3</v>
      </c>
      <c r="R965">
        <v>752</v>
      </c>
      <c r="S965">
        <v>0.20970440602342444</v>
      </c>
      <c r="T965">
        <v>1.7160526225711123E-3</v>
      </c>
      <c r="U965">
        <v>908</v>
      </c>
      <c r="V965">
        <v>0.25320691578360288</v>
      </c>
      <c r="W965">
        <v>2.0720422623598006E-3</v>
      </c>
      <c r="X965">
        <v>247</v>
      </c>
      <c r="Y965">
        <v>6.8878973786949252E-2</v>
      </c>
      <c r="Z965">
        <v>5.636502629987563E-4</v>
      </c>
      <c r="AA965">
        <v>3</v>
      </c>
      <c r="AB965">
        <v>8.3658672615727835E-4</v>
      </c>
      <c r="AC965">
        <v>6.8459546113209272E-6</v>
      </c>
      <c r="AD965">
        <v>173</v>
      </c>
      <c r="AE965">
        <v>4.8243167875069715E-2</v>
      </c>
      <c r="AF965">
        <v>3.9478338258617347E-4</v>
      </c>
    </row>
    <row r="966" spans="1:32" x14ac:dyDescent="0.2">
      <c r="A966">
        <v>2584.455312500002</v>
      </c>
      <c r="B966">
        <v>1529</v>
      </c>
      <c r="C966">
        <v>170</v>
      </c>
      <c r="D966">
        <v>707</v>
      </c>
      <c r="E966">
        <v>2</v>
      </c>
      <c r="F966">
        <v>517</v>
      </c>
      <c r="G966">
        <v>196</v>
      </c>
      <c r="H966">
        <v>2669</v>
      </c>
      <c r="I966">
        <v>0</v>
      </c>
      <c r="J966">
        <v>0</v>
      </c>
      <c r="K966">
        <v>0</v>
      </c>
      <c r="L966">
        <v>41032</v>
      </c>
      <c r="M966">
        <v>1673</v>
      </c>
      <c r="N966">
        <v>4.0773055176447651E-2</v>
      </c>
      <c r="O966">
        <v>923</v>
      </c>
      <c r="P966">
        <v>0.55170352659892408</v>
      </c>
      <c r="Q966">
        <v>2.2494638331058685E-2</v>
      </c>
      <c r="R966">
        <v>266</v>
      </c>
      <c r="S966">
        <v>0.15899581589958159</v>
      </c>
      <c r="T966">
        <v>6.4827451744979532E-3</v>
      </c>
      <c r="U966">
        <v>315</v>
      </c>
      <c r="V966">
        <v>0.18828451882845187</v>
      </c>
      <c r="W966">
        <v>7.6769350750633654E-3</v>
      </c>
      <c r="X966">
        <v>163</v>
      </c>
      <c r="Y966">
        <v>9.7429766885833838E-2</v>
      </c>
      <c r="Z966">
        <v>3.9725092610645354E-3</v>
      </c>
      <c r="AA966">
        <v>1</v>
      </c>
      <c r="AB966">
        <v>5.977286312014345E-4</v>
      </c>
      <c r="AC966">
        <v>2.4371222460518618E-5</v>
      </c>
      <c r="AD966">
        <v>5</v>
      </c>
      <c r="AE966">
        <v>2.9886431560071729E-3</v>
      </c>
      <c r="AF966">
        <v>1.2185611230259309E-4</v>
      </c>
    </row>
    <row r="967" spans="1:32" x14ac:dyDescent="0.2">
      <c r="A967">
        <v>3523.1547106481521</v>
      </c>
      <c r="B967">
        <v>2461</v>
      </c>
      <c r="C967">
        <v>195</v>
      </c>
      <c r="D967">
        <v>736</v>
      </c>
      <c r="E967">
        <v>0</v>
      </c>
      <c r="F967">
        <v>19</v>
      </c>
      <c r="G967">
        <v>69</v>
      </c>
      <c r="H967">
        <v>401</v>
      </c>
      <c r="I967">
        <v>49</v>
      </c>
      <c r="J967">
        <v>326</v>
      </c>
      <c r="K967">
        <v>75</v>
      </c>
      <c r="L967">
        <v>25710</v>
      </c>
      <c r="M967">
        <v>266</v>
      </c>
      <c r="N967">
        <v>1.0346168805912097E-2</v>
      </c>
      <c r="O967">
        <v>0</v>
      </c>
      <c r="P967">
        <v>0</v>
      </c>
      <c r="Q967">
        <v>0</v>
      </c>
      <c r="R967">
        <v>5</v>
      </c>
      <c r="S967">
        <v>1.8796992481203006E-2</v>
      </c>
      <c r="T967">
        <v>1.9447685725398678E-4</v>
      </c>
      <c r="U967">
        <v>259</v>
      </c>
      <c r="V967">
        <v>0.97368421052631582</v>
      </c>
      <c r="W967">
        <v>1.0073901205756516E-2</v>
      </c>
      <c r="X967">
        <v>2</v>
      </c>
      <c r="Y967">
        <v>7.5187969924812026E-3</v>
      </c>
      <c r="Z967">
        <v>7.7790742901594705E-5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">
      <c r="A968">
        <v>2705.3688310185171</v>
      </c>
      <c r="B968">
        <v>678</v>
      </c>
      <c r="C968">
        <v>95</v>
      </c>
      <c r="D968">
        <v>84</v>
      </c>
      <c r="E968">
        <v>2</v>
      </c>
      <c r="F968">
        <v>5</v>
      </c>
      <c r="G968">
        <v>38</v>
      </c>
      <c r="H968">
        <v>88</v>
      </c>
      <c r="I968">
        <v>0</v>
      </c>
      <c r="J968">
        <v>134</v>
      </c>
      <c r="K968">
        <v>25</v>
      </c>
      <c r="L968">
        <v>2808</v>
      </c>
      <c r="M968">
        <v>5</v>
      </c>
      <c r="N968">
        <v>1.7806267806267807E-3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</v>
      </c>
      <c r="Y968">
        <v>1</v>
      </c>
      <c r="Z968">
        <v>1.7806267806267807E-3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">
      <c r="A969">
        <v>477.27814814815065</v>
      </c>
      <c r="B969">
        <v>1095</v>
      </c>
      <c r="C969">
        <v>29</v>
      </c>
      <c r="D969">
        <v>107</v>
      </c>
      <c r="E969">
        <v>0</v>
      </c>
      <c r="F969">
        <v>30</v>
      </c>
      <c r="G969">
        <v>18</v>
      </c>
      <c r="H969">
        <v>244</v>
      </c>
      <c r="I969">
        <v>3</v>
      </c>
      <c r="J969">
        <v>150</v>
      </c>
      <c r="K969">
        <v>6</v>
      </c>
      <c r="L969">
        <v>13194</v>
      </c>
      <c r="M969">
        <v>167</v>
      </c>
      <c r="N969">
        <v>1.2657268455358497E-2</v>
      </c>
      <c r="O969">
        <v>45</v>
      </c>
      <c r="P969">
        <v>0.26946107784431139</v>
      </c>
      <c r="Q969">
        <v>3.4106412005457027E-3</v>
      </c>
      <c r="R969">
        <v>5</v>
      </c>
      <c r="S969">
        <v>2.9940119760479042E-2</v>
      </c>
      <c r="T969">
        <v>3.7896013339396695E-4</v>
      </c>
      <c r="U969">
        <v>65</v>
      </c>
      <c r="V969">
        <v>0.38922155688622756</v>
      </c>
      <c r="W969">
        <v>4.9264817341215707E-3</v>
      </c>
      <c r="X969">
        <v>4</v>
      </c>
      <c r="Y969">
        <v>2.3952095808383235E-2</v>
      </c>
      <c r="Z969">
        <v>3.0316810671517357E-4</v>
      </c>
      <c r="AA969">
        <v>0</v>
      </c>
      <c r="AB969">
        <v>0</v>
      </c>
      <c r="AC969">
        <v>0</v>
      </c>
      <c r="AD969">
        <v>48</v>
      </c>
      <c r="AE969">
        <v>0.28742514970059879</v>
      </c>
      <c r="AF969">
        <v>3.6380172805820826E-3</v>
      </c>
    </row>
    <row r="970" spans="1:32" x14ac:dyDescent="0.2">
      <c r="A970">
        <v>1986.1519675925883</v>
      </c>
      <c r="B970">
        <v>784</v>
      </c>
      <c r="C970">
        <v>62</v>
      </c>
      <c r="D970">
        <v>193</v>
      </c>
      <c r="E970">
        <v>20</v>
      </c>
      <c r="F970">
        <v>0</v>
      </c>
      <c r="G970">
        <v>11</v>
      </c>
      <c r="H970">
        <v>44</v>
      </c>
      <c r="I970">
        <v>4</v>
      </c>
      <c r="J970">
        <v>30</v>
      </c>
      <c r="K970">
        <v>18</v>
      </c>
      <c r="L970">
        <v>4587</v>
      </c>
      <c r="M970">
        <v>176</v>
      </c>
      <c r="N970">
        <v>3.8369304556354913E-2</v>
      </c>
      <c r="O970">
        <v>65</v>
      </c>
      <c r="P970">
        <v>0.36931818181818182</v>
      </c>
      <c r="Q970">
        <v>1.4170481796381078E-2</v>
      </c>
      <c r="R970">
        <v>40</v>
      </c>
      <c r="S970">
        <v>0.22727272727272727</v>
      </c>
      <c r="T970">
        <v>8.7202964900806625E-3</v>
      </c>
      <c r="U970">
        <v>7</v>
      </c>
      <c r="V970">
        <v>3.9772727272727272E-2</v>
      </c>
      <c r="W970">
        <v>1.526051885764116E-3</v>
      </c>
      <c r="X970">
        <v>40</v>
      </c>
      <c r="Y970">
        <v>0.22727272727272727</v>
      </c>
      <c r="Z970">
        <v>8.7202964900806625E-3</v>
      </c>
      <c r="AA970">
        <v>24</v>
      </c>
      <c r="AB970">
        <v>0.13636363636363635</v>
      </c>
      <c r="AC970">
        <v>5.232177894048398E-3</v>
      </c>
      <c r="AD970">
        <v>0</v>
      </c>
      <c r="AE970">
        <v>0</v>
      </c>
      <c r="AF970">
        <v>0</v>
      </c>
    </row>
    <row r="971" spans="1:32" x14ac:dyDescent="0.2">
      <c r="A971">
        <v>1938.8072337962949</v>
      </c>
      <c r="B971">
        <v>1427</v>
      </c>
      <c r="C971">
        <v>51</v>
      </c>
      <c r="D971">
        <v>193</v>
      </c>
      <c r="E971">
        <v>12</v>
      </c>
      <c r="F971">
        <v>3</v>
      </c>
      <c r="G971">
        <v>22</v>
      </c>
      <c r="H971">
        <v>47</v>
      </c>
      <c r="I971">
        <v>5</v>
      </c>
      <c r="J971">
        <v>205</v>
      </c>
      <c r="K971">
        <v>58</v>
      </c>
      <c r="L971">
        <v>1794</v>
      </c>
      <c r="M971">
        <v>12</v>
      </c>
      <c r="N971">
        <v>6.688963210702341E-3</v>
      </c>
      <c r="O971">
        <v>2</v>
      </c>
      <c r="P971">
        <v>0.16666666666666666</v>
      </c>
      <c r="Q971">
        <v>1.1148272017837235E-3</v>
      </c>
      <c r="R971">
        <v>6</v>
      </c>
      <c r="S971">
        <v>0.5</v>
      </c>
      <c r="T971">
        <v>3.3444816053511705E-3</v>
      </c>
      <c r="U971">
        <v>4</v>
      </c>
      <c r="V971">
        <v>0.33333333333333331</v>
      </c>
      <c r="W971">
        <v>2.229654403567447E-3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">
      <c r="A972">
        <v>650.87932870369696</v>
      </c>
      <c r="B972">
        <v>637</v>
      </c>
      <c r="C972">
        <v>12</v>
      </c>
      <c r="D972">
        <v>42</v>
      </c>
      <c r="E972">
        <v>16</v>
      </c>
      <c r="F972">
        <v>0</v>
      </c>
      <c r="G972">
        <v>8</v>
      </c>
      <c r="H972">
        <v>49</v>
      </c>
      <c r="I972">
        <v>5</v>
      </c>
      <c r="J972">
        <v>61</v>
      </c>
      <c r="K972">
        <v>15</v>
      </c>
      <c r="L972">
        <v>1364</v>
      </c>
      <c r="M972">
        <v>7</v>
      </c>
      <c r="N972">
        <v>5.131964809384164E-3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</v>
      </c>
      <c r="Y972">
        <v>0.5714285714285714</v>
      </c>
      <c r="Z972">
        <v>2.9325513196480938E-3</v>
      </c>
      <c r="AA972">
        <v>0</v>
      </c>
      <c r="AB972">
        <v>0</v>
      </c>
      <c r="AC972">
        <v>0</v>
      </c>
      <c r="AD972">
        <v>3</v>
      </c>
      <c r="AE972">
        <v>0.42857142857142855</v>
      </c>
      <c r="AF972">
        <v>2.1994134897360706E-3</v>
      </c>
    </row>
    <row r="973" spans="1:32" x14ac:dyDescent="0.2">
      <c r="A973">
        <v>127.99465277777927</v>
      </c>
      <c r="B973">
        <v>763</v>
      </c>
      <c r="C973">
        <v>23</v>
      </c>
      <c r="D973">
        <v>933</v>
      </c>
      <c r="E973">
        <v>0</v>
      </c>
      <c r="F973">
        <v>0</v>
      </c>
      <c r="G973">
        <v>3</v>
      </c>
      <c r="H973">
        <v>30</v>
      </c>
      <c r="I973">
        <v>0</v>
      </c>
      <c r="J973">
        <v>100</v>
      </c>
      <c r="K973">
        <v>1</v>
      </c>
      <c r="L973">
        <v>9472</v>
      </c>
      <c r="M973">
        <v>11</v>
      </c>
      <c r="N973">
        <v>1.1613175675675676E-3</v>
      </c>
      <c r="O973">
        <v>3</v>
      </c>
      <c r="P973">
        <v>0.27272727272727271</v>
      </c>
      <c r="Q973">
        <v>3.1672297297297299E-4</v>
      </c>
      <c r="R973">
        <v>0</v>
      </c>
      <c r="S973">
        <v>0</v>
      </c>
      <c r="T973">
        <v>0</v>
      </c>
      <c r="U973">
        <v>8</v>
      </c>
      <c r="V973">
        <v>0.72727272727272729</v>
      </c>
      <c r="W973">
        <v>8.4459459459459464E-4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">
      <c r="A974">
        <v>2678.8334837962975</v>
      </c>
      <c r="B974">
        <v>391</v>
      </c>
      <c r="C974">
        <v>21</v>
      </c>
      <c r="D974">
        <v>153</v>
      </c>
      <c r="E974">
        <v>0</v>
      </c>
      <c r="F974">
        <v>9</v>
      </c>
      <c r="G974">
        <v>54</v>
      </c>
      <c r="H974">
        <v>193</v>
      </c>
      <c r="I974">
        <v>15</v>
      </c>
      <c r="J974">
        <v>245</v>
      </c>
      <c r="K974">
        <v>40</v>
      </c>
      <c r="L974">
        <v>5488</v>
      </c>
      <c r="M974">
        <v>142</v>
      </c>
      <c r="N974">
        <v>2.5874635568513119E-2</v>
      </c>
      <c r="O974">
        <v>49</v>
      </c>
      <c r="P974">
        <v>0.34507042253521125</v>
      </c>
      <c r="Q974">
        <v>8.9285714285714281E-3</v>
      </c>
      <c r="R974">
        <v>22</v>
      </c>
      <c r="S974">
        <v>0.15492957746478872</v>
      </c>
      <c r="T974">
        <v>4.0087463556851312E-3</v>
      </c>
      <c r="U974">
        <v>11</v>
      </c>
      <c r="V974">
        <v>7.746478873239436E-2</v>
      </c>
      <c r="W974">
        <v>2.0043731778425656E-3</v>
      </c>
      <c r="X974">
        <v>16</v>
      </c>
      <c r="Y974">
        <v>0.11267605633802817</v>
      </c>
      <c r="Z974">
        <v>2.9154518950437317E-3</v>
      </c>
      <c r="AA974">
        <v>29</v>
      </c>
      <c r="AB974">
        <v>0.20422535211267606</v>
      </c>
      <c r="AC974">
        <v>5.2842565597667635E-3</v>
      </c>
      <c r="AD974">
        <v>15</v>
      </c>
      <c r="AE974">
        <v>0.10563380281690141</v>
      </c>
      <c r="AF974">
        <v>2.7332361516034984E-3</v>
      </c>
    </row>
    <row r="975" spans="1:32" x14ac:dyDescent="0.2">
      <c r="A975">
        <v>3267.2542939814812</v>
      </c>
      <c r="B975">
        <v>5645</v>
      </c>
      <c r="C975">
        <v>285</v>
      </c>
      <c r="D975">
        <v>1054</v>
      </c>
      <c r="E975">
        <v>5</v>
      </c>
      <c r="F975">
        <v>12</v>
      </c>
      <c r="G975">
        <v>34</v>
      </c>
      <c r="H975">
        <v>800</v>
      </c>
      <c r="I975">
        <v>3</v>
      </c>
      <c r="J975">
        <v>352</v>
      </c>
      <c r="K975">
        <v>57</v>
      </c>
      <c r="L975">
        <v>39374</v>
      </c>
      <c r="M975">
        <v>1844</v>
      </c>
      <c r="N975">
        <v>4.6832935439630213E-2</v>
      </c>
      <c r="O975">
        <v>1155</v>
      </c>
      <c r="P975">
        <v>0.62635574837310193</v>
      </c>
      <c r="Q975">
        <v>2.9334078325798752E-2</v>
      </c>
      <c r="R975">
        <v>198</v>
      </c>
      <c r="S975">
        <v>0.10737527114967461</v>
      </c>
      <c r="T975">
        <v>5.0286991415655E-3</v>
      </c>
      <c r="U975">
        <v>2</v>
      </c>
      <c r="V975">
        <v>1.0845986984815619E-3</v>
      </c>
      <c r="W975">
        <v>5.0794940823893938E-5</v>
      </c>
      <c r="X975">
        <v>480</v>
      </c>
      <c r="Y975">
        <v>0.26030368763557482</v>
      </c>
      <c r="Z975">
        <v>1.2190785797734546E-2</v>
      </c>
      <c r="AA975">
        <v>7</v>
      </c>
      <c r="AB975">
        <v>3.7960954446854662E-3</v>
      </c>
      <c r="AC975">
        <v>1.7778229288362878E-4</v>
      </c>
      <c r="AD975">
        <v>2</v>
      </c>
      <c r="AE975">
        <v>1.0845986984815619E-3</v>
      </c>
      <c r="AF975">
        <v>5.0794940823893938E-5</v>
      </c>
    </row>
    <row r="976" spans="1:32" x14ac:dyDescent="0.2">
      <c r="A976">
        <v>552.51533564814599</v>
      </c>
      <c r="B976">
        <v>921</v>
      </c>
      <c r="C976">
        <v>20</v>
      </c>
      <c r="D976">
        <v>201</v>
      </c>
      <c r="E976">
        <v>62</v>
      </c>
      <c r="F976">
        <v>26</v>
      </c>
      <c r="G976">
        <v>174</v>
      </c>
      <c r="H976">
        <v>358</v>
      </c>
      <c r="I976">
        <v>28</v>
      </c>
      <c r="J976">
        <v>591</v>
      </c>
      <c r="K976">
        <v>369</v>
      </c>
      <c r="L976">
        <v>17156</v>
      </c>
      <c r="M976">
        <v>318</v>
      </c>
      <c r="N976">
        <v>1.8535789228258336E-2</v>
      </c>
      <c r="O976">
        <v>71</v>
      </c>
      <c r="P976">
        <v>0.22327044025157233</v>
      </c>
      <c r="Q976">
        <v>4.138493821403591E-3</v>
      </c>
      <c r="R976">
        <v>120</v>
      </c>
      <c r="S976">
        <v>0.37735849056603776</v>
      </c>
      <c r="T976">
        <v>6.9946374446257873E-3</v>
      </c>
      <c r="U976">
        <v>60</v>
      </c>
      <c r="V976">
        <v>0.18867924528301888</v>
      </c>
      <c r="W976">
        <v>3.4973187223128937E-3</v>
      </c>
      <c r="X976">
        <v>67</v>
      </c>
      <c r="Y976">
        <v>0.21069182389937108</v>
      </c>
      <c r="Z976">
        <v>3.9053392399160643E-3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">
      <c r="A977">
        <v>1988.0173726851863</v>
      </c>
      <c r="B977">
        <v>972</v>
      </c>
      <c r="C977">
        <v>41</v>
      </c>
      <c r="D977">
        <v>347</v>
      </c>
      <c r="E977">
        <v>79</v>
      </c>
      <c r="F977">
        <v>37</v>
      </c>
      <c r="G977">
        <v>163</v>
      </c>
      <c r="H977">
        <v>3279</v>
      </c>
      <c r="I977">
        <v>12</v>
      </c>
      <c r="J977">
        <v>0</v>
      </c>
      <c r="K977">
        <v>0</v>
      </c>
      <c r="L977">
        <v>49629</v>
      </c>
      <c r="M977">
        <v>393</v>
      </c>
      <c r="N977">
        <v>7.9187571782627086E-3</v>
      </c>
      <c r="O977">
        <v>155</v>
      </c>
      <c r="P977">
        <v>0.3944020356234097</v>
      </c>
      <c r="Q977">
        <v>3.1231739507143002E-3</v>
      </c>
      <c r="R977">
        <v>106</v>
      </c>
      <c r="S977">
        <v>0.26972010178117051</v>
      </c>
      <c r="T977">
        <v>2.1358479921013925E-3</v>
      </c>
      <c r="U977">
        <v>111</v>
      </c>
      <c r="V977">
        <v>0.28244274809160308</v>
      </c>
      <c r="W977">
        <v>2.2365955388986276E-3</v>
      </c>
      <c r="X977">
        <v>17</v>
      </c>
      <c r="Y977">
        <v>4.3256997455470736E-2</v>
      </c>
      <c r="Z977">
        <v>3.4254165911060065E-4</v>
      </c>
      <c r="AA977">
        <v>4</v>
      </c>
      <c r="AB977">
        <v>1.0178117048346057E-2</v>
      </c>
      <c r="AC977">
        <v>8.0598037437788387E-5</v>
      </c>
      <c r="AD977">
        <v>0</v>
      </c>
      <c r="AE977">
        <v>0</v>
      </c>
      <c r="AF977">
        <v>0</v>
      </c>
    </row>
    <row r="978" spans="1:32" x14ac:dyDescent="0.2">
      <c r="A978">
        <v>1311.3436574074076</v>
      </c>
      <c r="B978">
        <v>340</v>
      </c>
      <c r="C978">
        <v>19</v>
      </c>
      <c r="D978">
        <v>89</v>
      </c>
      <c r="E978">
        <v>0</v>
      </c>
      <c r="F978">
        <v>0</v>
      </c>
      <c r="G978">
        <v>2</v>
      </c>
      <c r="H978">
        <v>1</v>
      </c>
      <c r="I978">
        <v>0</v>
      </c>
      <c r="J978">
        <v>15</v>
      </c>
      <c r="K978">
        <v>4</v>
      </c>
      <c r="L978">
        <v>1526</v>
      </c>
      <c r="M978">
        <v>10</v>
      </c>
      <c r="N978">
        <v>6.55307994757536E-3</v>
      </c>
      <c r="O978">
        <v>0</v>
      </c>
      <c r="P978">
        <v>0</v>
      </c>
      <c r="Q978">
        <v>0</v>
      </c>
      <c r="R978">
        <v>8</v>
      </c>
      <c r="S978">
        <v>0.8</v>
      </c>
      <c r="T978">
        <v>5.2424639580602884E-3</v>
      </c>
      <c r="U978">
        <v>0</v>
      </c>
      <c r="V978">
        <v>0</v>
      </c>
      <c r="W978">
        <v>0</v>
      </c>
      <c r="X978">
        <v>1</v>
      </c>
      <c r="Y978">
        <v>0.1</v>
      </c>
      <c r="Z978">
        <v>6.5530799475753605E-4</v>
      </c>
      <c r="AA978">
        <v>0</v>
      </c>
      <c r="AB978">
        <v>0</v>
      </c>
      <c r="AC978">
        <v>0</v>
      </c>
      <c r="AD978">
        <v>1</v>
      </c>
      <c r="AE978">
        <v>0.1</v>
      </c>
      <c r="AF978">
        <v>6.5530799475753605E-4</v>
      </c>
    </row>
    <row r="979" spans="1:32" x14ac:dyDescent="0.2">
      <c r="A979">
        <v>1381.4550694444479</v>
      </c>
      <c r="B979">
        <v>2433</v>
      </c>
      <c r="C979">
        <v>167</v>
      </c>
      <c r="D979">
        <v>291</v>
      </c>
      <c r="E979">
        <v>49</v>
      </c>
      <c r="F979">
        <v>0</v>
      </c>
      <c r="G979">
        <v>48</v>
      </c>
      <c r="H979">
        <v>811</v>
      </c>
      <c r="I979">
        <v>13</v>
      </c>
      <c r="J979">
        <v>47</v>
      </c>
      <c r="K979">
        <v>18</v>
      </c>
      <c r="L979">
        <v>45578</v>
      </c>
      <c r="M979">
        <v>168</v>
      </c>
      <c r="N979">
        <v>3.6859888542717977E-3</v>
      </c>
      <c r="O979">
        <v>24</v>
      </c>
      <c r="P979">
        <v>0.14285714285714285</v>
      </c>
      <c r="Q979">
        <v>5.2656983632454256E-4</v>
      </c>
      <c r="R979">
        <v>68</v>
      </c>
      <c r="S979">
        <v>0.40476190476190477</v>
      </c>
      <c r="T979">
        <v>1.4919478695862038E-3</v>
      </c>
      <c r="U979">
        <v>38</v>
      </c>
      <c r="V979">
        <v>0.22619047619047619</v>
      </c>
      <c r="W979">
        <v>8.3373557418052566E-4</v>
      </c>
      <c r="X979">
        <v>4</v>
      </c>
      <c r="Y979">
        <v>2.3809523809523808E-2</v>
      </c>
      <c r="Z979">
        <v>8.776163938742376E-5</v>
      </c>
      <c r="AA979">
        <v>34</v>
      </c>
      <c r="AB979">
        <v>0.20238095238095238</v>
      </c>
      <c r="AC979">
        <v>7.459739347931019E-4</v>
      </c>
      <c r="AD979">
        <v>0</v>
      </c>
      <c r="AE979">
        <v>0</v>
      </c>
      <c r="AF979">
        <v>0</v>
      </c>
    </row>
    <row r="980" spans="1:32" x14ac:dyDescent="0.2">
      <c r="A980">
        <v>3691.1115856481483</v>
      </c>
      <c r="B980">
        <v>528</v>
      </c>
      <c r="C980">
        <v>39</v>
      </c>
      <c r="D980">
        <v>102</v>
      </c>
      <c r="E980">
        <v>0</v>
      </c>
      <c r="F980">
        <v>27</v>
      </c>
      <c r="G980">
        <v>52</v>
      </c>
      <c r="H980">
        <v>208</v>
      </c>
      <c r="I980">
        <v>12</v>
      </c>
      <c r="J980">
        <v>1109</v>
      </c>
      <c r="K980">
        <v>281</v>
      </c>
      <c r="L980">
        <v>6975</v>
      </c>
      <c r="M980">
        <v>86</v>
      </c>
      <c r="N980">
        <v>1.2329749103942652E-2</v>
      </c>
      <c r="O980">
        <v>5</v>
      </c>
      <c r="P980">
        <v>5.8139534883720929E-2</v>
      </c>
      <c r="Q980">
        <v>7.1684587813620072E-4</v>
      </c>
      <c r="R980">
        <v>30</v>
      </c>
      <c r="S980">
        <v>0.34883720930232559</v>
      </c>
      <c r="T980">
        <v>4.3010752688172043E-3</v>
      </c>
      <c r="U980">
        <v>7</v>
      </c>
      <c r="V980">
        <v>8.1395348837209308E-2</v>
      </c>
      <c r="W980">
        <v>1.003584229390681E-3</v>
      </c>
      <c r="X980">
        <v>44</v>
      </c>
      <c r="Y980">
        <v>0.51162790697674421</v>
      </c>
      <c r="Z980">
        <v>6.3082437275985663E-3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">
      <c r="A981">
        <v>2647.4808912037042</v>
      </c>
      <c r="B981">
        <v>2004</v>
      </c>
      <c r="C981">
        <v>89</v>
      </c>
      <c r="D981">
        <v>1169</v>
      </c>
      <c r="E981">
        <v>24</v>
      </c>
      <c r="F981">
        <v>209</v>
      </c>
      <c r="G981">
        <v>786</v>
      </c>
      <c r="H981">
        <v>17908</v>
      </c>
      <c r="I981">
        <v>373</v>
      </c>
      <c r="J981">
        <v>4958</v>
      </c>
      <c r="K981">
        <v>1392</v>
      </c>
      <c r="L981">
        <v>220314</v>
      </c>
      <c r="M981">
        <v>634</v>
      </c>
      <c r="N981">
        <v>2.8777109035285999E-3</v>
      </c>
      <c r="O981">
        <v>337</v>
      </c>
      <c r="P981">
        <v>0.53154574132492116</v>
      </c>
      <c r="Q981">
        <v>1.5296349755349182E-3</v>
      </c>
      <c r="R981">
        <v>38</v>
      </c>
      <c r="S981">
        <v>5.993690851735016E-2</v>
      </c>
      <c r="T981">
        <v>1.7248109516417476E-4</v>
      </c>
      <c r="U981">
        <v>195</v>
      </c>
      <c r="V981">
        <v>0.30757097791798105</v>
      </c>
      <c r="W981">
        <v>8.8510035676352843E-4</v>
      </c>
      <c r="X981">
        <v>64</v>
      </c>
      <c r="Y981">
        <v>0.10094637223974763</v>
      </c>
      <c r="Z981">
        <v>2.9049447606597855E-4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">
      <c r="A982">
        <v>3171.2197569444397</v>
      </c>
      <c r="B982">
        <v>4754</v>
      </c>
      <c r="C982">
        <v>298</v>
      </c>
      <c r="D982">
        <v>1523</v>
      </c>
      <c r="E982">
        <v>0</v>
      </c>
      <c r="F982">
        <v>424</v>
      </c>
      <c r="G982">
        <v>284</v>
      </c>
      <c r="H982">
        <v>1789</v>
      </c>
      <c r="I982">
        <v>45</v>
      </c>
      <c r="J982">
        <v>5334</v>
      </c>
      <c r="K982">
        <v>774</v>
      </c>
      <c r="L982">
        <v>61485</v>
      </c>
      <c r="M982">
        <v>540</v>
      </c>
      <c r="N982">
        <v>8.7826299097340816E-3</v>
      </c>
      <c r="O982">
        <v>24</v>
      </c>
      <c r="P982">
        <v>4.4444444444444446E-2</v>
      </c>
      <c r="Q982">
        <v>3.9033910709929251E-4</v>
      </c>
      <c r="R982">
        <v>391</v>
      </c>
      <c r="S982">
        <v>0.72407407407407409</v>
      </c>
      <c r="T982">
        <v>6.3592746198259742E-3</v>
      </c>
      <c r="U982">
        <v>27</v>
      </c>
      <c r="V982">
        <v>0.05</v>
      </c>
      <c r="W982">
        <v>4.3913149548670407E-4</v>
      </c>
      <c r="X982">
        <v>20</v>
      </c>
      <c r="Y982">
        <v>3.7037037037037035E-2</v>
      </c>
      <c r="Z982">
        <v>3.2528258924941042E-4</v>
      </c>
      <c r="AA982">
        <v>0</v>
      </c>
      <c r="AB982">
        <v>0</v>
      </c>
      <c r="AC982">
        <v>0</v>
      </c>
      <c r="AD982">
        <v>78</v>
      </c>
      <c r="AE982">
        <v>0.14444444444444443</v>
      </c>
      <c r="AF982">
        <v>1.2686020980727008E-3</v>
      </c>
    </row>
    <row r="983" spans="1:32" x14ac:dyDescent="0.2">
      <c r="A983">
        <v>1300.0304166666683</v>
      </c>
      <c r="B983">
        <v>4770</v>
      </c>
      <c r="C983">
        <v>205</v>
      </c>
      <c r="D983">
        <v>841</v>
      </c>
      <c r="E983">
        <v>1</v>
      </c>
      <c r="F983">
        <v>4</v>
      </c>
      <c r="G983">
        <v>8</v>
      </c>
      <c r="H983">
        <v>26</v>
      </c>
      <c r="I983">
        <v>1</v>
      </c>
      <c r="J983">
        <v>92</v>
      </c>
      <c r="K983">
        <v>37</v>
      </c>
      <c r="L983">
        <v>1675</v>
      </c>
      <c r="M983">
        <v>1</v>
      </c>
      <c r="N983">
        <v>5.9701492537313433E-4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1</v>
      </c>
      <c r="Z983">
        <v>5.9701492537313433E-4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">
      <c r="A984">
        <v>1745.6560532407457</v>
      </c>
      <c r="B984">
        <v>4607</v>
      </c>
      <c r="C984">
        <v>299</v>
      </c>
      <c r="D984">
        <v>1191</v>
      </c>
      <c r="E984">
        <v>0</v>
      </c>
      <c r="F984">
        <v>3</v>
      </c>
      <c r="G984">
        <v>13</v>
      </c>
      <c r="H984">
        <v>60</v>
      </c>
      <c r="I984">
        <v>2</v>
      </c>
      <c r="J984">
        <v>156</v>
      </c>
      <c r="K984">
        <v>15</v>
      </c>
      <c r="L984">
        <v>3360</v>
      </c>
      <c r="M984">
        <v>56</v>
      </c>
      <c r="N984">
        <v>1.6666666666666666E-2</v>
      </c>
      <c r="O984">
        <v>0</v>
      </c>
      <c r="P984">
        <v>0</v>
      </c>
      <c r="Q984">
        <v>0</v>
      </c>
      <c r="R984">
        <v>10</v>
      </c>
      <c r="S984">
        <v>0.17857142857142858</v>
      </c>
      <c r="T984">
        <v>2.976190476190476E-3</v>
      </c>
      <c r="U984">
        <v>12</v>
      </c>
      <c r="V984">
        <v>0.21428571428571427</v>
      </c>
      <c r="W984">
        <v>3.5714285714285713E-3</v>
      </c>
      <c r="X984">
        <v>34</v>
      </c>
      <c r="Y984">
        <v>0.6071428571428571</v>
      </c>
      <c r="Z984">
        <v>1.011904761904762E-2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">
      <c r="A985">
        <v>3681.4522569444453</v>
      </c>
      <c r="B985">
        <v>507</v>
      </c>
      <c r="C985">
        <v>22</v>
      </c>
      <c r="D985">
        <v>158</v>
      </c>
      <c r="E985">
        <v>3</v>
      </c>
      <c r="F985">
        <v>44</v>
      </c>
      <c r="G985">
        <v>87</v>
      </c>
      <c r="H985">
        <v>412</v>
      </c>
      <c r="I985">
        <v>10</v>
      </c>
      <c r="J985">
        <v>324</v>
      </c>
      <c r="K985">
        <v>42</v>
      </c>
      <c r="L985">
        <v>3259</v>
      </c>
      <c r="M985">
        <v>5</v>
      </c>
      <c r="N985">
        <v>1.5342129487572874E-3</v>
      </c>
      <c r="O985">
        <v>0</v>
      </c>
      <c r="P985">
        <v>0</v>
      </c>
      <c r="Q985">
        <v>0</v>
      </c>
      <c r="R985">
        <v>1</v>
      </c>
      <c r="S985">
        <v>0.2</v>
      </c>
      <c r="T985">
        <v>3.0684258975145751E-4</v>
      </c>
      <c r="U985">
        <v>4</v>
      </c>
      <c r="V985">
        <v>0.8</v>
      </c>
      <c r="W985">
        <v>1.22737035900583E-3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">
      <c r="A986">
        <v>3659.169722222221</v>
      </c>
      <c r="B986">
        <v>522</v>
      </c>
      <c r="C986">
        <v>100</v>
      </c>
      <c r="D986">
        <v>297</v>
      </c>
      <c r="E986">
        <v>10</v>
      </c>
      <c r="F986">
        <v>132</v>
      </c>
      <c r="G986">
        <v>50</v>
      </c>
      <c r="H986">
        <v>203</v>
      </c>
      <c r="I986">
        <v>32</v>
      </c>
      <c r="J986">
        <v>170</v>
      </c>
      <c r="K986">
        <v>43</v>
      </c>
      <c r="L986">
        <v>16097</v>
      </c>
      <c r="M986">
        <v>59</v>
      </c>
      <c r="N986">
        <v>3.6652792445797354E-3</v>
      </c>
      <c r="O986">
        <v>43</v>
      </c>
      <c r="P986">
        <v>0.72881355932203384</v>
      </c>
      <c r="Q986">
        <v>2.6713052121513326E-3</v>
      </c>
      <c r="R986">
        <v>2</v>
      </c>
      <c r="S986">
        <v>3.3898305084745763E-2</v>
      </c>
      <c r="T986">
        <v>1.2424675405355034E-4</v>
      </c>
      <c r="U986">
        <v>5</v>
      </c>
      <c r="V986">
        <v>8.4745762711864403E-2</v>
      </c>
      <c r="W986">
        <v>3.1061688513387586E-4</v>
      </c>
      <c r="X986">
        <v>9</v>
      </c>
      <c r="Y986">
        <v>0.15254237288135594</v>
      </c>
      <c r="Z986">
        <v>5.591103932409766E-4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">
      <c r="A987">
        <v>2738.0253819444479</v>
      </c>
      <c r="B987">
        <v>1435</v>
      </c>
      <c r="C987">
        <v>41</v>
      </c>
      <c r="D987">
        <v>157</v>
      </c>
      <c r="E987">
        <v>0</v>
      </c>
      <c r="F987">
        <v>4</v>
      </c>
      <c r="G987">
        <v>46</v>
      </c>
      <c r="H987">
        <v>143</v>
      </c>
      <c r="I987">
        <v>4</v>
      </c>
      <c r="J987">
        <v>180</v>
      </c>
      <c r="K987">
        <v>24</v>
      </c>
      <c r="L987">
        <v>974</v>
      </c>
      <c r="M987">
        <v>5</v>
      </c>
      <c r="N987">
        <v>5.1334702258726897E-3</v>
      </c>
      <c r="O987">
        <v>2</v>
      </c>
      <c r="P987">
        <v>0.4</v>
      </c>
      <c r="Q987">
        <v>2.0533880903490761E-3</v>
      </c>
      <c r="R987">
        <v>0</v>
      </c>
      <c r="S987">
        <v>0</v>
      </c>
      <c r="T987">
        <v>0</v>
      </c>
      <c r="U987">
        <v>2</v>
      </c>
      <c r="V987">
        <v>0.4</v>
      </c>
      <c r="W987">
        <v>2.0533880903490761E-3</v>
      </c>
      <c r="X987">
        <v>1</v>
      </c>
      <c r="Y987">
        <v>0.2</v>
      </c>
      <c r="Z987">
        <v>1.026694045174538E-3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">
      <c r="A988">
        <v>237.78887731481518</v>
      </c>
      <c r="B988">
        <v>565</v>
      </c>
      <c r="C988">
        <v>23</v>
      </c>
      <c r="D988">
        <v>28</v>
      </c>
      <c r="E988">
        <v>0</v>
      </c>
      <c r="F988">
        <v>0</v>
      </c>
      <c r="G988">
        <v>8</v>
      </c>
      <c r="H988">
        <v>182</v>
      </c>
      <c r="I988">
        <v>4</v>
      </c>
      <c r="J988">
        <v>6</v>
      </c>
      <c r="K988">
        <v>5</v>
      </c>
      <c r="L988">
        <v>14446</v>
      </c>
      <c r="M988">
        <v>263</v>
      </c>
      <c r="N988">
        <v>1.8205731690433338E-2</v>
      </c>
      <c r="O988">
        <v>25</v>
      </c>
      <c r="P988">
        <v>9.5057034220532313E-2</v>
      </c>
      <c r="Q988">
        <v>1.7305828603073514E-3</v>
      </c>
      <c r="R988">
        <v>119</v>
      </c>
      <c r="S988">
        <v>0.45247148288973382</v>
      </c>
      <c r="T988">
        <v>8.2375744150629936E-3</v>
      </c>
      <c r="U988">
        <v>34</v>
      </c>
      <c r="V988">
        <v>0.12927756653992395</v>
      </c>
      <c r="W988">
        <v>2.3535926900179979E-3</v>
      </c>
      <c r="X988">
        <v>85</v>
      </c>
      <c r="Y988">
        <v>0.32319391634980987</v>
      </c>
      <c r="Z988">
        <v>5.8839817250449953E-3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">
      <c r="A989">
        <v>2849.7233217592657</v>
      </c>
      <c r="B989">
        <v>828</v>
      </c>
      <c r="C989">
        <v>133</v>
      </c>
      <c r="D989">
        <v>200</v>
      </c>
      <c r="E989">
        <v>0</v>
      </c>
      <c r="F989">
        <v>0</v>
      </c>
      <c r="G989">
        <v>25</v>
      </c>
      <c r="H989">
        <v>126</v>
      </c>
      <c r="I989">
        <v>11</v>
      </c>
      <c r="J989">
        <v>132</v>
      </c>
      <c r="K989">
        <v>59</v>
      </c>
      <c r="L989">
        <v>5463</v>
      </c>
      <c r="M989">
        <v>51</v>
      </c>
      <c r="N989">
        <v>9.335529928610654E-3</v>
      </c>
      <c r="O989">
        <v>50</v>
      </c>
      <c r="P989">
        <v>0.98039215686274506</v>
      </c>
      <c r="Q989">
        <v>9.1524803221673078E-3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1.9607843137254902E-2</v>
      </c>
      <c r="Z989">
        <v>1.8304960644334616E-4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">
      <c r="A990">
        <v>2971.1355787037028</v>
      </c>
      <c r="B990">
        <v>4525</v>
      </c>
      <c r="C990">
        <v>64</v>
      </c>
      <c r="D990">
        <v>1322</v>
      </c>
      <c r="E990">
        <v>0</v>
      </c>
      <c r="F990">
        <v>35</v>
      </c>
      <c r="G990">
        <v>620</v>
      </c>
      <c r="H990">
        <v>2189</v>
      </c>
      <c r="I990">
        <v>81</v>
      </c>
      <c r="J990">
        <v>1653</v>
      </c>
      <c r="K990">
        <v>230</v>
      </c>
      <c r="L990">
        <v>108436</v>
      </c>
      <c r="M990">
        <v>18</v>
      </c>
      <c r="N990">
        <v>1.6599653251687631E-4</v>
      </c>
      <c r="O990">
        <v>9</v>
      </c>
      <c r="P990">
        <v>0.5</v>
      </c>
      <c r="Q990">
        <v>8.2998266258438156E-5</v>
      </c>
      <c r="R990">
        <v>0</v>
      </c>
      <c r="S990">
        <v>0</v>
      </c>
      <c r="T990">
        <v>0</v>
      </c>
      <c r="U990">
        <v>7</v>
      </c>
      <c r="V990">
        <v>0.3888888888888889</v>
      </c>
      <c r="W990">
        <v>6.4554207089896344E-5</v>
      </c>
      <c r="X990">
        <v>2</v>
      </c>
      <c r="Y990">
        <v>0.1111111111111111</v>
      </c>
      <c r="Z990">
        <v>1.8444059168541813E-5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">
      <c r="A991">
        <v>897.40878472222539</v>
      </c>
      <c r="B991">
        <v>609</v>
      </c>
      <c r="C991">
        <v>45</v>
      </c>
      <c r="D991">
        <v>98</v>
      </c>
      <c r="E991">
        <v>2</v>
      </c>
      <c r="F991">
        <v>5</v>
      </c>
      <c r="G991">
        <v>22</v>
      </c>
      <c r="H991">
        <v>1697</v>
      </c>
      <c r="I991">
        <v>1</v>
      </c>
      <c r="J991">
        <v>819</v>
      </c>
      <c r="K991">
        <v>91</v>
      </c>
      <c r="L991">
        <v>13355</v>
      </c>
      <c r="M991">
        <v>143</v>
      </c>
      <c r="N991">
        <v>1.0707600149756646E-2</v>
      </c>
      <c r="O991">
        <v>4</v>
      </c>
      <c r="P991">
        <v>2.7972027972027972E-2</v>
      </c>
      <c r="Q991">
        <v>2.9951329090228376E-4</v>
      </c>
      <c r="R991">
        <v>86</v>
      </c>
      <c r="S991">
        <v>0.60139860139860135</v>
      </c>
      <c r="T991">
        <v>6.4395357543991011E-3</v>
      </c>
      <c r="U991">
        <v>38</v>
      </c>
      <c r="V991">
        <v>0.26573426573426573</v>
      </c>
      <c r="W991">
        <v>2.8453762635716959E-3</v>
      </c>
      <c r="X991">
        <v>15</v>
      </c>
      <c r="Y991">
        <v>0.1048951048951049</v>
      </c>
      <c r="Z991">
        <v>1.1231748408835642E-3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">
      <c r="A992">
        <v>1284.5110995370342</v>
      </c>
      <c r="B992">
        <v>1113</v>
      </c>
      <c r="C992">
        <v>70</v>
      </c>
      <c r="D992">
        <v>204</v>
      </c>
      <c r="E992">
        <v>15</v>
      </c>
      <c r="F992">
        <v>0</v>
      </c>
      <c r="G992">
        <v>2</v>
      </c>
      <c r="H992">
        <v>38</v>
      </c>
      <c r="I992">
        <v>0</v>
      </c>
      <c r="J992">
        <v>19</v>
      </c>
      <c r="K992">
        <v>15</v>
      </c>
      <c r="L992">
        <v>1947</v>
      </c>
      <c r="M992">
        <v>14</v>
      </c>
      <c r="N992">
        <v>7.1905495634309192E-3</v>
      </c>
      <c r="O992">
        <v>5</v>
      </c>
      <c r="P992">
        <v>0.35714285714285715</v>
      </c>
      <c r="Q992">
        <v>2.5680534155110425E-3</v>
      </c>
      <c r="R992">
        <v>7</v>
      </c>
      <c r="S992">
        <v>0.5</v>
      </c>
      <c r="T992">
        <v>3.5952747817154596E-3</v>
      </c>
      <c r="U992">
        <v>0</v>
      </c>
      <c r="V992">
        <v>0</v>
      </c>
      <c r="W992">
        <v>0</v>
      </c>
      <c r="X992">
        <v>2</v>
      </c>
      <c r="Y992">
        <v>0.14285714285714285</v>
      </c>
      <c r="Z992">
        <v>1.0272213662044171E-3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">
      <c r="A993">
        <v>2144.1378587962972</v>
      </c>
      <c r="B993">
        <v>402</v>
      </c>
      <c r="C993">
        <v>15</v>
      </c>
      <c r="D993">
        <v>110</v>
      </c>
      <c r="E993">
        <v>10</v>
      </c>
      <c r="F993">
        <v>0</v>
      </c>
      <c r="G993">
        <v>22</v>
      </c>
      <c r="H993">
        <v>52</v>
      </c>
      <c r="I993">
        <v>2</v>
      </c>
      <c r="J993">
        <v>94</v>
      </c>
      <c r="K993">
        <v>32</v>
      </c>
      <c r="L993">
        <v>767</v>
      </c>
      <c r="M993">
        <v>8</v>
      </c>
      <c r="N993">
        <v>1.0430247718383311E-2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4</v>
      </c>
      <c r="V993">
        <v>0.5</v>
      </c>
      <c r="W993">
        <v>5.2151238591916557E-3</v>
      </c>
      <c r="X993">
        <v>3</v>
      </c>
      <c r="Y993">
        <v>0.375</v>
      </c>
      <c r="Z993">
        <v>3.9113428943937422E-3</v>
      </c>
      <c r="AA993">
        <v>0</v>
      </c>
      <c r="AB993">
        <v>0</v>
      </c>
      <c r="AC993">
        <v>0</v>
      </c>
      <c r="AD993">
        <v>1</v>
      </c>
      <c r="AE993">
        <v>0.125</v>
      </c>
      <c r="AF993">
        <v>1.3037809647979139E-3</v>
      </c>
    </row>
    <row r="994" spans="1:32" x14ac:dyDescent="0.2">
      <c r="A994">
        <v>1470.3396296296341</v>
      </c>
      <c r="B994">
        <v>814</v>
      </c>
      <c r="C994">
        <v>39</v>
      </c>
      <c r="D994">
        <v>211</v>
      </c>
      <c r="E994">
        <v>0</v>
      </c>
      <c r="F994">
        <v>0</v>
      </c>
      <c r="G994">
        <v>2</v>
      </c>
      <c r="H994">
        <v>3</v>
      </c>
      <c r="I994">
        <v>0</v>
      </c>
      <c r="J994">
        <v>10</v>
      </c>
      <c r="K994">
        <v>6</v>
      </c>
      <c r="L994">
        <v>8999</v>
      </c>
      <c r="M994">
        <v>115</v>
      </c>
      <c r="N994">
        <v>1.2779197688632071E-2</v>
      </c>
      <c r="O994">
        <v>21</v>
      </c>
      <c r="P994">
        <v>0.18260869565217391</v>
      </c>
      <c r="Q994">
        <v>2.3335926214023781E-3</v>
      </c>
      <c r="R994">
        <v>57</v>
      </c>
      <c r="S994">
        <v>0.4956521739130435</v>
      </c>
      <c r="T994">
        <v>6.3340371152350262E-3</v>
      </c>
      <c r="U994">
        <v>11</v>
      </c>
      <c r="V994">
        <v>9.5652173913043481E-2</v>
      </c>
      <c r="W994">
        <v>1.2223580397821979E-3</v>
      </c>
      <c r="X994">
        <v>6</v>
      </c>
      <c r="Y994">
        <v>5.2173913043478258E-2</v>
      </c>
      <c r="Z994">
        <v>6.6674074897210805E-4</v>
      </c>
      <c r="AA994">
        <v>0</v>
      </c>
      <c r="AB994">
        <v>0</v>
      </c>
      <c r="AC994">
        <v>0</v>
      </c>
      <c r="AD994">
        <v>20</v>
      </c>
      <c r="AE994">
        <v>0.17391304347826086</v>
      </c>
      <c r="AF994">
        <v>2.22246916324036E-3</v>
      </c>
    </row>
    <row r="995" spans="1:32" x14ac:dyDescent="0.2">
      <c r="A995">
        <v>1091.849351851859</v>
      </c>
      <c r="B995">
        <v>1836</v>
      </c>
      <c r="C995">
        <v>57</v>
      </c>
      <c r="D995">
        <v>261</v>
      </c>
      <c r="E995">
        <v>25</v>
      </c>
      <c r="F995">
        <v>8</v>
      </c>
      <c r="G995">
        <v>28</v>
      </c>
      <c r="H995">
        <v>913</v>
      </c>
      <c r="I995">
        <v>23</v>
      </c>
      <c r="J995">
        <v>919</v>
      </c>
      <c r="K995">
        <v>209</v>
      </c>
      <c r="L995">
        <v>19715</v>
      </c>
      <c r="M995">
        <v>65</v>
      </c>
      <c r="N995">
        <v>3.2969819934060359E-3</v>
      </c>
      <c r="O995">
        <v>0</v>
      </c>
      <c r="P995">
        <v>0</v>
      </c>
      <c r="Q995">
        <v>0</v>
      </c>
      <c r="R995">
        <v>12</v>
      </c>
      <c r="S995">
        <v>0.18461538461538463</v>
      </c>
      <c r="T995">
        <v>6.0867359878265281E-4</v>
      </c>
      <c r="U995">
        <v>53</v>
      </c>
      <c r="V995">
        <v>0.81538461538461537</v>
      </c>
      <c r="W995">
        <v>2.6883083946233834E-3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">
      <c r="A996">
        <v>1545.4132291666683</v>
      </c>
      <c r="B996">
        <v>674</v>
      </c>
      <c r="C996">
        <v>74</v>
      </c>
      <c r="D996">
        <v>182</v>
      </c>
      <c r="E996">
        <v>0</v>
      </c>
      <c r="F996">
        <v>5</v>
      </c>
      <c r="G996">
        <v>25</v>
      </c>
      <c r="H996">
        <v>115</v>
      </c>
      <c r="I996">
        <v>7</v>
      </c>
      <c r="J996">
        <v>195</v>
      </c>
      <c r="K996">
        <v>35</v>
      </c>
      <c r="L996">
        <v>1040</v>
      </c>
      <c r="M996">
        <v>12</v>
      </c>
      <c r="N996">
        <v>1.1538461538461539E-2</v>
      </c>
      <c r="O996">
        <v>12</v>
      </c>
      <c r="P996">
        <v>1</v>
      </c>
      <c r="Q996">
        <v>1.1538461538461539E-2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">
      <c r="A997">
        <v>594.1256018518543</v>
      </c>
      <c r="B997">
        <v>14090</v>
      </c>
      <c r="C997">
        <v>253</v>
      </c>
      <c r="D997">
        <v>1193</v>
      </c>
      <c r="E997">
        <v>10</v>
      </c>
      <c r="F997">
        <v>5</v>
      </c>
      <c r="G997">
        <v>92</v>
      </c>
      <c r="H997">
        <v>1431</v>
      </c>
      <c r="I997">
        <v>11</v>
      </c>
      <c r="J997">
        <v>1662</v>
      </c>
      <c r="K997">
        <v>493</v>
      </c>
      <c r="L997">
        <v>19339</v>
      </c>
      <c r="M997">
        <v>162</v>
      </c>
      <c r="N997">
        <v>8.3768550597238742E-3</v>
      </c>
      <c r="O997">
        <v>82</v>
      </c>
      <c r="P997">
        <v>0.50617283950617287</v>
      </c>
      <c r="Q997">
        <v>4.2401365117120844E-3</v>
      </c>
      <c r="R997">
        <v>7</v>
      </c>
      <c r="S997">
        <v>4.3209876543209874E-2</v>
      </c>
      <c r="T997">
        <v>3.6196287295103157E-4</v>
      </c>
      <c r="U997">
        <v>31</v>
      </c>
      <c r="V997">
        <v>0.19135802469135801</v>
      </c>
      <c r="W997">
        <v>1.6029784373545685E-3</v>
      </c>
      <c r="X997">
        <v>35</v>
      </c>
      <c r="Y997">
        <v>0.21604938271604937</v>
      </c>
      <c r="Z997">
        <v>1.809814364755158E-3</v>
      </c>
      <c r="AA997">
        <v>1</v>
      </c>
      <c r="AB997">
        <v>6.1728395061728392E-3</v>
      </c>
      <c r="AC997">
        <v>5.1708981850147369E-5</v>
      </c>
      <c r="AD997">
        <v>6</v>
      </c>
      <c r="AE997">
        <v>3.7037037037037035E-2</v>
      </c>
      <c r="AF997">
        <v>3.1025389110088424E-4</v>
      </c>
    </row>
    <row r="998" spans="1:32" x14ac:dyDescent="0.2">
      <c r="A998">
        <v>1232.9407754629647</v>
      </c>
      <c r="B998">
        <v>941</v>
      </c>
      <c r="C998">
        <v>49</v>
      </c>
      <c r="D998">
        <v>301</v>
      </c>
      <c r="E998">
        <v>0</v>
      </c>
      <c r="F998">
        <v>0</v>
      </c>
      <c r="G998">
        <v>4</v>
      </c>
      <c r="H998">
        <v>4</v>
      </c>
      <c r="I998">
        <v>2</v>
      </c>
      <c r="J998">
        <v>39</v>
      </c>
      <c r="K998">
        <v>29</v>
      </c>
      <c r="L998">
        <v>1198</v>
      </c>
      <c r="M998">
        <v>31</v>
      </c>
      <c r="N998">
        <v>2.5876460767946578E-2</v>
      </c>
      <c r="O998">
        <v>6</v>
      </c>
      <c r="P998">
        <v>0.19354838709677419</v>
      </c>
      <c r="Q998">
        <v>5.008347245409015E-3</v>
      </c>
      <c r="R998">
        <v>13</v>
      </c>
      <c r="S998">
        <v>0.41935483870967744</v>
      </c>
      <c r="T998">
        <v>1.0851419031719533E-2</v>
      </c>
      <c r="U998">
        <v>0</v>
      </c>
      <c r="V998">
        <v>0</v>
      </c>
      <c r="W998">
        <v>0</v>
      </c>
      <c r="X998">
        <v>10</v>
      </c>
      <c r="Y998">
        <v>0.32258064516129031</v>
      </c>
      <c r="Z998">
        <v>8.3472454090150246E-3</v>
      </c>
      <c r="AA998">
        <v>0</v>
      </c>
      <c r="AB998">
        <v>0</v>
      </c>
      <c r="AC998">
        <v>0</v>
      </c>
      <c r="AD998">
        <v>2</v>
      </c>
      <c r="AE998">
        <v>6.4516129032258063E-2</v>
      </c>
      <c r="AF998">
        <v>1.6694490818030051E-3</v>
      </c>
    </row>
    <row r="999" spans="1:32" x14ac:dyDescent="0.2">
      <c r="A999">
        <v>1411.9311458333323</v>
      </c>
      <c r="B999">
        <v>371</v>
      </c>
      <c r="C999">
        <v>25</v>
      </c>
      <c r="D999">
        <v>48</v>
      </c>
      <c r="E999">
        <v>4</v>
      </c>
      <c r="F999">
        <v>3</v>
      </c>
      <c r="G999">
        <v>12</v>
      </c>
      <c r="H999">
        <v>219</v>
      </c>
      <c r="I999">
        <v>0</v>
      </c>
      <c r="J999">
        <v>248</v>
      </c>
      <c r="K999">
        <v>56</v>
      </c>
      <c r="L999">
        <v>9211</v>
      </c>
      <c r="M999">
        <v>315</v>
      </c>
      <c r="N999">
        <v>3.4198241233308002E-2</v>
      </c>
      <c r="O999">
        <v>115</v>
      </c>
      <c r="P999">
        <v>0.36507936507936506</v>
      </c>
      <c r="Q999">
        <v>1.2485072196287049E-2</v>
      </c>
      <c r="R999">
        <v>127</v>
      </c>
      <c r="S999">
        <v>0.40317460317460319</v>
      </c>
      <c r="T999">
        <v>1.3787862338508306E-2</v>
      </c>
      <c r="U999">
        <v>34</v>
      </c>
      <c r="V999">
        <v>0.10793650793650794</v>
      </c>
      <c r="W999">
        <v>3.691238736293562E-3</v>
      </c>
      <c r="X999">
        <v>32</v>
      </c>
      <c r="Y999">
        <v>0.10158730158730159</v>
      </c>
      <c r="Z999">
        <v>3.4741070459233525E-3</v>
      </c>
      <c r="AA999">
        <v>0</v>
      </c>
      <c r="AB999">
        <v>0</v>
      </c>
      <c r="AC999">
        <v>0</v>
      </c>
      <c r="AD999">
        <v>7</v>
      </c>
      <c r="AE999">
        <v>2.2222222222222223E-2</v>
      </c>
      <c r="AF999">
        <v>7.5996091629573336E-4</v>
      </c>
    </row>
    <row r="1000" spans="1:32" x14ac:dyDescent="0.2">
      <c r="A1000">
        <v>2410.4553124999948</v>
      </c>
      <c r="B1000">
        <v>572</v>
      </c>
      <c r="C1000">
        <v>59</v>
      </c>
      <c r="D1000">
        <v>172</v>
      </c>
      <c r="E1000">
        <v>61</v>
      </c>
      <c r="F1000">
        <v>16</v>
      </c>
      <c r="G1000">
        <v>48</v>
      </c>
      <c r="H1000">
        <v>3125</v>
      </c>
      <c r="I1000">
        <v>2</v>
      </c>
      <c r="J1000">
        <v>106</v>
      </c>
      <c r="K1000">
        <v>30</v>
      </c>
      <c r="L1000">
        <v>182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">
      <c r="A1001">
        <v>2527.7250578703679</v>
      </c>
      <c r="B1001">
        <v>1063</v>
      </c>
      <c r="C1001">
        <v>86</v>
      </c>
      <c r="D1001">
        <v>307</v>
      </c>
      <c r="E1001">
        <v>3</v>
      </c>
      <c r="F1001">
        <v>2</v>
      </c>
      <c r="G1001">
        <v>14</v>
      </c>
      <c r="H1001">
        <v>93</v>
      </c>
      <c r="I1001">
        <v>22</v>
      </c>
      <c r="J1001">
        <v>223</v>
      </c>
      <c r="K1001">
        <v>109</v>
      </c>
      <c r="L1001">
        <v>4468</v>
      </c>
      <c r="M1001">
        <v>21</v>
      </c>
      <c r="N1001">
        <v>4.7000895255147716E-3</v>
      </c>
      <c r="O1001">
        <v>10</v>
      </c>
      <c r="P1001">
        <v>0.47619047619047616</v>
      </c>
      <c r="Q1001">
        <v>2.2381378692927483E-3</v>
      </c>
      <c r="R1001">
        <v>7</v>
      </c>
      <c r="S1001">
        <v>0.33333333333333331</v>
      </c>
      <c r="T1001">
        <v>1.5666965085049239E-3</v>
      </c>
      <c r="U1001">
        <v>0</v>
      </c>
      <c r="V1001">
        <v>0</v>
      </c>
      <c r="W1001">
        <v>0</v>
      </c>
      <c r="X1001">
        <v>4</v>
      </c>
      <c r="Y1001">
        <v>0.19047619047619047</v>
      </c>
      <c r="Z1001">
        <v>8.9525514771709937E-4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">
      <c r="A1002">
        <v>905.75547453703621</v>
      </c>
      <c r="B1002">
        <v>1370</v>
      </c>
      <c r="C1002">
        <v>44</v>
      </c>
      <c r="D1002">
        <v>265</v>
      </c>
      <c r="E1002">
        <v>0</v>
      </c>
      <c r="F1002">
        <v>2</v>
      </c>
      <c r="G1002">
        <v>11</v>
      </c>
      <c r="H1002">
        <v>17</v>
      </c>
      <c r="I1002">
        <v>0</v>
      </c>
      <c r="J1002">
        <v>16</v>
      </c>
      <c r="K1002">
        <v>10</v>
      </c>
      <c r="L1002">
        <v>1273</v>
      </c>
      <c r="M1002">
        <v>78</v>
      </c>
      <c r="N1002">
        <v>6.1272584446190104E-2</v>
      </c>
      <c r="O1002">
        <v>0</v>
      </c>
      <c r="P1002">
        <v>0</v>
      </c>
      <c r="Q1002">
        <v>0</v>
      </c>
      <c r="R1002">
        <v>70</v>
      </c>
      <c r="S1002">
        <v>0.89743589743589747</v>
      </c>
      <c r="T1002">
        <v>5.4988216810683423E-2</v>
      </c>
      <c r="U1002">
        <v>3</v>
      </c>
      <c r="V1002">
        <v>3.8461538461538464E-2</v>
      </c>
      <c r="W1002">
        <v>2.3566378633150041E-3</v>
      </c>
      <c r="X1002">
        <v>5</v>
      </c>
      <c r="Y1002">
        <v>6.4102564102564097E-2</v>
      </c>
      <c r="Z1002">
        <v>3.927729772191673E-3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">
      <c r="A1003">
        <v>1207.8326388888891</v>
      </c>
      <c r="B1003">
        <v>494</v>
      </c>
      <c r="C1003">
        <v>59</v>
      </c>
      <c r="D1003">
        <v>77</v>
      </c>
      <c r="E1003">
        <v>0</v>
      </c>
      <c r="F1003">
        <v>10</v>
      </c>
      <c r="G1003">
        <v>38</v>
      </c>
      <c r="H1003">
        <v>1223</v>
      </c>
      <c r="I1003">
        <v>16</v>
      </c>
      <c r="J1003">
        <v>422</v>
      </c>
      <c r="K1003">
        <v>82</v>
      </c>
      <c r="L1003">
        <v>22105</v>
      </c>
      <c r="M1003">
        <v>7</v>
      </c>
      <c r="N1003">
        <v>3.166704365528161E-4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0.14285714285714285</v>
      </c>
      <c r="W1003">
        <v>4.5238633793259441E-5</v>
      </c>
      <c r="X1003">
        <v>2</v>
      </c>
      <c r="Y1003">
        <v>0.2857142857142857</v>
      </c>
      <c r="Z1003">
        <v>9.0477267586518882E-5</v>
      </c>
      <c r="AA1003">
        <v>4</v>
      </c>
      <c r="AB1003">
        <v>0.5714285714285714</v>
      </c>
      <c r="AC1003">
        <v>1.8095453517303776E-4</v>
      </c>
      <c r="AD1003">
        <v>0</v>
      </c>
      <c r="AE1003">
        <v>0</v>
      </c>
      <c r="AF1003">
        <v>0</v>
      </c>
    </row>
    <row r="1004" spans="1:32" x14ac:dyDescent="0.2">
      <c r="A1004">
        <v>3996.2982638888861</v>
      </c>
      <c r="B1004">
        <v>7983</v>
      </c>
      <c r="C1004">
        <v>294</v>
      </c>
      <c r="D1004">
        <v>3291</v>
      </c>
      <c r="E1004">
        <v>32</v>
      </c>
      <c r="F1004">
        <v>146</v>
      </c>
      <c r="G1004">
        <v>969</v>
      </c>
      <c r="H1004">
        <v>10316</v>
      </c>
      <c r="I1004">
        <v>509</v>
      </c>
      <c r="J1004">
        <v>10840</v>
      </c>
      <c r="K1004">
        <v>3637</v>
      </c>
      <c r="L1004">
        <v>377040</v>
      </c>
      <c r="M1004">
        <v>74</v>
      </c>
      <c r="N1004">
        <v>1.9626564820708679E-4</v>
      </c>
      <c r="O1004">
        <v>4</v>
      </c>
      <c r="P1004">
        <v>5.4054054054054057E-2</v>
      </c>
      <c r="Q1004">
        <v>1.0608953957139827E-5</v>
      </c>
      <c r="R1004">
        <v>1</v>
      </c>
      <c r="S1004">
        <v>1.3513513513513514E-2</v>
      </c>
      <c r="T1004">
        <v>2.6522384892849567E-6</v>
      </c>
      <c r="U1004">
        <v>55</v>
      </c>
      <c r="V1004">
        <v>0.7432432432432432</v>
      </c>
      <c r="W1004">
        <v>1.4587311691067261E-4</v>
      </c>
      <c r="X1004">
        <v>14</v>
      </c>
      <c r="Y1004">
        <v>0.1891891891891892</v>
      </c>
      <c r="Z1004">
        <v>3.7131338849989389E-5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">
      <c r="A1005">
        <v>4186.1112615740785</v>
      </c>
      <c r="B1005">
        <v>517</v>
      </c>
      <c r="C1005">
        <v>40</v>
      </c>
      <c r="D1005">
        <v>87</v>
      </c>
      <c r="E1005">
        <v>14</v>
      </c>
      <c r="F1005">
        <v>0</v>
      </c>
      <c r="G1005">
        <v>11</v>
      </c>
      <c r="H1005">
        <v>78</v>
      </c>
      <c r="I1005">
        <v>8</v>
      </c>
      <c r="J1005">
        <v>99</v>
      </c>
      <c r="K1005">
        <v>70</v>
      </c>
      <c r="L1005">
        <v>2180</v>
      </c>
      <c r="M1005">
        <v>13</v>
      </c>
      <c r="N1005">
        <v>5.9633027522935783E-3</v>
      </c>
      <c r="O1005">
        <v>0</v>
      </c>
      <c r="P1005">
        <v>0</v>
      </c>
      <c r="Q1005">
        <v>0</v>
      </c>
      <c r="R1005">
        <v>4</v>
      </c>
      <c r="S1005">
        <v>0.30769230769230771</v>
      </c>
      <c r="T1005">
        <v>1.834862385321101E-3</v>
      </c>
      <c r="U1005">
        <v>0</v>
      </c>
      <c r="V1005">
        <v>0</v>
      </c>
      <c r="W1005">
        <v>0</v>
      </c>
      <c r="X1005">
        <v>2</v>
      </c>
      <c r="Y1005">
        <v>0.15384615384615385</v>
      </c>
      <c r="Z1005">
        <v>9.1743119266055051E-4</v>
      </c>
      <c r="AA1005">
        <v>0</v>
      </c>
      <c r="AB1005">
        <v>0</v>
      </c>
      <c r="AC1005">
        <v>0</v>
      </c>
      <c r="AD1005">
        <v>7</v>
      </c>
      <c r="AE1005">
        <v>0.53846153846153844</v>
      </c>
      <c r="AF1005">
        <v>3.2110091743119268E-3</v>
      </c>
    </row>
    <row r="1006" spans="1:32" x14ac:dyDescent="0.2">
      <c r="A1006">
        <v>1654.1580902777787</v>
      </c>
      <c r="B1006">
        <v>1053</v>
      </c>
      <c r="C1006">
        <v>109</v>
      </c>
      <c r="D1006">
        <v>388</v>
      </c>
      <c r="E1006">
        <v>16</v>
      </c>
      <c r="F1006">
        <v>3</v>
      </c>
      <c r="G1006">
        <v>29</v>
      </c>
      <c r="H1006">
        <v>222</v>
      </c>
      <c r="I1006">
        <v>2</v>
      </c>
      <c r="J1006">
        <v>272</v>
      </c>
      <c r="K1006">
        <v>9</v>
      </c>
      <c r="L1006">
        <v>3868</v>
      </c>
      <c r="M1006">
        <v>107</v>
      </c>
      <c r="N1006">
        <v>2.7662874870734228E-2</v>
      </c>
      <c r="O1006">
        <v>16</v>
      </c>
      <c r="P1006">
        <v>0.14953271028037382</v>
      </c>
      <c r="Q1006">
        <v>4.1365046535677356E-3</v>
      </c>
      <c r="R1006">
        <v>41</v>
      </c>
      <c r="S1006">
        <v>0.38317757009345793</v>
      </c>
      <c r="T1006">
        <v>1.0599793174767322E-2</v>
      </c>
      <c r="U1006">
        <v>5</v>
      </c>
      <c r="V1006">
        <v>4.6728971962616821E-2</v>
      </c>
      <c r="W1006">
        <v>1.2926577042399173E-3</v>
      </c>
      <c r="X1006">
        <v>30</v>
      </c>
      <c r="Y1006">
        <v>0.28037383177570091</v>
      </c>
      <c r="Z1006">
        <v>7.7559462254395035E-3</v>
      </c>
      <c r="AA1006">
        <v>9</v>
      </c>
      <c r="AB1006">
        <v>8.4112149532710276E-2</v>
      </c>
      <c r="AC1006">
        <v>2.3267838676318511E-3</v>
      </c>
      <c r="AD1006">
        <v>6</v>
      </c>
      <c r="AE1006">
        <v>5.6074766355140186E-2</v>
      </c>
      <c r="AF1006">
        <v>1.5511892450879006E-3</v>
      </c>
    </row>
    <row r="1007" spans="1:32" x14ac:dyDescent="0.2">
      <c r="A1007">
        <v>3398.7843287037031</v>
      </c>
      <c r="B1007">
        <v>1055</v>
      </c>
      <c r="C1007">
        <v>64</v>
      </c>
      <c r="D1007">
        <v>213</v>
      </c>
      <c r="E1007">
        <v>0</v>
      </c>
      <c r="F1007">
        <v>212</v>
      </c>
      <c r="G1007">
        <v>61</v>
      </c>
      <c r="H1007">
        <v>1035</v>
      </c>
      <c r="I1007">
        <v>18</v>
      </c>
      <c r="J1007">
        <v>0</v>
      </c>
      <c r="K1007">
        <v>0</v>
      </c>
      <c r="L1007">
        <v>72194</v>
      </c>
      <c r="M1007">
        <v>10</v>
      </c>
      <c r="N1007">
        <v>1.3851566612183838E-4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3</v>
      </c>
      <c r="V1007">
        <v>0.3</v>
      </c>
      <c r="W1007">
        <v>4.1554699836551512E-5</v>
      </c>
      <c r="X1007">
        <v>6</v>
      </c>
      <c r="Y1007">
        <v>0.6</v>
      </c>
      <c r="Z1007">
        <v>8.3109399673103024E-5</v>
      </c>
      <c r="AA1007">
        <v>1</v>
      </c>
      <c r="AB1007">
        <v>0.1</v>
      </c>
      <c r="AC1007">
        <v>1.3851566612183838E-5</v>
      </c>
      <c r="AD1007">
        <v>0</v>
      </c>
      <c r="AE1007">
        <v>0</v>
      </c>
      <c r="AF1007">
        <v>0</v>
      </c>
    </row>
    <row r="1008" spans="1:32" x14ac:dyDescent="0.2">
      <c r="A1008">
        <v>2941.2991087962946</v>
      </c>
      <c r="B1008">
        <v>5600</v>
      </c>
      <c r="C1008">
        <v>266</v>
      </c>
      <c r="D1008">
        <v>1077</v>
      </c>
      <c r="E1008">
        <v>0</v>
      </c>
      <c r="F1008">
        <v>68</v>
      </c>
      <c r="G1008">
        <v>64</v>
      </c>
      <c r="H1008">
        <v>915</v>
      </c>
      <c r="I1008">
        <v>6</v>
      </c>
      <c r="J1008">
        <v>694</v>
      </c>
      <c r="K1008">
        <v>187</v>
      </c>
      <c r="L1008">
        <v>58508</v>
      </c>
      <c r="M1008">
        <v>41</v>
      </c>
      <c r="N1008">
        <v>7.0075887058180077E-4</v>
      </c>
      <c r="O1008">
        <v>1</v>
      </c>
      <c r="P1008">
        <v>2.4390243902439025E-2</v>
      </c>
      <c r="Q1008">
        <v>1.7091679770287825E-5</v>
      </c>
      <c r="R1008">
        <v>0</v>
      </c>
      <c r="S1008">
        <v>0</v>
      </c>
      <c r="T1008">
        <v>0</v>
      </c>
      <c r="U1008">
        <v>22</v>
      </c>
      <c r="V1008">
        <v>0.53658536585365857</v>
      </c>
      <c r="W1008">
        <v>3.7601695494633215E-4</v>
      </c>
      <c r="X1008">
        <v>15</v>
      </c>
      <c r="Y1008">
        <v>0.36585365853658536</v>
      </c>
      <c r="Z1008">
        <v>2.5637519655431735E-4</v>
      </c>
      <c r="AA1008">
        <v>0</v>
      </c>
      <c r="AB1008">
        <v>0</v>
      </c>
      <c r="AC1008">
        <v>0</v>
      </c>
      <c r="AD1008">
        <v>3</v>
      </c>
      <c r="AE1008">
        <v>7.3170731707317069E-2</v>
      </c>
      <c r="AF1008">
        <v>5.127503931086347E-5</v>
      </c>
    </row>
    <row r="1009" spans="1:32" x14ac:dyDescent="0.2">
      <c r="A1009">
        <v>2735.9747569444444</v>
      </c>
      <c r="B1009">
        <v>1088</v>
      </c>
      <c r="C1009">
        <v>52</v>
      </c>
      <c r="D1009">
        <v>155</v>
      </c>
      <c r="E1009">
        <v>0</v>
      </c>
      <c r="F1009">
        <v>15</v>
      </c>
      <c r="G1009">
        <v>11</v>
      </c>
      <c r="H1009">
        <v>27</v>
      </c>
      <c r="I1009">
        <v>4</v>
      </c>
      <c r="J1009">
        <v>104</v>
      </c>
      <c r="K1009">
        <v>22</v>
      </c>
      <c r="L1009">
        <v>1874</v>
      </c>
      <c r="M1009">
        <v>50</v>
      </c>
      <c r="N1009">
        <v>2.6680896478121666E-2</v>
      </c>
      <c r="O1009">
        <v>10</v>
      </c>
      <c r="P1009">
        <v>0.2</v>
      </c>
      <c r="Q1009">
        <v>5.3361792956243331E-3</v>
      </c>
      <c r="R1009">
        <v>19</v>
      </c>
      <c r="S1009">
        <v>0.38</v>
      </c>
      <c r="T1009">
        <v>1.0138740661686232E-2</v>
      </c>
      <c r="U1009">
        <v>7</v>
      </c>
      <c r="V1009">
        <v>0.14000000000000001</v>
      </c>
      <c r="W1009">
        <v>3.735325506937033E-3</v>
      </c>
      <c r="X1009">
        <v>10</v>
      </c>
      <c r="Y1009">
        <v>0.2</v>
      </c>
      <c r="Z1009">
        <v>5.3361792956243331E-3</v>
      </c>
      <c r="AA1009">
        <v>1</v>
      </c>
      <c r="AB1009">
        <v>0.02</v>
      </c>
      <c r="AC1009">
        <v>5.3361792956243333E-4</v>
      </c>
      <c r="AD1009">
        <v>3</v>
      </c>
      <c r="AE1009">
        <v>0.06</v>
      </c>
      <c r="AF1009">
        <v>1.6008537886872999E-3</v>
      </c>
    </row>
    <row r="1010" spans="1:32" x14ac:dyDescent="0.2">
      <c r="A1010">
        <v>600.95868055555911</v>
      </c>
      <c r="B1010">
        <v>354</v>
      </c>
      <c r="C1010">
        <v>14</v>
      </c>
      <c r="D1010">
        <v>40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14</v>
      </c>
      <c r="K1010">
        <v>4</v>
      </c>
      <c r="L1010">
        <v>13011</v>
      </c>
      <c r="M1010">
        <v>6</v>
      </c>
      <c r="N1010">
        <v>4.6114825916532167E-4</v>
      </c>
      <c r="O1010">
        <v>0</v>
      </c>
      <c r="P1010">
        <v>0</v>
      </c>
      <c r="Q1010">
        <v>0</v>
      </c>
      <c r="R1010">
        <v>3</v>
      </c>
      <c r="S1010">
        <v>0.5</v>
      </c>
      <c r="T1010">
        <v>2.3057412958266084E-4</v>
      </c>
      <c r="U1010">
        <v>3</v>
      </c>
      <c r="V1010">
        <v>0.5</v>
      </c>
      <c r="W1010">
        <v>2.3057412958266084E-4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">
      <c r="A1011">
        <v>930.11837962962454</v>
      </c>
      <c r="B1011">
        <v>392</v>
      </c>
      <c r="C1011">
        <v>30</v>
      </c>
      <c r="D1011">
        <v>55</v>
      </c>
      <c r="E1011">
        <v>10</v>
      </c>
      <c r="F1011">
        <v>0</v>
      </c>
      <c r="G1011">
        <v>14</v>
      </c>
      <c r="H1011">
        <v>132</v>
      </c>
      <c r="I1011">
        <v>0</v>
      </c>
      <c r="J1011">
        <v>35</v>
      </c>
      <c r="K1011">
        <v>3</v>
      </c>
      <c r="L1011">
        <v>2772</v>
      </c>
      <c r="M1011">
        <v>1</v>
      </c>
      <c r="N1011">
        <v>3.6075036075036075E-4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3.6075036075036075E-4</v>
      </c>
    </row>
    <row r="1012" spans="1:32" x14ac:dyDescent="0.2">
      <c r="A1012">
        <v>1365.3203356481463</v>
      </c>
      <c r="B1012">
        <v>2729</v>
      </c>
      <c r="C1012">
        <v>344</v>
      </c>
      <c r="D1012">
        <v>1233</v>
      </c>
      <c r="E1012">
        <v>0</v>
      </c>
      <c r="F1012">
        <v>0</v>
      </c>
      <c r="G1012">
        <v>3</v>
      </c>
      <c r="H1012">
        <v>166</v>
      </c>
      <c r="I1012">
        <v>78</v>
      </c>
      <c r="J1012">
        <v>6</v>
      </c>
      <c r="K1012">
        <v>6</v>
      </c>
      <c r="L1012">
        <v>156140</v>
      </c>
      <c r="M1012">
        <v>955</v>
      </c>
      <c r="N1012">
        <v>6.1163058793390545E-3</v>
      </c>
      <c r="O1012">
        <v>10</v>
      </c>
      <c r="P1012">
        <v>1.0471204188481676E-2</v>
      </c>
      <c r="Q1012">
        <v>6.4045087741770203E-5</v>
      </c>
      <c r="R1012">
        <v>846</v>
      </c>
      <c r="S1012">
        <v>0.8858638743455497</v>
      </c>
      <c r="T1012">
        <v>5.4182144229537599E-3</v>
      </c>
      <c r="U1012">
        <v>29</v>
      </c>
      <c r="V1012">
        <v>3.0366492146596858E-2</v>
      </c>
      <c r="W1012">
        <v>1.8573075445113359E-4</v>
      </c>
      <c r="X1012">
        <v>70</v>
      </c>
      <c r="Y1012">
        <v>7.3298429319371722E-2</v>
      </c>
      <c r="Z1012">
        <v>4.4831561419239146E-4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">
      <c r="A1013">
        <v>1168.6490856481469</v>
      </c>
      <c r="B1013">
        <v>735</v>
      </c>
      <c r="C1013">
        <v>26</v>
      </c>
      <c r="D1013">
        <v>35</v>
      </c>
      <c r="E1013">
        <v>41</v>
      </c>
      <c r="F1013">
        <v>0</v>
      </c>
      <c r="G1013">
        <v>17</v>
      </c>
      <c r="H1013">
        <v>345</v>
      </c>
      <c r="I1013">
        <v>5</v>
      </c>
      <c r="J1013">
        <v>134</v>
      </c>
      <c r="K1013">
        <v>12</v>
      </c>
      <c r="L1013">
        <v>11889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">
      <c r="A1014">
        <v>1757.7892245370385</v>
      </c>
      <c r="B1014">
        <v>1695</v>
      </c>
      <c r="C1014">
        <v>85</v>
      </c>
      <c r="D1014">
        <v>477</v>
      </c>
      <c r="E1014">
        <v>6</v>
      </c>
      <c r="F1014">
        <v>5</v>
      </c>
      <c r="G1014">
        <v>34</v>
      </c>
      <c r="H1014">
        <v>88</v>
      </c>
      <c r="I1014">
        <v>13</v>
      </c>
      <c r="J1014">
        <v>268</v>
      </c>
      <c r="K1014">
        <v>115</v>
      </c>
      <c r="L1014">
        <v>583</v>
      </c>
      <c r="M1014">
        <v>38</v>
      </c>
      <c r="N1014">
        <v>6.5180102915951971E-2</v>
      </c>
      <c r="O1014">
        <v>0</v>
      </c>
      <c r="P1014">
        <v>0</v>
      </c>
      <c r="Q1014">
        <v>0</v>
      </c>
      <c r="R1014">
        <v>24</v>
      </c>
      <c r="S1014">
        <v>0.63157894736842102</v>
      </c>
      <c r="T1014">
        <v>4.1166380789022301E-2</v>
      </c>
      <c r="U1014">
        <v>0</v>
      </c>
      <c r="V1014">
        <v>0</v>
      </c>
      <c r="W1014">
        <v>0</v>
      </c>
      <c r="X1014">
        <v>3</v>
      </c>
      <c r="Y1014">
        <v>7.8947368421052627E-2</v>
      </c>
      <c r="Z1014">
        <v>5.1457975986277877E-3</v>
      </c>
      <c r="AA1014">
        <v>0</v>
      </c>
      <c r="AB1014">
        <v>0</v>
      </c>
      <c r="AC1014">
        <v>0</v>
      </c>
      <c r="AD1014">
        <v>11</v>
      </c>
      <c r="AE1014">
        <v>0.28947368421052633</v>
      </c>
      <c r="AF1014">
        <v>1.8867924528301886E-2</v>
      </c>
    </row>
    <row r="1015" spans="1:32" x14ac:dyDescent="0.2">
      <c r="A1015">
        <v>2236.8177546296283</v>
      </c>
      <c r="B1015">
        <v>3828</v>
      </c>
      <c r="C1015">
        <v>260</v>
      </c>
      <c r="D1015">
        <v>510</v>
      </c>
      <c r="E1015">
        <v>179</v>
      </c>
      <c r="F1015">
        <v>169</v>
      </c>
      <c r="G1015">
        <v>60</v>
      </c>
      <c r="H1015">
        <v>374</v>
      </c>
      <c r="I1015">
        <v>2</v>
      </c>
      <c r="J1015">
        <v>1028</v>
      </c>
      <c r="K1015">
        <v>7</v>
      </c>
      <c r="L1015">
        <v>146888</v>
      </c>
      <c r="M1015">
        <v>1494</v>
      </c>
      <c r="N1015">
        <v>1.0171014650618157E-2</v>
      </c>
      <c r="O1015">
        <v>528</v>
      </c>
      <c r="P1015">
        <v>0.3534136546184739</v>
      </c>
      <c r="Q1015">
        <v>3.5945754588530038E-3</v>
      </c>
      <c r="R1015">
        <v>243</v>
      </c>
      <c r="S1015">
        <v>0.16265060240963855</v>
      </c>
      <c r="T1015">
        <v>1.6543216600403028E-3</v>
      </c>
      <c r="U1015">
        <v>410</v>
      </c>
      <c r="V1015">
        <v>0.27443105756358771</v>
      </c>
      <c r="W1015">
        <v>2.7912423070638854E-3</v>
      </c>
      <c r="X1015">
        <v>281</v>
      </c>
      <c r="Y1015">
        <v>0.18808567603748327</v>
      </c>
      <c r="Z1015">
        <v>1.913022166548663E-3</v>
      </c>
      <c r="AA1015">
        <v>2</v>
      </c>
      <c r="AB1015">
        <v>1.3386880856760374E-3</v>
      </c>
      <c r="AC1015">
        <v>1.3615816132018953E-5</v>
      </c>
      <c r="AD1015">
        <v>30</v>
      </c>
      <c r="AE1015">
        <v>2.0080321285140562E-2</v>
      </c>
      <c r="AF1015">
        <v>2.042372419802843E-4</v>
      </c>
    </row>
    <row r="1016" spans="1:32" x14ac:dyDescent="0.2">
      <c r="A1016">
        <v>1251.5604745370365</v>
      </c>
      <c r="B1016">
        <v>764</v>
      </c>
      <c r="C1016">
        <v>27</v>
      </c>
      <c r="D1016">
        <v>146</v>
      </c>
      <c r="E1016">
        <v>0</v>
      </c>
      <c r="F1016">
        <v>0</v>
      </c>
      <c r="G1016">
        <v>41</v>
      </c>
      <c r="H1016">
        <v>194</v>
      </c>
      <c r="I1016">
        <v>10</v>
      </c>
      <c r="J1016">
        <v>473</v>
      </c>
      <c r="K1016">
        <v>36</v>
      </c>
      <c r="L1016">
        <v>5513</v>
      </c>
      <c r="M1016">
        <v>149</v>
      </c>
      <c r="N1016">
        <v>2.7027027027027029E-2</v>
      </c>
      <c r="O1016">
        <v>78</v>
      </c>
      <c r="P1016">
        <v>0.52348993288590606</v>
      </c>
      <c r="Q1016">
        <v>1.4148376564483946E-2</v>
      </c>
      <c r="R1016">
        <v>21</v>
      </c>
      <c r="S1016">
        <v>0.14093959731543623</v>
      </c>
      <c r="T1016">
        <v>3.8091783058226011E-3</v>
      </c>
      <c r="U1016">
        <v>16</v>
      </c>
      <c r="V1016">
        <v>0.10738255033557047</v>
      </c>
      <c r="W1016">
        <v>2.9022310901505532E-3</v>
      </c>
      <c r="X1016">
        <v>24</v>
      </c>
      <c r="Y1016">
        <v>0.16107382550335569</v>
      </c>
      <c r="Z1016">
        <v>4.3533466352258295E-3</v>
      </c>
      <c r="AA1016">
        <v>1</v>
      </c>
      <c r="AB1016">
        <v>6.7114093959731542E-3</v>
      </c>
      <c r="AC1016">
        <v>1.8138944313440957E-4</v>
      </c>
      <c r="AD1016">
        <v>9</v>
      </c>
      <c r="AE1016">
        <v>6.0402684563758392E-2</v>
      </c>
      <c r="AF1016">
        <v>1.6325049882096863E-3</v>
      </c>
    </row>
    <row r="1017" spans="1:32" x14ac:dyDescent="0.2">
      <c r="A1017">
        <v>2533.678541666668</v>
      </c>
      <c r="B1017">
        <v>1732</v>
      </c>
      <c r="C1017">
        <v>79</v>
      </c>
      <c r="D1017">
        <v>183</v>
      </c>
      <c r="E1017">
        <v>0</v>
      </c>
      <c r="F1017">
        <v>23</v>
      </c>
      <c r="G1017">
        <v>47</v>
      </c>
      <c r="H1017">
        <v>151</v>
      </c>
      <c r="I1017">
        <v>7</v>
      </c>
      <c r="J1017">
        <v>360</v>
      </c>
      <c r="K1017">
        <v>99</v>
      </c>
      <c r="L1017">
        <v>4553</v>
      </c>
      <c r="M1017">
        <v>86</v>
      </c>
      <c r="N1017">
        <v>1.8888644849549746E-2</v>
      </c>
      <c r="O1017">
        <v>12</v>
      </c>
      <c r="P1017">
        <v>0.13953488372093023</v>
      </c>
      <c r="Q1017">
        <v>2.6356248627278718E-3</v>
      </c>
      <c r="R1017">
        <v>44</v>
      </c>
      <c r="S1017">
        <v>0.51162790697674421</v>
      </c>
      <c r="T1017">
        <v>9.6639578300021962E-3</v>
      </c>
      <c r="U1017">
        <v>29</v>
      </c>
      <c r="V1017">
        <v>0.33720930232558138</v>
      </c>
      <c r="W1017">
        <v>6.369426751592357E-3</v>
      </c>
      <c r="X1017">
        <v>1</v>
      </c>
      <c r="Y1017">
        <v>1.1627906976744186E-2</v>
      </c>
      <c r="Z1017">
        <v>2.1963540522732265E-4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">
      <c r="A1018">
        <v>1469.6843749999971</v>
      </c>
      <c r="B1018">
        <v>435</v>
      </c>
      <c r="C1018">
        <v>21</v>
      </c>
      <c r="D1018">
        <v>68</v>
      </c>
      <c r="E1018">
        <v>2</v>
      </c>
      <c r="F1018">
        <v>0</v>
      </c>
      <c r="G1018">
        <v>9</v>
      </c>
      <c r="H1018">
        <v>21</v>
      </c>
      <c r="I1018">
        <v>3</v>
      </c>
      <c r="J1018">
        <v>21</v>
      </c>
      <c r="K1018">
        <v>5</v>
      </c>
      <c r="L1018">
        <v>72</v>
      </c>
      <c r="M1018">
        <v>2</v>
      </c>
      <c r="N1018">
        <v>2.7777777777777776E-2</v>
      </c>
      <c r="O1018">
        <v>0</v>
      </c>
      <c r="P1018">
        <v>0</v>
      </c>
      <c r="Q1018">
        <v>0</v>
      </c>
      <c r="R1018">
        <v>2</v>
      </c>
      <c r="S1018">
        <v>1</v>
      </c>
      <c r="T1018">
        <v>2.7777777777777776E-2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">
      <c r="A1019">
        <v>1011.0734837962955</v>
      </c>
      <c r="B1019">
        <v>535</v>
      </c>
      <c r="C1019">
        <v>47</v>
      </c>
      <c r="D1019">
        <v>95</v>
      </c>
      <c r="E1019">
        <v>25</v>
      </c>
      <c r="F1019">
        <v>6</v>
      </c>
      <c r="G1019">
        <v>18</v>
      </c>
      <c r="H1019">
        <v>48</v>
      </c>
      <c r="I1019">
        <v>4</v>
      </c>
      <c r="J1019">
        <v>116</v>
      </c>
      <c r="K1019">
        <v>34</v>
      </c>
      <c r="L1019">
        <v>9013</v>
      </c>
      <c r="M1019">
        <v>3</v>
      </c>
      <c r="N1019">
        <v>3.3285254632197937E-4</v>
      </c>
      <c r="O1019">
        <v>0</v>
      </c>
      <c r="P1019">
        <v>0</v>
      </c>
      <c r="Q1019">
        <v>0</v>
      </c>
      <c r="R1019">
        <v>1</v>
      </c>
      <c r="S1019">
        <v>0.33333333333333331</v>
      </c>
      <c r="T1019">
        <v>1.1095084877399312E-4</v>
      </c>
      <c r="U1019">
        <v>2</v>
      </c>
      <c r="V1019">
        <v>0.66666666666666663</v>
      </c>
      <c r="W1019">
        <v>2.2190169754798624E-4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">
      <c r="A1020">
        <v>848.19958333333489</v>
      </c>
      <c r="B1020">
        <v>1493</v>
      </c>
      <c r="C1020">
        <v>65</v>
      </c>
      <c r="D1020">
        <v>348</v>
      </c>
      <c r="E1020">
        <v>21</v>
      </c>
      <c r="F1020">
        <v>6</v>
      </c>
      <c r="G1020">
        <v>72</v>
      </c>
      <c r="H1020">
        <v>1080</v>
      </c>
      <c r="I1020">
        <v>27</v>
      </c>
      <c r="J1020">
        <v>233</v>
      </c>
      <c r="K1020">
        <v>47</v>
      </c>
      <c r="L1020">
        <v>52322</v>
      </c>
      <c r="M1020">
        <v>87</v>
      </c>
      <c r="N1020">
        <v>1.6627804747524942E-3</v>
      </c>
      <c r="O1020">
        <v>24</v>
      </c>
      <c r="P1020">
        <v>0.27586206896551724</v>
      </c>
      <c r="Q1020">
        <v>4.5869806200068806E-4</v>
      </c>
      <c r="R1020">
        <v>42</v>
      </c>
      <c r="S1020">
        <v>0.48275862068965519</v>
      </c>
      <c r="T1020">
        <v>8.0272160850120412E-4</v>
      </c>
      <c r="U1020">
        <v>15</v>
      </c>
      <c r="V1020">
        <v>0.17241379310344829</v>
      </c>
      <c r="W1020">
        <v>2.8668628875043001E-4</v>
      </c>
      <c r="X1020">
        <v>6</v>
      </c>
      <c r="Y1020">
        <v>6.8965517241379309E-2</v>
      </c>
      <c r="Z1020">
        <v>1.1467451550017202E-4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">
      <c r="A1021">
        <v>888.87902777777344</v>
      </c>
      <c r="B1021">
        <v>1018</v>
      </c>
      <c r="C1021">
        <v>131</v>
      </c>
      <c r="D1021">
        <v>225</v>
      </c>
      <c r="E1021">
        <v>13</v>
      </c>
      <c r="F1021">
        <v>3</v>
      </c>
      <c r="G1021">
        <v>44</v>
      </c>
      <c r="H1021">
        <v>485</v>
      </c>
      <c r="I1021">
        <v>20</v>
      </c>
      <c r="J1021">
        <v>175</v>
      </c>
      <c r="K1021">
        <v>73</v>
      </c>
      <c r="L1021">
        <v>15611</v>
      </c>
      <c r="M1021">
        <v>2</v>
      </c>
      <c r="N1021">
        <v>1.2811479085260395E-4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1</v>
      </c>
      <c r="W1021">
        <v>1.2811479085260395E-4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">
      <c r="A1022">
        <v>1890.103715277779</v>
      </c>
      <c r="B1022">
        <v>69409</v>
      </c>
      <c r="C1022">
        <v>2959</v>
      </c>
      <c r="D1022">
        <v>41646</v>
      </c>
      <c r="E1022">
        <v>14</v>
      </c>
      <c r="F1022">
        <v>160</v>
      </c>
      <c r="G1022">
        <v>709</v>
      </c>
      <c r="H1022">
        <v>3433</v>
      </c>
      <c r="I1022">
        <v>157</v>
      </c>
      <c r="J1022">
        <v>6322</v>
      </c>
      <c r="K1022">
        <v>990</v>
      </c>
      <c r="L1022">
        <v>160998</v>
      </c>
      <c r="M1022">
        <v>1023</v>
      </c>
      <c r="N1022">
        <v>6.3541162002012444E-3</v>
      </c>
      <c r="O1022">
        <v>9</v>
      </c>
      <c r="P1022">
        <v>8.7976539589442824E-3</v>
      </c>
      <c r="Q1022">
        <v>5.5901315544292476E-5</v>
      </c>
      <c r="R1022">
        <v>892</v>
      </c>
      <c r="S1022">
        <v>0.87194525904203324</v>
      </c>
      <c r="T1022">
        <v>5.540441496167654E-3</v>
      </c>
      <c r="U1022">
        <v>105</v>
      </c>
      <c r="V1022">
        <v>0.10263929618768329</v>
      </c>
      <c r="W1022">
        <v>6.5218201468341221E-4</v>
      </c>
      <c r="X1022">
        <v>16</v>
      </c>
      <c r="Y1022">
        <v>1.5640273704789834E-2</v>
      </c>
      <c r="Z1022">
        <v>9.9380116523186622E-5</v>
      </c>
      <c r="AA1022">
        <v>0</v>
      </c>
      <c r="AB1022">
        <v>0</v>
      </c>
      <c r="AC1022">
        <v>0</v>
      </c>
      <c r="AD1022">
        <v>1</v>
      </c>
      <c r="AE1022">
        <v>9.7751710654936461E-4</v>
      </c>
      <c r="AF1022">
        <v>6.2112572826991638E-6</v>
      </c>
    </row>
    <row r="1023" spans="1:32" x14ac:dyDescent="0.2">
      <c r="A1023">
        <v>794.14688657407532</v>
      </c>
      <c r="B1023">
        <v>1379</v>
      </c>
      <c r="C1023">
        <v>97</v>
      </c>
      <c r="D1023">
        <v>411</v>
      </c>
      <c r="E1023">
        <v>42</v>
      </c>
      <c r="F1023">
        <v>6</v>
      </c>
      <c r="G1023">
        <v>100</v>
      </c>
      <c r="H1023">
        <v>2950</v>
      </c>
      <c r="I1023">
        <v>43</v>
      </c>
      <c r="J1023">
        <v>549</v>
      </c>
      <c r="K1023">
        <v>209</v>
      </c>
      <c r="L1023">
        <v>44243</v>
      </c>
      <c r="M1023">
        <v>477</v>
      </c>
      <c r="N1023">
        <v>1.0781366543860046E-2</v>
      </c>
      <c r="O1023">
        <v>47</v>
      </c>
      <c r="P1023">
        <v>9.853249475890985E-2</v>
      </c>
      <c r="Q1023">
        <v>1.0623149424767761E-3</v>
      </c>
      <c r="R1023">
        <v>339</v>
      </c>
      <c r="S1023">
        <v>0.71069182389937102</v>
      </c>
      <c r="T1023">
        <v>7.6622290531835544E-3</v>
      </c>
      <c r="U1023">
        <v>59</v>
      </c>
      <c r="V1023">
        <v>0.12368972746331237</v>
      </c>
      <c r="W1023">
        <v>1.3335442894921231E-3</v>
      </c>
      <c r="X1023">
        <v>29</v>
      </c>
      <c r="Y1023">
        <v>6.0796645702306078E-2</v>
      </c>
      <c r="Z1023">
        <v>6.5547092195375543E-4</v>
      </c>
      <c r="AA1023">
        <v>0</v>
      </c>
      <c r="AB1023">
        <v>0</v>
      </c>
      <c r="AC1023">
        <v>0</v>
      </c>
      <c r="AD1023">
        <v>3</v>
      </c>
      <c r="AE1023">
        <v>6.2893081761006293E-3</v>
      </c>
      <c r="AF1023">
        <v>6.7807336753836767E-5</v>
      </c>
    </row>
    <row r="1024" spans="1:32" x14ac:dyDescent="0.2">
      <c r="A1024">
        <v>955.85031249999884</v>
      </c>
      <c r="B1024">
        <v>969</v>
      </c>
      <c r="C1024">
        <v>53</v>
      </c>
      <c r="D1024">
        <v>247</v>
      </c>
      <c r="E1024">
        <v>3</v>
      </c>
      <c r="F1024">
        <v>3</v>
      </c>
      <c r="G1024">
        <v>18</v>
      </c>
      <c r="H1024">
        <v>179</v>
      </c>
      <c r="I1024">
        <v>1</v>
      </c>
      <c r="J1024">
        <v>170</v>
      </c>
      <c r="K1024">
        <v>24</v>
      </c>
      <c r="L1024">
        <v>8039</v>
      </c>
      <c r="M1024">
        <v>24</v>
      </c>
      <c r="N1024">
        <v>2.9854459509889289E-3</v>
      </c>
      <c r="O1024">
        <v>0</v>
      </c>
      <c r="P1024">
        <v>0</v>
      </c>
      <c r="Q1024">
        <v>0</v>
      </c>
      <c r="R1024">
        <v>24</v>
      </c>
      <c r="S1024">
        <v>1</v>
      </c>
      <c r="T1024">
        <v>2.9854459509889289E-3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">
      <c r="A1025">
        <v>1766.1898032407407</v>
      </c>
      <c r="B1025">
        <v>6547</v>
      </c>
      <c r="C1025">
        <v>462</v>
      </c>
      <c r="D1025">
        <v>1446</v>
      </c>
      <c r="E1025">
        <v>75</v>
      </c>
      <c r="F1025">
        <v>32</v>
      </c>
      <c r="G1025">
        <v>90</v>
      </c>
      <c r="H1025">
        <v>678</v>
      </c>
      <c r="I1025">
        <v>5</v>
      </c>
      <c r="J1025">
        <v>448</v>
      </c>
      <c r="K1025">
        <v>15</v>
      </c>
      <c r="L1025">
        <v>25793</v>
      </c>
      <c r="M1025">
        <v>412</v>
      </c>
      <c r="N1025">
        <v>1.5973326096227657E-2</v>
      </c>
      <c r="O1025">
        <v>19</v>
      </c>
      <c r="P1025">
        <v>4.6116504854368932E-2</v>
      </c>
      <c r="Q1025">
        <v>7.3663397045710074E-4</v>
      </c>
      <c r="R1025">
        <v>368</v>
      </c>
      <c r="S1025">
        <v>0.89320388349514568</v>
      </c>
      <c r="T1025">
        <v>1.4267436901484899E-2</v>
      </c>
      <c r="U1025">
        <v>21</v>
      </c>
      <c r="V1025">
        <v>5.0970873786407765E-2</v>
      </c>
      <c r="W1025">
        <v>8.1417438839995345E-4</v>
      </c>
      <c r="X1025">
        <v>4</v>
      </c>
      <c r="Y1025">
        <v>9.7087378640776691E-3</v>
      </c>
      <c r="Z1025">
        <v>1.5508083588570542E-4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">
      <c r="A1026">
        <v>382.24472222221812</v>
      </c>
      <c r="B1026">
        <v>1787</v>
      </c>
      <c r="C1026">
        <v>67</v>
      </c>
      <c r="D1026">
        <v>337</v>
      </c>
      <c r="E1026">
        <v>5</v>
      </c>
      <c r="F1026">
        <v>7</v>
      </c>
      <c r="G1026">
        <v>25</v>
      </c>
      <c r="H1026">
        <v>98</v>
      </c>
      <c r="I1026">
        <v>0</v>
      </c>
      <c r="J1026">
        <v>440</v>
      </c>
      <c r="K1026">
        <v>32</v>
      </c>
      <c r="L1026">
        <v>7864</v>
      </c>
      <c r="M1026">
        <v>80</v>
      </c>
      <c r="N1026">
        <v>1.0172939979654121E-2</v>
      </c>
      <c r="O1026">
        <v>0</v>
      </c>
      <c r="P1026">
        <v>0</v>
      </c>
      <c r="Q1026">
        <v>0</v>
      </c>
      <c r="R1026">
        <v>59</v>
      </c>
      <c r="S1026">
        <v>0.73750000000000004</v>
      </c>
      <c r="T1026">
        <v>7.5025432349949137E-3</v>
      </c>
      <c r="U1026">
        <v>21</v>
      </c>
      <c r="V1026">
        <v>0.26250000000000001</v>
      </c>
      <c r="W1026">
        <v>2.6703967446592065E-3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">
      <c r="A1027">
        <v>618.27437500000087</v>
      </c>
      <c r="B1027">
        <v>3088</v>
      </c>
      <c r="C1027">
        <v>231</v>
      </c>
      <c r="D1027">
        <v>682</v>
      </c>
      <c r="E1027">
        <v>5</v>
      </c>
      <c r="F1027">
        <v>8</v>
      </c>
      <c r="G1027">
        <v>38</v>
      </c>
      <c r="H1027">
        <v>154</v>
      </c>
      <c r="I1027">
        <v>6</v>
      </c>
      <c r="J1027">
        <v>163</v>
      </c>
      <c r="K1027">
        <v>21</v>
      </c>
      <c r="L1027">
        <v>7559</v>
      </c>
      <c r="M1027">
        <v>4</v>
      </c>
      <c r="N1027">
        <v>5.2917052520174627E-4</v>
      </c>
      <c r="O1027">
        <v>0</v>
      </c>
      <c r="P1027">
        <v>0</v>
      </c>
      <c r="Q1027">
        <v>0</v>
      </c>
      <c r="R1027">
        <v>2</v>
      </c>
      <c r="S1027">
        <v>0.5</v>
      </c>
      <c r="T1027">
        <v>2.6458526260087314E-4</v>
      </c>
      <c r="U1027">
        <v>2</v>
      </c>
      <c r="V1027">
        <v>0.5</v>
      </c>
      <c r="W1027">
        <v>2.6458526260087314E-4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">
      <c r="A1028">
        <v>1226.7173032407445</v>
      </c>
      <c r="B1028">
        <v>512</v>
      </c>
      <c r="C1028">
        <v>24</v>
      </c>
      <c r="D1028">
        <v>109</v>
      </c>
      <c r="E1028">
        <v>13</v>
      </c>
      <c r="F1028">
        <v>6</v>
      </c>
      <c r="G1028">
        <v>47</v>
      </c>
      <c r="H1028">
        <v>547</v>
      </c>
      <c r="I1028">
        <v>4</v>
      </c>
      <c r="J1028">
        <v>396</v>
      </c>
      <c r="K1028">
        <v>45</v>
      </c>
      <c r="L1028">
        <v>6221</v>
      </c>
      <c r="M1028">
        <v>87</v>
      </c>
      <c r="N1028">
        <v>1.3984889889085356E-2</v>
      </c>
      <c r="O1028">
        <v>35</v>
      </c>
      <c r="P1028">
        <v>0.40229885057471265</v>
      </c>
      <c r="Q1028">
        <v>5.6261051277929595E-3</v>
      </c>
      <c r="R1028">
        <v>0</v>
      </c>
      <c r="S1028">
        <v>0</v>
      </c>
      <c r="T1028">
        <v>0</v>
      </c>
      <c r="U1028">
        <v>21</v>
      </c>
      <c r="V1028">
        <v>0.2413793103448276</v>
      </c>
      <c r="W1028">
        <v>3.3756630766757756E-3</v>
      </c>
      <c r="X1028">
        <v>16</v>
      </c>
      <c r="Y1028">
        <v>0.18390804597701149</v>
      </c>
      <c r="Z1028">
        <v>2.571933772705353E-3</v>
      </c>
      <c r="AA1028">
        <v>15</v>
      </c>
      <c r="AB1028">
        <v>0.17241379310344829</v>
      </c>
      <c r="AC1028">
        <v>2.4111879119112683E-3</v>
      </c>
      <c r="AD1028">
        <v>0</v>
      </c>
      <c r="AE1028">
        <v>0</v>
      </c>
      <c r="AF1028">
        <v>0</v>
      </c>
    </row>
    <row r="1029" spans="1:32" x14ac:dyDescent="0.2">
      <c r="A1029">
        <v>1422.5974421296269</v>
      </c>
      <c r="B1029">
        <v>29491</v>
      </c>
      <c r="C1029">
        <v>863</v>
      </c>
      <c r="D1029">
        <v>9233</v>
      </c>
      <c r="E1029">
        <v>1</v>
      </c>
      <c r="F1029">
        <v>9</v>
      </c>
      <c r="G1029">
        <v>23</v>
      </c>
      <c r="H1029">
        <v>138</v>
      </c>
      <c r="I1029">
        <v>60</v>
      </c>
      <c r="J1029">
        <v>659</v>
      </c>
      <c r="K1029">
        <v>198</v>
      </c>
      <c r="L1029">
        <v>2498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">
      <c r="A1030">
        <v>1113.9618750000009</v>
      </c>
      <c r="B1030">
        <v>839</v>
      </c>
      <c r="C1030">
        <v>46</v>
      </c>
      <c r="D1030">
        <v>139</v>
      </c>
      <c r="E1030">
        <v>0</v>
      </c>
      <c r="F1030">
        <v>1</v>
      </c>
      <c r="G1030">
        <v>24</v>
      </c>
      <c r="H1030">
        <v>439</v>
      </c>
      <c r="I1030">
        <v>1</v>
      </c>
      <c r="J1030">
        <v>398</v>
      </c>
      <c r="K1030">
        <v>167</v>
      </c>
      <c r="L1030">
        <v>15333</v>
      </c>
      <c r="M1030">
        <v>20</v>
      </c>
      <c r="N1030">
        <v>1.3043761820909149E-3</v>
      </c>
      <c r="O1030">
        <v>2</v>
      </c>
      <c r="P1030">
        <v>0.1</v>
      </c>
      <c r="Q1030">
        <v>1.3043761820909151E-4</v>
      </c>
      <c r="R1030">
        <v>8</v>
      </c>
      <c r="S1030">
        <v>0.4</v>
      </c>
      <c r="T1030">
        <v>5.2175047283636606E-4</v>
      </c>
      <c r="U1030">
        <v>9</v>
      </c>
      <c r="V1030">
        <v>0.45</v>
      </c>
      <c r="W1030">
        <v>5.8696928194091171E-4</v>
      </c>
      <c r="X1030">
        <v>1</v>
      </c>
      <c r="Y1030">
        <v>0.05</v>
      </c>
      <c r="Z1030">
        <v>6.5218809104545757E-5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">
      <c r="A1031">
        <v>602.80478009259241</v>
      </c>
      <c r="B1031">
        <v>4164</v>
      </c>
      <c r="C1031">
        <v>103</v>
      </c>
      <c r="D1031">
        <v>680</v>
      </c>
      <c r="E1031">
        <v>0</v>
      </c>
      <c r="F1031">
        <v>0</v>
      </c>
      <c r="G1031">
        <v>4</v>
      </c>
      <c r="H1031">
        <v>6</v>
      </c>
      <c r="I1031">
        <v>0</v>
      </c>
      <c r="J1031">
        <v>17</v>
      </c>
      <c r="K1031">
        <v>1</v>
      </c>
      <c r="L1031">
        <v>1499</v>
      </c>
      <c r="M1031">
        <v>50</v>
      </c>
      <c r="N1031">
        <v>3.3355570380253503E-2</v>
      </c>
      <c r="O1031">
        <v>3</v>
      </c>
      <c r="P1031">
        <v>0.06</v>
      </c>
      <c r="Q1031">
        <v>2.0013342228152103E-3</v>
      </c>
      <c r="R1031">
        <v>35</v>
      </c>
      <c r="S1031">
        <v>0.7</v>
      </c>
      <c r="T1031">
        <v>2.3348899266177451E-2</v>
      </c>
      <c r="U1031">
        <v>6</v>
      </c>
      <c r="V1031">
        <v>0.12</v>
      </c>
      <c r="W1031">
        <v>4.0026684456304206E-3</v>
      </c>
      <c r="X1031">
        <v>6</v>
      </c>
      <c r="Y1031">
        <v>0.12</v>
      </c>
      <c r="Z1031">
        <v>4.0026684456304206E-3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">
      <c r="A1032">
        <v>1936.4539236111086</v>
      </c>
      <c r="B1032">
        <v>7566</v>
      </c>
      <c r="C1032">
        <v>185</v>
      </c>
      <c r="D1032">
        <v>509</v>
      </c>
      <c r="E1032">
        <v>27</v>
      </c>
      <c r="F1032">
        <v>8</v>
      </c>
      <c r="G1032">
        <v>93</v>
      </c>
      <c r="H1032">
        <v>270</v>
      </c>
      <c r="I1032">
        <v>23</v>
      </c>
      <c r="J1032">
        <v>452</v>
      </c>
      <c r="K1032">
        <v>157</v>
      </c>
      <c r="L1032">
        <v>3568</v>
      </c>
      <c r="M1032">
        <v>20</v>
      </c>
      <c r="N1032">
        <v>5.6053811659192822E-3</v>
      </c>
      <c r="O1032">
        <v>2</v>
      </c>
      <c r="P1032">
        <v>0.1</v>
      </c>
      <c r="Q1032">
        <v>5.6053811659192824E-4</v>
      </c>
      <c r="R1032">
        <v>6</v>
      </c>
      <c r="S1032">
        <v>0.3</v>
      </c>
      <c r="T1032">
        <v>1.6816143497757848E-3</v>
      </c>
      <c r="U1032">
        <v>6</v>
      </c>
      <c r="V1032">
        <v>0.3</v>
      </c>
      <c r="W1032">
        <v>1.6816143497757848E-3</v>
      </c>
      <c r="X1032">
        <v>4</v>
      </c>
      <c r="Y1032">
        <v>0.2</v>
      </c>
      <c r="Z1032">
        <v>1.1210762331838565E-3</v>
      </c>
      <c r="AA1032">
        <v>2</v>
      </c>
      <c r="AB1032">
        <v>0.1</v>
      </c>
      <c r="AC1032">
        <v>5.6053811659192824E-4</v>
      </c>
      <c r="AD1032">
        <v>0</v>
      </c>
      <c r="AE1032">
        <v>0</v>
      </c>
      <c r="AF1032">
        <v>0</v>
      </c>
    </row>
    <row r="1033" spans="1:32" x14ac:dyDescent="0.2">
      <c r="A1033">
        <v>2976.594756944447</v>
      </c>
      <c r="B1033">
        <v>457</v>
      </c>
      <c r="C1033">
        <v>5</v>
      </c>
      <c r="D1033">
        <v>167</v>
      </c>
      <c r="E1033">
        <v>23</v>
      </c>
      <c r="F1033">
        <v>14</v>
      </c>
      <c r="G1033">
        <v>55</v>
      </c>
      <c r="H1033">
        <v>140</v>
      </c>
      <c r="I1033">
        <v>3</v>
      </c>
      <c r="J1033">
        <v>137</v>
      </c>
      <c r="K1033">
        <v>5</v>
      </c>
      <c r="L1033">
        <v>988</v>
      </c>
      <c r="M1033">
        <v>26</v>
      </c>
      <c r="N1033">
        <v>2.6315789473684209E-2</v>
      </c>
      <c r="O1033">
        <v>5</v>
      </c>
      <c r="P1033">
        <v>0.19230769230769232</v>
      </c>
      <c r="Q1033">
        <v>5.0607287449392713E-3</v>
      </c>
      <c r="R1033">
        <v>9</v>
      </c>
      <c r="S1033">
        <v>0.34615384615384615</v>
      </c>
      <c r="T1033">
        <v>9.1093117408906875E-3</v>
      </c>
      <c r="U1033">
        <v>7</v>
      </c>
      <c r="V1033">
        <v>0.26923076923076922</v>
      </c>
      <c r="W1033">
        <v>7.0850202429149798E-3</v>
      </c>
      <c r="X1033">
        <v>3</v>
      </c>
      <c r="Y1033">
        <v>0.11538461538461539</v>
      </c>
      <c r="Z1033">
        <v>3.0364372469635628E-3</v>
      </c>
      <c r="AA1033">
        <v>0</v>
      </c>
      <c r="AB1033">
        <v>0</v>
      </c>
      <c r="AC1033">
        <v>0</v>
      </c>
      <c r="AD1033">
        <v>2</v>
      </c>
      <c r="AE1033">
        <v>7.6923076923076927E-2</v>
      </c>
      <c r="AF1033">
        <v>2.0242914979757085E-3</v>
      </c>
    </row>
    <row r="1034" spans="1:32" x14ac:dyDescent="0.2">
      <c r="A1034">
        <v>1968.0685185185212</v>
      </c>
      <c r="B1034">
        <v>547</v>
      </c>
      <c r="C1034">
        <v>38</v>
      </c>
      <c r="D1034">
        <v>52</v>
      </c>
      <c r="E1034">
        <v>46</v>
      </c>
      <c r="F1034">
        <v>47</v>
      </c>
      <c r="G1034">
        <v>20</v>
      </c>
      <c r="H1034">
        <v>46</v>
      </c>
      <c r="I1034">
        <v>1</v>
      </c>
      <c r="J1034">
        <v>0</v>
      </c>
      <c r="K1034">
        <v>0</v>
      </c>
      <c r="L1034">
        <v>204153</v>
      </c>
      <c r="M1034">
        <v>1136</v>
      </c>
      <c r="N1034">
        <v>5.5644541103975938E-3</v>
      </c>
      <c r="O1034">
        <v>290</v>
      </c>
      <c r="P1034">
        <v>0.25528169014084506</v>
      </c>
      <c r="Q1034">
        <v>1.4205032500134703E-3</v>
      </c>
      <c r="R1034">
        <v>302</v>
      </c>
      <c r="S1034">
        <v>0.26584507042253519</v>
      </c>
      <c r="T1034">
        <v>1.4792826948416139E-3</v>
      </c>
      <c r="U1034">
        <v>238</v>
      </c>
      <c r="V1034">
        <v>0.20950704225352113</v>
      </c>
      <c r="W1034">
        <v>1.165792322424848E-3</v>
      </c>
      <c r="X1034">
        <v>265</v>
      </c>
      <c r="Y1034">
        <v>0.23327464788732394</v>
      </c>
      <c r="Z1034">
        <v>1.2980460732881711E-3</v>
      </c>
      <c r="AA1034">
        <v>2</v>
      </c>
      <c r="AB1034">
        <v>1.7605633802816902E-3</v>
      </c>
      <c r="AC1034">
        <v>9.7965741380239333E-6</v>
      </c>
      <c r="AD1034">
        <v>39</v>
      </c>
      <c r="AE1034">
        <v>3.4330985915492961E-2</v>
      </c>
      <c r="AF1034">
        <v>1.9103319569146671E-4</v>
      </c>
    </row>
    <row r="1035" spans="1:32" x14ac:dyDescent="0.2">
      <c r="A1035">
        <v>1554.8134606481472</v>
      </c>
      <c r="B1035">
        <v>808</v>
      </c>
      <c r="C1035">
        <v>81</v>
      </c>
      <c r="D1035">
        <v>388</v>
      </c>
      <c r="E1035">
        <v>48</v>
      </c>
      <c r="F1035">
        <v>6</v>
      </c>
      <c r="G1035">
        <v>23</v>
      </c>
      <c r="H1035">
        <v>106</v>
      </c>
      <c r="I1035">
        <v>3</v>
      </c>
      <c r="J1035">
        <v>389</v>
      </c>
      <c r="K1035">
        <v>37</v>
      </c>
      <c r="L1035">
        <v>7679</v>
      </c>
      <c r="M1035">
        <v>645</v>
      </c>
      <c r="N1035">
        <v>8.3995311889568949E-2</v>
      </c>
      <c r="O1035">
        <v>210</v>
      </c>
      <c r="P1035">
        <v>0.32558139534883723</v>
      </c>
      <c r="Q1035">
        <v>2.7347310847766638E-2</v>
      </c>
      <c r="R1035">
        <v>79</v>
      </c>
      <c r="S1035">
        <v>0.12248062015503876</v>
      </c>
      <c r="T1035">
        <v>1.0287797890350305E-2</v>
      </c>
      <c r="U1035">
        <v>43</v>
      </c>
      <c r="V1035">
        <v>6.6666666666666666E-2</v>
      </c>
      <c r="W1035">
        <v>5.5996874593045969E-3</v>
      </c>
      <c r="X1035">
        <v>153</v>
      </c>
      <c r="Y1035">
        <v>0.23720930232558141</v>
      </c>
      <c r="Z1035">
        <v>1.9924469331944264E-2</v>
      </c>
      <c r="AA1035">
        <v>0</v>
      </c>
      <c r="AB1035">
        <v>0</v>
      </c>
      <c r="AC1035">
        <v>0</v>
      </c>
      <c r="AD1035">
        <v>160</v>
      </c>
      <c r="AE1035">
        <v>0.24806201550387597</v>
      </c>
      <c r="AF1035">
        <v>2.0836046360203152E-2</v>
      </c>
    </row>
    <row r="1036" spans="1:32" x14ac:dyDescent="0.2">
      <c r="A1036">
        <v>2071.2124421296248</v>
      </c>
      <c r="B1036">
        <v>1148</v>
      </c>
      <c r="C1036">
        <v>65</v>
      </c>
      <c r="D1036">
        <v>189</v>
      </c>
      <c r="E1036">
        <v>0</v>
      </c>
      <c r="F1036">
        <v>0</v>
      </c>
      <c r="G1036">
        <v>22</v>
      </c>
      <c r="H1036">
        <v>31</v>
      </c>
      <c r="I1036">
        <v>0</v>
      </c>
      <c r="J1036">
        <v>100</v>
      </c>
      <c r="K1036">
        <v>23</v>
      </c>
      <c r="L1036">
        <v>3010</v>
      </c>
      <c r="M1036">
        <v>3</v>
      </c>
      <c r="N1036">
        <v>9.9667774086378727E-4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1</v>
      </c>
      <c r="W1036">
        <v>9.9667774086378727E-4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">
      <c r="A1037">
        <v>650.32425925925781</v>
      </c>
      <c r="B1037">
        <v>390</v>
      </c>
      <c r="C1037">
        <v>16</v>
      </c>
      <c r="D1037">
        <v>53</v>
      </c>
      <c r="E1037">
        <v>37</v>
      </c>
      <c r="F1037">
        <v>0</v>
      </c>
      <c r="G1037">
        <v>7</v>
      </c>
      <c r="H1037">
        <v>25</v>
      </c>
      <c r="I1037">
        <v>2</v>
      </c>
      <c r="J1037">
        <v>184</v>
      </c>
      <c r="K1037">
        <v>22</v>
      </c>
      <c r="L1037">
        <v>462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">
      <c r="A1038">
        <v>2626.2858680555582</v>
      </c>
      <c r="B1038">
        <v>2067</v>
      </c>
      <c r="C1038">
        <v>71</v>
      </c>
      <c r="D1038">
        <v>286</v>
      </c>
      <c r="E1038">
        <v>0</v>
      </c>
      <c r="F1038">
        <v>3</v>
      </c>
      <c r="G1038">
        <v>59</v>
      </c>
      <c r="H1038">
        <v>241</v>
      </c>
      <c r="I1038">
        <v>9</v>
      </c>
      <c r="J1038">
        <v>392</v>
      </c>
      <c r="K1038">
        <v>54</v>
      </c>
      <c r="L1038">
        <v>3138</v>
      </c>
      <c r="M1038">
        <v>72</v>
      </c>
      <c r="N1038">
        <v>2.2944550669216062E-2</v>
      </c>
      <c r="O1038">
        <v>26</v>
      </c>
      <c r="P1038">
        <v>0.3611111111111111</v>
      </c>
      <c r="Q1038">
        <v>8.2855321861057991E-3</v>
      </c>
      <c r="R1038">
        <v>26</v>
      </c>
      <c r="S1038">
        <v>0.3611111111111111</v>
      </c>
      <c r="T1038">
        <v>8.2855321861057991E-3</v>
      </c>
      <c r="U1038">
        <v>6</v>
      </c>
      <c r="V1038">
        <v>8.3333333333333329E-2</v>
      </c>
      <c r="W1038">
        <v>1.9120458891013384E-3</v>
      </c>
      <c r="X1038">
        <v>14</v>
      </c>
      <c r="Y1038">
        <v>0.19444444444444445</v>
      </c>
      <c r="Z1038">
        <v>4.4614404079031233E-3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">
      <c r="A1039">
        <v>1835.0228240740762</v>
      </c>
      <c r="B1039">
        <v>9302</v>
      </c>
      <c r="C1039">
        <v>615</v>
      </c>
      <c r="D1039">
        <v>1877</v>
      </c>
      <c r="E1039">
        <v>10</v>
      </c>
      <c r="F1039">
        <v>15</v>
      </c>
      <c r="G1039">
        <v>63</v>
      </c>
      <c r="H1039">
        <v>311</v>
      </c>
      <c r="I1039">
        <v>10</v>
      </c>
      <c r="J1039">
        <v>417</v>
      </c>
      <c r="K1039">
        <v>82</v>
      </c>
      <c r="L1039">
        <v>15546</v>
      </c>
      <c r="M1039">
        <v>1</v>
      </c>
      <c r="N1039">
        <v>6.4325228354560662E-5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6.4325228354560662E-5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">
      <c r="A1040">
        <v>750.60603009258921</v>
      </c>
      <c r="B1040">
        <v>632</v>
      </c>
      <c r="C1040">
        <v>26</v>
      </c>
      <c r="D1040">
        <v>161</v>
      </c>
      <c r="E1040">
        <v>5</v>
      </c>
      <c r="F1040">
        <v>0</v>
      </c>
      <c r="G1040">
        <v>27</v>
      </c>
      <c r="H1040">
        <v>171</v>
      </c>
      <c r="I1040">
        <v>12</v>
      </c>
      <c r="J1040">
        <v>46</v>
      </c>
      <c r="K1040">
        <v>0</v>
      </c>
      <c r="L1040">
        <v>20188</v>
      </c>
      <c r="M1040">
        <v>25</v>
      </c>
      <c r="N1040">
        <v>1.2383594214384784E-3</v>
      </c>
      <c r="O1040">
        <v>0</v>
      </c>
      <c r="P1040">
        <v>0</v>
      </c>
      <c r="Q1040">
        <v>0</v>
      </c>
      <c r="R1040">
        <v>25</v>
      </c>
      <c r="S1040">
        <v>1</v>
      </c>
      <c r="T1040">
        <v>1.2383594214384784E-3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">
      <c r="A1041">
        <v>746.75767361111502</v>
      </c>
      <c r="B1041">
        <v>354</v>
      </c>
      <c r="C1041">
        <v>11</v>
      </c>
      <c r="D1041">
        <v>207</v>
      </c>
      <c r="E1041">
        <v>1</v>
      </c>
      <c r="F1041">
        <v>0</v>
      </c>
      <c r="G1041">
        <v>0</v>
      </c>
      <c r="H1041">
        <v>19</v>
      </c>
      <c r="I1041">
        <v>6</v>
      </c>
      <c r="J1041">
        <v>30</v>
      </c>
      <c r="K1041">
        <v>5</v>
      </c>
      <c r="L1041">
        <v>616</v>
      </c>
      <c r="M1041">
        <v>32</v>
      </c>
      <c r="N1041">
        <v>5.1948051948051951E-2</v>
      </c>
      <c r="O1041">
        <v>6</v>
      </c>
      <c r="P1041">
        <v>0.1875</v>
      </c>
      <c r="Q1041">
        <v>9.74025974025974E-3</v>
      </c>
      <c r="R1041">
        <v>26</v>
      </c>
      <c r="S1041">
        <v>0.8125</v>
      </c>
      <c r="T1041">
        <v>4.2207792207792208E-2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">
      <c r="A1042">
        <v>852.83100694444147</v>
      </c>
      <c r="B1042">
        <v>29434</v>
      </c>
      <c r="C1042">
        <v>493</v>
      </c>
      <c r="D1042">
        <v>2000</v>
      </c>
      <c r="E1042">
        <v>99</v>
      </c>
      <c r="F1042">
        <v>559</v>
      </c>
      <c r="G1042">
        <v>219</v>
      </c>
      <c r="H1042">
        <v>1014</v>
      </c>
      <c r="I1042">
        <v>251</v>
      </c>
      <c r="J1042">
        <v>1963</v>
      </c>
      <c r="K1042">
        <v>534</v>
      </c>
      <c r="L1042">
        <v>12845</v>
      </c>
      <c r="M1042">
        <v>31</v>
      </c>
      <c r="N1042">
        <v>2.413390424289607E-3</v>
      </c>
      <c r="O1042">
        <v>0</v>
      </c>
      <c r="P1042">
        <v>0</v>
      </c>
      <c r="Q1042">
        <v>0</v>
      </c>
      <c r="R1042">
        <v>22</v>
      </c>
      <c r="S1042">
        <v>0.70967741935483875</v>
      </c>
      <c r="T1042">
        <v>1.7127286882055275E-3</v>
      </c>
      <c r="U1042">
        <v>2</v>
      </c>
      <c r="V1042">
        <v>6.4516129032258063E-2</v>
      </c>
      <c r="W1042">
        <v>1.557026080186843E-4</v>
      </c>
      <c r="X1042">
        <v>7</v>
      </c>
      <c r="Y1042">
        <v>0.22580645161290322</v>
      </c>
      <c r="Z1042">
        <v>5.4495912806539512E-4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">
      <c r="A1043">
        <v>1134.3155208333337</v>
      </c>
      <c r="B1043">
        <v>458</v>
      </c>
      <c r="C1043">
        <v>23</v>
      </c>
      <c r="D1043">
        <v>59</v>
      </c>
      <c r="E1043">
        <v>3</v>
      </c>
      <c r="F1043">
        <v>0</v>
      </c>
      <c r="G1043">
        <v>6</v>
      </c>
      <c r="H1043">
        <v>10</v>
      </c>
      <c r="I1043">
        <v>0</v>
      </c>
      <c r="J1043">
        <v>16</v>
      </c>
      <c r="K1043">
        <v>1</v>
      </c>
      <c r="L1043">
        <v>755</v>
      </c>
      <c r="M1043">
        <v>6</v>
      </c>
      <c r="N1043">
        <v>7.9470198675496689E-3</v>
      </c>
      <c r="O1043">
        <v>0</v>
      </c>
      <c r="P1043">
        <v>0</v>
      </c>
      <c r="Q1043">
        <v>0</v>
      </c>
      <c r="R1043">
        <v>6</v>
      </c>
      <c r="S1043">
        <v>1</v>
      </c>
      <c r="T1043">
        <v>7.9470198675496689E-3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">
      <c r="A1044">
        <v>775.41950231481314</v>
      </c>
      <c r="B1044">
        <v>5271</v>
      </c>
      <c r="C1044">
        <v>123</v>
      </c>
      <c r="D1044">
        <v>820</v>
      </c>
      <c r="E1044">
        <v>6</v>
      </c>
      <c r="F1044">
        <v>2</v>
      </c>
      <c r="G1044">
        <v>17</v>
      </c>
      <c r="H1044">
        <v>110</v>
      </c>
      <c r="I1044">
        <v>32</v>
      </c>
      <c r="J1044">
        <v>251</v>
      </c>
      <c r="K1044">
        <v>94</v>
      </c>
      <c r="L1044">
        <v>1143</v>
      </c>
      <c r="M1044">
        <v>12</v>
      </c>
      <c r="N1044">
        <v>1.0498687664041995E-2</v>
      </c>
      <c r="O1044">
        <v>0</v>
      </c>
      <c r="P1044">
        <v>0</v>
      </c>
      <c r="Q1044">
        <v>0</v>
      </c>
      <c r="R1044">
        <v>9</v>
      </c>
      <c r="S1044">
        <v>0.75</v>
      </c>
      <c r="T1044">
        <v>7.874015748031496E-3</v>
      </c>
      <c r="U1044">
        <v>0</v>
      </c>
      <c r="V1044">
        <v>0</v>
      </c>
      <c r="W1044">
        <v>0</v>
      </c>
      <c r="X1044">
        <v>3</v>
      </c>
      <c r="Y1044">
        <v>0.25</v>
      </c>
      <c r="Z1044">
        <v>2.6246719160104987E-3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">
      <c r="A1045">
        <v>728.83311342592788</v>
      </c>
      <c r="B1045">
        <v>2590</v>
      </c>
      <c r="C1045">
        <v>62</v>
      </c>
      <c r="D1045">
        <v>513</v>
      </c>
      <c r="E1045">
        <v>0</v>
      </c>
      <c r="F1045">
        <v>0</v>
      </c>
      <c r="G1045">
        <v>9</v>
      </c>
      <c r="H1045">
        <v>10</v>
      </c>
      <c r="I1045">
        <v>1</v>
      </c>
      <c r="J1045">
        <v>327</v>
      </c>
      <c r="K1045">
        <v>160</v>
      </c>
      <c r="L1045">
        <v>8235</v>
      </c>
      <c r="M1045">
        <v>54</v>
      </c>
      <c r="N1045">
        <v>6.5573770491803279E-3</v>
      </c>
      <c r="O1045">
        <v>0</v>
      </c>
      <c r="P1045">
        <v>0</v>
      </c>
      <c r="Q1045">
        <v>0</v>
      </c>
      <c r="R1045">
        <v>49</v>
      </c>
      <c r="S1045">
        <v>0.90740740740740744</v>
      </c>
      <c r="T1045">
        <v>5.9502125075895571E-3</v>
      </c>
      <c r="U1045">
        <v>4</v>
      </c>
      <c r="V1045">
        <v>7.407407407407407E-2</v>
      </c>
      <c r="W1045">
        <v>4.857316332726169E-4</v>
      </c>
      <c r="X1045">
        <v>1</v>
      </c>
      <c r="Y1045">
        <v>1.8518518518518517E-2</v>
      </c>
      <c r="Z1045">
        <v>1.2143290831815422E-4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">
      <c r="A1046">
        <v>3983.958784722221</v>
      </c>
      <c r="B1046">
        <v>723</v>
      </c>
      <c r="C1046">
        <v>42</v>
      </c>
      <c r="D1046">
        <v>248</v>
      </c>
      <c r="E1046">
        <v>4</v>
      </c>
      <c r="F1046">
        <v>27</v>
      </c>
      <c r="G1046">
        <v>65</v>
      </c>
      <c r="H1046">
        <v>207</v>
      </c>
      <c r="I1046">
        <v>30</v>
      </c>
      <c r="J1046">
        <v>162</v>
      </c>
      <c r="K1046">
        <v>104</v>
      </c>
      <c r="L1046">
        <v>6725</v>
      </c>
      <c r="M1046">
        <v>23</v>
      </c>
      <c r="N1046">
        <v>3.4200743494423791E-3</v>
      </c>
      <c r="O1046">
        <v>14</v>
      </c>
      <c r="P1046">
        <v>0.60869565217391308</v>
      </c>
      <c r="Q1046">
        <v>2.0817843866171005E-3</v>
      </c>
      <c r="R1046">
        <v>3</v>
      </c>
      <c r="S1046">
        <v>0.13043478260869565</v>
      </c>
      <c r="T1046">
        <v>4.4609665427509292E-4</v>
      </c>
      <c r="U1046">
        <v>0</v>
      </c>
      <c r="V1046">
        <v>0</v>
      </c>
      <c r="W1046">
        <v>0</v>
      </c>
      <c r="X1046">
        <v>6</v>
      </c>
      <c r="Y1046">
        <v>0.2608695652173913</v>
      </c>
      <c r="Z1046">
        <v>8.9219330855018584E-4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">
      <c r="A1047">
        <v>1781.6987384259264</v>
      </c>
      <c r="B1047">
        <v>1851</v>
      </c>
      <c r="C1047">
        <v>79</v>
      </c>
      <c r="D1047">
        <v>516</v>
      </c>
      <c r="E1047">
        <v>198</v>
      </c>
      <c r="F1047">
        <v>24</v>
      </c>
      <c r="G1047">
        <v>209</v>
      </c>
      <c r="H1047">
        <v>1611</v>
      </c>
      <c r="I1047">
        <v>10</v>
      </c>
      <c r="J1047">
        <v>1428</v>
      </c>
      <c r="K1047">
        <v>100</v>
      </c>
      <c r="L1047">
        <v>9239</v>
      </c>
      <c r="M1047">
        <v>82</v>
      </c>
      <c r="N1047">
        <v>8.875419417685897E-3</v>
      </c>
      <c r="O1047">
        <v>10</v>
      </c>
      <c r="P1047">
        <v>0.12195121951219512</v>
      </c>
      <c r="Q1047">
        <v>1.0823682216690117E-3</v>
      </c>
      <c r="R1047">
        <v>6</v>
      </c>
      <c r="S1047">
        <v>7.3170731707317069E-2</v>
      </c>
      <c r="T1047">
        <v>6.4942093300140709E-4</v>
      </c>
      <c r="U1047">
        <v>62</v>
      </c>
      <c r="V1047">
        <v>0.75609756097560976</v>
      </c>
      <c r="W1047">
        <v>6.7106829743478731E-3</v>
      </c>
      <c r="X1047">
        <v>3</v>
      </c>
      <c r="Y1047">
        <v>3.6585365853658534E-2</v>
      </c>
      <c r="Z1047">
        <v>3.2471046650070354E-4</v>
      </c>
      <c r="AA1047">
        <v>0</v>
      </c>
      <c r="AB1047">
        <v>0</v>
      </c>
      <c r="AC1047">
        <v>0</v>
      </c>
      <c r="AD1047">
        <v>1</v>
      </c>
      <c r="AE1047">
        <v>1.2195121951219513E-2</v>
      </c>
      <c r="AF1047">
        <v>1.0823682216690118E-4</v>
      </c>
    </row>
    <row r="1048" spans="1:32" x14ac:dyDescent="0.2">
      <c r="A1048">
        <v>1478.1959722222164</v>
      </c>
      <c r="B1048">
        <v>1190</v>
      </c>
      <c r="C1048">
        <v>129</v>
      </c>
      <c r="D1048">
        <v>460</v>
      </c>
      <c r="E1048">
        <v>0</v>
      </c>
      <c r="F1048">
        <v>13</v>
      </c>
      <c r="G1048">
        <v>15</v>
      </c>
      <c r="H1048">
        <v>92</v>
      </c>
      <c r="I1048">
        <v>19</v>
      </c>
      <c r="J1048">
        <v>89</v>
      </c>
      <c r="K1048">
        <v>24</v>
      </c>
      <c r="L1048">
        <v>6533</v>
      </c>
      <c r="M1048">
        <v>19</v>
      </c>
      <c r="N1048">
        <v>2.9083116485534976E-3</v>
      </c>
      <c r="O1048">
        <v>0</v>
      </c>
      <c r="P1048">
        <v>0</v>
      </c>
      <c r="Q1048">
        <v>0</v>
      </c>
      <c r="R1048">
        <v>16</v>
      </c>
      <c r="S1048">
        <v>0.84210526315789469</v>
      </c>
      <c r="T1048">
        <v>2.4491045461503139E-3</v>
      </c>
      <c r="U1048">
        <v>2</v>
      </c>
      <c r="V1048">
        <v>0.10526315789473684</v>
      </c>
      <c r="W1048">
        <v>3.0613806826878924E-4</v>
      </c>
      <c r="X1048">
        <v>1</v>
      </c>
      <c r="Y1048">
        <v>5.2631578947368418E-2</v>
      </c>
      <c r="Z1048">
        <v>1.5306903413439462E-4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">
      <c r="A1049">
        <v>2021.0685416666674</v>
      </c>
      <c r="B1049">
        <v>837</v>
      </c>
      <c r="C1049">
        <v>27</v>
      </c>
      <c r="D1049">
        <v>53</v>
      </c>
      <c r="E1049">
        <v>11</v>
      </c>
      <c r="F1049">
        <v>2</v>
      </c>
      <c r="G1049">
        <v>11</v>
      </c>
      <c r="H1049">
        <v>42</v>
      </c>
      <c r="I1049">
        <v>0</v>
      </c>
      <c r="J1049">
        <v>115</v>
      </c>
      <c r="K1049">
        <v>30</v>
      </c>
      <c r="L1049">
        <v>3649</v>
      </c>
      <c r="M1049">
        <v>115</v>
      </c>
      <c r="N1049">
        <v>3.1515483694162787E-2</v>
      </c>
      <c r="O1049">
        <v>59</v>
      </c>
      <c r="P1049">
        <v>0.5130434782608696</v>
      </c>
      <c r="Q1049">
        <v>1.6168813373526995E-2</v>
      </c>
      <c r="R1049">
        <v>32</v>
      </c>
      <c r="S1049">
        <v>0.27826086956521739</v>
      </c>
      <c r="T1049">
        <v>8.7695258975061668E-3</v>
      </c>
      <c r="U1049">
        <v>5</v>
      </c>
      <c r="V1049">
        <v>4.3478260869565216E-2</v>
      </c>
      <c r="W1049">
        <v>1.3702384214853384E-3</v>
      </c>
      <c r="X1049">
        <v>19</v>
      </c>
      <c r="Y1049">
        <v>0.16521739130434782</v>
      </c>
      <c r="Z1049">
        <v>5.2069060016442861E-3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">
      <c r="A1050">
        <v>2862.3436342592613</v>
      </c>
      <c r="B1050">
        <v>992</v>
      </c>
      <c r="C1050">
        <v>128</v>
      </c>
      <c r="D1050">
        <v>190</v>
      </c>
      <c r="E1050">
        <v>1</v>
      </c>
      <c r="F1050">
        <v>2</v>
      </c>
      <c r="G1050">
        <v>11</v>
      </c>
      <c r="H1050">
        <v>24</v>
      </c>
      <c r="I1050">
        <v>0</v>
      </c>
      <c r="J1050">
        <v>42</v>
      </c>
      <c r="K1050">
        <v>13</v>
      </c>
      <c r="L1050">
        <v>5140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">
      <c r="A1051">
        <v>4413.59202546296</v>
      </c>
      <c r="B1051">
        <v>995</v>
      </c>
      <c r="C1051">
        <v>57</v>
      </c>
      <c r="D1051">
        <v>193</v>
      </c>
      <c r="E1051">
        <v>8</v>
      </c>
      <c r="F1051">
        <v>23</v>
      </c>
      <c r="G1051">
        <v>53</v>
      </c>
      <c r="H1051">
        <v>105</v>
      </c>
      <c r="I1051">
        <v>1</v>
      </c>
      <c r="J1051">
        <v>338</v>
      </c>
      <c r="K1051">
        <v>45</v>
      </c>
      <c r="L1051">
        <v>5641</v>
      </c>
      <c r="M1051">
        <v>53</v>
      </c>
      <c r="N1051">
        <v>9.3954972522602379E-3</v>
      </c>
      <c r="O1051">
        <v>14</v>
      </c>
      <c r="P1051">
        <v>0.26415094339622641</v>
      </c>
      <c r="Q1051">
        <v>2.4818294628611948E-3</v>
      </c>
      <c r="R1051">
        <v>19</v>
      </c>
      <c r="S1051">
        <v>0.35849056603773582</v>
      </c>
      <c r="T1051">
        <v>3.3681971281687645E-3</v>
      </c>
      <c r="U1051">
        <v>11</v>
      </c>
      <c r="V1051">
        <v>0.20754716981132076</v>
      </c>
      <c r="W1051">
        <v>1.950008863676653E-3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9</v>
      </c>
      <c r="AE1051">
        <v>0.16981132075471697</v>
      </c>
      <c r="AF1051">
        <v>1.5954617975536252E-3</v>
      </c>
    </row>
    <row r="1052" spans="1:32" x14ac:dyDescent="0.2">
      <c r="A1052">
        <v>2066.3663888888914</v>
      </c>
      <c r="B1052">
        <v>445</v>
      </c>
      <c r="C1052">
        <v>64</v>
      </c>
      <c r="D1052">
        <v>173</v>
      </c>
      <c r="E1052">
        <v>0</v>
      </c>
      <c r="F1052">
        <v>1</v>
      </c>
      <c r="G1052">
        <v>12</v>
      </c>
      <c r="H1052">
        <v>26</v>
      </c>
      <c r="I1052">
        <v>8</v>
      </c>
      <c r="J1052">
        <v>46</v>
      </c>
      <c r="K1052">
        <v>7</v>
      </c>
      <c r="L1052">
        <v>2910</v>
      </c>
      <c r="M1052">
        <v>257</v>
      </c>
      <c r="N1052">
        <v>8.8316151202749146E-2</v>
      </c>
      <c r="O1052">
        <v>49</v>
      </c>
      <c r="P1052">
        <v>0.19066147859922178</v>
      </c>
      <c r="Q1052">
        <v>1.683848797250859E-2</v>
      </c>
      <c r="R1052">
        <v>99</v>
      </c>
      <c r="S1052">
        <v>0.38521400778210119</v>
      </c>
      <c r="T1052">
        <v>3.4020618556701028E-2</v>
      </c>
      <c r="U1052">
        <v>31</v>
      </c>
      <c r="V1052">
        <v>0.12062256809338522</v>
      </c>
      <c r="W1052">
        <v>1.0652920962199313E-2</v>
      </c>
      <c r="X1052">
        <v>47</v>
      </c>
      <c r="Y1052">
        <v>0.1828793774319066</v>
      </c>
      <c r="Z1052">
        <v>1.6151202749140895E-2</v>
      </c>
      <c r="AA1052">
        <v>0</v>
      </c>
      <c r="AB1052">
        <v>0</v>
      </c>
      <c r="AC1052">
        <v>0</v>
      </c>
      <c r="AD1052">
        <v>31</v>
      </c>
      <c r="AE1052">
        <v>0.12062256809338522</v>
      </c>
      <c r="AF1052">
        <v>1.0652920962199313E-2</v>
      </c>
    </row>
    <row r="1053" spans="1:32" x14ac:dyDescent="0.2">
      <c r="A1053">
        <v>210.85203703703883</v>
      </c>
      <c r="B1053">
        <v>1448</v>
      </c>
      <c r="C1053">
        <v>35</v>
      </c>
      <c r="D1053">
        <v>262</v>
      </c>
      <c r="E1053">
        <v>4</v>
      </c>
      <c r="F1053">
        <v>4</v>
      </c>
      <c r="G1053">
        <v>3</v>
      </c>
      <c r="H1053">
        <v>9</v>
      </c>
      <c r="I1053">
        <v>0</v>
      </c>
      <c r="J1053">
        <v>116</v>
      </c>
      <c r="K1053">
        <v>27</v>
      </c>
      <c r="L1053">
        <v>8892</v>
      </c>
      <c r="M1053">
        <v>146</v>
      </c>
      <c r="N1053">
        <v>1.6419253261358523E-2</v>
      </c>
      <c r="O1053">
        <v>1</v>
      </c>
      <c r="P1053">
        <v>6.8493150684931503E-3</v>
      </c>
      <c r="Q1053">
        <v>1.1246063877642825E-4</v>
      </c>
      <c r="R1053">
        <v>101</v>
      </c>
      <c r="S1053">
        <v>0.69178082191780821</v>
      </c>
      <c r="T1053">
        <v>1.1358524516419253E-2</v>
      </c>
      <c r="U1053">
        <v>25</v>
      </c>
      <c r="V1053">
        <v>0.17123287671232876</v>
      </c>
      <c r="W1053">
        <v>2.8115159694107063E-3</v>
      </c>
      <c r="X1053">
        <v>1</v>
      </c>
      <c r="Y1053">
        <v>6.8493150684931503E-3</v>
      </c>
      <c r="Z1053">
        <v>1.1246063877642825E-4</v>
      </c>
      <c r="AA1053">
        <v>0</v>
      </c>
      <c r="AB1053">
        <v>0</v>
      </c>
      <c r="AC1053">
        <v>0</v>
      </c>
      <c r="AD1053">
        <v>18</v>
      </c>
      <c r="AE1053">
        <v>0.12328767123287671</v>
      </c>
      <c r="AF1053">
        <v>2.0242914979757085E-3</v>
      </c>
    </row>
    <row r="1054" spans="1:32" x14ac:dyDescent="0.2">
      <c r="A1054">
        <v>1298.107476851852</v>
      </c>
      <c r="B1054">
        <v>436</v>
      </c>
      <c r="C1054">
        <v>34</v>
      </c>
      <c r="D1054">
        <v>134</v>
      </c>
      <c r="E1054">
        <v>0</v>
      </c>
      <c r="F1054">
        <v>0</v>
      </c>
      <c r="G1054">
        <v>2</v>
      </c>
      <c r="H1054">
        <v>8</v>
      </c>
      <c r="I1054">
        <v>5</v>
      </c>
      <c r="J1054">
        <v>1</v>
      </c>
      <c r="K1054">
        <v>0</v>
      </c>
      <c r="L1054">
        <v>2814</v>
      </c>
      <c r="M1054">
        <v>42</v>
      </c>
      <c r="N1054">
        <v>1.4925373134328358E-2</v>
      </c>
      <c r="O1054">
        <v>0</v>
      </c>
      <c r="P1054">
        <v>0</v>
      </c>
      <c r="Q1054">
        <v>0</v>
      </c>
      <c r="R1054">
        <v>9</v>
      </c>
      <c r="S1054">
        <v>0.21428571428571427</v>
      </c>
      <c r="T1054">
        <v>3.1982942430703624E-3</v>
      </c>
      <c r="U1054">
        <v>7</v>
      </c>
      <c r="V1054">
        <v>0.16666666666666666</v>
      </c>
      <c r="W1054">
        <v>2.4875621890547263E-3</v>
      </c>
      <c r="X1054">
        <v>26</v>
      </c>
      <c r="Y1054">
        <v>0.61904761904761907</v>
      </c>
      <c r="Z1054">
        <v>9.2395167022032692E-3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">
      <c r="A1055">
        <v>4229.6844791666663</v>
      </c>
      <c r="B1055">
        <v>19920</v>
      </c>
      <c r="C1055">
        <v>1038</v>
      </c>
      <c r="D1055">
        <v>5038</v>
      </c>
      <c r="E1055">
        <v>0</v>
      </c>
      <c r="F1055">
        <v>145</v>
      </c>
      <c r="G1055">
        <v>348</v>
      </c>
      <c r="H1055">
        <v>1360</v>
      </c>
      <c r="I1055">
        <v>32</v>
      </c>
      <c r="J1055">
        <v>1644</v>
      </c>
      <c r="K1055">
        <v>196</v>
      </c>
      <c r="L1055">
        <v>22436</v>
      </c>
      <c r="M1055">
        <v>122</v>
      </c>
      <c r="N1055">
        <v>5.4376894277054734E-3</v>
      </c>
      <c r="O1055">
        <v>24</v>
      </c>
      <c r="P1055">
        <v>0.19672131147540983</v>
      </c>
      <c r="Q1055">
        <v>1.0697093956141914E-3</v>
      </c>
      <c r="R1055">
        <v>19</v>
      </c>
      <c r="S1055">
        <v>0.15573770491803279</v>
      </c>
      <c r="T1055">
        <v>8.4685327152790157E-4</v>
      </c>
      <c r="U1055">
        <v>37</v>
      </c>
      <c r="V1055">
        <v>0.30327868852459017</v>
      </c>
      <c r="W1055">
        <v>1.6491353182385452E-3</v>
      </c>
      <c r="X1055">
        <v>36</v>
      </c>
      <c r="Y1055">
        <v>0.29508196721311475</v>
      </c>
      <c r="Z1055">
        <v>1.6045640934212871E-3</v>
      </c>
      <c r="AA1055">
        <v>0</v>
      </c>
      <c r="AB1055">
        <v>0</v>
      </c>
      <c r="AC1055">
        <v>0</v>
      </c>
      <c r="AD1055">
        <v>6</v>
      </c>
      <c r="AE1055">
        <v>4.9180327868852458E-2</v>
      </c>
      <c r="AF1055">
        <v>2.6742734890354786E-4</v>
      </c>
    </row>
    <row r="1056" spans="1:32" x14ac:dyDescent="0.2">
      <c r="A1056">
        <v>2652.5864467592619</v>
      </c>
      <c r="B1056">
        <v>574</v>
      </c>
      <c r="C1056">
        <v>31</v>
      </c>
      <c r="D1056">
        <v>132</v>
      </c>
      <c r="E1056">
        <v>0</v>
      </c>
      <c r="F1056">
        <v>3</v>
      </c>
      <c r="G1056">
        <v>6</v>
      </c>
      <c r="H1056">
        <v>190</v>
      </c>
      <c r="I1056">
        <v>44</v>
      </c>
      <c r="J1056">
        <v>12</v>
      </c>
      <c r="K1056">
        <v>6</v>
      </c>
      <c r="L1056">
        <v>1658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">
      <c r="A1057">
        <v>1240.2078356481434</v>
      </c>
      <c r="B1057">
        <v>604</v>
      </c>
      <c r="C1057">
        <v>44</v>
      </c>
      <c r="D1057">
        <v>62</v>
      </c>
      <c r="E1057">
        <v>0</v>
      </c>
      <c r="F1057">
        <v>1</v>
      </c>
      <c r="G1057">
        <v>16</v>
      </c>
      <c r="H1057">
        <v>158</v>
      </c>
      <c r="I1057">
        <v>8</v>
      </c>
      <c r="J1057">
        <v>218</v>
      </c>
      <c r="K1057">
        <v>90</v>
      </c>
      <c r="L1057">
        <v>3526</v>
      </c>
      <c r="M1057">
        <v>123</v>
      </c>
      <c r="N1057">
        <v>3.4883720930232558E-2</v>
      </c>
      <c r="O1057">
        <v>31</v>
      </c>
      <c r="P1057">
        <v>0.25203252032520324</v>
      </c>
      <c r="Q1057">
        <v>8.7918321043675557E-3</v>
      </c>
      <c r="R1057">
        <v>45</v>
      </c>
      <c r="S1057">
        <v>0.36585365853658536</v>
      </c>
      <c r="T1057">
        <v>1.2762336925694838E-2</v>
      </c>
      <c r="U1057">
        <v>6</v>
      </c>
      <c r="V1057">
        <v>4.878048780487805E-2</v>
      </c>
      <c r="W1057">
        <v>1.7016449234259785E-3</v>
      </c>
      <c r="X1057">
        <v>24</v>
      </c>
      <c r="Y1057">
        <v>0.1951219512195122</v>
      </c>
      <c r="Z1057">
        <v>6.8065796937039139E-3</v>
      </c>
      <c r="AA1057">
        <v>17</v>
      </c>
      <c r="AB1057">
        <v>0.13821138211382114</v>
      </c>
      <c r="AC1057">
        <v>4.821327283040272E-3</v>
      </c>
      <c r="AD1057">
        <v>0</v>
      </c>
      <c r="AE1057">
        <v>0</v>
      </c>
      <c r="AF1057">
        <v>0</v>
      </c>
    </row>
    <row r="1058" spans="1:32" x14ac:dyDescent="0.2">
      <c r="A1058">
        <v>1517.4561226851874</v>
      </c>
      <c r="B1058">
        <v>2267</v>
      </c>
      <c r="C1058">
        <v>109</v>
      </c>
      <c r="D1058">
        <v>309</v>
      </c>
      <c r="E1058">
        <v>17</v>
      </c>
      <c r="F1058">
        <v>50</v>
      </c>
      <c r="G1058">
        <v>87</v>
      </c>
      <c r="H1058">
        <v>1124</v>
      </c>
      <c r="I1058">
        <v>19</v>
      </c>
      <c r="J1058">
        <v>737</v>
      </c>
      <c r="K1058">
        <v>197</v>
      </c>
      <c r="L1058">
        <v>223356</v>
      </c>
      <c r="M1058">
        <v>469</v>
      </c>
      <c r="N1058">
        <v>2.0997868873009902E-3</v>
      </c>
      <c r="O1058">
        <v>174</v>
      </c>
      <c r="P1058">
        <v>0.37100213219616207</v>
      </c>
      <c r="Q1058">
        <v>7.7902541234620962E-4</v>
      </c>
      <c r="R1058">
        <v>207</v>
      </c>
      <c r="S1058">
        <v>0.44136460554371004</v>
      </c>
      <c r="T1058">
        <v>9.2677161123945625E-4</v>
      </c>
      <c r="U1058">
        <v>64</v>
      </c>
      <c r="V1058">
        <v>0.13646055437100213</v>
      </c>
      <c r="W1058">
        <v>2.8653808270205411E-4</v>
      </c>
      <c r="X1058">
        <v>24</v>
      </c>
      <c r="Y1058">
        <v>5.1172707889125799E-2</v>
      </c>
      <c r="Z1058">
        <v>1.0745178101327029E-4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">
      <c r="A1059">
        <v>3304.3717824074047</v>
      </c>
      <c r="B1059">
        <v>1350</v>
      </c>
      <c r="C1059">
        <v>64</v>
      </c>
      <c r="D1059">
        <v>245</v>
      </c>
      <c r="E1059">
        <v>36</v>
      </c>
      <c r="F1059">
        <v>496</v>
      </c>
      <c r="G1059">
        <v>73</v>
      </c>
      <c r="H1059">
        <v>2440</v>
      </c>
      <c r="I1059">
        <v>98</v>
      </c>
      <c r="J1059">
        <v>3097</v>
      </c>
      <c r="K1059">
        <v>426</v>
      </c>
      <c r="L1059">
        <v>43473</v>
      </c>
      <c r="M1059">
        <v>112</v>
      </c>
      <c r="N1059">
        <v>2.5763117337197802E-3</v>
      </c>
      <c r="O1059">
        <v>59</v>
      </c>
      <c r="P1059">
        <v>0.5267857142857143</v>
      </c>
      <c r="Q1059">
        <v>1.3571642168702413E-3</v>
      </c>
      <c r="R1059">
        <v>13</v>
      </c>
      <c r="S1059">
        <v>0.11607142857142858</v>
      </c>
      <c r="T1059">
        <v>2.9903618337818875E-4</v>
      </c>
      <c r="U1059">
        <v>27</v>
      </c>
      <c r="V1059">
        <v>0.24107142857142858</v>
      </c>
      <c r="W1059">
        <v>6.2107515009316122E-4</v>
      </c>
      <c r="X1059">
        <v>10</v>
      </c>
      <c r="Y1059">
        <v>8.9285714285714288E-2</v>
      </c>
      <c r="Z1059">
        <v>2.3002783336783752E-4</v>
      </c>
      <c r="AA1059">
        <v>0</v>
      </c>
      <c r="AB1059">
        <v>0</v>
      </c>
      <c r="AC1059">
        <v>0</v>
      </c>
      <c r="AD1059">
        <v>3</v>
      </c>
      <c r="AE1059">
        <v>2.6785714285714284E-2</v>
      </c>
      <c r="AF1059">
        <v>6.9008350010351256E-5</v>
      </c>
    </row>
    <row r="1060" spans="1:32" x14ac:dyDescent="0.2">
      <c r="A1060">
        <v>917.42950231481518</v>
      </c>
      <c r="B1060">
        <v>1152</v>
      </c>
      <c r="C1060">
        <v>47</v>
      </c>
      <c r="D1060">
        <v>374</v>
      </c>
      <c r="E1060">
        <v>0</v>
      </c>
      <c r="F1060">
        <v>2</v>
      </c>
      <c r="G1060">
        <v>2</v>
      </c>
      <c r="H1060">
        <v>14</v>
      </c>
      <c r="I1060">
        <v>8</v>
      </c>
      <c r="J1060">
        <v>430</v>
      </c>
      <c r="K1060">
        <v>254</v>
      </c>
      <c r="L1060">
        <v>13532</v>
      </c>
      <c r="M1060">
        <v>38</v>
      </c>
      <c r="N1060">
        <v>2.8081584392550991E-3</v>
      </c>
      <c r="O1060">
        <v>4</v>
      </c>
      <c r="P1060">
        <v>0.10526315789473684</v>
      </c>
      <c r="Q1060">
        <v>2.9559562518474729E-4</v>
      </c>
      <c r="R1060">
        <v>17</v>
      </c>
      <c r="S1060">
        <v>0.44736842105263158</v>
      </c>
      <c r="T1060">
        <v>1.2562814070351759E-3</v>
      </c>
      <c r="U1060">
        <v>2</v>
      </c>
      <c r="V1060">
        <v>5.2631578947368418E-2</v>
      </c>
      <c r="W1060">
        <v>1.4779781259237365E-4</v>
      </c>
      <c r="X1060">
        <v>15</v>
      </c>
      <c r="Y1060">
        <v>0.39473684210526316</v>
      </c>
      <c r="Z1060">
        <v>1.1084835944428022E-3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">
      <c r="A1061">
        <v>729.08846064814861</v>
      </c>
      <c r="B1061">
        <v>450</v>
      </c>
      <c r="C1061">
        <v>42</v>
      </c>
      <c r="D1061">
        <v>286</v>
      </c>
      <c r="E1061">
        <v>0</v>
      </c>
      <c r="F1061">
        <v>152</v>
      </c>
      <c r="G1061">
        <v>204</v>
      </c>
      <c r="H1061">
        <v>710</v>
      </c>
      <c r="I1061">
        <v>29</v>
      </c>
      <c r="J1061">
        <v>848</v>
      </c>
      <c r="K1061">
        <v>181</v>
      </c>
      <c r="L1061">
        <v>67279</v>
      </c>
      <c r="M1061">
        <v>132</v>
      </c>
      <c r="N1061">
        <v>1.9619792208564338E-3</v>
      </c>
      <c r="O1061">
        <v>53</v>
      </c>
      <c r="P1061">
        <v>0.40151515151515149</v>
      </c>
      <c r="Q1061">
        <v>7.8776438413174989E-4</v>
      </c>
      <c r="R1061">
        <v>29</v>
      </c>
      <c r="S1061">
        <v>0.2196969696969697</v>
      </c>
      <c r="T1061">
        <v>4.3104088943058012E-4</v>
      </c>
      <c r="U1061">
        <v>35</v>
      </c>
      <c r="V1061">
        <v>0.26515151515151514</v>
      </c>
      <c r="W1061">
        <v>5.2022176310587251E-4</v>
      </c>
      <c r="X1061">
        <v>4</v>
      </c>
      <c r="Y1061">
        <v>3.0303030303030304E-2</v>
      </c>
      <c r="Z1061">
        <v>5.945391578352829E-5</v>
      </c>
      <c r="AA1061">
        <v>0</v>
      </c>
      <c r="AB1061">
        <v>0</v>
      </c>
      <c r="AC1061">
        <v>0</v>
      </c>
      <c r="AD1061">
        <v>11</v>
      </c>
      <c r="AE1061">
        <v>8.3333333333333329E-2</v>
      </c>
      <c r="AF1061">
        <v>1.634982684047028E-4</v>
      </c>
    </row>
    <row r="1062" spans="1:32" x14ac:dyDescent="0.2">
      <c r="A1062">
        <v>487.3847569444406</v>
      </c>
      <c r="B1062">
        <v>581</v>
      </c>
      <c r="C1062">
        <v>49</v>
      </c>
      <c r="D1062">
        <v>133</v>
      </c>
      <c r="E1062">
        <v>3</v>
      </c>
      <c r="F1062">
        <v>0</v>
      </c>
      <c r="G1062">
        <v>5</v>
      </c>
      <c r="H1062">
        <v>12</v>
      </c>
      <c r="I1062">
        <v>3</v>
      </c>
      <c r="J1062">
        <v>121</v>
      </c>
      <c r="K1062">
        <v>14</v>
      </c>
      <c r="L1062">
        <v>3907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">
      <c r="A1063">
        <v>778.37545138888527</v>
      </c>
      <c r="B1063">
        <v>451</v>
      </c>
      <c r="C1063">
        <v>49</v>
      </c>
      <c r="D1063">
        <v>225</v>
      </c>
      <c r="E1063">
        <v>0</v>
      </c>
      <c r="F1063">
        <v>53</v>
      </c>
      <c r="G1063">
        <v>108</v>
      </c>
      <c r="H1063">
        <v>359</v>
      </c>
      <c r="I1063">
        <v>70</v>
      </c>
      <c r="J1063">
        <v>0</v>
      </c>
      <c r="K1063">
        <v>0</v>
      </c>
      <c r="L1063">
        <v>254012</v>
      </c>
      <c r="M1063">
        <v>1057</v>
      </c>
      <c r="N1063">
        <v>4.1612207297293041E-3</v>
      </c>
      <c r="O1063">
        <v>326</v>
      </c>
      <c r="P1063">
        <v>0.30842005676442763</v>
      </c>
      <c r="Q1063">
        <v>1.283403933672425E-3</v>
      </c>
      <c r="R1063">
        <v>476</v>
      </c>
      <c r="S1063">
        <v>0.45033112582781459</v>
      </c>
      <c r="T1063">
        <v>1.8739272160370377E-3</v>
      </c>
      <c r="U1063">
        <v>57</v>
      </c>
      <c r="V1063">
        <v>5.392620624408704E-2</v>
      </c>
      <c r="W1063">
        <v>2.2439884729855283E-4</v>
      </c>
      <c r="X1063">
        <v>106</v>
      </c>
      <c r="Y1063">
        <v>0.10028382213812677</v>
      </c>
      <c r="Z1063">
        <v>4.1730311953765966E-4</v>
      </c>
      <c r="AA1063">
        <v>2</v>
      </c>
      <c r="AB1063">
        <v>1.8921475875118259E-3</v>
      </c>
      <c r="AC1063">
        <v>7.8736437648615031E-6</v>
      </c>
      <c r="AD1063">
        <v>90</v>
      </c>
      <c r="AE1063">
        <v>8.5146641438032161E-2</v>
      </c>
      <c r="AF1063">
        <v>3.5431396941876763E-4</v>
      </c>
    </row>
    <row r="1064" spans="1:32" x14ac:dyDescent="0.2">
      <c r="A1064">
        <v>1120.5335648148175</v>
      </c>
      <c r="B1064">
        <v>2125</v>
      </c>
      <c r="C1064">
        <v>86</v>
      </c>
      <c r="D1064">
        <v>588</v>
      </c>
      <c r="E1064">
        <v>28</v>
      </c>
      <c r="F1064">
        <v>1</v>
      </c>
      <c r="G1064">
        <v>54</v>
      </c>
      <c r="H1064">
        <v>567</v>
      </c>
      <c r="I1064">
        <v>16</v>
      </c>
      <c r="J1064">
        <v>470</v>
      </c>
      <c r="K1064">
        <v>76</v>
      </c>
      <c r="L1064">
        <v>37532</v>
      </c>
      <c r="M1064">
        <v>465</v>
      </c>
      <c r="N1064">
        <v>1.238942768837259E-2</v>
      </c>
      <c r="O1064">
        <v>82</v>
      </c>
      <c r="P1064">
        <v>0.17634408602150536</v>
      </c>
      <c r="Q1064">
        <v>2.1848023020355962E-3</v>
      </c>
      <c r="R1064">
        <v>330</v>
      </c>
      <c r="S1064">
        <v>0.70967741935483875</v>
      </c>
      <c r="T1064">
        <v>8.7924970691676436E-3</v>
      </c>
      <c r="U1064">
        <v>46</v>
      </c>
      <c r="V1064">
        <v>9.8924731182795697E-2</v>
      </c>
      <c r="W1064">
        <v>1.2256208035809442E-3</v>
      </c>
      <c r="X1064">
        <v>5</v>
      </c>
      <c r="Y1064">
        <v>1.0752688172043012E-2</v>
      </c>
      <c r="Z1064">
        <v>1.3321965256314611E-4</v>
      </c>
      <c r="AA1064">
        <v>2</v>
      </c>
      <c r="AB1064">
        <v>4.3010752688172043E-3</v>
      </c>
      <c r="AC1064">
        <v>5.3287861025258443E-5</v>
      </c>
      <c r="AD1064">
        <v>0</v>
      </c>
      <c r="AE1064">
        <v>0</v>
      </c>
      <c r="AF1064">
        <v>0</v>
      </c>
    </row>
    <row r="1065" spans="1:32" x14ac:dyDescent="0.2">
      <c r="A1065">
        <v>960.28821759259881</v>
      </c>
      <c r="B1065">
        <v>1336</v>
      </c>
      <c r="C1065">
        <v>80</v>
      </c>
      <c r="D1065">
        <v>408</v>
      </c>
      <c r="E1065">
        <v>9</v>
      </c>
      <c r="F1065">
        <v>1</v>
      </c>
      <c r="G1065">
        <v>38</v>
      </c>
      <c r="H1065">
        <v>147</v>
      </c>
      <c r="I1065">
        <v>4</v>
      </c>
      <c r="J1065">
        <v>87</v>
      </c>
      <c r="K1065">
        <v>35</v>
      </c>
      <c r="L1065">
        <v>6218</v>
      </c>
      <c r="M1065">
        <v>32</v>
      </c>
      <c r="N1065">
        <v>5.1463493084593116E-3</v>
      </c>
      <c r="O1065">
        <v>0</v>
      </c>
      <c r="P1065">
        <v>0</v>
      </c>
      <c r="Q1065">
        <v>0</v>
      </c>
      <c r="R1065">
        <v>27</v>
      </c>
      <c r="S1065">
        <v>0.84375</v>
      </c>
      <c r="T1065">
        <v>4.3422322290125439E-3</v>
      </c>
      <c r="U1065">
        <v>5</v>
      </c>
      <c r="V1065">
        <v>0.15625</v>
      </c>
      <c r="W1065">
        <v>8.0411707944676744E-4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">
      <c r="A1066">
        <v>2157.924201388887</v>
      </c>
      <c r="B1066">
        <v>3633</v>
      </c>
      <c r="C1066">
        <v>291</v>
      </c>
      <c r="D1066">
        <v>950</v>
      </c>
      <c r="E1066">
        <v>0</v>
      </c>
      <c r="F1066">
        <v>10</v>
      </c>
      <c r="G1066">
        <v>94</v>
      </c>
      <c r="H1066">
        <v>346</v>
      </c>
      <c r="I1066">
        <v>0</v>
      </c>
      <c r="J1066">
        <v>222</v>
      </c>
      <c r="K1066">
        <v>3</v>
      </c>
      <c r="L1066">
        <v>3713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">
      <c r="A1067">
        <v>1102.0235300925924</v>
      </c>
      <c r="B1067">
        <v>496</v>
      </c>
      <c r="C1067">
        <v>33</v>
      </c>
      <c r="D1067">
        <v>36</v>
      </c>
      <c r="E1067">
        <v>0</v>
      </c>
      <c r="F1067">
        <v>0</v>
      </c>
      <c r="G1067">
        <v>8</v>
      </c>
      <c r="H1067">
        <v>32</v>
      </c>
      <c r="I1067">
        <v>4</v>
      </c>
      <c r="J1067">
        <v>61</v>
      </c>
      <c r="K1067">
        <v>16</v>
      </c>
      <c r="L1067">
        <v>5130</v>
      </c>
      <c r="M1067">
        <v>204</v>
      </c>
      <c r="N1067">
        <v>3.9766081871345033E-2</v>
      </c>
      <c r="O1067">
        <v>14</v>
      </c>
      <c r="P1067">
        <v>6.8627450980392163E-2</v>
      </c>
      <c r="Q1067">
        <v>2.7290448343079924E-3</v>
      </c>
      <c r="R1067">
        <v>120</v>
      </c>
      <c r="S1067">
        <v>0.58823529411764708</v>
      </c>
      <c r="T1067">
        <v>2.3391812865497075E-2</v>
      </c>
      <c r="U1067">
        <v>8</v>
      </c>
      <c r="V1067">
        <v>3.9215686274509803E-2</v>
      </c>
      <c r="W1067">
        <v>1.5594541910331384E-3</v>
      </c>
      <c r="X1067">
        <v>5</v>
      </c>
      <c r="Y1067">
        <v>2.4509803921568627E-2</v>
      </c>
      <c r="Z1067">
        <v>9.7465886939571145E-4</v>
      </c>
      <c r="AA1067">
        <v>0</v>
      </c>
      <c r="AB1067">
        <v>0</v>
      </c>
      <c r="AC1067">
        <v>0</v>
      </c>
      <c r="AD1067">
        <v>57</v>
      </c>
      <c r="AE1067">
        <v>0.27941176470588236</v>
      </c>
      <c r="AF1067">
        <v>1.1111111111111112E-2</v>
      </c>
    </row>
    <row r="1068" spans="1:32" x14ac:dyDescent="0.2">
      <c r="A1068">
        <v>1028.4855324074088</v>
      </c>
      <c r="B1068">
        <v>1320</v>
      </c>
      <c r="C1068">
        <v>63</v>
      </c>
      <c r="D1068">
        <v>320</v>
      </c>
      <c r="E1068">
        <v>13</v>
      </c>
      <c r="F1068">
        <v>1</v>
      </c>
      <c r="G1068">
        <v>8</v>
      </c>
      <c r="H1068">
        <v>19</v>
      </c>
      <c r="I1068">
        <v>0</v>
      </c>
      <c r="J1068">
        <v>93</v>
      </c>
      <c r="K1068">
        <v>4</v>
      </c>
      <c r="L1068">
        <v>3965</v>
      </c>
      <c r="M1068">
        <v>166</v>
      </c>
      <c r="N1068">
        <v>4.1866330390920553E-2</v>
      </c>
      <c r="O1068">
        <v>0</v>
      </c>
      <c r="P1068">
        <v>0</v>
      </c>
      <c r="Q1068">
        <v>0</v>
      </c>
      <c r="R1068">
        <v>32</v>
      </c>
      <c r="S1068">
        <v>0.19277108433734941</v>
      </c>
      <c r="T1068">
        <v>8.0706179066834804E-3</v>
      </c>
      <c r="U1068">
        <v>19</v>
      </c>
      <c r="V1068">
        <v>0.1144578313253012</v>
      </c>
      <c r="W1068">
        <v>4.7919293820933165E-3</v>
      </c>
      <c r="X1068">
        <v>115</v>
      </c>
      <c r="Y1068">
        <v>0.69277108433734935</v>
      </c>
      <c r="Z1068">
        <v>2.9003783102143757E-2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">
      <c r="A1069">
        <v>701.1431712962949</v>
      </c>
      <c r="B1069">
        <v>356</v>
      </c>
      <c r="C1069">
        <v>19</v>
      </c>
      <c r="D1069">
        <v>62</v>
      </c>
      <c r="E1069">
        <v>4</v>
      </c>
      <c r="F1069">
        <v>0</v>
      </c>
      <c r="G1069">
        <v>7</v>
      </c>
      <c r="H1069">
        <v>8</v>
      </c>
      <c r="I1069">
        <v>0</v>
      </c>
      <c r="J1069">
        <v>13</v>
      </c>
      <c r="K1069">
        <v>4</v>
      </c>
      <c r="L1069">
        <v>2742</v>
      </c>
      <c r="M1069">
        <v>61</v>
      </c>
      <c r="N1069">
        <v>2.224653537563822E-2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61</v>
      </c>
      <c r="Y1069">
        <v>1</v>
      </c>
      <c r="Z1069">
        <v>2.224653537563822E-2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">
      <c r="A1070">
        <v>1243.2913657407407</v>
      </c>
      <c r="B1070">
        <v>522</v>
      </c>
      <c r="C1070">
        <v>29</v>
      </c>
      <c r="D1070">
        <v>76</v>
      </c>
      <c r="E1070">
        <v>51</v>
      </c>
      <c r="F1070">
        <v>3</v>
      </c>
      <c r="G1070">
        <v>21</v>
      </c>
      <c r="H1070">
        <v>73</v>
      </c>
      <c r="I1070">
        <v>1</v>
      </c>
      <c r="J1070">
        <v>535</v>
      </c>
      <c r="K1070">
        <v>122</v>
      </c>
      <c r="L1070">
        <v>8391</v>
      </c>
      <c r="M1070">
        <v>133</v>
      </c>
      <c r="N1070">
        <v>1.5850315814563223E-2</v>
      </c>
      <c r="O1070">
        <v>53</v>
      </c>
      <c r="P1070">
        <v>0.39849624060150374</v>
      </c>
      <c r="Q1070">
        <v>6.3162912644500061E-3</v>
      </c>
      <c r="R1070">
        <v>11</v>
      </c>
      <c r="S1070">
        <v>8.2706766917293228E-2</v>
      </c>
      <c r="T1070">
        <v>1.3109283756405673E-3</v>
      </c>
      <c r="U1070">
        <v>20</v>
      </c>
      <c r="V1070">
        <v>0.15037593984962405</v>
      </c>
      <c r="W1070">
        <v>2.3835061375283039E-3</v>
      </c>
      <c r="X1070">
        <v>5</v>
      </c>
      <c r="Y1070">
        <v>3.7593984962406013E-2</v>
      </c>
      <c r="Z1070">
        <v>5.9587653438207598E-4</v>
      </c>
      <c r="AA1070">
        <v>0</v>
      </c>
      <c r="AB1070">
        <v>0</v>
      </c>
      <c r="AC1070">
        <v>0</v>
      </c>
      <c r="AD1070">
        <v>44</v>
      </c>
      <c r="AE1070">
        <v>0.33082706766917291</v>
      </c>
      <c r="AF1070">
        <v>5.2437135025622693E-3</v>
      </c>
    </row>
    <row r="1071" spans="1:32" x14ac:dyDescent="0.2">
      <c r="A1071">
        <v>386.78177083333139</v>
      </c>
      <c r="B1071">
        <v>510</v>
      </c>
      <c r="C1071">
        <v>35</v>
      </c>
      <c r="D1071">
        <v>125</v>
      </c>
      <c r="E1071">
        <v>0</v>
      </c>
      <c r="F1071">
        <v>9</v>
      </c>
      <c r="G1071">
        <v>27</v>
      </c>
      <c r="H1071">
        <v>88</v>
      </c>
      <c r="I1071">
        <v>16</v>
      </c>
      <c r="J1071">
        <v>124</v>
      </c>
      <c r="K1071">
        <v>64</v>
      </c>
      <c r="L1071">
        <v>2456</v>
      </c>
      <c r="M1071">
        <v>9</v>
      </c>
      <c r="N1071">
        <v>3.6644951140065146E-3</v>
      </c>
      <c r="O1071">
        <v>2</v>
      </c>
      <c r="P1071">
        <v>0.22222222222222221</v>
      </c>
      <c r="Q1071">
        <v>8.1433224755700329E-4</v>
      </c>
      <c r="R1071">
        <v>2</v>
      </c>
      <c r="S1071">
        <v>0.22222222222222221</v>
      </c>
      <c r="T1071">
        <v>8.1433224755700329E-4</v>
      </c>
      <c r="U1071">
        <v>2</v>
      </c>
      <c r="V1071">
        <v>0.22222222222222221</v>
      </c>
      <c r="W1071">
        <v>8.1433224755700329E-4</v>
      </c>
      <c r="X1071">
        <v>3</v>
      </c>
      <c r="Y1071">
        <v>0.33333333333333331</v>
      </c>
      <c r="Z1071">
        <v>1.2214983713355048E-3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">
      <c r="A1072">
        <v>2518.9011226851871</v>
      </c>
      <c r="B1072">
        <v>744</v>
      </c>
      <c r="C1072">
        <v>57</v>
      </c>
      <c r="D1072">
        <v>131</v>
      </c>
      <c r="E1072">
        <v>7</v>
      </c>
      <c r="F1072">
        <v>11</v>
      </c>
      <c r="G1072">
        <v>28</v>
      </c>
      <c r="H1072">
        <v>71</v>
      </c>
      <c r="I1072">
        <v>22</v>
      </c>
      <c r="J1072">
        <v>287</v>
      </c>
      <c r="K1072">
        <v>138</v>
      </c>
      <c r="L1072">
        <v>7143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">
      <c r="A1073">
        <v>799.94425925925316</v>
      </c>
      <c r="B1073">
        <v>2866</v>
      </c>
      <c r="C1073">
        <v>117</v>
      </c>
      <c r="D1073">
        <v>472</v>
      </c>
      <c r="E1073">
        <v>0</v>
      </c>
      <c r="F1073">
        <v>0</v>
      </c>
      <c r="G1073">
        <v>17</v>
      </c>
      <c r="H1073">
        <v>106</v>
      </c>
      <c r="I1073">
        <v>3</v>
      </c>
      <c r="J1073">
        <v>249</v>
      </c>
      <c r="K1073">
        <v>39</v>
      </c>
      <c r="L1073">
        <v>34116</v>
      </c>
      <c r="M1073">
        <v>50</v>
      </c>
      <c r="N1073">
        <v>1.465587993903154E-3</v>
      </c>
      <c r="O1073">
        <v>0</v>
      </c>
      <c r="P1073">
        <v>0</v>
      </c>
      <c r="Q1073">
        <v>0</v>
      </c>
      <c r="R1073">
        <v>39</v>
      </c>
      <c r="S1073">
        <v>0.78</v>
      </c>
      <c r="T1073">
        <v>1.1431586352444601E-3</v>
      </c>
      <c r="U1073">
        <v>11</v>
      </c>
      <c r="V1073">
        <v>0.22</v>
      </c>
      <c r="W1073">
        <v>3.2242935865869389E-4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">
      <c r="A1074">
        <v>4223.9051736111142</v>
      </c>
      <c r="B1074">
        <v>1461</v>
      </c>
      <c r="C1074">
        <v>118</v>
      </c>
      <c r="D1074">
        <v>552</v>
      </c>
      <c r="E1074">
        <v>139</v>
      </c>
      <c r="F1074">
        <v>29</v>
      </c>
      <c r="G1074">
        <v>93</v>
      </c>
      <c r="H1074">
        <v>317</v>
      </c>
      <c r="I1074">
        <v>1</v>
      </c>
      <c r="J1074">
        <v>244</v>
      </c>
      <c r="K1074">
        <v>6</v>
      </c>
      <c r="L1074">
        <v>83131</v>
      </c>
      <c r="M1074">
        <v>7</v>
      </c>
      <c r="N1074">
        <v>8.4204448400716943E-5</v>
      </c>
      <c r="O1074">
        <v>0</v>
      </c>
      <c r="P1074">
        <v>0</v>
      </c>
      <c r="Q1074">
        <v>0</v>
      </c>
      <c r="R1074">
        <v>5</v>
      </c>
      <c r="S1074">
        <v>0.7142857142857143</v>
      </c>
      <c r="T1074">
        <v>6.0146034571940671E-5</v>
      </c>
      <c r="U1074">
        <v>2</v>
      </c>
      <c r="V1074">
        <v>0.2857142857142857</v>
      </c>
      <c r="W1074">
        <v>2.4058413828776269E-5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">
      <c r="A1075">
        <v>1398.2349421296312</v>
      </c>
      <c r="B1075">
        <v>9684</v>
      </c>
      <c r="C1075">
        <v>259</v>
      </c>
      <c r="D1075">
        <v>1331</v>
      </c>
      <c r="E1075">
        <v>9</v>
      </c>
      <c r="F1075">
        <v>73</v>
      </c>
      <c r="G1075">
        <v>62</v>
      </c>
      <c r="H1075">
        <v>196</v>
      </c>
      <c r="I1075">
        <v>33</v>
      </c>
      <c r="J1075">
        <v>966</v>
      </c>
      <c r="K1075">
        <v>352</v>
      </c>
      <c r="L1075">
        <v>2346</v>
      </c>
      <c r="M1075">
        <v>138</v>
      </c>
      <c r="N1075">
        <v>5.8823529411764705E-2</v>
      </c>
      <c r="O1075">
        <v>114</v>
      </c>
      <c r="P1075">
        <v>0.82608695652173914</v>
      </c>
      <c r="Q1075">
        <v>4.859335038363171E-2</v>
      </c>
      <c r="R1075">
        <v>3</v>
      </c>
      <c r="S1075">
        <v>2.1739130434782608E-2</v>
      </c>
      <c r="T1075">
        <v>1.2787723785166241E-3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18</v>
      </c>
      <c r="AB1075">
        <v>0.13043478260869565</v>
      </c>
      <c r="AC1075">
        <v>7.6726342710997444E-3</v>
      </c>
      <c r="AD1075">
        <v>3</v>
      </c>
      <c r="AE1075">
        <v>2.1739130434782608E-2</v>
      </c>
      <c r="AF1075">
        <v>1.2787723785166241E-3</v>
      </c>
    </row>
    <row r="1076" spans="1:32" x14ac:dyDescent="0.2">
      <c r="A1076">
        <v>1190.4065972222234</v>
      </c>
      <c r="B1076">
        <v>1475</v>
      </c>
      <c r="C1076">
        <v>85</v>
      </c>
      <c r="D1076">
        <v>285</v>
      </c>
      <c r="E1076">
        <v>0</v>
      </c>
      <c r="F1076">
        <v>1</v>
      </c>
      <c r="G1076">
        <v>11</v>
      </c>
      <c r="H1076">
        <v>15</v>
      </c>
      <c r="I1076">
        <v>3</v>
      </c>
      <c r="J1076">
        <v>31</v>
      </c>
      <c r="K1076">
        <v>14</v>
      </c>
      <c r="L1076">
        <v>6000</v>
      </c>
      <c r="M1076">
        <v>121</v>
      </c>
      <c r="N1076">
        <v>2.0166666666666666E-2</v>
      </c>
      <c r="O1076">
        <v>4</v>
      </c>
      <c r="P1076">
        <v>3.3057851239669422E-2</v>
      </c>
      <c r="Q1076">
        <v>6.6666666666666664E-4</v>
      </c>
      <c r="R1076">
        <v>102</v>
      </c>
      <c r="S1076">
        <v>0.84297520661157022</v>
      </c>
      <c r="T1076">
        <v>1.7000000000000001E-2</v>
      </c>
      <c r="U1076">
        <v>10</v>
      </c>
      <c r="V1076">
        <v>8.2644628099173556E-2</v>
      </c>
      <c r="W1076">
        <v>1.6666666666666668E-3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5</v>
      </c>
      <c r="AE1076">
        <v>4.1322314049586778E-2</v>
      </c>
      <c r="AF1076">
        <v>8.3333333333333339E-4</v>
      </c>
    </row>
    <row r="1077" spans="1:32" x14ac:dyDescent="0.2">
      <c r="A1077">
        <v>794.84464120370103</v>
      </c>
      <c r="B1077">
        <v>409</v>
      </c>
      <c r="C1077">
        <v>19</v>
      </c>
      <c r="D1077">
        <v>65</v>
      </c>
      <c r="E1077">
        <v>1</v>
      </c>
      <c r="F1077">
        <v>0</v>
      </c>
      <c r="G1077">
        <v>2</v>
      </c>
      <c r="H1077">
        <v>15</v>
      </c>
      <c r="I1077">
        <v>5</v>
      </c>
      <c r="J1077">
        <v>9</v>
      </c>
      <c r="K1077">
        <v>5</v>
      </c>
      <c r="L1077">
        <v>12010</v>
      </c>
      <c r="M1077">
        <v>112</v>
      </c>
      <c r="N1077">
        <v>9.3255620316403005E-3</v>
      </c>
      <c r="O1077">
        <v>23</v>
      </c>
      <c r="P1077">
        <v>0.20535714285714285</v>
      </c>
      <c r="Q1077">
        <v>1.9150707743547043E-3</v>
      </c>
      <c r="R1077">
        <v>77</v>
      </c>
      <c r="S1077">
        <v>0.6875</v>
      </c>
      <c r="T1077">
        <v>6.411323896752706E-3</v>
      </c>
      <c r="U1077">
        <v>12</v>
      </c>
      <c r="V1077">
        <v>0.10714285714285714</v>
      </c>
      <c r="W1077">
        <v>9.9916736053288916E-4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">
      <c r="A1078">
        <v>456.07199074074015</v>
      </c>
      <c r="B1078">
        <v>874</v>
      </c>
      <c r="C1078">
        <v>23</v>
      </c>
      <c r="D1078">
        <v>92</v>
      </c>
      <c r="E1078">
        <v>0</v>
      </c>
      <c r="F1078">
        <v>0</v>
      </c>
      <c r="G1078">
        <v>5</v>
      </c>
      <c r="H1078">
        <v>31</v>
      </c>
      <c r="I1078">
        <v>2</v>
      </c>
      <c r="J1078">
        <v>20</v>
      </c>
      <c r="K1078">
        <v>12</v>
      </c>
      <c r="L1078">
        <v>4839</v>
      </c>
      <c r="M1078">
        <v>201</v>
      </c>
      <c r="N1078">
        <v>4.1537507749535026E-2</v>
      </c>
      <c r="O1078">
        <v>190</v>
      </c>
      <c r="P1078">
        <v>0.94527363184079605</v>
      </c>
      <c r="Q1078">
        <v>3.9264310808018184E-2</v>
      </c>
      <c r="R1078">
        <v>4</v>
      </c>
      <c r="S1078">
        <v>1.9900497512437811E-2</v>
      </c>
      <c r="T1078">
        <v>8.2661706964248815E-4</v>
      </c>
      <c r="U1078">
        <v>5</v>
      </c>
      <c r="V1078">
        <v>2.4875621890547265E-2</v>
      </c>
      <c r="W1078">
        <v>1.0332713370531101E-3</v>
      </c>
      <c r="X1078">
        <v>2</v>
      </c>
      <c r="Y1078">
        <v>9.9502487562189053E-3</v>
      </c>
      <c r="Z1078">
        <v>4.1330853482124408E-4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">
      <c r="A1079">
        <v>1025.163344907407</v>
      </c>
      <c r="B1079">
        <v>1123</v>
      </c>
      <c r="C1079">
        <v>40</v>
      </c>
      <c r="D1079">
        <v>185</v>
      </c>
      <c r="E1079">
        <v>31</v>
      </c>
      <c r="F1079">
        <v>6</v>
      </c>
      <c r="G1079">
        <v>30</v>
      </c>
      <c r="H1079">
        <v>431</v>
      </c>
      <c r="I1079">
        <v>20</v>
      </c>
      <c r="J1079">
        <v>228</v>
      </c>
      <c r="K1079">
        <v>112</v>
      </c>
      <c r="L1079">
        <v>9660</v>
      </c>
      <c r="M1079">
        <v>74</v>
      </c>
      <c r="N1079">
        <v>7.6604554865424427E-3</v>
      </c>
      <c r="O1079">
        <v>29</v>
      </c>
      <c r="P1079">
        <v>0.39189189189189189</v>
      </c>
      <c r="Q1079">
        <v>3.0020703933747411E-3</v>
      </c>
      <c r="R1079">
        <v>20</v>
      </c>
      <c r="S1079">
        <v>0.27027027027027029</v>
      </c>
      <c r="T1079">
        <v>2.070393374741201E-3</v>
      </c>
      <c r="U1079">
        <v>21</v>
      </c>
      <c r="V1079">
        <v>0.28378378378378377</v>
      </c>
      <c r="W1079">
        <v>2.1739130434782609E-3</v>
      </c>
      <c r="X1079">
        <v>4</v>
      </c>
      <c r="Y1079">
        <v>5.4054054054054057E-2</v>
      </c>
      <c r="Z1079">
        <v>4.1407867494824016E-4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">
      <c r="A1080">
        <v>2496.7830555555556</v>
      </c>
      <c r="B1080">
        <v>1047</v>
      </c>
      <c r="C1080">
        <v>79</v>
      </c>
      <c r="D1080">
        <v>147</v>
      </c>
      <c r="E1080">
        <v>3</v>
      </c>
      <c r="F1080">
        <v>11</v>
      </c>
      <c r="G1080">
        <v>56</v>
      </c>
      <c r="H1080">
        <v>247</v>
      </c>
      <c r="I1080">
        <v>4</v>
      </c>
      <c r="J1080">
        <v>399</v>
      </c>
      <c r="K1080">
        <v>31</v>
      </c>
      <c r="L1080">
        <v>11911</v>
      </c>
      <c r="M1080">
        <v>151</v>
      </c>
      <c r="N1080">
        <v>1.2677357064897993E-2</v>
      </c>
      <c r="O1080">
        <v>77</v>
      </c>
      <c r="P1080">
        <v>0.50993377483443714</v>
      </c>
      <c r="Q1080">
        <v>6.4646125430274535E-3</v>
      </c>
      <c r="R1080">
        <v>24</v>
      </c>
      <c r="S1080">
        <v>0.15894039735099338</v>
      </c>
      <c r="T1080">
        <v>2.0149441692553101E-3</v>
      </c>
      <c r="U1080">
        <v>3</v>
      </c>
      <c r="V1080">
        <v>1.9867549668874173E-2</v>
      </c>
      <c r="W1080">
        <v>2.5186802115691377E-4</v>
      </c>
      <c r="X1080">
        <v>46</v>
      </c>
      <c r="Y1080">
        <v>0.30463576158940397</v>
      </c>
      <c r="Z1080">
        <v>3.8619763244060112E-3</v>
      </c>
      <c r="AA1080">
        <v>0</v>
      </c>
      <c r="AB1080">
        <v>0</v>
      </c>
      <c r="AC1080">
        <v>0</v>
      </c>
      <c r="AD1080">
        <v>1</v>
      </c>
      <c r="AE1080">
        <v>6.6225165562913907E-3</v>
      </c>
      <c r="AF1080">
        <v>8.3956007052304589E-5</v>
      </c>
    </row>
    <row r="1081" spans="1:32" x14ac:dyDescent="0.2">
      <c r="A1081">
        <v>1934.0997453703749</v>
      </c>
      <c r="B1081">
        <v>498</v>
      </c>
      <c r="C1081">
        <v>38</v>
      </c>
      <c r="D1081">
        <v>28</v>
      </c>
      <c r="E1081">
        <v>0</v>
      </c>
      <c r="F1081">
        <v>179</v>
      </c>
      <c r="G1081">
        <v>6</v>
      </c>
      <c r="H1081">
        <v>16</v>
      </c>
      <c r="I1081">
        <v>0</v>
      </c>
      <c r="J1081">
        <v>280</v>
      </c>
      <c r="K1081">
        <v>79</v>
      </c>
      <c r="L1081">
        <v>43125</v>
      </c>
      <c r="M1081">
        <v>507</v>
      </c>
      <c r="N1081">
        <v>1.1756521739130435E-2</v>
      </c>
      <c r="O1081">
        <v>77</v>
      </c>
      <c r="P1081">
        <v>0.15187376725838264</v>
      </c>
      <c r="Q1081">
        <v>1.7855072463768115E-3</v>
      </c>
      <c r="R1081">
        <v>233</v>
      </c>
      <c r="S1081">
        <v>0.45956607495069035</v>
      </c>
      <c r="T1081">
        <v>5.4028985507246375E-3</v>
      </c>
      <c r="U1081">
        <v>45</v>
      </c>
      <c r="V1081">
        <v>8.8757396449704137E-2</v>
      </c>
      <c r="W1081">
        <v>1.0434782608695651E-3</v>
      </c>
      <c r="X1081">
        <v>130</v>
      </c>
      <c r="Y1081">
        <v>0.25641025641025639</v>
      </c>
      <c r="Z1081">
        <v>3.0144927536231883E-3</v>
      </c>
      <c r="AA1081">
        <v>21</v>
      </c>
      <c r="AB1081">
        <v>4.142011834319527E-2</v>
      </c>
      <c r="AC1081">
        <v>4.8695652173913045E-4</v>
      </c>
      <c r="AD1081">
        <v>1</v>
      </c>
      <c r="AE1081">
        <v>1.9723865877712033E-3</v>
      </c>
      <c r="AF1081">
        <v>2.318840579710145E-5</v>
      </c>
    </row>
    <row r="1082" spans="1:32" x14ac:dyDescent="0.2">
      <c r="A1082">
        <v>1000.0640162037016</v>
      </c>
      <c r="B1082">
        <v>365</v>
      </c>
      <c r="C1082">
        <v>28</v>
      </c>
      <c r="D1082">
        <v>76</v>
      </c>
      <c r="E1082">
        <v>0</v>
      </c>
      <c r="F1082">
        <v>0</v>
      </c>
      <c r="G1082">
        <v>2</v>
      </c>
      <c r="H1082">
        <v>14</v>
      </c>
      <c r="I1082">
        <v>7</v>
      </c>
      <c r="J1082">
        <v>31</v>
      </c>
      <c r="K1082">
        <v>22</v>
      </c>
      <c r="L1082">
        <v>1468</v>
      </c>
      <c r="M1082">
        <v>31</v>
      </c>
      <c r="N1082">
        <v>2.111716621253406E-2</v>
      </c>
      <c r="O1082">
        <v>1</v>
      </c>
      <c r="P1082">
        <v>3.2258064516129031E-2</v>
      </c>
      <c r="Q1082">
        <v>6.8119891008174384E-4</v>
      </c>
      <c r="R1082">
        <v>30</v>
      </c>
      <c r="S1082">
        <v>0.967741935483871</v>
      </c>
      <c r="T1082">
        <v>2.0435967302452316E-2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">
      <c r="A1083">
        <v>1362.1132291666727</v>
      </c>
      <c r="B1083">
        <v>742</v>
      </c>
      <c r="C1083">
        <v>58</v>
      </c>
      <c r="D1083">
        <v>247</v>
      </c>
      <c r="E1083">
        <v>3</v>
      </c>
      <c r="F1083">
        <v>0</v>
      </c>
      <c r="G1083">
        <v>2</v>
      </c>
      <c r="H1083">
        <v>1</v>
      </c>
      <c r="I1083">
        <v>0</v>
      </c>
      <c r="J1083">
        <v>60</v>
      </c>
      <c r="K1083">
        <v>33</v>
      </c>
      <c r="L1083">
        <v>1508</v>
      </c>
      <c r="M1083">
        <v>36</v>
      </c>
      <c r="N1083">
        <v>2.3872679045092837E-2</v>
      </c>
      <c r="O1083">
        <v>1</v>
      </c>
      <c r="P1083">
        <v>2.7777777777777776E-2</v>
      </c>
      <c r="Q1083">
        <v>6.6312997347480103E-4</v>
      </c>
      <c r="R1083">
        <v>35</v>
      </c>
      <c r="S1083">
        <v>0.97222222222222221</v>
      </c>
      <c r="T1083">
        <v>2.3209549071618037E-2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">
      <c r="A1084">
        <v>2160.3560185185197</v>
      </c>
      <c r="B1084">
        <v>1907</v>
      </c>
      <c r="C1084">
        <v>45</v>
      </c>
      <c r="D1084">
        <v>112</v>
      </c>
      <c r="E1084">
        <v>103</v>
      </c>
      <c r="F1084">
        <v>0</v>
      </c>
      <c r="G1084">
        <v>31</v>
      </c>
      <c r="H1084">
        <v>119</v>
      </c>
      <c r="I1084">
        <v>8</v>
      </c>
      <c r="J1084">
        <v>603</v>
      </c>
      <c r="K1084">
        <v>201</v>
      </c>
      <c r="L1084">
        <v>8173</v>
      </c>
      <c r="M1084">
        <v>142</v>
      </c>
      <c r="N1084">
        <v>1.7374281169705127E-2</v>
      </c>
      <c r="O1084">
        <v>54</v>
      </c>
      <c r="P1084">
        <v>0.38028169014084506</v>
      </c>
      <c r="Q1084">
        <v>6.6071210081977243E-3</v>
      </c>
      <c r="R1084">
        <v>52</v>
      </c>
      <c r="S1084">
        <v>0.36619718309859156</v>
      </c>
      <c r="T1084">
        <v>6.3624128227089197E-3</v>
      </c>
      <c r="U1084">
        <v>16</v>
      </c>
      <c r="V1084">
        <v>0.11267605633802817</v>
      </c>
      <c r="W1084">
        <v>1.9576654839104368E-3</v>
      </c>
      <c r="X1084">
        <v>12</v>
      </c>
      <c r="Y1084">
        <v>8.4507042253521125E-2</v>
      </c>
      <c r="Z1084">
        <v>1.4682491129328276E-3</v>
      </c>
      <c r="AA1084">
        <v>0</v>
      </c>
      <c r="AB1084">
        <v>0</v>
      </c>
      <c r="AC1084">
        <v>0</v>
      </c>
      <c r="AD1084">
        <v>8</v>
      </c>
      <c r="AE1084">
        <v>5.6338028169014086E-2</v>
      </c>
      <c r="AF1084">
        <v>9.7883274195521841E-4</v>
      </c>
    </row>
    <row r="1085" spans="1:32" x14ac:dyDescent="0.2">
      <c r="A1085">
        <v>956.75230324074073</v>
      </c>
      <c r="B1085">
        <v>6992</v>
      </c>
      <c r="C1085">
        <v>149</v>
      </c>
      <c r="D1085">
        <v>2458</v>
      </c>
      <c r="E1085">
        <v>10</v>
      </c>
      <c r="F1085">
        <v>58</v>
      </c>
      <c r="G1085">
        <v>42</v>
      </c>
      <c r="H1085">
        <v>142</v>
      </c>
      <c r="I1085">
        <v>0</v>
      </c>
      <c r="J1085">
        <v>1578</v>
      </c>
      <c r="K1085">
        <v>28</v>
      </c>
      <c r="L1085">
        <v>3528</v>
      </c>
      <c r="M1085">
        <v>22</v>
      </c>
      <c r="N1085">
        <v>6.2358276643990932E-3</v>
      </c>
      <c r="O1085">
        <v>0</v>
      </c>
      <c r="P1085">
        <v>0</v>
      </c>
      <c r="Q1085">
        <v>0</v>
      </c>
      <c r="R1085">
        <v>22</v>
      </c>
      <c r="S1085">
        <v>1</v>
      </c>
      <c r="T1085">
        <v>6.2358276643990932E-3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">
      <c r="A1086">
        <v>326.01349537036731</v>
      </c>
      <c r="B1086">
        <v>10097</v>
      </c>
      <c r="C1086">
        <v>186</v>
      </c>
      <c r="D1086">
        <v>3327</v>
      </c>
      <c r="E1086">
        <v>5</v>
      </c>
      <c r="F1086">
        <v>57</v>
      </c>
      <c r="G1086">
        <v>90</v>
      </c>
      <c r="H1086">
        <v>487</v>
      </c>
      <c r="I1086">
        <v>16</v>
      </c>
      <c r="J1086">
        <v>2162</v>
      </c>
      <c r="K1086">
        <v>204</v>
      </c>
      <c r="L1086">
        <v>3985</v>
      </c>
      <c r="M1086">
        <v>22</v>
      </c>
      <c r="N1086">
        <v>5.520702634880803E-3</v>
      </c>
      <c r="O1086">
        <v>0</v>
      </c>
      <c r="P1086">
        <v>0</v>
      </c>
      <c r="Q1086">
        <v>0</v>
      </c>
      <c r="R1086">
        <v>22</v>
      </c>
      <c r="S1086">
        <v>1</v>
      </c>
      <c r="T1086">
        <v>5.520702634880803E-3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">
      <c r="A1087">
        <v>937.90023148148612</v>
      </c>
      <c r="B1087">
        <v>791</v>
      </c>
      <c r="C1087">
        <v>28</v>
      </c>
      <c r="D1087">
        <v>105</v>
      </c>
      <c r="E1087">
        <v>10</v>
      </c>
      <c r="F1087">
        <v>0</v>
      </c>
      <c r="G1087">
        <v>20</v>
      </c>
      <c r="H1087">
        <v>227</v>
      </c>
      <c r="I1087">
        <v>3</v>
      </c>
      <c r="J1087">
        <v>80</v>
      </c>
      <c r="K1087">
        <v>17</v>
      </c>
      <c r="L1087">
        <v>6100</v>
      </c>
      <c r="M1087">
        <v>34</v>
      </c>
      <c r="N1087">
        <v>5.5737704918032791E-3</v>
      </c>
      <c r="O1087">
        <v>0</v>
      </c>
      <c r="P1087">
        <v>0</v>
      </c>
      <c r="Q1087">
        <v>0</v>
      </c>
      <c r="R1087">
        <v>8</v>
      </c>
      <c r="S1087">
        <v>0.23529411764705882</v>
      </c>
      <c r="T1087">
        <v>1.3114754098360656E-3</v>
      </c>
      <c r="U1087">
        <v>24</v>
      </c>
      <c r="V1087">
        <v>0.70588235294117652</v>
      </c>
      <c r="W1087">
        <v>3.9344262295081967E-3</v>
      </c>
      <c r="X1087">
        <v>2</v>
      </c>
      <c r="Y1087">
        <v>5.8823529411764705E-2</v>
      </c>
      <c r="Z1087">
        <v>3.2786885245901639E-4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">
      <c r="A1088">
        <v>3132.0434722222271</v>
      </c>
      <c r="B1088">
        <v>704</v>
      </c>
      <c r="C1088">
        <v>87</v>
      </c>
      <c r="D1088">
        <v>148</v>
      </c>
      <c r="E1088">
        <v>0</v>
      </c>
      <c r="F1088">
        <v>33</v>
      </c>
      <c r="G1088">
        <v>26</v>
      </c>
      <c r="H1088">
        <v>81</v>
      </c>
      <c r="I1088">
        <v>5</v>
      </c>
      <c r="J1088">
        <v>185</v>
      </c>
      <c r="K1088">
        <v>41</v>
      </c>
      <c r="L1088">
        <v>4223</v>
      </c>
      <c r="M1088">
        <v>111</v>
      </c>
      <c r="N1088">
        <v>2.6284631778356618E-2</v>
      </c>
      <c r="O1088">
        <v>1</v>
      </c>
      <c r="P1088">
        <v>9.0090090090090089E-3</v>
      </c>
      <c r="Q1088">
        <v>2.3679848448969926E-4</v>
      </c>
      <c r="R1088">
        <v>24</v>
      </c>
      <c r="S1088">
        <v>0.21621621621621623</v>
      </c>
      <c r="T1088">
        <v>5.6831636277527827E-3</v>
      </c>
      <c r="U1088">
        <v>43</v>
      </c>
      <c r="V1088">
        <v>0.38738738738738737</v>
      </c>
      <c r="W1088">
        <v>1.0182334833057069E-2</v>
      </c>
      <c r="X1088">
        <v>41</v>
      </c>
      <c r="Y1088">
        <v>0.36936936936936937</v>
      </c>
      <c r="Z1088">
        <v>9.7087378640776691E-3</v>
      </c>
      <c r="AA1088">
        <v>0</v>
      </c>
      <c r="AB1088">
        <v>0</v>
      </c>
      <c r="AC1088">
        <v>0</v>
      </c>
      <c r="AD1088">
        <v>2</v>
      </c>
      <c r="AE1088">
        <v>1.8018018018018018E-2</v>
      </c>
      <c r="AF1088">
        <v>4.7359696897939852E-4</v>
      </c>
    </row>
    <row r="1089" spans="1:32" x14ac:dyDescent="0.2">
      <c r="A1089">
        <v>3876.4330671296266</v>
      </c>
      <c r="B1089">
        <v>1180</v>
      </c>
      <c r="C1089">
        <v>88</v>
      </c>
      <c r="D1089">
        <v>220</v>
      </c>
      <c r="E1089">
        <v>25</v>
      </c>
      <c r="F1089">
        <v>523</v>
      </c>
      <c r="G1089">
        <v>177</v>
      </c>
      <c r="H1089">
        <v>561</v>
      </c>
      <c r="I1089">
        <v>5</v>
      </c>
      <c r="J1089">
        <v>2381</v>
      </c>
      <c r="K1089">
        <v>230</v>
      </c>
      <c r="L1089">
        <v>46229</v>
      </c>
      <c r="M1089">
        <v>517</v>
      </c>
      <c r="N1089">
        <v>1.1183456272037033E-2</v>
      </c>
      <c r="O1089">
        <v>319</v>
      </c>
      <c r="P1089">
        <v>0.61702127659574468</v>
      </c>
      <c r="Q1089">
        <v>6.9004304657249776E-3</v>
      </c>
      <c r="R1089">
        <v>122</v>
      </c>
      <c r="S1089">
        <v>0.23597678916827852</v>
      </c>
      <c r="T1089">
        <v>2.6390361028791453E-3</v>
      </c>
      <c r="U1089">
        <v>38</v>
      </c>
      <c r="V1089">
        <v>7.3500967117988397E-2</v>
      </c>
      <c r="W1089">
        <v>8.21994851716455E-4</v>
      </c>
      <c r="X1089">
        <v>38</v>
      </c>
      <c r="Y1089">
        <v>7.3500967117988397E-2</v>
      </c>
      <c r="Z1089">
        <v>8.21994851716455E-4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">
      <c r="A1090">
        <v>1893.7402546296289</v>
      </c>
      <c r="B1090">
        <v>6849</v>
      </c>
      <c r="C1090">
        <v>498</v>
      </c>
      <c r="D1090">
        <v>1849</v>
      </c>
      <c r="E1090">
        <v>0</v>
      </c>
      <c r="F1090">
        <v>5</v>
      </c>
      <c r="G1090">
        <v>25</v>
      </c>
      <c r="H1090">
        <v>53</v>
      </c>
      <c r="I1090">
        <v>5</v>
      </c>
      <c r="J1090">
        <v>228</v>
      </c>
      <c r="K1090">
        <v>188</v>
      </c>
      <c r="L1090">
        <v>2766</v>
      </c>
      <c r="M1090">
        <v>102</v>
      </c>
      <c r="N1090">
        <v>3.6876355748373099E-2</v>
      </c>
      <c r="O1090">
        <v>71</v>
      </c>
      <c r="P1090">
        <v>0.69607843137254899</v>
      </c>
      <c r="Q1090">
        <v>2.5668835864063631E-2</v>
      </c>
      <c r="R1090">
        <v>6</v>
      </c>
      <c r="S1090">
        <v>5.8823529411764705E-2</v>
      </c>
      <c r="T1090">
        <v>2.1691973969631237E-3</v>
      </c>
      <c r="U1090">
        <v>0</v>
      </c>
      <c r="V1090">
        <v>0</v>
      </c>
      <c r="W1090">
        <v>0</v>
      </c>
      <c r="X1090">
        <v>25</v>
      </c>
      <c r="Y1090">
        <v>0.24509803921568626</v>
      </c>
      <c r="Z1090">
        <v>9.0383224873463487E-3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">
      <c r="A1091">
        <v>2301.0240856481469</v>
      </c>
      <c r="B1091">
        <v>5296</v>
      </c>
      <c r="C1091">
        <v>603</v>
      </c>
      <c r="D1091">
        <v>1127</v>
      </c>
      <c r="E1091">
        <v>2</v>
      </c>
      <c r="F1091">
        <v>1</v>
      </c>
      <c r="G1091">
        <v>19</v>
      </c>
      <c r="H1091">
        <v>109</v>
      </c>
      <c r="I1091">
        <v>2</v>
      </c>
      <c r="J1091">
        <v>27</v>
      </c>
      <c r="K1091">
        <v>1</v>
      </c>
      <c r="L1091">
        <v>4946</v>
      </c>
      <c r="M1091">
        <v>104</v>
      </c>
      <c r="N1091">
        <v>2.1027092600080875E-2</v>
      </c>
      <c r="O1091">
        <v>32</v>
      </c>
      <c r="P1091">
        <v>0.30769230769230771</v>
      </c>
      <c r="Q1091">
        <v>6.4698746461787299E-3</v>
      </c>
      <c r="R1091">
        <v>6</v>
      </c>
      <c r="S1091">
        <v>5.7692307692307696E-2</v>
      </c>
      <c r="T1091">
        <v>1.2131014961585119E-3</v>
      </c>
      <c r="U1091">
        <v>32</v>
      </c>
      <c r="V1091">
        <v>0.30769230769230771</v>
      </c>
      <c r="W1091">
        <v>6.4698746461787299E-3</v>
      </c>
      <c r="X1091">
        <v>34</v>
      </c>
      <c r="Y1091">
        <v>0.32692307692307693</v>
      </c>
      <c r="Z1091">
        <v>6.8742418115649009E-3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">
      <c r="A1092">
        <v>389.47065972222481</v>
      </c>
      <c r="B1092">
        <v>377</v>
      </c>
      <c r="C1092">
        <v>31</v>
      </c>
      <c r="D1092">
        <v>1294</v>
      </c>
      <c r="E1092">
        <v>11</v>
      </c>
      <c r="F1092">
        <v>22</v>
      </c>
      <c r="G1092">
        <v>27</v>
      </c>
      <c r="H1092">
        <v>205</v>
      </c>
      <c r="I1092">
        <v>2</v>
      </c>
      <c r="J1092">
        <v>88</v>
      </c>
      <c r="K1092">
        <v>4</v>
      </c>
      <c r="L1092">
        <v>9875</v>
      </c>
      <c r="M1092">
        <v>117</v>
      </c>
      <c r="N1092">
        <v>1.1848101265822785E-2</v>
      </c>
      <c r="O1092">
        <v>24</v>
      </c>
      <c r="P1092">
        <v>0.20512820512820512</v>
      </c>
      <c r="Q1092">
        <v>2.4303797468354432E-3</v>
      </c>
      <c r="R1092">
        <v>61</v>
      </c>
      <c r="S1092">
        <v>0.5213675213675214</v>
      </c>
      <c r="T1092">
        <v>6.177215189873418E-3</v>
      </c>
      <c r="U1092">
        <v>0</v>
      </c>
      <c r="V1092">
        <v>0</v>
      </c>
      <c r="W1092">
        <v>0</v>
      </c>
      <c r="X1092">
        <v>6</v>
      </c>
      <c r="Y1092">
        <v>5.128205128205128E-2</v>
      </c>
      <c r="Z1092">
        <v>6.075949367088608E-4</v>
      </c>
      <c r="AA1092">
        <v>0</v>
      </c>
      <c r="AB1092">
        <v>0</v>
      </c>
      <c r="AC1092">
        <v>0</v>
      </c>
      <c r="AD1092">
        <v>26</v>
      </c>
      <c r="AE1092">
        <v>0.22222222222222221</v>
      </c>
      <c r="AF1092">
        <v>2.6329113924050632E-3</v>
      </c>
    </row>
    <row r="1093" spans="1:32" x14ac:dyDescent="0.2">
      <c r="A1093">
        <v>1943.6922222222202</v>
      </c>
      <c r="B1093">
        <v>341</v>
      </c>
      <c r="C1093">
        <v>16</v>
      </c>
      <c r="D1093">
        <v>53</v>
      </c>
      <c r="E1093">
        <v>5</v>
      </c>
      <c r="F1093">
        <v>0</v>
      </c>
      <c r="G1093">
        <v>3</v>
      </c>
      <c r="H1093">
        <v>11</v>
      </c>
      <c r="I1093">
        <v>1</v>
      </c>
      <c r="J1093">
        <v>41</v>
      </c>
      <c r="K1093">
        <v>10</v>
      </c>
      <c r="L1093">
        <v>1000</v>
      </c>
      <c r="M1093">
        <v>10</v>
      </c>
      <c r="N1093">
        <v>0.01</v>
      </c>
      <c r="O1093">
        <v>0</v>
      </c>
      <c r="P1093">
        <v>0</v>
      </c>
      <c r="Q1093">
        <v>0</v>
      </c>
      <c r="R1093">
        <v>5</v>
      </c>
      <c r="S1093">
        <v>0.5</v>
      </c>
      <c r="T1093">
        <v>5.0000000000000001E-3</v>
      </c>
      <c r="U1093">
        <v>1</v>
      </c>
      <c r="V1093">
        <v>0.1</v>
      </c>
      <c r="W1093">
        <v>1E-3</v>
      </c>
      <c r="X1093">
        <v>4</v>
      </c>
      <c r="Y1093">
        <v>0.4</v>
      </c>
      <c r="Z1093">
        <v>4.0000000000000001E-3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">
      <c r="A1094">
        <v>719.47260416666541</v>
      </c>
      <c r="B1094">
        <v>1553</v>
      </c>
      <c r="C1094">
        <v>40</v>
      </c>
      <c r="D1094">
        <v>311</v>
      </c>
      <c r="E1094">
        <v>5</v>
      </c>
      <c r="F1094">
        <v>1</v>
      </c>
      <c r="G1094">
        <v>25</v>
      </c>
      <c r="H1094">
        <v>55</v>
      </c>
      <c r="I1094">
        <v>6</v>
      </c>
      <c r="J1094">
        <v>230</v>
      </c>
      <c r="K1094">
        <v>139</v>
      </c>
      <c r="L1094">
        <v>5460</v>
      </c>
      <c r="M1094">
        <v>90</v>
      </c>
      <c r="N1094">
        <v>1.6483516483516484E-2</v>
      </c>
      <c r="O1094">
        <v>2</v>
      </c>
      <c r="P1094">
        <v>2.2222222222222223E-2</v>
      </c>
      <c r="Q1094">
        <v>3.663003663003663E-4</v>
      </c>
      <c r="R1094">
        <v>83</v>
      </c>
      <c r="S1094">
        <v>0.92222222222222228</v>
      </c>
      <c r="T1094">
        <v>1.5201465201465201E-2</v>
      </c>
      <c r="U1094">
        <v>4</v>
      </c>
      <c r="V1094">
        <v>4.4444444444444446E-2</v>
      </c>
      <c r="W1094">
        <v>7.326007326007326E-4</v>
      </c>
      <c r="X1094">
        <v>1</v>
      </c>
      <c r="Y1094">
        <v>1.1111111111111112E-2</v>
      </c>
      <c r="Z1094">
        <v>1.8315018315018315E-4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">
      <c r="A1095">
        <v>2718.4302546296312</v>
      </c>
      <c r="B1095">
        <v>857</v>
      </c>
      <c r="C1095">
        <v>85</v>
      </c>
      <c r="D1095">
        <v>300</v>
      </c>
      <c r="E1095">
        <v>3</v>
      </c>
      <c r="F1095">
        <v>6</v>
      </c>
      <c r="G1095">
        <v>11</v>
      </c>
      <c r="H1095">
        <v>19</v>
      </c>
      <c r="I1095">
        <v>0</v>
      </c>
      <c r="J1095">
        <v>164</v>
      </c>
      <c r="K1095">
        <v>4</v>
      </c>
      <c r="L1095">
        <v>7656</v>
      </c>
      <c r="M1095">
        <v>53</v>
      </c>
      <c r="N1095">
        <v>6.922675026123302E-3</v>
      </c>
      <c r="O1095">
        <v>19</v>
      </c>
      <c r="P1095">
        <v>0.35849056603773582</v>
      </c>
      <c r="Q1095">
        <v>2.4817136886102404E-3</v>
      </c>
      <c r="R1095">
        <v>22</v>
      </c>
      <c r="S1095">
        <v>0.41509433962264153</v>
      </c>
      <c r="T1095">
        <v>2.8735632183908046E-3</v>
      </c>
      <c r="U1095">
        <v>2</v>
      </c>
      <c r="V1095">
        <v>3.7735849056603772E-2</v>
      </c>
      <c r="W1095">
        <v>2.6123301985370953E-4</v>
      </c>
      <c r="X1095">
        <v>10</v>
      </c>
      <c r="Y1095">
        <v>0.18867924528301888</v>
      </c>
      <c r="Z1095">
        <v>1.3061650992685476E-3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">
      <c r="A1096">
        <v>1728.9889467592584</v>
      </c>
      <c r="B1096">
        <v>498</v>
      </c>
      <c r="C1096">
        <v>52</v>
      </c>
      <c r="D1096">
        <v>201</v>
      </c>
      <c r="E1096">
        <v>0</v>
      </c>
      <c r="F1096">
        <v>0</v>
      </c>
      <c r="G1096">
        <v>0</v>
      </c>
      <c r="H1096">
        <v>9</v>
      </c>
      <c r="I1096">
        <v>4</v>
      </c>
      <c r="J1096">
        <v>22</v>
      </c>
      <c r="K1096">
        <v>5</v>
      </c>
      <c r="L1096">
        <v>1395</v>
      </c>
      <c r="M1096">
        <v>40</v>
      </c>
      <c r="N1096">
        <v>2.8673835125448029E-2</v>
      </c>
      <c r="O1096">
        <v>0</v>
      </c>
      <c r="P1096">
        <v>0</v>
      </c>
      <c r="Q1096">
        <v>0</v>
      </c>
      <c r="R1096">
        <v>27</v>
      </c>
      <c r="S1096">
        <v>0.67500000000000004</v>
      </c>
      <c r="T1096">
        <v>1.935483870967742E-2</v>
      </c>
      <c r="U1096">
        <v>0</v>
      </c>
      <c r="V1096">
        <v>0</v>
      </c>
      <c r="W1096">
        <v>0</v>
      </c>
      <c r="X1096">
        <v>13</v>
      </c>
      <c r="Y1096">
        <v>0.32500000000000001</v>
      </c>
      <c r="Z1096">
        <v>9.3189964157706102E-3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">
      <c r="A1097">
        <v>1332.426099537035</v>
      </c>
      <c r="B1097">
        <v>4706</v>
      </c>
      <c r="C1097">
        <v>135</v>
      </c>
      <c r="D1097">
        <v>522</v>
      </c>
      <c r="E1097">
        <v>0</v>
      </c>
      <c r="F1097">
        <v>2</v>
      </c>
      <c r="G1097">
        <v>5</v>
      </c>
      <c r="H1097">
        <v>28</v>
      </c>
      <c r="I1097">
        <v>9</v>
      </c>
      <c r="J1097">
        <v>92</v>
      </c>
      <c r="K1097">
        <v>43</v>
      </c>
      <c r="L1097">
        <v>970</v>
      </c>
      <c r="M1097">
        <v>28</v>
      </c>
      <c r="N1097">
        <v>2.88659793814433E-2</v>
      </c>
      <c r="O1097">
        <v>0</v>
      </c>
      <c r="P1097">
        <v>0</v>
      </c>
      <c r="Q1097">
        <v>0</v>
      </c>
      <c r="R1097">
        <v>28</v>
      </c>
      <c r="S1097">
        <v>1</v>
      </c>
      <c r="T1097">
        <v>2.88659793814433E-2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">
      <c r="A1098">
        <v>720.0398726851854</v>
      </c>
      <c r="B1098">
        <v>919</v>
      </c>
      <c r="C1098">
        <v>24</v>
      </c>
      <c r="D1098">
        <v>76</v>
      </c>
      <c r="E1098">
        <v>15</v>
      </c>
      <c r="F1098">
        <v>1</v>
      </c>
      <c r="G1098">
        <v>11</v>
      </c>
      <c r="H1098">
        <v>78</v>
      </c>
      <c r="I1098">
        <v>1</v>
      </c>
      <c r="J1098">
        <v>51</v>
      </c>
      <c r="K1098">
        <v>17</v>
      </c>
      <c r="L1098">
        <v>2601</v>
      </c>
      <c r="M1098">
        <v>26</v>
      </c>
      <c r="N1098">
        <v>9.9961553248750484E-3</v>
      </c>
      <c r="O1098">
        <v>13</v>
      </c>
      <c r="P1098">
        <v>0.5</v>
      </c>
      <c r="Q1098">
        <v>4.9980776624375242E-3</v>
      </c>
      <c r="R1098">
        <v>6</v>
      </c>
      <c r="S1098">
        <v>0.23076923076923078</v>
      </c>
      <c r="T1098">
        <v>2.306805074971165E-3</v>
      </c>
      <c r="U1098">
        <v>0</v>
      </c>
      <c r="V1098">
        <v>0</v>
      </c>
      <c r="W1098">
        <v>0</v>
      </c>
      <c r="X1098">
        <v>7</v>
      </c>
      <c r="Y1098">
        <v>0.26923076923076922</v>
      </c>
      <c r="Z1098">
        <v>2.6912725874663592E-3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">
      <c r="A1099">
        <v>1170.1449305555579</v>
      </c>
      <c r="B1099">
        <v>1486</v>
      </c>
      <c r="C1099">
        <v>60</v>
      </c>
      <c r="D1099">
        <v>360</v>
      </c>
      <c r="E1099">
        <v>0</v>
      </c>
      <c r="F1099">
        <v>3</v>
      </c>
      <c r="G1099">
        <v>19</v>
      </c>
      <c r="H1099">
        <v>28</v>
      </c>
      <c r="I1099">
        <v>4</v>
      </c>
      <c r="J1099">
        <v>105</v>
      </c>
      <c r="K1099">
        <v>24</v>
      </c>
      <c r="L1099">
        <v>10378</v>
      </c>
      <c r="M1099">
        <v>4</v>
      </c>
      <c r="N1099">
        <v>3.8543071882829059E-4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4</v>
      </c>
      <c r="V1099">
        <v>1</v>
      </c>
      <c r="W1099">
        <v>3.8543071882829059E-4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">
      <c r="A1100">
        <v>2185.3595717592616</v>
      </c>
      <c r="B1100">
        <v>2260</v>
      </c>
      <c r="C1100">
        <v>204</v>
      </c>
      <c r="D1100">
        <v>597</v>
      </c>
      <c r="E1100">
        <v>11</v>
      </c>
      <c r="F1100">
        <v>42</v>
      </c>
      <c r="G1100">
        <v>92</v>
      </c>
      <c r="H1100">
        <v>469</v>
      </c>
      <c r="I1100">
        <v>4</v>
      </c>
      <c r="J1100">
        <v>711</v>
      </c>
      <c r="K1100">
        <v>95</v>
      </c>
      <c r="L1100">
        <v>5791</v>
      </c>
      <c r="M1100">
        <v>268</v>
      </c>
      <c r="N1100">
        <v>4.6278708340528406E-2</v>
      </c>
      <c r="O1100">
        <v>109</v>
      </c>
      <c r="P1100">
        <v>0.40671641791044777</v>
      </c>
      <c r="Q1100">
        <v>1.8822310481782074E-2</v>
      </c>
      <c r="R1100">
        <v>94</v>
      </c>
      <c r="S1100">
        <v>0.35074626865671643</v>
      </c>
      <c r="T1100">
        <v>1.6232084268692798E-2</v>
      </c>
      <c r="U1100">
        <v>1</v>
      </c>
      <c r="V1100">
        <v>3.7313432835820895E-3</v>
      </c>
      <c r="W1100">
        <v>1.7268174753928511E-4</v>
      </c>
      <c r="X1100">
        <v>58</v>
      </c>
      <c r="Y1100">
        <v>0.21641791044776118</v>
      </c>
      <c r="Z1100">
        <v>1.0015541357278536E-2</v>
      </c>
      <c r="AA1100">
        <v>0</v>
      </c>
      <c r="AB1100">
        <v>0</v>
      </c>
      <c r="AC1100">
        <v>0</v>
      </c>
      <c r="AD1100">
        <v>6</v>
      </c>
      <c r="AE1100">
        <v>2.2388059701492536E-2</v>
      </c>
      <c r="AF1100">
        <v>1.0360904852357105E-3</v>
      </c>
    </row>
    <row r="1101" spans="1:32" x14ac:dyDescent="0.2">
      <c r="A1101">
        <v>2442.6343865740782</v>
      </c>
      <c r="B1101">
        <v>474</v>
      </c>
      <c r="C1101">
        <v>43</v>
      </c>
      <c r="D1101">
        <v>84</v>
      </c>
      <c r="E1101">
        <v>13</v>
      </c>
      <c r="F1101">
        <v>19</v>
      </c>
      <c r="G1101">
        <v>33</v>
      </c>
      <c r="H1101">
        <v>102</v>
      </c>
      <c r="I1101">
        <v>6</v>
      </c>
      <c r="J1101">
        <v>189</v>
      </c>
      <c r="K1101">
        <v>68</v>
      </c>
      <c r="L1101">
        <v>5929</v>
      </c>
      <c r="M1101">
        <v>270</v>
      </c>
      <c r="N1101">
        <v>4.5538876707707877E-2</v>
      </c>
      <c r="O1101">
        <v>107</v>
      </c>
      <c r="P1101">
        <v>0.39629629629629631</v>
      </c>
      <c r="Q1101">
        <v>1.8046888176758306E-2</v>
      </c>
      <c r="R1101">
        <v>108</v>
      </c>
      <c r="S1101">
        <v>0.4</v>
      </c>
      <c r="T1101">
        <v>1.821555068308315E-2</v>
      </c>
      <c r="U1101">
        <v>26</v>
      </c>
      <c r="V1101">
        <v>9.6296296296296297E-2</v>
      </c>
      <c r="W1101">
        <v>4.3852251644459434E-3</v>
      </c>
      <c r="X1101">
        <v>29</v>
      </c>
      <c r="Y1101">
        <v>0.10740740740740741</v>
      </c>
      <c r="Z1101">
        <v>4.8912126834204754E-3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">
      <c r="A1102">
        <v>2707.0158217592616</v>
      </c>
      <c r="B1102">
        <v>336</v>
      </c>
      <c r="C1102">
        <v>50</v>
      </c>
      <c r="D1102">
        <v>170</v>
      </c>
      <c r="E1102">
        <v>26</v>
      </c>
      <c r="F1102">
        <v>31</v>
      </c>
      <c r="G1102">
        <v>62</v>
      </c>
      <c r="H1102">
        <v>1386</v>
      </c>
      <c r="I1102">
        <v>14</v>
      </c>
      <c r="J1102">
        <v>1269</v>
      </c>
      <c r="K1102">
        <v>284</v>
      </c>
      <c r="L1102">
        <v>197034</v>
      </c>
      <c r="M1102">
        <v>2335</v>
      </c>
      <c r="N1102">
        <v>1.1850746571657684E-2</v>
      </c>
      <c r="O1102">
        <v>1221</v>
      </c>
      <c r="P1102">
        <v>0.52291220556745177</v>
      </c>
      <c r="Q1102">
        <v>6.1969000274064373E-3</v>
      </c>
      <c r="R1102">
        <v>283</v>
      </c>
      <c r="S1102">
        <v>0.12119914346895075</v>
      </c>
      <c r="T1102">
        <v>1.4363003339525158E-3</v>
      </c>
      <c r="U1102">
        <v>304</v>
      </c>
      <c r="V1102">
        <v>0.13019271948608138</v>
      </c>
      <c r="W1102">
        <v>1.5428809241044693E-3</v>
      </c>
      <c r="X1102">
        <v>461</v>
      </c>
      <c r="Y1102">
        <v>0.19743040685224839</v>
      </c>
      <c r="Z1102">
        <v>2.3396977171452641E-3</v>
      </c>
      <c r="AA1102">
        <v>3</v>
      </c>
      <c r="AB1102">
        <v>1.2847965738758029E-3</v>
      </c>
      <c r="AC1102">
        <v>1.5225798593136211E-5</v>
      </c>
      <c r="AD1102">
        <v>63</v>
      </c>
      <c r="AE1102">
        <v>2.6980728051391862E-2</v>
      </c>
      <c r="AF1102">
        <v>3.1974177045586042E-4</v>
      </c>
    </row>
    <row r="1103" spans="1:32" x14ac:dyDescent="0.2">
      <c r="A1103">
        <v>2809.8975925925915</v>
      </c>
      <c r="B1103">
        <v>646</v>
      </c>
      <c r="C1103">
        <v>90</v>
      </c>
      <c r="D1103">
        <v>224</v>
      </c>
      <c r="E1103">
        <v>17</v>
      </c>
      <c r="F1103">
        <v>12</v>
      </c>
      <c r="G1103">
        <v>94</v>
      </c>
      <c r="H1103">
        <v>323</v>
      </c>
      <c r="I1103">
        <v>8</v>
      </c>
      <c r="J1103">
        <v>294</v>
      </c>
      <c r="K1103">
        <v>53</v>
      </c>
      <c r="L1103">
        <v>1910</v>
      </c>
      <c r="M1103">
        <v>15</v>
      </c>
      <c r="N1103">
        <v>7.8534031413612562E-3</v>
      </c>
      <c r="O1103">
        <v>0</v>
      </c>
      <c r="P1103">
        <v>0</v>
      </c>
      <c r="Q1103">
        <v>0</v>
      </c>
      <c r="R1103">
        <v>1</v>
      </c>
      <c r="S1103">
        <v>6.6666666666666666E-2</v>
      </c>
      <c r="T1103">
        <v>5.2356020942408382E-4</v>
      </c>
      <c r="U1103">
        <v>5</v>
      </c>
      <c r="V1103">
        <v>0.33333333333333331</v>
      </c>
      <c r="W1103">
        <v>2.617801047120419E-3</v>
      </c>
      <c r="X1103">
        <v>9</v>
      </c>
      <c r="Y1103">
        <v>0.6</v>
      </c>
      <c r="Z1103">
        <v>4.7120418848167539E-3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">
      <c r="A1104">
        <v>1355.1485416666692</v>
      </c>
      <c r="B1104">
        <v>531</v>
      </c>
      <c r="C1104">
        <v>51</v>
      </c>
      <c r="D1104">
        <v>85</v>
      </c>
      <c r="E1104">
        <v>60</v>
      </c>
      <c r="F1104">
        <v>0</v>
      </c>
      <c r="G1104">
        <v>6</v>
      </c>
      <c r="H1104">
        <v>7</v>
      </c>
      <c r="I1104">
        <v>4</v>
      </c>
      <c r="J1104">
        <v>0</v>
      </c>
      <c r="K1104">
        <v>0</v>
      </c>
      <c r="L1104">
        <v>6248</v>
      </c>
      <c r="M1104">
        <v>24</v>
      </c>
      <c r="N1104">
        <v>3.8412291933418692E-3</v>
      </c>
      <c r="O1104">
        <v>11</v>
      </c>
      <c r="P1104">
        <v>0.45833333333333331</v>
      </c>
      <c r="Q1104">
        <v>1.7605633802816902E-3</v>
      </c>
      <c r="R1104">
        <v>4</v>
      </c>
      <c r="S1104">
        <v>0.16666666666666666</v>
      </c>
      <c r="T1104">
        <v>6.4020486555697821E-4</v>
      </c>
      <c r="U1104">
        <v>2</v>
      </c>
      <c r="V1104">
        <v>8.3333333333333329E-2</v>
      </c>
      <c r="W1104">
        <v>3.201024327784891E-4</v>
      </c>
      <c r="X1104">
        <v>7</v>
      </c>
      <c r="Y1104">
        <v>0.29166666666666669</v>
      </c>
      <c r="Z1104">
        <v>1.120358514724712E-3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">
      <c r="A1105">
        <v>671.04123842592526</v>
      </c>
      <c r="B1105">
        <v>358</v>
      </c>
      <c r="C1105">
        <v>14</v>
      </c>
      <c r="D1105">
        <v>42</v>
      </c>
      <c r="E1105">
        <v>4</v>
      </c>
      <c r="F1105">
        <v>0</v>
      </c>
      <c r="G1105">
        <v>7</v>
      </c>
      <c r="H1105">
        <v>20</v>
      </c>
      <c r="I1105">
        <v>2</v>
      </c>
      <c r="J1105">
        <v>22</v>
      </c>
      <c r="K1105">
        <v>7</v>
      </c>
      <c r="L1105">
        <v>18388</v>
      </c>
      <c r="M1105">
        <v>18</v>
      </c>
      <c r="N1105">
        <v>9.7889928214052653E-4</v>
      </c>
      <c r="O1105">
        <v>0</v>
      </c>
      <c r="P1105">
        <v>0</v>
      </c>
      <c r="Q1105">
        <v>0</v>
      </c>
      <c r="R1105">
        <v>16</v>
      </c>
      <c r="S1105">
        <v>0.88888888888888884</v>
      </c>
      <c r="T1105">
        <v>8.7013269523602351E-4</v>
      </c>
      <c r="U1105">
        <v>0</v>
      </c>
      <c r="V1105">
        <v>0</v>
      </c>
      <c r="W1105">
        <v>0</v>
      </c>
      <c r="X1105">
        <v>2</v>
      </c>
      <c r="Y1105">
        <v>0.1111111111111111</v>
      </c>
      <c r="Z1105">
        <v>1.0876658690450294E-4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">
      <c r="A1106">
        <v>1609.7597916666637</v>
      </c>
      <c r="B1106">
        <v>2995</v>
      </c>
      <c r="C1106">
        <v>156</v>
      </c>
      <c r="D1106">
        <v>473</v>
      </c>
      <c r="E1106">
        <v>14</v>
      </c>
      <c r="F1106">
        <v>12</v>
      </c>
      <c r="G1106">
        <v>144</v>
      </c>
      <c r="H1106">
        <v>1165</v>
      </c>
      <c r="I1106">
        <v>6</v>
      </c>
      <c r="J1106">
        <v>901</v>
      </c>
      <c r="K1106">
        <v>169</v>
      </c>
      <c r="L1106">
        <v>19052</v>
      </c>
      <c r="M1106">
        <v>5</v>
      </c>
      <c r="N1106">
        <v>2.6243963888305692E-4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5</v>
      </c>
      <c r="V1106">
        <v>1</v>
      </c>
      <c r="W1106">
        <v>2.6243963888305692E-4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">
      <c r="A1107">
        <v>2621.6001851851906</v>
      </c>
      <c r="B1107">
        <v>10458</v>
      </c>
      <c r="C1107">
        <v>353</v>
      </c>
      <c r="D1107">
        <v>2153</v>
      </c>
      <c r="E1107">
        <v>142</v>
      </c>
      <c r="F1107">
        <v>287</v>
      </c>
      <c r="G1107">
        <v>465</v>
      </c>
      <c r="H1107">
        <v>3812</v>
      </c>
      <c r="I1107">
        <v>181</v>
      </c>
      <c r="J1107">
        <v>3167</v>
      </c>
      <c r="K1107">
        <v>779</v>
      </c>
      <c r="L1107">
        <v>60539</v>
      </c>
      <c r="M1107">
        <v>83</v>
      </c>
      <c r="N1107">
        <v>1.3710170303440758E-3</v>
      </c>
      <c r="O1107">
        <v>0</v>
      </c>
      <c r="P1107">
        <v>0</v>
      </c>
      <c r="Q1107">
        <v>0</v>
      </c>
      <c r="R1107">
        <v>14</v>
      </c>
      <c r="S1107">
        <v>0.16867469879518071</v>
      </c>
      <c r="T1107">
        <v>2.3125588463635013E-4</v>
      </c>
      <c r="U1107">
        <v>17</v>
      </c>
      <c r="V1107">
        <v>0.20481927710843373</v>
      </c>
      <c r="W1107">
        <v>2.8081071705842516E-4</v>
      </c>
      <c r="X1107">
        <v>46</v>
      </c>
      <c r="Y1107">
        <v>0.55421686746987953</v>
      </c>
      <c r="Z1107">
        <v>7.5984076380515044E-4</v>
      </c>
      <c r="AA1107">
        <v>0</v>
      </c>
      <c r="AB1107">
        <v>0</v>
      </c>
      <c r="AC1107">
        <v>0</v>
      </c>
      <c r="AD1107">
        <v>6</v>
      </c>
      <c r="AE1107">
        <v>7.2289156626506021E-2</v>
      </c>
      <c r="AF1107">
        <v>9.9109664844150046E-5</v>
      </c>
    </row>
    <row r="1108" spans="1:32" x14ac:dyDescent="0.2">
      <c r="A1108">
        <v>1732.5386226851842</v>
      </c>
      <c r="B1108">
        <v>928</v>
      </c>
      <c r="C1108">
        <v>45</v>
      </c>
      <c r="D1108">
        <v>89</v>
      </c>
      <c r="E1108">
        <v>0</v>
      </c>
      <c r="F1108">
        <v>0</v>
      </c>
      <c r="G1108">
        <v>28</v>
      </c>
      <c r="H1108">
        <v>67</v>
      </c>
      <c r="I1108">
        <v>6</v>
      </c>
      <c r="J1108">
        <v>38</v>
      </c>
      <c r="K1108">
        <v>17</v>
      </c>
      <c r="L1108">
        <v>601</v>
      </c>
      <c r="M1108">
        <v>5</v>
      </c>
      <c r="N1108">
        <v>8.3194675540765387E-3</v>
      </c>
      <c r="O1108">
        <v>0</v>
      </c>
      <c r="P1108">
        <v>0</v>
      </c>
      <c r="Q1108">
        <v>0</v>
      </c>
      <c r="R1108">
        <v>5</v>
      </c>
      <c r="S1108">
        <v>1</v>
      </c>
      <c r="T1108">
        <v>8.3194675540765387E-3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">
      <c r="A1109">
        <v>4529.4365972222222</v>
      </c>
      <c r="B1109">
        <v>1937</v>
      </c>
      <c r="C1109">
        <v>229</v>
      </c>
      <c r="D1109">
        <v>829</v>
      </c>
      <c r="E1109">
        <v>24</v>
      </c>
      <c r="F1109">
        <v>119</v>
      </c>
      <c r="G1109">
        <v>192</v>
      </c>
      <c r="H1109">
        <v>1376</v>
      </c>
      <c r="I1109">
        <v>3</v>
      </c>
      <c r="J1109">
        <v>1007</v>
      </c>
      <c r="K1109">
        <v>350</v>
      </c>
      <c r="L1109">
        <v>59843</v>
      </c>
      <c r="M1109">
        <v>352</v>
      </c>
      <c r="N1109">
        <v>5.8820580519024779E-3</v>
      </c>
      <c r="O1109">
        <v>132</v>
      </c>
      <c r="P1109">
        <v>0.375</v>
      </c>
      <c r="Q1109">
        <v>2.2057717694634292E-3</v>
      </c>
      <c r="R1109">
        <v>65</v>
      </c>
      <c r="S1109">
        <v>0.18465909090909091</v>
      </c>
      <c r="T1109">
        <v>1.0861754925388099E-3</v>
      </c>
      <c r="U1109">
        <v>66</v>
      </c>
      <c r="V1109">
        <v>0.1875</v>
      </c>
      <c r="W1109">
        <v>1.1028858847317146E-3</v>
      </c>
      <c r="X1109">
        <v>69</v>
      </c>
      <c r="Y1109">
        <v>0.19602272727272727</v>
      </c>
      <c r="Z1109">
        <v>1.1530170613104291E-3</v>
      </c>
      <c r="AA1109">
        <v>2</v>
      </c>
      <c r="AB1109">
        <v>5.681818181818182E-3</v>
      </c>
      <c r="AC1109">
        <v>3.3420784385809535E-5</v>
      </c>
      <c r="AD1109">
        <v>18</v>
      </c>
      <c r="AE1109">
        <v>5.113636363636364E-2</v>
      </c>
      <c r="AF1109">
        <v>3.0078705947228583E-4</v>
      </c>
    </row>
    <row r="1110" spans="1:32" x14ac:dyDescent="0.2">
      <c r="A1110">
        <v>3328.7765509259261</v>
      </c>
      <c r="B1110">
        <v>2346</v>
      </c>
      <c r="C1110">
        <v>80</v>
      </c>
      <c r="D1110">
        <v>566</v>
      </c>
      <c r="E1110">
        <v>39</v>
      </c>
      <c r="F1110">
        <v>205</v>
      </c>
      <c r="G1110">
        <v>761</v>
      </c>
      <c r="H1110">
        <v>1985</v>
      </c>
      <c r="I1110">
        <v>5</v>
      </c>
      <c r="J1110">
        <v>3694</v>
      </c>
      <c r="K1110">
        <v>270</v>
      </c>
      <c r="L1110">
        <v>50534</v>
      </c>
      <c r="M1110">
        <v>140</v>
      </c>
      <c r="N1110">
        <v>2.7704119998416907E-3</v>
      </c>
      <c r="O1110">
        <v>2</v>
      </c>
      <c r="P1110">
        <v>1.4285714285714285E-2</v>
      </c>
      <c r="Q1110">
        <v>3.9577314283452728E-5</v>
      </c>
      <c r="R1110">
        <v>29</v>
      </c>
      <c r="S1110">
        <v>0.20714285714285716</v>
      </c>
      <c r="T1110">
        <v>5.738710571100645E-4</v>
      </c>
      <c r="U1110">
        <v>22</v>
      </c>
      <c r="V1110">
        <v>0.15714285714285714</v>
      </c>
      <c r="W1110">
        <v>4.3535045711797995E-4</v>
      </c>
      <c r="X1110">
        <v>86</v>
      </c>
      <c r="Y1110">
        <v>0.61428571428571432</v>
      </c>
      <c r="Z1110">
        <v>1.7018245141884672E-3</v>
      </c>
      <c r="AA1110">
        <v>0</v>
      </c>
      <c r="AB1110">
        <v>0</v>
      </c>
      <c r="AC1110">
        <v>0</v>
      </c>
      <c r="AD1110">
        <v>1</v>
      </c>
      <c r="AE1110">
        <v>7.1428571428571426E-3</v>
      </c>
      <c r="AF1110">
        <v>1.9788657141726364E-5</v>
      </c>
    </row>
    <row r="1111" spans="1:32" x14ac:dyDescent="0.2">
      <c r="A1111">
        <v>2676.2641666666677</v>
      </c>
      <c r="B1111">
        <v>808</v>
      </c>
      <c r="C1111">
        <v>52</v>
      </c>
      <c r="D1111">
        <v>113</v>
      </c>
      <c r="E1111">
        <v>23</v>
      </c>
      <c r="F1111">
        <v>4</v>
      </c>
      <c r="G1111">
        <v>35</v>
      </c>
      <c r="H1111">
        <v>300</v>
      </c>
      <c r="I1111">
        <v>13</v>
      </c>
      <c r="J1111">
        <v>329</v>
      </c>
      <c r="K1111">
        <v>73</v>
      </c>
      <c r="L1111">
        <v>16355</v>
      </c>
      <c r="M1111">
        <v>23</v>
      </c>
      <c r="N1111">
        <v>1.406297768266585E-3</v>
      </c>
      <c r="O1111">
        <v>10</v>
      </c>
      <c r="P1111">
        <v>0.43478260869565216</v>
      </c>
      <c r="Q1111">
        <v>6.1143381228981959E-4</v>
      </c>
      <c r="R1111">
        <v>12</v>
      </c>
      <c r="S1111">
        <v>0.52173913043478259</v>
      </c>
      <c r="T1111">
        <v>7.3372057474778353E-4</v>
      </c>
      <c r="U1111">
        <v>0</v>
      </c>
      <c r="V1111">
        <v>0</v>
      </c>
      <c r="W1111">
        <v>0</v>
      </c>
      <c r="X1111">
        <v>1</v>
      </c>
      <c r="Y1111">
        <v>4.3478260869565216E-2</v>
      </c>
      <c r="Z1111">
        <v>6.1143381228981957E-5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">
      <c r="A1112">
        <v>1438.1020138888853</v>
      </c>
      <c r="B1112">
        <v>2649</v>
      </c>
      <c r="C1112">
        <v>216</v>
      </c>
      <c r="D1112">
        <v>1361</v>
      </c>
      <c r="E1112">
        <v>11</v>
      </c>
      <c r="F1112">
        <v>6</v>
      </c>
      <c r="G1112">
        <v>9</v>
      </c>
      <c r="H1112">
        <v>46</v>
      </c>
      <c r="I1112">
        <v>17</v>
      </c>
      <c r="J1112">
        <v>263</v>
      </c>
      <c r="K1112">
        <v>45</v>
      </c>
      <c r="L1112">
        <v>15416</v>
      </c>
      <c r="M1112">
        <v>281</v>
      </c>
      <c r="N1112">
        <v>1.8227815256875973E-2</v>
      </c>
      <c r="O1112">
        <v>0</v>
      </c>
      <c r="P1112">
        <v>0</v>
      </c>
      <c r="Q1112">
        <v>0</v>
      </c>
      <c r="R1112">
        <v>3</v>
      </c>
      <c r="S1112">
        <v>1.0676156583629894E-2</v>
      </c>
      <c r="T1112">
        <v>1.9460300985988584E-4</v>
      </c>
      <c r="U1112">
        <v>107</v>
      </c>
      <c r="V1112">
        <v>0.38078291814946619</v>
      </c>
      <c r="W1112">
        <v>6.9408406850025948E-3</v>
      </c>
      <c r="X1112">
        <v>171</v>
      </c>
      <c r="Y1112">
        <v>0.60854092526690395</v>
      </c>
      <c r="Z1112">
        <v>1.1092371562013493E-2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">
      <c r="A1113">
        <v>1302.5399537037083</v>
      </c>
      <c r="B1113">
        <v>1161</v>
      </c>
      <c r="C1113">
        <v>35</v>
      </c>
      <c r="D1113">
        <v>131</v>
      </c>
      <c r="E1113">
        <v>2</v>
      </c>
      <c r="F1113">
        <v>6</v>
      </c>
      <c r="G1113">
        <v>33</v>
      </c>
      <c r="H1113">
        <v>1036</v>
      </c>
      <c r="I1113">
        <v>0</v>
      </c>
      <c r="J1113">
        <v>508</v>
      </c>
      <c r="K1113">
        <v>31</v>
      </c>
      <c r="L1113">
        <v>427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">
      <c r="A1114">
        <v>768.02626157407212</v>
      </c>
      <c r="B1114">
        <v>2683</v>
      </c>
      <c r="C1114">
        <v>32</v>
      </c>
      <c r="D1114">
        <v>183</v>
      </c>
      <c r="E1114">
        <v>12</v>
      </c>
      <c r="F1114">
        <v>0</v>
      </c>
      <c r="G1114">
        <v>21</v>
      </c>
      <c r="H1114">
        <v>67</v>
      </c>
      <c r="I1114">
        <v>1</v>
      </c>
      <c r="J1114">
        <v>94</v>
      </c>
      <c r="K1114">
        <v>23</v>
      </c>
      <c r="L1114">
        <v>602</v>
      </c>
      <c r="M1114">
        <v>1</v>
      </c>
      <c r="N1114">
        <v>1.6611295681063123E-3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1</v>
      </c>
      <c r="Z1114">
        <v>1.6611295681063123E-3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">
      <c r="A1115">
        <v>3000.5172685185171</v>
      </c>
      <c r="B1115">
        <v>1414</v>
      </c>
      <c r="C1115">
        <v>75</v>
      </c>
      <c r="D1115">
        <v>326</v>
      </c>
      <c r="E1115">
        <v>8</v>
      </c>
      <c r="F1115">
        <v>9</v>
      </c>
      <c r="G1115">
        <v>54</v>
      </c>
      <c r="H1115">
        <v>220</v>
      </c>
      <c r="I1115">
        <v>11</v>
      </c>
      <c r="J1115">
        <v>426</v>
      </c>
      <c r="K1115">
        <v>93</v>
      </c>
      <c r="L1115">
        <v>17265</v>
      </c>
      <c r="M1115">
        <v>12</v>
      </c>
      <c r="N1115">
        <v>6.9504778453518678E-4</v>
      </c>
      <c r="O1115">
        <v>8</v>
      </c>
      <c r="P1115">
        <v>0.66666666666666663</v>
      </c>
      <c r="Q1115">
        <v>4.6336518969012454E-4</v>
      </c>
      <c r="R1115">
        <v>3</v>
      </c>
      <c r="S1115">
        <v>0.25</v>
      </c>
      <c r="T1115">
        <v>1.7376194613379669E-4</v>
      </c>
      <c r="U1115">
        <v>0</v>
      </c>
      <c r="V1115">
        <v>0</v>
      </c>
      <c r="W1115">
        <v>0</v>
      </c>
      <c r="X1115">
        <v>1</v>
      </c>
      <c r="Y1115">
        <v>8.3333333333333329E-2</v>
      </c>
      <c r="Z1115">
        <v>5.7920648711265567E-5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">
      <c r="A1116">
        <v>763.6755092592648</v>
      </c>
      <c r="B1116">
        <v>373</v>
      </c>
      <c r="C1116">
        <v>7</v>
      </c>
      <c r="D1116">
        <v>126</v>
      </c>
      <c r="E1116">
        <v>0</v>
      </c>
      <c r="F1116">
        <v>0</v>
      </c>
      <c r="G1116">
        <v>0</v>
      </c>
      <c r="H1116">
        <v>2</v>
      </c>
      <c r="I1116">
        <v>2</v>
      </c>
      <c r="J1116">
        <v>0</v>
      </c>
      <c r="K1116">
        <v>0</v>
      </c>
      <c r="L1116">
        <v>59064</v>
      </c>
      <c r="M1116">
        <v>452</v>
      </c>
      <c r="N1116">
        <v>7.6527156982256535E-3</v>
      </c>
      <c r="O1116">
        <v>159</v>
      </c>
      <c r="P1116">
        <v>0.35176991150442477</v>
      </c>
      <c r="Q1116">
        <v>2.6919951239333605E-3</v>
      </c>
      <c r="R1116">
        <v>157</v>
      </c>
      <c r="S1116">
        <v>0.34734513274336282</v>
      </c>
      <c r="T1116">
        <v>2.6581335500474061E-3</v>
      </c>
      <c r="U1116">
        <v>57</v>
      </c>
      <c r="V1116">
        <v>0.12610619469026549</v>
      </c>
      <c r="W1116">
        <v>9.6505485574969519E-4</v>
      </c>
      <c r="X1116">
        <v>72</v>
      </c>
      <c r="Y1116">
        <v>0.15929203539823009</v>
      </c>
      <c r="Z1116">
        <v>1.2190166598943519E-3</v>
      </c>
      <c r="AA1116">
        <v>7</v>
      </c>
      <c r="AB1116">
        <v>1.5486725663716814E-2</v>
      </c>
      <c r="AC1116">
        <v>1.1851550860083976E-4</v>
      </c>
      <c r="AD1116">
        <v>0</v>
      </c>
      <c r="AE1116">
        <v>0</v>
      </c>
      <c r="AF1116">
        <v>0</v>
      </c>
    </row>
    <row r="1117" spans="1:32" x14ac:dyDescent="0.2">
      <c r="A1117">
        <v>1816.9298379629618</v>
      </c>
      <c r="B1117">
        <v>2630</v>
      </c>
      <c r="C1117">
        <v>150</v>
      </c>
      <c r="D1117">
        <v>840</v>
      </c>
      <c r="E1117">
        <v>28</v>
      </c>
      <c r="F1117">
        <v>3</v>
      </c>
      <c r="G1117">
        <v>18</v>
      </c>
      <c r="H1117">
        <v>421</v>
      </c>
      <c r="I1117">
        <v>12</v>
      </c>
      <c r="J1117">
        <v>974</v>
      </c>
      <c r="K1117">
        <v>59</v>
      </c>
      <c r="L1117">
        <v>5350</v>
      </c>
      <c r="M1117">
        <v>282</v>
      </c>
      <c r="N1117">
        <v>5.2710280373831776E-2</v>
      </c>
      <c r="O1117">
        <v>110</v>
      </c>
      <c r="P1117">
        <v>0.39007092198581561</v>
      </c>
      <c r="Q1117">
        <v>2.0560747663551402E-2</v>
      </c>
      <c r="R1117">
        <v>74</v>
      </c>
      <c r="S1117">
        <v>0.26241134751773049</v>
      </c>
      <c r="T1117">
        <v>1.3831775700934579E-2</v>
      </c>
      <c r="U1117">
        <v>43</v>
      </c>
      <c r="V1117">
        <v>0.1524822695035461</v>
      </c>
      <c r="W1117">
        <v>8.0373831775700927E-3</v>
      </c>
      <c r="X1117">
        <v>3</v>
      </c>
      <c r="Y1117">
        <v>1.0638297872340425E-2</v>
      </c>
      <c r="Z1117">
        <v>5.6074766355140187E-4</v>
      </c>
      <c r="AA1117">
        <v>52</v>
      </c>
      <c r="AB1117">
        <v>0.18439716312056736</v>
      </c>
      <c r="AC1117">
        <v>9.7196261682242994E-3</v>
      </c>
      <c r="AD1117">
        <v>0</v>
      </c>
      <c r="AE1117">
        <v>0</v>
      </c>
      <c r="AF1117">
        <v>0</v>
      </c>
    </row>
    <row r="1118" spans="1:32" x14ac:dyDescent="0.2">
      <c r="A1118">
        <v>2192.1723611111083</v>
      </c>
      <c r="B1118">
        <v>523</v>
      </c>
      <c r="C1118">
        <v>49</v>
      </c>
      <c r="D1118">
        <v>67</v>
      </c>
      <c r="E1118">
        <v>14</v>
      </c>
      <c r="F1118">
        <v>22</v>
      </c>
      <c r="G1118">
        <v>45</v>
      </c>
      <c r="H1118">
        <v>199</v>
      </c>
      <c r="I1118">
        <v>3</v>
      </c>
      <c r="J1118">
        <v>333</v>
      </c>
      <c r="K1118">
        <v>93</v>
      </c>
      <c r="L1118">
        <v>5578</v>
      </c>
      <c r="M1118">
        <v>278</v>
      </c>
      <c r="N1118">
        <v>4.9838651846539982E-2</v>
      </c>
      <c r="O1118">
        <v>174</v>
      </c>
      <c r="P1118">
        <v>0.62589928057553956</v>
      </c>
      <c r="Q1118">
        <v>3.1193976335604161E-2</v>
      </c>
      <c r="R1118">
        <v>27</v>
      </c>
      <c r="S1118">
        <v>9.7122302158273388E-2</v>
      </c>
      <c r="T1118">
        <v>4.8404446038006451E-3</v>
      </c>
      <c r="U1118">
        <v>52</v>
      </c>
      <c r="V1118">
        <v>0.18705035971223022</v>
      </c>
      <c r="W1118">
        <v>9.3223377554679104E-3</v>
      </c>
      <c r="X1118">
        <v>11</v>
      </c>
      <c r="Y1118">
        <v>3.9568345323741004E-2</v>
      </c>
      <c r="Z1118">
        <v>1.9720329867335962E-3</v>
      </c>
      <c r="AA1118">
        <v>13</v>
      </c>
      <c r="AB1118">
        <v>4.6762589928057555E-2</v>
      </c>
      <c r="AC1118">
        <v>2.3305844388669776E-3</v>
      </c>
      <c r="AD1118">
        <v>1</v>
      </c>
      <c r="AE1118">
        <v>3.5971223021582736E-3</v>
      </c>
      <c r="AF1118">
        <v>1.7927572606669058E-4</v>
      </c>
    </row>
    <row r="1119" spans="1:32" x14ac:dyDescent="0.2">
      <c r="A1119">
        <v>2849.8645138888896</v>
      </c>
      <c r="B1119">
        <v>405</v>
      </c>
      <c r="C1119">
        <v>52</v>
      </c>
      <c r="D1119">
        <v>153</v>
      </c>
      <c r="E1119">
        <v>0</v>
      </c>
      <c r="F1119">
        <v>7</v>
      </c>
      <c r="G1119">
        <v>191</v>
      </c>
      <c r="H1119">
        <v>37</v>
      </c>
      <c r="I1119">
        <v>0</v>
      </c>
      <c r="J1119">
        <v>0</v>
      </c>
      <c r="K1119">
        <v>0</v>
      </c>
      <c r="L1119">
        <v>58954</v>
      </c>
      <c r="M1119">
        <v>352</v>
      </c>
      <c r="N1119">
        <v>5.9707568612816769E-3</v>
      </c>
      <c r="O1119">
        <v>51</v>
      </c>
      <c r="P1119">
        <v>0.14488636363636365</v>
      </c>
      <c r="Q1119">
        <v>8.6508124978797033E-4</v>
      </c>
      <c r="R1119">
        <v>0</v>
      </c>
      <c r="S1119">
        <v>0</v>
      </c>
      <c r="T1119">
        <v>0</v>
      </c>
      <c r="U1119">
        <v>157</v>
      </c>
      <c r="V1119">
        <v>0.44602272727272729</v>
      </c>
      <c r="W1119">
        <v>2.6630932591512027E-3</v>
      </c>
      <c r="X1119">
        <v>107</v>
      </c>
      <c r="Y1119">
        <v>0.30397727272727271</v>
      </c>
      <c r="Z1119">
        <v>1.8149743868100554E-3</v>
      </c>
      <c r="AA1119">
        <v>1</v>
      </c>
      <c r="AB1119">
        <v>2.840909090909091E-3</v>
      </c>
      <c r="AC1119">
        <v>1.6962377446822947E-5</v>
      </c>
      <c r="AD1119">
        <v>36</v>
      </c>
      <c r="AE1119">
        <v>0.10227272727272728</v>
      </c>
      <c r="AF1119">
        <v>6.1064558808562603E-4</v>
      </c>
    </row>
    <row r="1120" spans="1:32" x14ac:dyDescent="0.2">
      <c r="A1120">
        <v>2332.4135185185223</v>
      </c>
      <c r="B1120">
        <v>928</v>
      </c>
      <c r="C1120">
        <v>32</v>
      </c>
      <c r="D1120">
        <v>56</v>
      </c>
      <c r="E1120">
        <v>76</v>
      </c>
      <c r="F1120">
        <v>2</v>
      </c>
      <c r="G1120">
        <v>33</v>
      </c>
      <c r="H1120">
        <v>39</v>
      </c>
      <c r="I1120">
        <v>0</v>
      </c>
      <c r="J1120">
        <v>0</v>
      </c>
      <c r="K1120">
        <v>0</v>
      </c>
      <c r="L1120">
        <v>5889</v>
      </c>
      <c r="M1120">
        <v>53</v>
      </c>
      <c r="N1120">
        <v>8.9998301918831729E-3</v>
      </c>
      <c r="O1120">
        <v>18</v>
      </c>
      <c r="P1120">
        <v>0.33962264150943394</v>
      </c>
      <c r="Q1120">
        <v>3.0565461029037188E-3</v>
      </c>
      <c r="R1120">
        <v>23</v>
      </c>
      <c r="S1120">
        <v>0.43396226415094341</v>
      </c>
      <c r="T1120">
        <v>3.9055866870436407E-3</v>
      </c>
      <c r="U1120">
        <v>4</v>
      </c>
      <c r="V1120">
        <v>7.5471698113207544E-2</v>
      </c>
      <c r="W1120">
        <v>6.7923246731193751E-4</v>
      </c>
      <c r="X1120">
        <v>0</v>
      </c>
      <c r="Y1120">
        <v>0</v>
      </c>
      <c r="Z1120">
        <v>0</v>
      </c>
      <c r="AA1120">
        <v>8</v>
      </c>
      <c r="AB1120">
        <v>0.15094339622641509</v>
      </c>
      <c r="AC1120">
        <v>1.358464934623875E-3</v>
      </c>
      <c r="AD1120">
        <v>0</v>
      </c>
      <c r="AE1120">
        <v>0</v>
      </c>
      <c r="AF1120">
        <v>0</v>
      </c>
    </row>
    <row r="1121" spans="1:32" x14ac:dyDescent="0.2">
      <c r="A1121">
        <v>1795.5031481481492</v>
      </c>
      <c r="B1121">
        <v>6399</v>
      </c>
      <c r="C1121">
        <v>130</v>
      </c>
      <c r="D1121">
        <v>1941</v>
      </c>
      <c r="E1121">
        <v>40</v>
      </c>
      <c r="F1121">
        <v>5</v>
      </c>
      <c r="G1121">
        <v>42</v>
      </c>
      <c r="H1121">
        <v>329</v>
      </c>
      <c r="I1121">
        <v>15</v>
      </c>
      <c r="J1121">
        <v>526</v>
      </c>
      <c r="K1121">
        <v>105</v>
      </c>
      <c r="L1121">
        <v>3801</v>
      </c>
      <c r="M1121">
        <v>22</v>
      </c>
      <c r="N1121">
        <v>5.7879505393317546E-3</v>
      </c>
      <c r="O1121">
        <v>0</v>
      </c>
      <c r="P1121">
        <v>0</v>
      </c>
      <c r="Q1121">
        <v>0</v>
      </c>
      <c r="R1121">
        <v>6</v>
      </c>
      <c r="S1121">
        <v>0.27272727272727271</v>
      </c>
      <c r="T1121">
        <v>1.5785319652722968E-3</v>
      </c>
      <c r="U1121">
        <v>12</v>
      </c>
      <c r="V1121">
        <v>0.54545454545454541</v>
      </c>
      <c r="W1121">
        <v>3.1570639305445935E-3</v>
      </c>
      <c r="X1121">
        <v>4</v>
      </c>
      <c r="Y1121">
        <v>0.18181818181818182</v>
      </c>
      <c r="Z1121">
        <v>1.0523546435148646E-3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">
      <c r="A1122">
        <v>2697.5839236111133</v>
      </c>
      <c r="B1122">
        <v>5369</v>
      </c>
      <c r="C1122">
        <v>264</v>
      </c>
      <c r="D1122">
        <v>1180</v>
      </c>
      <c r="E1122">
        <v>0</v>
      </c>
      <c r="F1122">
        <v>2</v>
      </c>
      <c r="G1122">
        <v>22</v>
      </c>
      <c r="H1122">
        <v>64</v>
      </c>
      <c r="I1122">
        <v>21</v>
      </c>
      <c r="J1122">
        <v>194</v>
      </c>
      <c r="K1122">
        <v>65</v>
      </c>
      <c r="L1122">
        <v>1224</v>
      </c>
      <c r="M1122">
        <v>1</v>
      </c>
      <c r="N1122">
        <v>8.1699346405228761E-4</v>
      </c>
      <c r="O1122">
        <v>1</v>
      </c>
      <c r="P1122">
        <v>1</v>
      </c>
      <c r="Q1122">
        <v>8.1699346405228761E-4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">
      <c r="A1123">
        <v>380.11515046296699</v>
      </c>
      <c r="B1123">
        <v>1020</v>
      </c>
      <c r="C1123">
        <v>39</v>
      </c>
      <c r="D1123">
        <v>181</v>
      </c>
      <c r="E1123">
        <v>0</v>
      </c>
      <c r="F1123">
        <v>0</v>
      </c>
      <c r="G1123">
        <v>85</v>
      </c>
      <c r="H1123">
        <v>7</v>
      </c>
      <c r="I1123">
        <v>1</v>
      </c>
      <c r="J1123">
        <v>159</v>
      </c>
      <c r="K1123">
        <v>64</v>
      </c>
      <c r="L1123">
        <v>19724</v>
      </c>
      <c r="M1123">
        <v>14</v>
      </c>
      <c r="N1123">
        <v>7.0979517339282098E-4</v>
      </c>
      <c r="O1123">
        <v>5</v>
      </c>
      <c r="P1123">
        <v>0.35714285714285715</v>
      </c>
      <c r="Q1123">
        <v>2.5349827621172174E-4</v>
      </c>
      <c r="R1123">
        <v>5</v>
      </c>
      <c r="S1123">
        <v>0.35714285714285715</v>
      </c>
      <c r="T1123">
        <v>2.5349827621172174E-4</v>
      </c>
      <c r="U1123">
        <v>4</v>
      </c>
      <c r="V1123">
        <v>0.2857142857142857</v>
      </c>
      <c r="W1123">
        <v>2.0279862096937742E-4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">
      <c r="A1124">
        <v>812.78665509259736</v>
      </c>
      <c r="B1124">
        <v>2745</v>
      </c>
      <c r="C1124">
        <v>141</v>
      </c>
      <c r="D1124">
        <v>764</v>
      </c>
      <c r="E1124">
        <v>0</v>
      </c>
      <c r="F1124">
        <v>6</v>
      </c>
      <c r="G1124">
        <v>7</v>
      </c>
      <c r="H1124">
        <v>12</v>
      </c>
      <c r="I1124">
        <v>0</v>
      </c>
      <c r="J1124">
        <v>130</v>
      </c>
      <c r="K1124">
        <v>4</v>
      </c>
      <c r="L1124">
        <v>4285</v>
      </c>
      <c r="M1124">
        <v>181</v>
      </c>
      <c r="N1124">
        <v>4.2240373395565925E-2</v>
      </c>
      <c r="O1124">
        <v>60</v>
      </c>
      <c r="P1124">
        <v>0.33149171270718231</v>
      </c>
      <c r="Q1124">
        <v>1.4002333722287048E-2</v>
      </c>
      <c r="R1124">
        <v>50</v>
      </c>
      <c r="S1124">
        <v>0.27624309392265195</v>
      </c>
      <c r="T1124">
        <v>1.1668611435239206E-2</v>
      </c>
      <c r="U1124">
        <v>13</v>
      </c>
      <c r="V1124">
        <v>7.18232044198895E-2</v>
      </c>
      <c r="W1124">
        <v>3.0338389731621937E-3</v>
      </c>
      <c r="X1124">
        <v>31</v>
      </c>
      <c r="Y1124">
        <v>0.17127071823204421</v>
      </c>
      <c r="Z1124">
        <v>7.2345390898483084E-3</v>
      </c>
      <c r="AA1124">
        <v>27</v>
      </c>
      <c r="AB1124">
        <v>0.14917127071823205</v>
      </c>
      <c r="AC1124">
        <v>6.3010501750291716E-3</v>
      </c>
      <c r="AD1124">
        <v>0</v>
      </c>
      <c r="AE1124">
        <v>0</v>
      </c>
      <c r="AF1124">
        <v>0</v>
      </c>
    </row>
    <row r="1125" spans="1:32" x14ac:dyDescent="0.2">
      <c r="A1125">
        <v>1578.2578009259232</v>
      </c>
      <c r="B1125">
        <v>328</v>
      </c>
      <c r="C1125">
        <v>36</v>
      </c>
      <c r="D1125">
        <v>74</v>
      </c>
      <c r="E1125">
        <v>5</v>
      </c>
      <c r="F1125">
        <v>8</v>
      </c>
      <c r="G1125">
        <v>15</v>
      </c>
      <c r="H1125">
        <v>262</v>
      </c>
      <c r="I1125">
        <v>12</v>
      </c>
      <c r="J1125">
        <v>209</v>
      </c>
      <c r="K1125">
        <v>50</v>
      </c>
      <c r="L1125">
        <v>20837</v>
      </c>
      <c r="M1125">
        <v>21</v>
      </c>
      <c r="N1125">
        <v>1.0078226232183136E-3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21</v>
      </c>
      <c r="V1125">
        <v>1</v>
      </c>
      <c r="W1125">
        <v>1.0078226232183136E-3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">
      <c r="A1126">
        <v>3615.3633796296272</v>
      </c>
      <c r="B1126">
        <v>1778</v>
      </c>
      <c r="C1126">
        <v>72</v>
      </c>
      <c r="D1126">
        <v>510</v>
      </c>
      <c r="E1126">
        <v>8</v>
      </c>
      <c r="F1126">
        <v>19</v>
      </c>
      <c r="G1126">
        <v>113</v>
      </c>
      <c r="H1126">
        <v>265</v>
      </c>
      <c r="I1126">
        <v>3</v>
      </c>
      <c r="J1126">
        <v>285</v>
      </c>
      <c r="K1126">
        <v>102</v>
      </c>
      <c r="L1126">
        <v>8749</v>
      </c>
      <c r="M1126">
        <v>64</v>
      </c>
      <c r="N1126">
        <v>7.3151217281975083E-3</v>
      </c>
      <c r="O1126">
        <v>32</v>
      </c>
      <c r="P1126">
        <v>0.5</v>
      </c>
      <c r="Q1126">
        <v>3.6575608640987542E-3</v>
      </c>
      <c r="R1126">
        <v>1</v>
      </c>
      <c r="S1126">
        <v>1.5625E-2</v>
      </c>
      <c r="T1126">
        <v>1.1429877700308607E-4</v>
      </c>
      <c r="U1126">
        <v>28</v>
      </c>
      <c r="V1126">
        <v>0.4375</v>
      </c>
      <c r="W1126">
        <v>3.2003657560864098E-3</v>
      </c>
      <c r="X1126">
        <v>1</v>
      </c>
      <c r="Y1126">
        <v>1.5625E-2</v>
      </c>
      <c r="Z1126">
        <v>1.1429877700308607E-4</v>
      </c>
      <c r="AA1126">
        <v>0</v>
      </c>
      <c r="AB1126">
        <v>0</v>
      </c>
      <c r="AC1126">
        <v>0</v>
      </c>
      <c r="AD1126">
        <v>2</v>
      </c>
      <c r="AE1126">
        <v>3.125E-2</v>
      </c>
      <c r="AF1126">
        <v>2.2859755400617213E-4</v>
      </c>
    </row>
    <row r="1127" spans="1:32" x14ac:dyDescent="0.2">
      <c r="A1127">
        <v>1056.9293402777766</v>
      </c>
      <c r="B1127">
        <v>826</v>
      </c>
      <c r="C1127">
        <v>85</v>
      </c>
      <c r="D1127">
        <v>9</v>
      </c>
      <c r="E1127">
        <v>2</v>
      </c>
      <c r="F1127">
        <v>2</v>
      </c>
      <c r="G1127">
        <v>7</v>
      </c>
      <c r="H1127">
        <v>16</v>
      </c>
      <c r="I1127">
        <v>2</v>
      </c>
      <c r="J1127">
        <v>48</v>
      </c>
      <c r="K1127">
        <v>5</v>
      </c>
      <c r="L1127">
        <v>1991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">
      <c r="A1128">
        <v>24.845625000001746</v>
      </c>
      <c r="B1128">
        <v>708</v>
      </c>
      <c r="C1128">
        <v>19</v>
      </c>
      <c r="D1128">
        <v>73</v>
      </c>
      <c r="E1128">
        <v>0</v>
      </c>
      <c r="F1128">
        <v>0</v>
      </c>
      <c r="G1128">
        <v>0</v>
      </c>
      <c r="H1128">
        <v>3</v>
      </c>
      <c r="I1128">
        <v>3</v>
      </c>
      <c r="J1128">
        <v>29</v>
      </c>
      <c r="K1128">
        <v>13</v>
      </c>
      <c r="L1128">
        <v>22376</v>
      </c>
      <c r="M1128">
        <v>195</v>
      </c>
      <c r="N1128">
        <v>8.714694315337862E-3</v>
      </c>
      <c r="O1128">
        <v>0</v>
      </c>
      <c r="P1128">
        <v>0</v>
      </c>
      <c r="Q1128">
        <v>0</v>
      </c>
      <c r="R1128">
        <v>143</v>
      </c>
      <c r="S1128">
        <v>0.73333333333333328</v>
      </c>
      <c r="T1128">
        <v>6.3907758312477655E-3</v>
      </c>
      <c r="U1128">
        <v>42</v>
      </c>
      <c r="V1128">
        <v>0.2153846153846154</v>
      </c>
      <c r="W1128">
        <v>1.8770110833035395E-3</v>
      </c>
      <c r="X1128">
        <v>9</v>
      </c>
      <c r="Y1128">
        <v>4.6153846153846156E-2</v>
      </c>
      <c r="Z1128">
        <v>4.0221666070790131E-4</v>
      </c>
      <c r="AA1128">
        <v>0</v>
      </c>
      <c r="AB1128">
        <v>0</v>
      </c>
      <c r="AC1128">
        <v>0</v>
      </c>
      <c r="AD1128">
        <v>1</v>
      </c>
      <c r="AE1128">
        <v>5.1282051282051282E-3</v>
      </c>
      <c r="AF1128">
        <v>4.4690740078655701E-5</v>
      </c>
    </row>
    <row r="1129" spans="1:32" x14ac:dyDescent="0.2">
      <c r="A1129">
        <v>2360.1906134259261</v>
      </c>
      <c r="B1129">
        <v>3617</v>
      </c>
      <c r="C1129">
        <v>154</v>
      </c>
      <c r="D1129">
        <v>877</v>
      </c>
      <c r="E1129">
        <v>31</v>
      </c>
      <c r="F1129">
        <v>2</v>
      </c>
      <c r="G1129">
        <v>25</v>
      </c>
      <c r="H1129">
        <v>109</v>
      </c>
      <c r="I1129">
        <v>14</v>
      </c>
      <c r="J1129">
        <v>160</v>
      </c>
      <c r="K1129">
        <v>39</v>
      </c>
      <c r="L1129">
        <v>8915</v>
      </c>
      <c r="M1129">
        <v>23</v>
      </c>
      <c r="N1129">
        <v>2.579921480650589E-3</v>
      </c>
      <c r="O1129">
        <v>4</v>
      </c>
      <c r="P1129">
        <v>0.17391304347826086</v>
      </c>
      <c r="Q1129">
        <v>4.4868199663488501E-4</v>
      </c>
      <c r="R1129">
        <v>0</v>
      </c>
      <c r="S1129">
        <v>0</v>
      </c>
      <c r="T1129">
        <v>0</v>
      </c>
      <c r="U1129">
        <v>17</v>
      </c>
      <c r="V1129">
        <v>0.73913043478260865</v>
      </c>
      <c r="W1129">
        <v>1.9068984856982613E-3</v>
      </c>
      <c r="X1129">
        <v>0</v>
      </c>
      <c r="Y1129">
        <v>0</v>
      </c>
      <c r="Z1129">
        <v>0</v>
      </c>
      <c r="AA1129">
        <v>2</v>
      </c>
      <c r="AB1129">
        <v>8.6956521739130432E-2</v>
      </c>
      <c r="AC1129">
        <v>2.243409983174425E-4</v>
      </c>
      <c r="AD1129">
        <v>0</v>
      </c>
      <c r="AE1129">
        <v>0</v>
      </c>
      <c r="AF1129">
        <v>0</v>
      </c>
    </row>
    <row r="1130" spans="1:32" x14ac:dyDescent="0.2">
      <c r="A1130">
        <v>1598.2319907407364</v>
      </c>
      <c r="B1130">
        <v>369</v>
      </c>
      <c r="C1130">
        <v>29</v>
      </c>
      <c r="D1130">
        <v>48</v>
      </c>
      <c r="E1130">
        <v>56</v>
      </c>
      <c r="F1130">
        <v>9</v>
      </c>
      <c r="G1130">
        <v>19</v>
      </c>
      <c r="H1130">
        <v>61</v>
      </c>
      <c r="I1130">
        <v>0</v>
      </c>
      <c r="J1130">
        <v>219</v>
      </c>
      <c r="K1130">
        <v>41</v>
      </c>
      <c r="L1130">
        <v>3031</v>
      </c>
      <c r="M1130">
        <v>61</v>
      </c>
      <c r="N1130">
        <v>2.0125371164632134E-2</v>
      </c>
      <c r="O1130">
        <v>35</v>
      </c>
      <c r="P1130">
        <v>0.57377049180327866</v>
      </c>
      <c r="Q1130">
        <v>1.1547344110854504E-2</v>
      </c>
      <c r="R1130">
        <v>1</v>
      </c>
      <c r="S1130">
        <v>1.6393442622950821E-2</v>
      </c>
      <c r="T1130">
        <v>3.2992411745298581E-4</v>
      </c>
      <c r="U1130">
        <v>0</v>
      </c>
      <c r="V1130">
        <v>0</v>
      </c>
      <c r="W1130">
        <v>0</v>
      </c>
      <c r="X1130">
        <v>25</v>
      </c>
      <c r="Y1130">
        <v>0.4098360655737705</v>
      </c>
      <c r="Z1130">
        <v>8.2481029363246448E-3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">
      <c r="A1131">
        <v>1402.7331481481451</v>
      </c>
      <c r="B1131">
        <v>428</v>
      </c>
      <c r="C1131">
        <v>38</v>
      </c>
      <c r="D1131">
        <v>165</v>
      </c>
      <c r="E1131">
        <v>0</v>
      </c>
      <c r="F1131">
        <v>0</v>
      </c>
      <c r="G1131">
        <v>2</v>
      </c>
      <c r="H1131">
        <v>1</v>
      </c>
      <c r="I1131">
        <v>0</v>
      </c>
      <c r="J1131">
        <v>43</v>
      </c>
      <c r="K1131">
        <v>23</v>
      </c>
      <c r="L1131">
        <v>382</v>
      </c>
      <c r="M1131">
        <v>19</v>
      </c>
      <c r="N1131">
        <v>4.9738219895287955E-2</v>
      </c>
      <c r="O1131">
        <v>14</v>
      </c>
      <c r="P1131">
        <v>0.73684210526315785</v>
      </c>
      <c r="Q1131">
        <v>3.6649214659685861E-2</v>
      </c>
      <c r="R1131">
        <v>0</v>
      </c>
      <c r="S1131">
        <v>0</v>
      </c>
      <c r="T1131">
        <v>0</v>
      </c>
      <c r="U1131">
        <v>5</v>
      </c>
      <c r="V1131">
        <v>0.26315789473684209</v>
      </c>
      <c r="W1131">
        <v>1.3089005235602094E-2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">
      <c r="A1132">
        <v>1171.7084837962975</v>
      </c>
      <c r="B1132">
        <v>979</v>
      </c>
      <c r="C1132">
        <v>49</v>
      </c>
      <c r="D1132">
        <v>117</v>
      </c>
      <c r="E1132">
        <v>2</v>
      </c>
      <c r="F1132">
        <v>1</v>
      </c>
      <c r="G1132">
        <v>8</v>
      </c>
      <c r="H1132">
        <v>37</v>
      </c>
      <c r="I1132">
        <v>7</v>
      </c>
      <c r="J1132">
        <v>49</v>
      </c>
      <c r="K1132">
        <v>22</v>
      </c>
      <c r="L1132">
        <v>5859</v>
      </c>
      <c r="M1132">
        <v>116</v>
      </c>
      <c r="N1132">
        <v>1.9798600443761735E-2</v>
      </c>
      <c r="O1132">
        <v>31</v>
      </c>
      <c r="P1132">
        <v>0.26724137931034481</v>
      </c>
      <c r="Q1132">
        <v>5.2910052910052907E-3</v>
      </c>
      <c r="R1132">
        <v>72</v>
      </c>
      <c r="S1132">
        <v>0.62068965517241381</v>
      </c>
      <c r="T1132">
        <v>1.2288786482334869E-2</v>
      </c>
      <c r="U1132">
        <v>6</v>
      </c>
      <c r="V1132">
        <v>5.1724137931034482E-2</v>
      </c>
      <c r="W1132">
        <v>1.0240655401945725E-3</v>
      </c>
      <c r="X1132">
        <v>1</v>
      </c>
      <c r="Y1132">
        <v>8.6206896551724137E-3</v>
      </c>
      <c r="Z1132">
        <v>1.7067759003242875E-4</v>
      </c>
      <c r="AA1132">
        <v>6</v>
      </c>
      <c r="AB1132">
        <v>5.1724137931034482E-2</v>
      </c>
      <c r="AC1132">
        <v>1.0240655401945725E-3</v>
      </c>
      <c r="AD1132">
        <v>0</v>
      </c>
      <c r="AE1132">
        <v>0</v>
      </c>
      <c r="AF1132">
        <v>0</v>
      </c>
    </row>
    <row r="1133" spans="1:32" x14ac:dyDescent="0.2">
      <c r="A1133">
        <v>1483.7399884259212</v>
      </c>
      <c r="B1133">
        <v>6813</v>
      </c>
      <c r="C1133">
        <v>168</v>
      </c>
      <c r="D1133">
        <v>320</v>
      </c>
      <c r="E1133">
        <v>9</v>
      </c>
      <c r="F1133">
        <v>1</v>
      </c>
      <c r="G1133">
        <v>17</v>
      </c>
      <c r="H1133">
        <v>55</v>
      </c>
      <c r="I1133">
        <v>3</v>
      </c>
      <c r="J1133">
        <v>62</v>
      </c>
      <c r="K1133">
        <v>35</v>
      </c>
      <c r="L1133">
        <v>3734</v>
      </c>
      <c r="M1133">
        <v>18</v>
      </c>
      <c r="N1133">
        <v>4.8205677557579003E-3</v>
      </c>
      <c r="O1133">
        <v>4</v>
      </c>
      <c r="P1133">
        <v>0.22222222222222221</v>
      </c>
      <c r="Q1133">
        <v>1.0712372790573112E-3</v>
      </c>
      <c r="R1133">
        <v>4</v>
      </c>
      <c r="S1133">
        <v>0.22222222222222221</v>
      </c>
      <c r="T1133">
        <v>1.0712372790573112E-3</v>
      </c>
      <c r="U1133">
        <v>7</v>
      </c>
      <c r="V1133">
        <v>0.3888888888888889</v>
      </c>
      <c r="W1133">
        <v>1.8746652383502945E-3</v>
      </c>
      <c r="X1133">
        <v>3</v>
      </c>
      <c r="Y1133">
        <v>0.16666666666666666</v>
      </c>
      <c r="Z1133">
        <v>8.0342795929298338E-4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">
      <c r="A1134">
        <v>1646.7593750000015</v>
      </c>
      <c r="B1134">
        <v>489</v>
      </c>
      <c r="C1134">
        <v>24</v>
      </c>
      <c r="D1134">
        <v>46</v>
      </c>
      <c r="E1134">
        <v>0</v>
      </c>
      <c r="F1134">
        <v>0</v>
      </c>
      <c r="G1134">
        <v>3</v>
      </c>
      <c r="H1134">
        <v>12</v>
      </c>
      <c r="I1134">
        <v>0</v>
      </c>
      <c r="J1134">
        <v>10</v>
      </c>
      <c r="K1134">
        <v>0</v>
      </c>
      <c r="L1134">
        <v>747</v>
      </c>
      <c r="M1134">
        <v>39</v>
      </c>
      <c r="N1134">
        <v>5.2208835341365459E-2</v>
      </c>
      <c r="O1134">
        <v>1</v>
      </c>
      <c r="P1134">
        <v>2.564102564102564E-2</v>
      </c>
      <c r="Q1134">
        <v>1.3386880856760374E-3</v>
      </c>
      <c r="R1134">
        <v>29</v>
      </c>
      <c r="S1134">
        <v>0.74358974358974361</v>
      </c>
      <c r="T1134">
        <v>3.8821954484605084E-2</v>
      </c>
      <c r="U1134">
        <v>1</v>
      </c>
      <c r="V1134">
        <v>2.564102564102564E-2</v>
      </c>
      <c r="W1134">
        <v>1.3386880856760374E-3</v>
      </c>
      <c r="X1134">
        <v>8</v>
      </c>
      <c r="Y1134">
        <v>0.20512820512820512</v>
      </c>
      <c r="Z1134">
        <v>1.0709504685408299E-2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">
      <c r="A1135">
        <v>3179.9061458333308</v>
      </c>
      <c r="B1135">
        <v>2003</v>
      </c>
      <c r="C1135">
        <v>83</v>
      </c>
      <c r="D1135">
        <v>220</v>
      </c>
      <c r="E1135">
        <v>20</v>
      </c>
      <c r="F1135">
        <v>13</v>
      </c>
      <c r="G1135">
        <v>59</v>
      </c>
      <c r="H1135">
        <v>694</v>
      </c>
      <c r="I1135">
        <v>8</v>
      </c>
      <c r="J1135">
        <v>163</v>
      </c>
      <c r="K1135">
        <v>57</v>
      </c>
      <c r="L1135">
        <v>12609</v>
      </c>
      <c r="M1135">
        <v>599</v>
      </c>
      <c r="N1135">
        <v>4.7505749861210249E-2</v>
      </c>
      <c r="O1135">
        <v>203</v>
      </c>
      <c r="P1135">
        <v>0.33889816360600999</v>
      </c>
      <c r="Q1135">
        <v>1.6099611388690618E-2</v>
      </c>
      <c r="R1135">
        <v>218</v>
      </c>
      <c r="S1135">
        <v>0.36393989983305508</v>
      </c>
      <c r="T1135">
        <v>1.7289237845983029E-2</v>
      </c>
      <c r="U1135">
        <v>101</v>
      </c>
      <c r="V1135">
        <v>0.1686143572621035</v>
      </c>
      <c r="W1135">
        <v>8.0101514791022285E-3</v>
      </c>
      <c r="X1135">
        <v>67</v>
      </c>
      <c r="Y1135">
        <v>0.11185308848080133</v>
      </c>
      <c r="Z1135">
        <v>5.3136648425727651E-3</v>
      </c>
      <c r="AA1135">
        <v>0</v>
      </c>
      <c r="AB1135">
        <v>0</v>
      </c>
      <c r="AC1135">
        <v>0</v>
      </c>
      <c r="AD1135">
        <v>10</v>
      </c>
      <c r="AE1135">
        <v>1.6694490818030049E-2</v>
      </c>
      <c r="AF1135">
        <v>7.9308430486160677E-4</v>
      </c>
    </row>
    <row r="1136" spans="1:32" x14ac:dyDescent="0.2">
      <c r="A1136">
        <v>1279.9704282407401</v>
      </c>
      <c r="B1136">
        <v>1725</v>
      </c>
      <c r="C1136">
        <v>237</v>
      </c>
      <c r="D1136">
        <v>642</v>
      </c>
      <c r="E1136">
        <v>0</v>
      </c>
      <c r="F1136">
        <v>8</v>
      </c>
      <c r="G1136">
        <v>10</v>
      </c>
      <c r="H1136">
        <v>45</v>
      </c>
      <c r="I1136">
        <v>1</v>
      </c>
      <c r="J1136">
        <v>242</v>
      </c>
      <c r="K1136">
        <v>88</v>
      </c>
      <c r="L1136">
        <v>753</v>
      </c>
      <c r="M1136">
        <v>25</v>
      </c>
      <c r="N1136">
        <v>3.3200531208499334E-2</v>
      </c>
      <c r="O1136">
        <v>2</v>
      </c>
      <c r="P1136">
        <v>0.08</v>
      </c>
      <c r="Q1136">
        <v>2.6560424966799467E-3</v>
      </c>
      <c r="R1136">
        <v>18</v>
      </c>
      <c r="S1136">
        <v>0.72</v>
      </c>
      <c r="T1136">
        <v>2.3904382470119521E-2</v>
      </c>
      <c r="U1136">
        <v>1</v>
      </c>
      <c r="V1136">
        <v>0.04</v>
      </c>
      <c r="W1136">
        <v>1.3280212483399733E-3</v>
      </c>
      <c r="X1136">
        <v>4</v>
      </c>
      <c r="Y1136">
        <v>0.16</v>
      </c>
      <c r="Z1136">
        <v>5.3120849933598934E-3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">
      <c r="A1137">
        <v>885.27163194444438</v>
      </c>
      <c r="B1137">
        <v>357</v>
      </c>
      <c r="C1137">
        <v>22</v>
      </c>
      <c r="D1137">
        <v>82</v>
      </c>
      <c r="E1137">
        <v>1</v>
      </c>
      <c r="F1137">
        <v>0</v>
      </c>
      <c r="G1137">
        <v>3</v>
      </c>
      <c r="H1137">
        <v>16</v>
      </c>
      <c r="I1137">
        <v>1</v>
      </c>
      <c r="J1137">
        <v>43</v>
      </c>
      <c r="K1137">
        <v>9</v>
      </c>
      <c r="L1137">
        <v>1341</v>
      </c>
      <c r="M1137">
        <v>20</v>
      </c>
      <c r="N1137">
        <v>1.4914243102162566E-2</v>
      </c>
      <c r="O1137">
        <v>0</v>
      </c>
      <c r="P1137">
        <v>0</v>
      </c>
      <c r="Q1137">
        <v>0</v>
      </c>
      <c r="R1137">
        <v>20</v>
      </c>
      <c r="S1137">
        <v>1</v>
      </c>
      <c r="T1137">
        <v>1.4914243102162566E-2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">
      <c r="A1138">
        <v>3279.9786574074096</v>
      </c>
      <c r="B1138">
        <v>22723</v>
      </c>
      <c r="C1138">
        <v>596</v>
      </c>
      <c r="D1138">
        <v>2538</v>
      </c>
      <c r="E1138">
        <v>0</v>
      </c>
      <c r="F1138">
        <v>99</v>
      </c>
      <c r="G1138">
        <v>152</v>
      </c>
      <c r="H1138">
        <v>871</v>
      </c>
      <c r="I1138">
        <v>10</v>
      </c>
      <c r="J1138">
        <v>2987</v>
      </c>
      <c r="K1138">
        <v>26</v>
      </c>
      <c r="L1138">
        <v>5980</v>
      </c>
      <c r="M1138">
        <v>12</v>
      </c>
      <c r="N1138">
        <v>2.0066889632107021E-3</v>
      </c>
      <c r="O1138">
        <v>3</v>
      </c>
      <c r="P1138">
        <v>0.25</v>
      </c>
      <c r="Q1138">
        <v>5.0167224080267553E-4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5</v>
      </c>
      <c r="Y1138">
        <v>0.41666666666666669</v>
      </c>
      <c r="Z1138">
        <v>8.3612040133779263E-4</v>
      </c>
      <c r="AA1138">
        <v>1</v>
      </c>
      <c r="AB1138">
        <v>8.3333333333333329E-2</v>
      </c>
      <c r="AC1138">
        <v>1.6722408026755852E-4</v>
      </c>
      <c r="AD1138">
        <v>3</v>
      </c>
      <c r="AE1138">
        <v>0.25</v>
      </c>
      <c r="AF1138">
        <v>5.0167224080267553E-4</v>
      </c>
    </row>
    <row r="1139" spans="1:32" x14ac:dyDescent="0.2">
      <c r="A1139">
        <v>2078.6598495370345</v>
      </c>
      <c r="B1139">
        <v>340</v>
      </c>
      <c r="C1139">
        <v>48</v>
      </c>
      <c r="D1139">
        <v>44</v>
      </c>
      <c r="E1139">
        <v>0</v>
      </c>
      <c r="F1139">
        <v>1</v>
      </c>
      <c r="G1139">
        <v>14</v>
      </c>
      <c r="H1139">
        <v>32</v>
      </c>
      <c r="I1139">
        <v>6</v>
      </c>
      <c r="J1139">
        <v>22</v>
      </c>
      <c r="K1139">
        <v>11</v>
      </c>
      <c r="L1139">
        <v>569</v>
      </c>
      <c r="M1139">
        <v>16</v>
      </c>
      <c r="N1139">
        <v>2.8119507908611598E-2</v>
      </c>
      <c r="O1139">
        <v>0</v>
      </c>
      <c r="P1139">
        <v>0</v>
      </c>
      <c r="Q1139">
        <v>0</v>
      </c>
      <c r="R1139">
        <v>11</v>
      </c>
      <c r="S1139">
        <v>0.6875</v>
      </c>
      <c r="T1139">
        <v>1.9332161687170474E-2</v>
      </c>
      <c r="U1139">
        <v>4</v>
      </c>
      <c r="V1139">
        <v>0.25</v>
      </c>
      <c r="W1139">
        <v>7.0298769771528994E-3</v>
      </c>
      <c r="X1139">
        <v>1</v>
      </c>
      <c r="Y1139">
        <v>6.25E-2</v>
      </c>
      <c r="Z1139">
        <v>1.7574692442882249E-3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">
      <c r="A1140">
        <v>2326.7641319444447</v>
      </c>
      <c r="B1140">
        <v>7382</v>
      </c>
      <c r="C1140">
        <v>266</v>
      </c>
      <c r="D1140">
        <v>1601</v>
      </c>
      <c r="E1140">
        <v>1</v>
      </c>
      <c r="F1140">
        <v>35</v>
      </c>
      <c r="G1140">
        <v>198</v>
      </c>
      <c r="H1140">
        <v>918</v>
      </c>
      <c r="I1140">
        <v>148</v>
      </c>
      <c r="J1140">
        <v>2249</v>
      </c>
      <c r="K1140">
        <v>1239</v>
      </c>
      <c r="L1140">
        <v>9432</v>
      </c>
      <c r="M1140">
        <v>114</v>
      </c>
      <c r="N1140">
        <v>1.2086513994910942E-2</v>
      </c>
      <c r="O1140">
        <v>10</v>
      </c>
      <c r="P1140">
        <v>8.771929824561403E-2</v>
      </c>
      <c r="Q1140">
        <v>1.0602205258693808E-3</v>
      </c>
      <c r="R1140">
        <v>63</v>
      </c>
      <c r="S1140">
        <v>0.55263157894736847</v>
      </c>
      <c r="T1140">
        <v>6.6793893129770991E-3</v>
      </c>
      <c r="U1140">
        <v>21</v>
      </c>
      <c r="V1140">
        <v>0.18421052631578946</v>
      </c>
      <c r="W1140">
        <v>2.2264631043256997E-3</v>
      </c>
      <c r="X1140">
        <v>12</v>
      </c>
      <c r="Y1140">
        <v>0.10526315789473684</v>
      </c>
      <c r="Z1140">
        <v>1.2722646310432571E-3</v>
      </c>
      <c r="AA1140">
        <v>0</v>
      </c>
      <c r="AB1140">
        <v>0</v>
      </c>
      <c r="AC1140">
        <v>0</v>
      </c>
      <c r="AD1140">
        <v>8</v>
      </c>
      <c r="AE1140">
        <v>7.0175438596491224E-2</v>
      </c>
      <c r="AF1140">
        <v>8.4817642069550466E-4</v>
      </c>
    </row>
    <row r="1141" spans="1:32" x14ac:dyDescent="0.2">
      <c r="A1141">
        <v>1678.2496527777766</v>
      </c>
      <c r="B1141">
        <v>379</v>
      </c>
      <c r="C1141">
        <v>45</v>
      </c>
      <c r="D1141">
        <v>80</v>
      </c>
      <c r="E1141">
        <v>0</v>
      </c>
      <c r="F1141">
        <v>0</v>
      </c>
      <c r="G1141">
        <v>13</v>
      </c>
      <c r="H1141">
        <v>10</v>
      </c>
      <c r="I1141">
        <v>4</v>
      </c>
      <c r="J1141">
        <v>17</v>
      </c>
      <c r="K1141">
        <v>16</v>
      </c>
      <c r="L1141">
        <v>6293</v>
      </c>
      <c r="M1141">
        <v>72</v>
      </c>
      <c r="N1141">
        <v>1.1441283966311775E-2</v>
      </c>
      <c r="O1141">
        <v>4</v>
      </c>
      <c r="P1141">
        <v>5.5555555555555552E-2</v>
      </c>
      <c r="Q1141">
        <v>6.3562688701732084E-4</v>
      </c>
      <c r="R1141">
        <v>62</v>
      </c>
      <c r="S1141">
        <v>0.86111111111111116</v>
      </c>
      <c r="T1141">
        <v>9.852216748768473E-3</v>
      </c>
      <c r="U1141">
        <v>1</v>
      </c>
      <c r="V1141">
        <v>1.3888888888888888E-2</v>
      </c>
      <c r="W1141">
        <v>1.5890672175433021E-4</v>
      </c>
      <c r="X1141">
        <v>3</v>
      </c>
      <c r="Y1141">
        <v>4.1666666666666664E-2</v>
      </c>
      <c r="Z1141">
        <v>4.7672016526299061E-4</v>
      </c>
      <c r="AA1141">
        <v>0</v>
      </c>
      <c r="AB1141">
        <v>0</v>
      </c>
      <c r="AC1141">
        <v>0</v>
      </c>
      <c r="AD1141">
        <v>2</v>
      </c>
      <c r="AE1141">
        <v>2.7777777777777776E-2</v>
      </c>
      <c r="AF1141">
        <v>3.1781344350866042E-4</v>
      </c>
    </row>
    <row r="1142" spans="1:32" x14ac:dyDescent="0.2">
      <c r="A1142">
        <v>1990.9838194444455</v>
      </c>
      <c r="B1142">
        <v>1517</v>
      </c>
      <c r="C1142">
        <v>98</v>
      </c>
      <c r="D1142">
        <v>191</v>
      </c>
      <c r="E1142">
        <v>0</v>
      </c>
      <c r="F1142">
        <v>44</v>
      </c>
      <c r="G1142">
        <v>128</v>
      </c>
      <c r="H1142">
        <v>2697</v>
      </c>
      <c r="I1142">
        <v>18</v>
      </c>
      <c r="J1142">
        <v>318</v>
      </c>
      <c r="K1142">
        <v>67</v>
      </c>
      <c r="L1142">
        <v>50310</v>
      </c>
      <c r="M1142">
        <v>460</v>
      </c>
      <c r="N1142">
        <v>9.143311468892865E-3</v>
      </c>
      <c r="O1142">
        <v>152</v>
      </c>
      <c r="P1142">
        <v>0.33043478260869563</v>
      </c>
      <c r="Q1142">
        <v>3.0212681375472073E-3</v>
      </c>
      <c r="R1142">
        <v>145</v>
      </c>
      <c r="S1142">
        <v>0.31521739130434784</v>
      </c>
      <c r="T1142">
        <v>2.8821307891075333E-3</v>
      </c>
      <c r="U1142">
        <v>68</v>
      </c>
      <c r="V1142">
        <v>0.14782608695652175</v>
      </c>
      <c r="W1142">
        <v>1.351619956271119E-3</v>
      </c>
      <c r="X1142">
        <v>82</v>
      </c>
      <c r="Y1142">
        <v>0.17826086956521739</v>
      </c>
      <c r="Z1142">
        <v>1.6298946531504671E-3</v>
      </c>
      <c r="AA1142">
        <v>5</v>
      </c>
      <c r="AB1142">
        <v>1.0869565217391304E-2</v>
      </c>
      <c r="AC1142">
        <v>9.9383820314052871E-5</v>
      </c>
      <c r="AD1142">
        <v>8</v>
      </c>
      <c r="AE1142">
        <v>1.7391304347826087E-2</v>
      </c>
      <c r="AF1142">
        <v>1.5901411250248459E-4</v>
      </c>
    </row>
    <row r="1143" spans="1:32" x14ac:dyDescent="0.2">
      <c r="A1143">
        <v>3833.864722222228</v>
      </c>
      <c r="B1143">
        <v>329</v>
      </c>
      <c r="C1143">
        <v>37</v>
      </c>
      <c r="D1143">
        <v>57</v>
      </c>
      <c r="E1143">
        <v>0</v>
      </c>
      <c r="F1143">
        <v>1</v>
      </c>
      <c r="G1143">
        <v>40</v>
      </c>
      <c r="H1143">
        <v>634</v>
      </c>
      <c r="I1143">
        <v>6</v>
      </c>
      <c r="J1143">
        <v>151</v>
      </c>
      <c r="K1143">
        <v>14</v>
      </c>
      <c r="L1143">
        <v>17171</v>
      </c>
      <c r="M1143">
        <v>263</v>
      </c>
      <c r="N1143">
        <v>1.5316522042979442E-2</v>
      </c>
      <c r="O1143">
        <v>37</v>
      </c>
      <c r="P1143">
        <v>0.14068441064638784</v>
      </c>
      <c r="Q1143">
        <v>2.1547958767689709E-3</v>
      </c>
      <c r="R1143">
        <v>110</v>
      </c>
      <c r="S1143">
        <v>0.41825095057034223</v>
      </c>
      <c r="T1143">
        <v>6.4061499039077515E-3</v>
      </c>
      <c r="U1143">
        <v>64</v>
      </c>
      <c r="V1143">
        <v>0.24334600760456274</v>
      </c>
      <c r="W1143">
        <v>3.7272144895463279E-3</v>
      </c>
      <c r="X1143">
        <v>46</v>
      </c>
      <c r="Y1143">
        <v>0.17490494296577946</v>
      </c>
      <c r="Z1143">
        <v>2.6789354143614231E-3</v>
      </c>
      <c r="AA1143">
        <v>0</v>
      </c>
      <c r="AB1143">
        <v>0</v>
      </c>
      <c r="AC1143">
        <v>0</v>
      </c>
      <c r="AD1143">
        <v>6</v>
      </c>
      <c r="AE1143">
        <v>2.2813688212927757E-2</v>
      </c>
      <c r="AF1143">
        <v>3.4942635839496828E-4</v>
      </c>
    </row>
    <row r="1144" spans="1:32" x14ac:dyDescent="0.2">
      <c r="A1144">
        <v>1943.0977662037039</v>
      </c>
      <c r="B1144">
        <v>1055</v>
      </c>
      <c r="C1144">
        <v>96</v>
      </c>
      <c r="D1144">
        <v>211</v>
      </c>
      <c r="E1144">
        <v>6</v>
      </c>
      <c r="F1144">
        <v>4</v>
      </c>
      <c r="G1144">
        <v>46</v>
      </c>
      <c r="H1144">
        <v>274</v>
      </c>
      <c r="I1144">
        <v>13</v>
      </c>
      <c r="J1144">
        <v>368</v>
      </c>
      <c r="K1144">
        <v>98</v>
      </c>
      <c r="L1144">
        <v>9836</v>
      </c>
      <c r="M1144">
        <v>221</v>
      </c>
      <c r="N1144">
        <v>2.246848312322082E-2</v>
      </c>
      <c r="O1144">
        <v>51</v>
      </c>
      <c r="P1144">
        <v>0.23076923076923078</v>
      </c>
      <c r="Q1144">
        <v>5.1850345668971124E-3</v>
      </c>
      <c r="R1144">
        <v>21</v>
      </c>
      <c r="S1144">
        <v>9.5022624434389136E-2</v>
      </c>
      <c r="T1144">
        <v>2.1350142334282227E-3</v>
      </c>
      <c r="U1144">
        <v>12</v>
      </c>
      <c r="V1144">
        <v>5.4298642533936653E-2</v>
      </c>
      <c r="W1144">
        <v>1.2200081333875558E-3</v>
      </c>
      <c r="X1144">
        <v>136</v>
      </c>
      <c r="Y1144">
        <v>0.61538461538461542</v>
      </c>
      <c r="Z1144">
        <v>1.3826758845058967E-2</v>
      </c>
      <c r="AA1144">
        <v>0</v>
      </c>
      <c r="AB1144">
        <v>0</v>
      </c>
      <c r="AC1144">
        <v>0</v>
      </c>
      <c r="AD1144">
        <v>1</v>
      </c>
      <c r="AE1144">
        <v>4.5248868778280547E-3</v>
      </c>
      <c r="AF1144">
        <v>1.0166734444896299E-4</v>
      </c>
    </row>
    <row r="1145" spans="1:32" x14ac:dyDescent="0.2">
      <c r="A1145">
        <v>769.11405092592759</v>
      </c>
      <c r="B1145">
        <v>626</v>
      </c>
      <c r="C1145">
        <v>20</v>
      </c>
      <c r="D1145">
        <v>102</v>
      </c>
      <c r="E1145">
        <v>1</v>
      </c>
      <c r="F1145">
        <v>0</v>
      </c>
      <c r="G1145">
        <v>2</v>
      </c>
      <c r="H1145">
        <v>1</v>
      </c>
      <c r="I1145">
        <v>0</v>
      </c>
      <c r="J1145">
        <v>29</v>
      </c>
      <c r="K1145">
        <v>4</v>
      </c>
      <c r="L1145">
        <v>9497</v>
      </c>
      <c r="M1145">
        <v>173</v>
      </c>
      <c r="N1145">
        <v>1.821627882489207E-2</v>
      </c>
      <c r="O1145">
        <v>24</v>
      </c>
      <c r="P1145">
        <v>0.13872832369942195</v>
      </c>
      <c r="Q1145">
        <v>2.5271138254185531E-3</v>
      </c>
      <c r="R1145">
        <v>124</v>
      </c>
      <c r="S1145">
        <v>0.7167630057803468</v>
      </c>
      <c r="T1145">
        <v>1.3056754764662525E-2</v>
      </c>
      <c r="U1145">
        <v>22</v>
      </c>
      <c r="V1145">
        <v>0.12716763005780346</v>
      </c>
      <c r="W1145">
        <v>2.3165210066336739E-3</v>
      </c>
      <c r="X1145">
        <v>2</v>
      </c>
      <c r="Y1145">
        <v>1.1560693641618497E-2</v>
      </c>
      <c r="Z1145">
        <v>2.1059281878487945E-4</v>
      </c>
      <c r="AA1145">
        <v>1</v>
      </c>
      <c r="AB1145">
        <v>5.7803468208092483E-3</v>
      </c>
      <c r="AC1145">
        <v>1.0529640939243972E-4</v>
      </c>
      <c r="AD1145">
        <v>0</v>
      </c>
      <c r="AE1145">
        <v>0</v>
      </c>
      <c r="AF1145">
        <v>0</v>
      </c>
    </row>
    <row r="1146" spans="1:32" x14ac:dyDescent="0.2">
      <c r="A1146">
        <v>2259.9780902777784</v>
      </c>
      <c r="B1146">
        <v>1010</v>
      </c>
      <c r="C1146">
        <v>90</v>
      </c>
      <c r="D1146">
        <v>328</v>
      </c>
      <c r="E1146">
        <v>1</v>
      </c>
      <c r="F1146">
        <v>12</v>
      </c>
      <c r="G1146">
        <v>18</v>
      </c>
      <c r="H1146">
        <v>61</v>
      </c>
      <c r="I1146">
        <v>0</v>
      </c>
      <c r="J1146">
        <v>93</v>
      </c>
      <c r="K1146">
        <v>17</v>
      </c>
      <c r="L1146">
        <v>1593</v>
      </c>
      <c r="M1146">
        <v>132</v>
      </c>
      <c r="N1146">
        <v>8.2862523540489647E-2</v>
      </c>
      <c r="O1146">
        <v>29</v>
      </c>
      <c r="P1146">
        <v>0.2196969696969697</v>
      </c>
      <c r="Q1146">
        <v>1.820464532328939E-2</v>
      </c>
      <c r="R1146">
        <v>45</v>
      </c>
      <c r="S1146">
        <v>0.34090909090909088</v>
      </c>
      <c r="T1146">
        <v>2.8248587570621469E-2</v>
      </c>
      <c r="U1146">
        <v>39</v>
      </c>
      <c r="V1146">
        <v>0.29545454545454547</v>
      </c>
      <c r="W1146">
        <v>2.4482109227871938E-2</v>
      </c>
      <c r="X1146">
        <v>4</v>
      </c>
      <c r="Y1146">
        <v>3.0303030303030304E-2</v>
      </c>
      <c r="Z1146">
        <v>2.5109855618330196E-3</v>
      </c>
      <c r="AA1146">
        <v>0</v>
      </c>
      <c r="AB1146">
        <v>0</v>
      </c>
      <c r="AC1146">
        <v>0</v>
      </c>
      <c r="AD1146">
        <v>15</v>
      </c>
      <c r="AE1146">
        <v>0.11363636363636363</v>
      </c>
      <c r="AF1146">
        <v>9.4161958568738224E-3</v>
      </c>
    </row>
    <row r="1147" spans="1:32" x14ac:dyDescent="0.2">
      <c r="A1147">
        <v>338.93953703704028</v>
      </c>
      <c r="B1147">
        <v>2697</v>
      </c>
      <c r="C1147">
        <v>99</v>
      </c>
      <c r="D1147">
        <v>388</v>
      </c>
      <c r="E1147">
        <v>4</v>
      </c>
      <c r="F1147">
        <v>4</v>
      </c>
      <c r="G1147">
        <v>25</v>
      </c>
      <c r="H1147">
        <v>140</v>
      </c>
      <c r="I1147">
        <v>8</v>
      </c>
      <c r="J1147">
        <v>231</v>
      </c>
      <c r="K1147">
        <v>75</v>
      </c>
      <c r="L1147">
        <v>19278</v>
      </c>
      <c r="M1147">
        <v>69</v>
      </c>
      <c r="N1147">
        <v>3.5792094615624027E-3</v>
      </c>
      <c r="O1147">
        <v>25</v>
      </c>
      <c r="P1147">
        <v>0.36231884057971014</v>
      </c>
      <c r="Q1147">
        <v>1.2968150223052184E-3</v>
      </c>
      <c r="R1147">
        <v>14</v>
      </c>
      <c r="S1147">
        <v>0.20289855072463769</v>
      </c>
      <c r="T1147">
        <v>7.2621641249092229E-4</v>
      </c>
      <c r="U1147">
        <v>10</v>
      </c>
      <c r="V1147">
        <v>0.14492753623188406</v>
      </c>
      <c r="W1147">
        <v>5.1872600892208731E-4</v>
      </c>
      <c r="X1147">
        <v>20</v>
      </c>
      <c r="Y1147">
        <v>0.28985507246376813</v>
      </c>
      <c r="Z1147">
        <v>1.0374520178441746E-3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">
      <c r="A1148">
        <v>489.96258101851708</v>
      </c>
      <c r="B1148">
        <v>656</v>
      </c>
      <c r="C1148">
        <v>30</v>
      </c>
      <c r="D1148">
        <v>104</v>
      </c>
      <c r="E1148">
        <v>0</v>
      </c>
      <c r="F1148">
        <v>0</v>
      </c>
      <c r="G1148">
        <v>3</v>
      </c>
      <c r="H1148">
        <v>1</v>
      </c>
      <c r="I1148">
        <v>0</v>
      </c>
      <c r="J1148">
        <v>60</v>
      </c>
      <c r="K1148">
        <v>27</v>
      </c>
      <c r="L1148">
        <v>8895</v>
      </c>
      <c r="M1148">
        <v>47</v>
      </c>
      <c r="N1148">
        <v>5.2838673412029229E-3</v>
      </c>
      <c r="O1148">
        <v>0</v>
      </c>
      <c r="P1148">
        <v>0</v>
      </c>
      <c r="Q1148">
        <v>0</v>
      </c>
      <c r="R1148">
        <v>42</v>
      </c>
      <c r="S1148">
        <v>0.8936170212765957</v>
      </c>
      <c r="T1148">
        <v>4.7217537942664421E-3</v>
      </c>
      <c r="U1148">
        <v>4</v>
      </c>
      <c r="V1148">
        <v>8.5106382978723402E-2</v>
      </c>
      <c r="W1148">
        <v>4.4969083754918494E-4</v>
      </c>
      <c r="X1148">
        <v>1</v>
      </c>
      <c r="Y1148">
        <v>2.1276595744680851E-2</v>
      </c>
      <c r="Z1148">
        <v>1.1242270938729624E-4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">
      <c r="A1149">
        <v>1640.278379629628</v>
      </c>
      <c r="B1149">
        <v>742</v>
      </c>
      <c r="C1149">
        <v>50</v>
      </c>
      <c r="D1149">
        <v>300</v>
      </c>
      <c r="E1149">
        <v>0</v>
      </c>
      <c r="F1149">
        <v>2</v>
      </c>
      <c r="G1149">
        <v>5</v>
      </c>
      <c r="H1149">
        <v>4</v>
      </c>
      <c r="I1149">
        <v>0</v>
      </c>
      <c r="J1149">
        <v>34</v>
      </c>
      <c r="K1149">
        <v>10</v>
      </c>
      <c r="L1149">
        <v>1267</v>
      </c>
      <c r="M1149">
        <v>11</v>
      </c>
      <c r="N1149">
        <v>8.6819258089976328E-3</v>
      </c>
      <c r="O1149">
        <v>5</v>
      </c>
      <c r="P1149">
        <v>0.45454545454545453</v>
      </c>
      <c r="Q1149">
        <v>3.9463299131807421E-3</v>
      </c>
      <c r="R1149">
        <v>0</v>
      </c>
      <c r="S1149">
        <v>0</v>
      </c>
      <c r="T1149">
        <v>0</v>
      </c>
      <c r="U1149">
        <v>2</v>
      </c>
      <c r="V1149">
        <v>0.18181818181818182</v>
      </c>
      <c r="W1149">
        <v>1.5785319652722968E-3</v>
      </c>
      <c r="X1149">
        <v>4</v>
      </c>
      <c r="Y1149">
        <v>0.36363636363636365</v>
      </c>
      <c r="Z1149">
        <v>3.1570639305445935E-3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">
      <c r="A1150">
        <v>2519.4386689814783</v>
      </c>
      <c r="B1150">
        <v>849</v>
      </c>
      <c r="C1150">
        <v>56</v>
      </c>
      <c r="D1150">
        <v>169</v>
      </c>
      <c r="E1150">
        <v>64</v>
      </c>
      <c r="F1150">
        <v>145</v>
      </c>
      <c r="G1150">
        <v>140</v>
      </c>
      <c r="H1150">
        <v>1135</v>
      </c>
      <c r="I1150">
        <v>42</v>
      </c>
      <c r="J1150">
        <v>0</v>
      </c>
      <c r="K1150">
        <v>0</v>
      </c>
      <c r="L1150">
        <v>12265</v>
      </c>
      <c r="M1150">
        <v>411</v>
      </c>
      <c r="N1150">
        <v>3.3509987770077458E-2</v>
      </c>
      <c r="O1150">
        <v>128</v>
      </c>
      <c r="P1150">
        <v>0.31143552311435524</v>
      </c>
      <c r="Q1150">
        <v>1.0436200570729718E-2</v>
      </c>
      <c r="R1150">
        <v>64</v>
      </c>
      <c r="S1150">
        <v>0.15571776155717762</v>
      </c>
      <c r="T1150">
        <v>5.2181002853648592E-3</v>
      </c>
      <c r="U1150">
        <v>134</v>
      </c>
      <c r="V1150">
        <v>0.32603406326034062</v>
      </c>
      <c r="W1150">
        <v>1.0925397472482674E-2</v>
      </c>
      <c r="X1150">
        <v>85</v>
      </c>
      <c r="Y1150">
        <v>0.20681265206812652</v>
      </c>
      <c r="Z1150">
        <v>6.9302894415002037E-3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">
      <c r="A1151">
        <v>2101.7813310185156</v>
      </c>
      <c r="B1151">
        <v>3907</v>
      </c>
      <c r="C1151">
        <v>114</v>
      </c>
      <c r="D1151">
        <v>454</v>
      </c>
      <c r="E1151">
        <v>39</v>
      </c>
      <c r="F1151">
        <v>30</v>
      </c>
      <c r="G1151">
        <v>106</v>
      </c>
      <c r="H1151">
        <v>829</v>
      </c>
      <c r="I1151">
        <v>9</v>
      </c>
      <c r="J1151">
        <v>1073</v>
      </c>
      <c r="K1151">
        <v>50</v>
      </c>
      <c r="L1151">
        <v>17829</v>
      </c>
      <c r="M1151">
        <v>375</v>
      </c>
      <c r="N1151">
        <v>2.1033148241628805E-2</v>
      </c>
      <c r="O1151">
        <v>35</v>
      </c>
      <c r="P1151">
        <v>9.3333333333333338E-2</v>
      </c>
      <c r="Q1151">
        <v>1.9630938358853552E-3</v>
      </c>
      <c r="R1151">
        <v>115</v>
      </c>
      <c r="S1151">
        <v>0.30666666666666664</v>
      </c>
      <c r="T1151">
        <v>6.4501654607661673E-3</v>
      </c>
      <c r="U1151">
        <v>82</v>
      </c>
      <c r="V1151">
        <v>0.21866666666666668</v>
      </c>
      <c r="W1151">
        <v>4.5992484155028329E-3</v>
      </c>
      <c r="X1151">
        <v>70</v>
      </c>
      <c r="Y1151">
        <v>0.18666666666666668</v>
      </c>
      <c r="Z1151">
        <v>3.9261876717707105E-3</v>
      </c>
      <c r="AA1151">
        <v>0</v>
      </c>
      <c r="AB1151">
        <v>0</v>
      </c>
      <c r="AC1151">
        <v>0</v>
      </c>
      <c r="AD1151">
        <v>73</v>
      </c>
      <c r="AE1151">
        <v>0.19466666666666665</v>
      </c>
      <c r="AF1151">
        <v>4.0944528577037415E-3</v>
      </c>
    </row>
    <row r="1152" spans="1:32" x14ac:dyDescent="0.2">
      <c r="A1152">
        <v>2181.9949652777796</v>
      </c>
      <c r="B1152">
        <v>786</v>
      </c>
      <c r="C1152">
        <v>42</v>
      </c>
      <c r="D1152">
        <v>169</v>
      </c>
      <c r="E1152">
        <v>19</v>
      </c>
      <c r="F1152">
        <v>28</v>
      </c>
      <c r="G1152">
        <v>58</v>
      </c>
      <c r="H1152">
        <v>376</v>
      </c>
      <c r="I1152">
        <v>6</v>
      </c>
      <c r="J1152">
        <v>199</v>
      </c>
      <c r="K1152">
        <v>46</v>
      </c>
      <c r="L1152">
        <v>2536</v>
      </c>
      <c r="M1152">
        <v>125</v>
      </c>
      <c r="N1152">
        <v>4.9290220820189273E-2</v>
      </c>
      <c r="O1152">
        <v>17</v>
      </c>
      <c r="P1152">
        <v>0.13600000000000001</v>
      </c>
      <c r="Q1152">
        <v>6.7034700315457413E-3</v>
      </c>
      <c r="R1152">
        <v>62</v>
      </c>
      <c r="S1152">
        <v>0.496</v>
      </c>
      <c r="T1152">
        <v>2.4447949526813881E-2</v>
      </c>
      <c r="U1152">
        <v>13</v>
      </c>
      <c r="V1152">
        <v>0.104</v>
      </c>
      <c r="W1152">
        <v>5.1261829652996848E-3</v>
      </c>
      <c r="X1152">
        <v>29</v>
      </c>
      <c r="Y1152">
        <v>0.23200000000000001</v>
      </c>
      <c r="Z1152">
        <v>1.1435331230283912E-2</v>
      </c>
      <c r="AA1152">
        <v>0</v>
      </c>
      <c r="AB1152">
        <v>0</v>
      </c>
      <c r="AC1152">
        <v>0</v>
      </c>
      <c r="AD1152">
        <v>4</v>
      </c>
      <c r="AE1152">
        <v>3.2000000000000001E-2</v>
      </c>
      <c r="AF1152">
        <v>1.5772870662460567E-3</v>
      </c>
    </row>
    <row r="1153" spans="1:32" x14ac:dyDescent="0.2">
      <c r="A1153">
        <v>2978.7232060185197</v>
      </c>
      <c r="B1153">
        <v>544</v>
      </c>
      <c r="C1153">
        <v>38</v>
      </c>
      <c r="D1153">
        <v>168</v>
      </c>
      <c r="E1153">
        <v>0</v>
      </c>
      <c r="F1153">
        <v>2</v>
      </c>
      <c r="G1153">
        <v>51</v>
      </c>
      <c r="H1153">
        <v>925</v>
      </c>
      <c r="I1153">
        <v>16</v>
      </c>
      <c r="J1153">
        <v>1234</v>
      </c>
      <c r="K1153">
        <v>420</v>
      </c>
      <c r="L1153">
        <v>16761</v>
      </c>
      <c r="M1153">
        <v>19</v>
      </c>
      <c r="N1153">
        <v>1.1335839150408687E-3</v>
      </c>
      <c r="O1153">
        <v>0</v>
      </c>
      <c r="P1153">
        <v>0</v>
      </c>
      <c r="Q1153">
        <v>0</v>
      </c>
      <c r="R1153">
        <v>3</v>
      </c>
      <c r="S1153">
        <v>0.15789473684210525</v>
      </c>
      <c r="T1153">
        <v>1.7898693395382138E-4</v>
      </c>
      <c r="U1153">
        <v>5</v>
      </c>
      <c r="V1153">
        <v>0.26315789473684209</v>
      </c>
      <c r="W1153">
        <v>2.9831155658970228E-4</v>
      </c>
      <c r="X1153">
        <v>1</v>
      </c>
      <c r="Y1153">
        <v>5.2631578947368418E-2</v>
      </c>
      <c r="Z1153">
        <v>5.9662311317940454E-5</v>
      </c>
      <c r="AA1153">
        <v>0</v>
      </c>
      <c r="AB1153">
        <v>0</v>
      </c>
      <c r="AC1153">
        <v>0</v>
      </c>
      <c r="AD1153">
        <v>10</v>
      </c>
      <c r="AE1153">
        <v>0.52631578947368418</v>
      </c>
      <c r="AF1153">
        <v>5.9662311317940455E-4</v>
      </c>
    </row>
    <row r="1154" spans="1:32" x14ac:dyDescent="0.2">
      <c r="A1154">
        <v>1997.3000231481419</v>
      </c>
      <c r="B1154">
        <v>529</v>
      </c>
      <c r="C1154">
        <v>29</v>
      </c>
      <c r="D1154">
        <v>57</v>
      </c>
      <c r="E1154">
        <v>9</v>
      </c>
      <c r="F1154">
        <v>0</v>
      </c>
      <c r="G1154">
        <v>12</v>
      </c>
      <c r="H1154">
        <v>157</v>
      </c>
      <c r="I1154">
        <v>0</v>
      </c>
      <c r="J1154">
        <v>100</v>
      </c>
      <c r="K1154">
        <v>21</v>
      </c>
      <c r="L1154">
        <v>37369</v>
      </c>
      <c r="M1154">
        <v>380</v>
      </c>
      <c r="N1154">
        <v>1.0168856538842357E-2</v>
      </c>
      <c r="O1154">
        <v>66</v>
      </c>
      <c r="P1154">
        <v>0.1736842105263158</v>
      </c>
      <c r="Q1154">
        <v>1.7661698199041987E-3</v>
      </c>
      <c r="R1154">
        <v>67</v>
      </c>
      <c r="S1154">
        <v>0.1763157894736842</v>
      </c>
      <c r="T1154">
        <v>1.7929299686906259E-3</v>
      </c>
      <c r="U1154">
        <v>80</v>
      </c>
      <c r="V1154">
        <v>0.21052631578947367</v>
      </c>
      <c r="W1154">
        <v>2.1408119029141803E-3</v>
      </c>
      <c r="X1154">
        <v>117</v>
      </c>
      <c r="Y1154">
        <v>0.30789473684210528</v>
      </c>
      <c r="Z1154">
        <v>3.1309374080119886E-3</v>
      </c>
      <c r="AA1154">
        <v>0</v>
      </c>
      <c r="AB1154">
        <v>0</v>
      </c>
      <c r="AC1154">
        <v>0</v>
      </c>
      <c r="AD1154">
        <v>50</v>
      </c>
      <c r="AE1154">
        <v>0.13157894736842105</v>
      </c>
      <c r="AF1154">
        <v>1.3380074393213627E-3</v>
      </c>
    </row>
    <row r="1155" spans="1:32" x14ac:dyDescent="0.2">
      <c r="A1155">
        <v>3914.1986689814876</v>
      </c>
      <c r="B1155">
        <v>2764</v>
      </c>
      <c r="C1155">
        <v>109</v>
      </c>
      <c r="D1155">
        <v>537</v>
      </c>
      <c r="E1155">
        <v>5</v>
      </c>
      <c r="F1155">
        <v>26</v>
      </c>
      <c r="G1155">
        <v>149</v>
      </c>
      <c r="H1155">
        <v>683</v>
      </c>
      <c r="I1155">
        <v>3</v>
      </c>
      <c r="J1155">
        <v>834</v>
      </c>
      <c r="K1155">
        <v>105</v>
      </c>
      <c r="L1155">
        <v>13582</v>
      </c>
      <c r="M1155">
        <v>109</v>
      </c>
      <c r="N1155">
        <v>8.0253276395228987E-3</v>
      </c>
      <c r="O1155">
        <v>35</v>
      </c>
      <c r="P1155">
        <v>0.32110091743119268</v>
      </c>
      <c r="Q1155">
        <v>2.5769400677367106E-3</v>
      </c>
      <c r="R1155">
        <v>17</v>
      </c>
      <c r="S1155">
        <v>0.15596330275229359</v>
      </c>
      <c r="T1155">
        <v>1.2516566043292592E-3</v>
      </c>
      <c r="U1155">
        <v>19</v>
      </c>
      <c r="V1155">
        <v>0.1743119266055046</v>
      </c>
      <c r="W1155">
        <v>1.3989103224856427E-3</v>
      </c>
      <c r="X1155">
        <v>32</v>
      </c>
      <c r="Y1155">
        <v>0.29357798165137616</v>
      </c>
      <c r="Z1155">
        <v>2.3560594905021352E-3</v>
      </c>
      <c r="AA1155">
        <v>4</v>
      </c>
      <c r="AB1155">
        <v>3.669724770642202E-2</v>
      </c>
      <c r="AC1155">
        <v>2.945074363127669E-4</v>
      </c>
      <c r="AD1155">
        <v>2</v>
      </c>
      <c r="AE1155">
        <v>1.834862385321101E-2</v>
      </c>
      <c r="AF1155">
        <v>1.4725371815638345E-4</v>
      </c>
    </row>
    <row r="1156" spans="1:32" x14ac:dyDescent="0.2">
      <c r="A1156">
        <v>1358.7155902777813</v>
      </c>
      <c r="B1156">
        <v>1913</v>
      </c>
      <c r="C1156">
        <v>115</v>
      </c>
      <c r="D1156">
        <v>477</v>
      </c>
      <c r="E1156">
        <v>0</v>
      </c>
      <c r="F1156">
        <v>5</v>
      </c>
      <c r="G1156">
        <v>8</v>
      </c>
      <c r="H1156">
        <v>38</v>
      </c>
      <c r="I1156">
        <v>0</v>
      </c>
      <c r="J1156">
        <v>107</v>
      </c>
      <c r="K1156">
        <v>5</v>
      </c>
      <c r="L1156">
        <v>7949</v>
      </c>
      <c r="M1156">
        <v>39</v>
      </c>
      <c r="N1156">
        <v>4.9062775191848033E-3</v>
      </c>
      <c r="O1156">
        <v>1</v>
      </c>
      <c r="P1156">
        <v>2.564102564102564E-2</v>
      </c>
      <c r="Q1156">
        <v>1.258019876714052E-4</v>
      </c>
      <c r="R1156">
        <v>3</v>
      </c>
      <c r="S1156">
        <v>7.6923076923076927E-2</v>
      </c>
      <c r="T1156">
        <v>3.7740596301421561E-4</v>
      </c>
      <c r="U1156">
        <v>0</v>
      </c>
      <c r="V1156">
        <v>0</v>
      </c>
      <c r="W1156">
        <v>0</v>
      </c>
      <c r="X1156">
        <v>35</v>
      </c>
      <c r="Y1156">
        <v>0.89743589743589747</v>
      </c>
      <c r="Z1156">
        <v>4.4030695684991825E-3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">
      <c r="A1157">
        <v>1230.5311805555539</v>
      </c>
      <c r="B1157">
        <v>357</v>
      </c>
      <c r="C1157">
        <v>26</v>
      </c>
      <c r="D1157">
        <v>81</v>
      </c>
      <c r="E1157">
        <v>0</v>
      </c>
      <c r="F1157">
        <v>5</v>
      </c>
      <c r="G1157">
        <v>32</v>
      </c>
      <c r="H1157">
        <v>108</v>
      </c>
      <c r="I1157">
        <v>1</v>
      </c>
      <c r="J1157">
        <v>115</v>
      </c>
      <c r="K1157">
        <v>45</v>
      </c>
      <c r="L1157">
        <v>1994</v>
      </c>
      <c r="M1157">
        <v>88</v>
      </c>
      <c r="N1157">
        <v>4.4132397191574725E-2</v>
      </c>
      <c r="O1157">
        <v>49</v>
      </c>
      <c r="P1157">
        <v>0.55681818181818177</v>
      </c>
      <c r="Q1157">
        <v>2.4573721163490471E-2</v>
      </c>
      <c r="R1157">
        <v>34</v>
      </c>
      <c r="S1157">
        <v>0.38636363636363635</v>
      </c>
      <c r="T1157">
        <v>1.7051153460381142E-2</v>
      </c>
      <c r="U1157">
        <v>1</v>
      </c>
      <c r="V1157">
        <v>1.1363636363636364E-2</v>
      </c>
      <c r="W1157">
        <v>5.0150451354062187E-4</v>
      </c>
      <c r="X1157">
        <v>3</v>
      </c>
      <c r="Y1157">
        <v>3.4090909090909088E-2</v>
      </c>
      <c r="Z1157">
        <v>1.5045135406218655E-3</v>
      </c>
      <c r="AA1157">
        <v>0</v>
      </c>
      <c r="AB1157">
        <v>0</v>
      </c>
      <c r="AC1157">
        <v>0</v>
      </c>
      <c r="AD1157">
        <v>1</v>
      </c>
      <c r="AE1157">
        <v>1.1363636363636364E-2</v>
      </c>
      <c r="AF1157">
        <v>5.0150451354062187E-4</v>
      </c>
    </row>
    <row r="1158" spans="1:32" x14ac:dyDescent="0.2">
      <c r="A1158">
        <v>640.48011574074189</v>
      </c>
      <c r="B1158">
        <v>457</v>
      </c>
      <c r="C1158">
        <v>16</v>
      </c>
      <c r="D1158">
        <v>96</v>
      </c>
      <c r="E1158">
        <v>0</v>
      </c>
      <c r="F1158">
        <v>2</v>
      </c>
      <c r="G1158">
        <v>3</v>
      </c>
      <c r="H1158">
        <v>5</v>
      </c>
      <c r="I1158">
        <v>1</v>
      </c>
      <c r="J1158">
        <v>38</v>
      </c>
      <c r="K1158">
        <v>4</v>
      </c>
      <c r="L1158">
        <v>25627</v>
      </c>
      <c r="M1158">
        <v>64</v>
      </c>
      <c r="N1158">
        <v>2.4973660592344012E-3</v>
      </c>
      <c r="O1158">
        <v>1</v>
      </c>
      <c r="P1158">
        <v>1.5625E-2</v>
      </c>
      <c r="Q1158">
        <v>3.9021344675537519E-5</v>
      </c>
      <c r="R1158">
        <v>46</v>
      </c>
      <c r="S1158">
        <v>0.71875</v>
      </c>
      <c r="T1158">
        <v>1.7949818550747258E-3</v>
      </c>
      <c r="U1158">
        <v>4</v>
      </c>
      <c r="V1158">
        <v>6.25E-2</v>
      </c>
      <c r="W1158">
        <v>1.5608537870215008E-4</v>
      </c>
      <c r="X1158">
        <v>9</v>
      </c>
      <c r="Y1158">
        <v>0.140625</v>
      </c>
      <c r="Z1158">
        <v>3.5119210207983765E-4</v>
      </c>
      <c r="AA1158">
        <v>3</v>
      </c>
      <c r="AB1158">
        <v>4.6875E-2</v>
      </c>
      <c r="AC1158">
        <v>1.1706403402661256E-4</v>
      </c>
      <c r="AD1158">
        <v>1</v>
      </c>
      <c r="AE1158">
        <v>1.5625E-2</v>
      </c>
      <c r="AF1158">
        <v>3.9021344675537519E-5</v>
      </c>
    </row>
    <row r="1159" spans="1:32" x14ac:dyDescent="0.2">
      <c r="A1159">
        <v>922.4009953703644</v>
      </c>
      <c r="B1159">
        <v>436</v>
      </c>
      <c r="C1159">
        <v>15</v>
      </c>
      <c r="D1159">
        <v>99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21</v>
      </c>
      <c r="K1159">
        <v>7</v>
      </c>
      <c r="L1159">
        <v>9586</v>
      </c>
      <c r="M1159">
        <v>173</v>
      </c>
      <c r="N1159">
        <v>1.8047152096807843E-2</v>
      </c>
      <c r="O1159">
        <v>24</v>
      </c>
      <c r="P1159">
        <v>0.13872832369942195</v>
      </c>
      <c r="Q1159">
        <v>2.5036511579386604E-3</v>
      </c>
      <c r="R1159">
        <v>124</v>
      </c>
      <c r="S1159">
        <v>0.7167630057803468</v>
      </c>
      <c r="T1159">
        <v>1.293553098268308E-2</v>
      </c>
      <c r="U1159">
        <v>22</v>
      </c>
      <c r="V1159">
        <v>0.12716763005780346</v>
      </c>
      <c r="W1159">
        <v>2.2950135614437724E-3</v>
      </c>
      <c r="X1159">
        <v>2</v>
      </c>
      <c r="Y1159">
        <v>1.1560693641618497E-2</v>
      </c>
      <c r="Z1159">
        <v>2.0863759649488838E-4</v>
      </c>
      <c r="AA1159">
        <v>1</v>
      </c>
      <c r="AB1159">
        <v>5.7803468208092483E-3</v>
      </c>
      <c r="AC1159">
        <v>1.0431879824744419E-4</v>
      </c>
      <c r="AD1159">
        <v>0</v>
      </c>
      <c r="AE1159">
        <v>0</v>
      </c>
      <c r="AF1159">
        <v>0</v>
      </c>
    </row>
    <row r="1160" spans="1:32" x14ac:dyDescent="0.2">
      <c r="A1160">
        <v>559.44050925925694</v>
      </c>
      <c r="B1160">
        <v>1632</v>
      </c>
      <c r="C1160">
        <v>57</v>
      </c>
      <c r="D1160">
        <v>429</v>
      </c>
      <c r="E1160">
        <v>0</v>
      </c>
      <c r="F1160">
        <v>3</v>
      </c>
      <c r="G1160">
        <v>7</v>
      </c>
      <c r="H1160">
        <v>14</v>
      </c>
      <c r="I1160">
        <v>3</v>
      </c>
      <c r="J1160">
        <v>210</v>
      </c>
      <c r="K1160">
        <v>97</v>
      </c>
      <c r="L1160">
        <v>2358</v>
      </c>
      <c r="M1160">
        <v>15</v>
      </c>
      <c r="N1160">
        <v>6.3613231552162846E-3</v>
      </c>
      <c r="O1160">
        <v>5</v>
      </c>
      <c r="P1160">
        <v>0.33333333333333331</v>
      </c>
      <c r="Q1160">
        <v>2.1204410517387615E-3</v>
      </c>
      <c r="R1160">
        <v>10</v>
      </c>
      <c r="S1160">
        <v>0.66666666666666663</v>
      </c>
      <c r="T1160">
        <v>4.2408821034775231E-3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">
      <c r="A1161">
        <v>1205.776053240741</v>
      </c>
      <c r="B1161">
        <v>2509</v>
      </c>
      <c r="C1161">
        <v>98</v>
      </c>
      <c r="D1161">
        <v>208</v>
      </c>
      <c r="E1161">
        <v>0</v>
      </c>
      <c r="F1161">
        <v>0</v>
      </c>
      <c r="G1161">
        <v>8</v>
      </c>
      <c r="H1161">
        <v>8</v>
      </c>
      <c r="I1161">
        <v>1</v>
      </c>
      <c r="J1161">
        <v>14</v>
      </c>
      <c r="K1161">
        <v>9</v>
      </c>
      <c r="L1161">
        <v>26679</v>
      </c>
      <c r="M1161">
        <v>291</v>
      </c>
      <c r="N1161">
        <v>1.090745530192286E-2</v>
      </c>
      <c r="O1161">
        <v>144</v>
      </c>
      <c r="P1161">
        <v>0.49484536082474229</v>
      </c>
      <c r="Q1161">
        <v>5.3975036545597663E-3</v>
      </c>
      <c r="R1161">
        <v>45</v>
      </c>
      <c r="S1161">
        <v>0.15463917525773196</v>
      </c>
      <c r="T1161">
        <v>1.6867198920499269E-3</v>
      </c>
      <c r="U1161">
        <v>26</v>
      </c>
      <c r="V1161">
        <v>8.9347079037800689E-2</v>
      </c>
      <c r="W1161">
        <v>9.7454927096218E-4</v>
      </c>
      <c r="X1161">
        <v>72</v>
      </c>
      <c r="Y1161">
        <v>0.24742268041237114</v>
      </c>
      <c r="Z1161">
        <v>2.6987518272798832E-3</v>
      </c>
      <c r="AA1161">
        <v>3</v>
      </c>
      <c r="AB1161">
        <v>1.0309278350515464E-2</v>
      </c>
      <c r="AC1161">
        <v>1.1244799280332846E-4</v>
      </c>
      <c r="AD1161">
        <v>1</v>
      </c>
      <c r="AE1161">
        <v>3.4364261168384879E-3</v>
      </c>
      <c r="AF1161">
        <v>3.7482664267776152E-5</v>
      </c>
    </row>
    <row r="1162" spans="1:32" x14ac:dyDescent="0.2">
      <c r="A1162">
        <v>1651.186608796299</v>
      </c>
      <c r="B1162">
        <v>765</v>
      </c>
      <c r="C1162">
        <v>50</v>
      </c>
      <c r="D1162">
        <v>343</v>
      </c>
      <c r="E1162">
        <v>5</v>
      </c>
      <c r="F1162">
        <v>5</v>
      </c>
      <c r="G1162">
        <v>7</v>
      </c>
      <c r="H1162">
        <v>8</v>
      </c>
      <c r="I1162">
        <v>0</v>
      </c>
      <c r="J1162">
        <v>232</v>
      </c>
      <c r="K1162">
        <v>93</v>
      </c>
      <c r="L1162">
        <v>4353</v>
      </c>
      <c r="M1162">
        <v>14</v>
      </c>
      <c r="N1162">
        <v>3.2161727544222376E-3</v>
      </c>
      <c r="O1162">
        <v>0</v>
      </c>
      <c r="P1162">
        <v>0</v>
      </c>
      <c r="Q1162">
        <v>0</v>
      </c>
      <c r="R1162">
        <v>7</v>
      </c>
      <c r="S1162">
        <v>0.5</v>
      </c>
      <c r="T1162">
        <v>1.6080863772111188E-3</v>
      </c>
      <c r="U1162">
        <v>3</v>
      </c>
      <c r="V1162">
        <v>0.21428571428571427</v>
      </c>
      <c r="W1162">
        <v>6.8917987594762232E-4</v>
      </c>
      <c r="X1162">
        <v>4</v>
      </c>
      <c r="Y1162">
        <v>0.2857142857142857</v>
      </c>
      <c r="Z1162">
        <v>9.1890650126349646E-4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">
      <c r="A1163">
        <v>771.0102430555562</v>
      </c>
      <c r="B1163">
        <v>1798</v>
      </c>
      <c r="C1163">
        <v>45</v>
      </c>
      <c r="D1163">
        <v>374</v>
      </c>
      <c r="E1163">
        <v>0</v>
      </c>
      <c r="F1163">
        <v>2</v>
      </c>
      <c r="G1163">
        <v>2</v>
      </c>
      <c r="H1163">
        <v>6</v>
      </c>
      <c r="I1163">
        <v>5</v>
      </c>
      <c r="J1163">
        <v>102</v>
      </c>
      <c r="K1163">
        <v>56</v>
      </c>
      <c r="L1163">
        <v>4002</v>
      </c>
      <c r="M1163">
        <v>37</v>
      </c>
      <c r="N1163">
        <v>9.2453773113443279E-3</v>
      </c>
      <c r="O1163">
        <v>0</v>
      </c>
      <c r="P1163">
        <v>0</v>
      </c>
      <c r="Q1163">
        <v>0</v>
      </c>
      <c r="R1163">
        <v>34</v>
      </c>
      <c r="S1163">
        <v>0.91891891891891897</v>
      </c>
      <c r="T1163">
        <v>8.4957521239380305E-3</v>
      </c>
      <c r="U1163">
        <v>2</v>
      </c>
      <c r="V1163">
        <v>5.4054054054054057E-2</v>
      </c>
      <c r="W1163">
        <v>4.9975012493753122E-4</v>
      </c>
      <c r="X1163">
        <v>1</v>
      </c>
      <c r="Y1163">
        <v>2.7027027027027029E-2</v>
      </c>
      <c r="Z1163">
        <v>2.4987506246876561E-4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">
      <c r="A1164">
        <v>604.52309027778392</v>
      </c>
      <c r="B1164">
        <v>400</v>
      </c>
      <c r="C1164">
        <v>21</v>
      </c>
      <c r="D1164">
        <v>78</v>
      </c>
      <c r="E1164">
        <v>0</v>
      </c>
      <c r="F1164">
        <v>1</v>
      </c>
      <c r="G1164">
        <v>37</v>
      </c>
      <c r="H1164">
        <v>0</v>
      </c>
      <c r="I1164">
        <v>0</v>
      </c>
      <c r="J1164">
        <v>40</v>
      </c>
      <c r="K1164">
        <v>26</v>
      </c>
      <c r="L1164">
        <v>16103</v>
      </c>
      <c r="M1164">
        <v>6</v>
      </c>
      <c r="N1164">
        <v>3.7260137862510091E-4</v>
      </c>
      <c r="O1164">
        <v>0</v>
      </c>
      <c r="P1164">
        <v>0</v>
      </c>
      <c r="Q1164">
        <v>0</v>
      </c>
      <c r="R1164">
        <v>3</v>
      </c>
      <c r="S1164">
        <v>0.5</v>
      </c>
      <c r="T1164">
        <v>1.8630068931255045E-4</v>
      </c>
      <c r="U1164">
        <v>3</v>
      </c>
      <c r="V1164">
        <v>0.5</v>
      </c>
      <c r="W1164">
        <v>1.8630068931255045E-4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">
      <c r="A1165">
        <v>396.71202546296263</v>
      </c>
      <c r="B1165">
        <v>338</v>
      </c>
      <c r="C1165">
        <v>10</v>
      </c>
      <c r="D1165">
        <v>80</v>
      </c>
      <c r="E1165">
        <v>0</v>
      </c>
      <c r="F1165">
        <v>1</v>
      </c>
      <c r="G1165">
        <v>2</v>
      </c>
      <c r="H1165">
        <v>0</v>
      </c>
      <c r="I1165">
        <v>0</v>
      </c>
      <c r="J1165">
        <v>6</v>
      </c>
      <c r="K1165">
        <v>0</v>
      </c>
      <c r="L1165">
        <v>2593</v>
      </c>
      <c r="M1165">
        <v>116</v>
      </c>
      <c r="N1165">
        <v>4.473582722715002E-2</v>
      </c>
      <c r="O1165">
        <v>0</v>
      </c>
      <c r="P1165">
        <v>0</v>
      </c>
      <c r="Q1165">
        <v>0</v>
      </c>
      <c r="R1165">
        <v>115</v>
      </c>
      <c r="S1165">
        <v>0.99137931034482762</v>
      </c>
      <c r="T1165">
        <v>4.4350173544157344E-2</v>
      </c>
      <c r="U1165">
        <v>0</v>
      </c>
      <c r="V1165">
        <v>0</v>
      </c>
      <c r="W1165">
        <v>0</v>
      </c>
      <c r="X1165">
        <v>1</v>
      </c>
      <c r="Y1165">
        <v>8.6206896551724137E-3</v>
      </c>
      <c r="Z1165">
        <v>3.8565368299267258E-4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">
      <c r="A1166">
        <v>1853.8717361111121</v>
      </c>
      <c r="B1166">
        <v>934</v>
      </c>
      <c r="C1166">
        <v>58</v>
      </c>
      <c r="D1166">
        <v>189</v>
      </c>
      <c r="E1166">
        <v>15</v>
      </c>
      <c r="F1166">
        <v>0</v>
      </c>
      <c r="G1166">
        <v>19</v>
      </c>
      <c r="H1166">
        <v>41</v>
      </c>
      <c r="I1166">
        <v>0</v>
      </c>
      <c r="J1166">
        <v>55</v>
      </c>
      <c r="K1166">
        <v>12</v>
      </c>
      <c r="L1166">
        <v>1995</v>
      </c>
      <c r="M1166">
        <v>109</v>
      </c>
      <c r="N1166">
        <v>5.463659147869674E-2</v>
      </c>
      <c r="O1166">
        <v>71</v>
      </c>
      <c r="P1166">
        <v>0.65137614678899081</v>
      </c>
      <c r="Q1166">
        <v>3.5588972431077691E-2</v>
      </c>
      <c r="R1166">
        <v>12</v>
      </c>
      <c r="S1166">
        <v>0.11009174311926606</v>
      </c>
      <c r="T1166">
        <v>6.0150375939849628E-3</v>
      </c>
      <c r="U1166">
        <v>6</v>
      </c>
      <c r="V1166">
        <v>5.5045871559633031E-2</v>
      </c>
      <c r="W1166">
        <v>3.0075187969924814E-3</v>
      </c>
      <c r="X1166">
        <v>14</v>
      </c>
      <c r="Y1166">
        <v>0.12844036697247707</v>
      </c>
      <c r="Z1166">
        <v>7.0175438596491229E-3</v>
      </c>
      <c r="AA1166">
        <v>6</v>
      </c>
      <c r="AB1166">
        <v>5.5045871559633031E-2</v>
      </c>
      <c r="AC1166">
        <v>3.0075187969924814E-3</v>
      </c>
      <c r="AD1166">
        <v>0</v>
      </c>
      <c r="AE1166">
        <v>0</v>
      </c>
      <c r="AF1166">
        <v>0</v>
      </c>
    </row>
    <row r="1167" spans="1:32" x14ac:dyDescent="0.2">
      <c r="A1167">
        <v>2022.3930787037025</v>
      </c>
      <c r="B1167">
        <v>13336</v>
      </c>
      <c r="C1167">
        <v>375</v>
      </c>
      <c r="D1167">
        <v>4359</v>
      </c>
      <c r="E1167">
        <v>54</v>
      </c>
      <c r="F1167">
        <v>184</v>
      </c>
      <c r="G1167">
        <v>685</v>
      </c>
      <c r="H1167">
        <v>12011</v>
      </c>
      <c r="I1167">
        <v>749</v>
      </c>
      <c r="J1167">
        <v>6005</v>
      </c>
      <c r="K1167">
        <v>1329</v>
      </c>
      <c r="L1167">
        <v>101567</v>
      </c>
      <c r="M1167">
        <v>355</v>
      </c>
      <c r="N1167">
        <v>3.4952297498203155E-3</v>
      </c>
      <c r="O1167">
        <v>12</v>
      </c>
      <c r="P1167">
        <v>3.3802816901408447E-2</v>
      </c>
      <c r="Q1167">
        <v>1.181486112615318E-4</v>
      </c>
      <c r="R1167">
        <v>212</v>
      </c>
      <c r="S1167">
        <v>0.59718309859154928</v>
      </c>
      <c r="T1167">
        <v>2.0872921322870617E-3</v>
      </c>
      <c r="U1167">
        <v>74</v>
      </c>
      <c r="V1167">
        <v>0.20845070422535211</v>
      </c>
      <c r="W1167">
        <v>7.2858310277944607E-4</v>
      </c>
      <c r="X1167">
        <v>35</v>
      </c>
      <c r="Y1167">
        <v>9.8591549295774641E-2</v>
      </c>
      <c r="Z1167">
        <v>3.4460011617946777E-4</v>
      </c>
      <c r="AA1167">
        <v>2</v>
      </c>
      <c r="AB1167">
        <v>5.6338028169014088E-3</v>
      </c>
      <c r="AC1167">
        <v>1.96914352102553E-5</v>
      </c>
      <c r="AD1167">
        <v>20</v>
      </c>
      <c r="AE1167">
        <v>5.6338028169014086E-2</v>
      </c>
      <c r="AF1167">
        <v>1.96914352102553E-4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F00EC-6BA3-409E-AA8D-CF692AE8131D}">
  <dimension ref="A1"/>
  <sheetViews>
    <sheetView zoomScale="130" zoomScaleNormal="130" workbookViewId="0">
      <selection activeCell="T62" sqref="T62"/>
    </sheetView>
  </sheetViews>
  <sheetFormatPr defaultRowHeight="12.7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42A7-4F7A-4DC3-B7A8-70EDC4269AC1}">
  <dimension ref="A1"/>
  <sheetViews>
    <sheetView workbookViewId="0">
      <selection activeCell="G29" sqref="G29"/>
    </sheetView>
  </sheetViews>
  <sheetFormatPr defaultRowHeight="12.75" x14ac:dyDescent="0.2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bulk</vt:lpstr>
      <vt:lpstr>hist lloc</vt:lpstr>
      <vt:lpstr>hist stars</vt:lpstr>
      <vt:lpstr>licenses</vt:lpstr>
      <vt:lpstr>Planilha12</vt:lpstr>
      <vt:lpstr>correlacao</vt:lpstr>
      <vt:lpstr>Planilha16</vt:lpstr>
      <vt:lpstr>numericos</vt:lpstr>
      <vt:lpstr>licenses_plot</vt:lpstr>
      <vt:lpstr>Planilha13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Túlio Zuquim</cp:lastModifiedBy>
  <dcterms:modified xsi:type="dcterms:W3CDTF">2021-05-08T21:29:30Z</dcterms:modified>
</cp:coreProperties>
</file>