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A112005-8019-46EF-9B9C-30D495BEC1D5}" xr6:coauthVersionLast="47" xr6:coauthVersionMax="47" xr10:uidLastSave="{00000000-0000-0000-0000-000000000000}"/>
  <bookViews>
    <workbookView xWindow="59680" yWindow="3910" windowWidth="13840" windowHeight="16360" activeTab="1" xr2:uid="{8C7D3156-1DAC-C540-96E2-F406281F63EC}"/>
  </bookViews>
  <sheets>
    <sheet name="Main" sheetId="1" r:id="rId1"/>
    <sheet name="Model" sheetId="2" r:id="rId2"/>
    <sheet name="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L29" i="2"/>
  <c r="K29" i="2"/>
  <c r="J29" i="2"/>
  <c r="N29" i="2"/>
  <c r="Z26" i="2" l="1"/>
  <c r="Z23" i="2"/>
  <c r="Z21" i="2"/>
  <c r="Z18" i="2"/>
  <c r="Z17" i="2"/>
  <c r="Z16" i="2"/>
  <c r="AA16" i="2" s="1"/>
  <c r="Z15" i="2"/>
  <c r="AA15" i="2" s="1"/>
  <c r="Z13" i="2"/>
  <c r="N66" i="2"/>
  <c r="M66" i="2"/>
  <c r="M59" i="2"/>
  <c r="N59" i="2" s="1"/>
  <c r="N50" i="2"/>
  <c r="N33" i="2"/>
  <c r="N36" i="2"/>
  <c r="N41" i="2" s="1"/>
  <c r="N6" i="2"/>
  <c r="X6" i="2"/>
  <c r="Y6" i="2"/>
  <c r="Z6" i="2"/>
  <c r="Y4" i="2"/>
  <c r="Y3" i="2"/>
  <c r="I3" i="1"/>
  <c r="L74" i="2" l="1"/>
  <c r="M74" i="2" s="1"/>
  <c r="N74" i="2" s="1"/>
  <c r="L71" i="2"/>
  <c r="M71" i="2" s="1"/>
  <c r="N71" i="2" s="1"/>
  <c r="L72" i="2"/>
  <c r="M72" i="2" s="1"/>
  <c r="N72" i="2" s="1"/>
  <c r="L67" i="2"/>
  <c r="M67" i="2" s="1"/>
  <c r="N67" i="2" s="1"/>
  <c r="L65" i="2"/>
  <c r="M65" i="2" s="1"/>
  <c r="N65" i="2" s="1"/>
  <c r="L60" i="2"/>
  <c r="M60" i="2" s="1"/>
  <c r="N60" i="2" s="1"/>
  <c r="L58" i="2"/>
  <c r="M58" i="2" s="1"/>
  <c r="N58" i="2" s="1"/>
  <c r="L57" i="2"/>
  <c r="M57" i="2" s="1"/>
  <c r="N57" i="2" s="1"/>
  <c r="L56" i="2"/>
  <c r="M56" i="2" s="1"/>
  <c r="N56" i="2" s="1"/>
  <c r="L55" i="2"/>
  <c r="M55" i="2" s="1"/>
  <c r="N55" i="2" s="1"/>
  <c r="L54" i="2"/>
  <c r="M54" i="2" s="1"/>
  <c r="N54" i="2" s="1"/>
  <c r="L53" i="2"/>
  <c r="M53" i="2" s="1"/>
  <c r="N53" i="2" s="1"/>
  <c r="L47" i="2"/>
  <c r="L50" i="2"/>
  <c r="L33" i="2"/>
  <c r="L36" i="2"/>
  <c r="K12" i="2"/>
  <c r="K28" i="2" s="1"/>
  <c r="K70" i="2"/>
  <c r="K73" i="2" s="1"/>
  <c r="K64" i="2"/>
  <c r="K68" i="2" s="1"/>
  <c r="K61" i="2"/>
  <c r="K62" i="2" s="1"/>
  <c r="K79" i="2" s="1"/>
  <c r="K47" i="2"/>
  <c r="K50" i="2" s="1"/>
  <c r="K36" i="2"/>
  <c r="K33" i="2"/>
  <c r="M50" i="2"/>
  <c r="M33" i="2"/>
  <c r="M36" i="2"/>
  <c r="I5" i="1"/>
  <c r="O21" i="2"/>
  <c r="P21" i="2" s="1"/>
  <c r="O26" i="2"/>
  <c r="P26" i="2" s="1"/>
  <c r="R15" i="2"/>
  <c r="Q18" i="2"/>
  <c r="P18" i="2"/>
  <c r="R18" i="2"/>
  <c r="Q17" i="2"/>
  <c r="P17" i="2"/>
  <c r="R17" i="2"/>
  <c r="Q16" i="2"/>
  <c r="P16" i="2"/>
  <c r="R16" i="2"/>
  <c r="Q15" i="2"/>
  <c r="P15" i="2"/>
  <c r="I6" i="2"/>
  <c r="M6" i="2"/>
  <c r="N14" i="2"/>
  <c r="N31" i="2" s="1"/>
  <c r="M28" i="2"/>
  <c r="M19" i="2"/>
  <c r="M14" i="2"/>
  <c r="M31" i="2" s="1"/>
  <c r="I19" i="2"/>
  <c r="I14" i="2"/>
  <c r="I31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B16" i="2"/>
  <c r="AC16" i="2" s="1"/>
  <c r="AD16" i="2" s="1"/>
  <c r="AE16" i="2" s="1"/>
  <c r="AF16" i="2" s="1"/>
  <c r="AB15" i="2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1" i="2" s="1"/>
  <c r="X19" i="2"/>
  <c r="X14" i="2"/>
  <c r="X31" i="2" s="1"/>
  <c r="Y19" i="2"/>
  <c r="Y14" i="2"/>
  <c r="F19" i="2"/>
  <c r="F14" i="2"/>
  <c r="F31" i="2" s="1"/>
  <c r="J28" i="2"/>
  <c r="J19" i="2"/>
  <c r="J14" i="2"/>
  <c r="J31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1" i="2" s="1"/>
  <c r="L14" i="2"/>
  <c r="L31" i="2" s="1"/>
  <c r="I4" i="1"/>
  <c r="I7" i="1" s="1"/>
  <c r="K14" i="2" l="1"/>
  <c r="K31" i="2" s="1"/>
  <c r="L70" i="2"/>
  <c r="M70" i="2" s="1"/>
  <c r="K6" i="2"/>
  <c r="Z12" i="2"/>
  <c r="Z14" i="2" s="1"/>
  <c r="L41" i="2"/>
  <c r="L73" i="2"/>
  <c r="L64" i="2"/>
  <c r="L61" i="2"/>
  <c r="M61" i="2" s="1"/>
  <c r="K75" i="2"/>
  <c r="K41" i="2"/>
  <c r="M41" i="2"/>
  <c r="G31" i="2"/>
  <c r="P13" i="2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1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M62" i="2" l="1"/>
  <c r="M79" i="2" s="1"/>
  <c r="N61" i="2"/>
  <c r="N62" i="2" s="1"/>
  <c r="N79" i="2" s="1"/>
  <c r="L62" i="2"/>
  <c r="L79" i="2" s="1"/>
  <c r="M73" i="2"/>
  <c r="N70" i="2"/>
  <c r="N73" i="2" s="1"/>
  <c r="L68" i="2"/>
  <c r="L75" i="2" s="1"/>
  <c r="M64" i="2"/>
  <c r="M25" i="2"/>
  <c r="M52" i="2"/>
  <c r="AF12" i="2"/>
  <c r="AF14" i="2" s="1"/>
  <c r="AF31" i="2" s="1"/>
  <c r="L25" i="2"/>
  <c r="L52" i="2"/>
  <c r="Z31" i="2"/>
  <c r="K25" i="2"/>
  <c r="K52" i="2"/>
  <c r="O14" i="2"/>
  <c r="O20" i="2" s="1"/>
  <c r="O22" i="2" s="1"/>
  <c r="O23" i="2" s="1"/>
  <c r="O24" i="2" s="1"/>
  <c r="O25" i="2" s="1"/>
  <c r="P14" i="2"/>
  <c r="P31" i="2" s="1"/>
  <c r="P28" i="2"/>
  <c r="Q12" i="2"/>
  <c r="Q13" i="2" s="1"/>
  <c r="O28" i="2"/>
  <c r="N24" i="2"/>
  <c r="R26" i="2"/>
  <c r="Z20" i="2"/>
  <c r="Z22" i="2" s="1"/>
  <c r="Z24" i="2" s="1"/>
  <c r="Z25" i="2" s="1"/>
  <c r="R12" i="2"/>
  <c r="AB19" i="2"/>
  <c r="AE12" i="2"/>
  <c r="AC12" i="2"/>
  <c r="AD12" i="2"/>
  <c r="AB12" i="2"/>
  <c r="AC19" i="2"/>
  <c r="AD15" i="2"/>
  <c r="M68" i="2" l="1"/>
  <c r="N64" i="2"/>
  <c r="N68" i="2" s="1"/>
  <c r="N75" i="2" s="1"/>
  <c r="M75" i="2"/>
  <c r="Q14" i="2"/>
  <c r="Q28" i="2"/>
  <c r="AF28" i="2"/>
  <c r="N25" i="2"/>
  <c r="N52" i="2"/>
  <c r="AA12" i="2"/>
  <c r="AB28" i="2" s="1"/>
  <c r="AF13" i="2"/>
  <c r="P20" i="2"/>
  <c r="P22" i="2" s="1"/>
  <c r="P23" i="2" s="1"/>
  <c r="P24" i="2" s="1"/>
  <c r="P25" i="2" s="1"/>
  <c r="O31" i="2"/>
  <c r="Q20" i="2"/>
  <c r="Q22" i="2" s="1"/>
  <c r="Q31" i="2"/>
  <c r="R28" i="2"/>
  <c r="R13" i="2"/>
  <c r="R14" i="2" s="1"/>
  <c r="AB14" i="2"/>
  <c r="AB13" i="2" s="1"/>
  <c r="AD14" i="2"/>
  <c r="AD31" i="2" s="1"/>
  <c r="AD28" i="2"/>
  <c r="AC14" i="2"/>
  <c r="AC31" i="2" s="1"/>
  <c r="AC28" i="2"/>
  <c r="AC13" i="2"/>
  <c r="AE14" i="2"/>
  <c r="AE31" i="2" s="1"/>
  <c r="AE28" i="2"/>
  <c r="AD19" i="2"/>
  <c r="AE15" i="2"/>
  <c r="AE13" i="2" l="1"/>
  <c r="AA14" i="2"/>
  <c r="AA28" i="2"/>
  <c r="R20" i="2"/>
  <c r="R22" i="2" s="1"/>
  <c r="R31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1" i="2"/>
  <c r="AB20" i="2"/>
  <c r="AB22" i="2" s="1"/>
  <c r="AE19" i="2"/>
  <c r="AE20" i="2" s="1"/>
  <c r="AE22" i="2" s="1"/>
  <c r="AF15" i="2"/>
  <c r="AF19" i="2" s="1"/>
  <c r="AF20" i="2" s="1"/>
  <c r="AF22" i="2" s="1"/>
  <c r="AA31" i="2" l="1"/>
  <c r="AA20" i="2"/>
  <c r="AA22" i="2" s="1"/>
  <c r="AA23" i="2" s="1"/>
  <c r="AA24" i="2" s="1"/>
  <c r="AA25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F25" i="2" l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tc={59B213B1-786E-49EB-BD79-321B0599FBF0}</author>
    <author>tc={E0BF3D14-A59E-48D7-8804-F493FD47CAB3}</author>
    <author>tc={C25D3745-BEED-4771-AE05-AE0AF8CBF306}</author>
    <author>tc={D0D34032-D263-4C9B-B026-35176D5F952B}</author>
    <author>tc={19D4C746-88A9-4E41-80F5-3AE1861C2F13}</author>
    <author>tc={46F2731E-6081-40DC-A00B-069DBA20F116}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539m consensus</t>
      </text>
    </comment>
    <comment ref="P12" authorId="3" shapeId="0" xr:uid="{59B213B1-786E-49EB-BD79-321B0599F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565m</t>
      </text>
    </comment>
    <comment ref="Z12" authorId="4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AA12" authorId="5" shapeId="0" xr:uid="{C25D3745-BEED-4771-AE05-AE0AF8CBF30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2.3-2.4B
5/5/25 consensus: 2330m</t>
      </text>
    </comment>
    <comment ref="AB12" authorId="6" shapeId="0" xr:uid="{D0D34032-D263-4C9B-B026-35176D5F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5/5/25 consensus: 2.80B</t>
      </text>
    </comment>
    <comment ref="O20" authorId="7" shapeId="0" xr:uid="{19D4C746-88A9-4E41-80F5-3AE1861C2F13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55-65m</t>
      </text>
    </comment>
    <comment ref="AA20" authorId="8" shapeId="0" xr:uid="{46F2731E-6081-40DC-A00B-069DBA20F11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270-320m</t>
      </text>
    </comment>
    <comment ref="N25" authorId="9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<sst xmlns="http://schemas.openxmlformats.org/spreadsheetml/2006/main" count="106" uniqueCount="88">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</sst>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43658</xdr:colOff>
      <xdr:row>0</xdr:row>
      <xdr:rowOff>0</xdr:rowOff>
    </xdr:from>
    <xdr:to>
      <xdr:col>14</xdr:col>
      <xdr:colOff>43658</xdr:colOff>
      <xdr:row>84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006451" y="0"/>
          <a:ext cx="0" cy="131367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89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539m consensus</text>
  </threadedComment>
  <threadedComment ref="P12" dT="2025-05-05T16:01:24.70" personId="{FD0116FB-70B3-F949-9774-5970B644D79B}" id="{59B213B1-786E-49EB-BD79-321B0599FBF0}">
    <text>Consensus 565m</text>
  </threadedComment>
  <threadedComment ref="Z12" dT="2024-12-05T21:26:54.64" personId="{FD0116FB-70B3-F949-9774-5970B644D79B}" id="{E0BF3D14-A59E-48D7-8804-F493FD47CAB3}">
    <text>Q3 guidance: 1.460-1.465B</text>
  </threadedComment>
  <threadedComment ref="AA12" dT="2025-05-05T17:09:45.80" personId="{FD0116FB-70B3-F949-9774-5970B644D79B}" id="{C25D3745-BEED-4771-AE05-AE0AF8CBF306}">
    <text>Q424 guidance: 2.3-2.4B
5/5/25 consensus: 2330m</text>
  </threadedComment>
  <threadedComment ref="AB12" dT="2025-05-05T17:09:37.06" personId="{FD0116FB-70B3-F949-9774-5970B644D79B}" id="{D0D34032-D263-4C9B-B026-35176D5F952B}">
    <text>5/5/25 consensus: 2.80B</text>
  </threadedComment>
  <threadedComment ref="O20" dT="2025-05-05T17:19:36.74" personId="{FD0116FB-70B3-F949-9774-5970B644D79B}" id="{19D4C746-88A9-4E41-80F5-3AE1861C2F13}">
    <text>Q424 guidance: 55-65m</text>
  </threadedComment>
  <threadedComment ref="AA20" dT="2025-05-05T17:19:24.69" personId="{FD0116FB-70B3-F949-9774-5970B644D79B}" id="{46F2731E-6081-40DC-A00B-069DBA20F116}">
    <text>Q424 guidance: 270-320m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Normal="100" workbookViewId="0">
      <selection activeCell="I5" sqref="I5"/>
    </sheetView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40</v>
      </c>
    </row>
    <row r="3" spans="8:10" x14ac:dyDescent="0.25">
      <c r="H3" s="1" t="s">
        <v>1</v>
      </c>
      <c r="I3" s="3">
        <f>213.787949+8.377623</f>
        <v>222.165572</v>
      </c>
      <c r="J3" s="15" t="s">
        <v>14</v>
      </c>
    </row>
    <row r="4" spans="8:10" x14ac:dyDescent="0.25">
      <c r="H4" s="1" t="s">
        <v>2</v>
      </c>
      <c r="I4" s="3">
        <f>+I2*I3</f>
        <v>8886.622879999999</v>
      </c>
    </row>
    <row r="5" spans="8:10" x14ac:dyDescent="0.25">
      <c r="H5" s="1" t="s">
        <v>3</v>
      </c>
      <c r="I5" s="3">
        <f>165.518+88.553</f>
        <v>254.071</v>
      </c>
      <c r="J5" s="15" t="s">
        <v>14</v>
      </c>
    </row>
    <row r="6" spans="8:10" x14ac:dyDescent="0.25">
      <c r="H6" s="1" t="s">
        <v>4</v>
      </c>
      <c r="I6" s="3">
        <v>0</v>
      </c>
      <c r="J6" s="15" t="s">
        <v>14</v>
      </c>
    </row>
    <row r="7" spans="8:10" x14ac:dyDescent="0.25">
      <c r="H7" s="1" t="s">
        <v>5</v>
      </c>
      <c r="I7" s="3">
        <f>+I4-I5+I6</f>
        <v>8632.5518799999991</v>
      </c>
    </row>
    <row r="9" spans="8:10" x14ac:dyDescent="0.25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2"/>
  <sheetViews>
    <sheetView tabSelected="1" zoomScale="145" zoomScaleNormal="14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>
        <v>2366</v>
      </c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5">
      <c r="B6" s="1" t="s">
        <v>42</v>
      </c>
      <c r="F6" s="6">
        <f t="shared" ref="F6:N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5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O7" s="6">
        <v>84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5">
      <c r="G8" s="5"/>
    </row>
    <row r="9" spans="1:38" s="3" customFormat="1" x14ac:dyDescent="0.25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/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5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/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5">
      <c r="G11" s="5"/>
    </row>
    <row r="12" spans="1:38" s="7" customFormat="1" ht="13" x14ac:dyDescent="0.3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v>586</v>
      </c>
      <c r="P12" s="8">
        <v>560</v>
      </c>
      <c r="Q12" s="8">
        <f t="shared" ref="P12:R12" si="4">+P12+50</f>
        <v>610</v>
      </c>
      <c r="R12" s="8">
        <f t="shared" si="4"/>
        <v>660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2416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5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v>155.321</v>
      </c>
      <c r="P13" s="5">
        <f>+P12*0.2</f>
        <v>112</v>
      </c>
      <c r="Q13" s="5">
        <f>+Q12*0.2</f>
        <v>122</v>
      </c>
      <c r="R13" s="5">
        <f>+R12*0.2</f>
        <v>132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AA13:AF13" si="6">+AA12-AA14</f>
        <v>531.52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5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 t="shared" ref="O14:R14" si="8">+O12-O13</f>
        <v>430.67899999999997</v>
      </c>
      <c r="P14" s="5">
        <f t="shared" si="8"/>
        <v>448</v>
      </c>
      <c r="Q14" s="5">
        <f t="shared" si="8"/>
        <v>488</v>
      </c>
      <c r="R14" s="5">
        <f t="shared" si="8"/>
        <v>528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1884.48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5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v>231.23500000000001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>+Z15*1.4</f>
        <v>950.38160000000005</v>
      </c>
      <c r="AB15" s="3">
        <f t="shared" ref="AB15:AF15" si="11">+AA15*1.1</f>
        <v>1045.4197600000002</v>
      </c>
      <c r="AC15" s="3">
        <f t="shared" si="11"/>
        <v>1149.9617360000004</v>
      </c>
      <c r="AD15" s="3">
        <f t="shared" si="11"/>
        <v>1264.9579096000007</v>
      </c>
      <c r="AE15" s="3">
        <f t="shared" si="11"/>
        <v>1391.4537005600009</v>
      </c>
      <c r="AF15" s="3">
        <f t="shared" si="11"/>
        <v>1530.5990706160012</v>
      </c>
    </row>
    <row r="16" spans="1:38" s="3" customFormat="1" x14ac:dyDescent="0.25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v>63.033000000000001</v>
      </c>
      <c r="P16" s="5">
        <f t="shared" ref="P16:P18" si="12">+L16*1.2</f>
        <v>49.743600000000001</v>
      </c>
      <c r="Q16" s="5">
        <f t="shared" ref="Q16:Q18" si="13">+M16*1.2</f>
        <v>57.022799999999997</v>
      </c>
      <c r="R16" s="5">
        <f t="shared" ref="R16:R18" si="14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>+Z16*1.4</f>
        <v>260.12279999999998</v>
      </c>
      <c r="AB16" s="3">
        <f t="shared" ref="AB16:AF16" si="15">+AA16*1.1</f>
        <v>286.13508000000002</v>
      </c>
      <c r="AC16" s="3">
        <f t="shared" si="15"/>
        <v>314.74858800000004</v>
      </c>
      <c r="AD16" s="3">
        <f t="shared" si="15"/>
        <v>346.22344680000009</v>
      </c>
      <c r="AE16" s="3">
        <f t="shared" si="15"/>
        <v>380.84579148000012</v>
      </c>
      <c r="AF16" s="3">
        <f t="shared" si="15"/>
        <v>418.93037062800016</v>
      </c>
    </row>
    <row r="17" spans="2:119" s="3" customFormat="1" x14ac:dyDescent="0.25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v>29.914000000000001</v>
      </c>
      <c r="P17" s="5">
        <f t="shared" si="12"/>
        <v>22.384799999999998</v>
      </c>
      <c r="Q17" s="5">
        <f t="shared" si="13"/>
        <v>25.310399999999998</v>
      </c>
      <c r="R17" s="5">
        <f t="shared" si="14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6">+Z17*1.1</f>
        <v>86.700900000000004</v>
      </c>
      <c r="AB17" s="3">
        <f t="shared" si="16"/>
        <v>95.370990000000006</v>
      </c>
      <c r="AC17" s="3">
        <f t="shared" si="16"/>
        <v>104.90808900000002</v>
      </c>
      <c r="AD17" s="3">
        <f t="shared" si="16"/>
        <v>115.39889790000002</v>
      </c>
      <c r="AE17" s="3">
        <f t="shared" si="16"/>
        <v>126.93878769000004</v>
      </c>
      <c r="AF17" s="3">
        <f t="shared" si="16"/>
        <v>139.63266645900006</v>
      </c>
    </row>
    <row r="18" spans="2:119" s="3" customFormat="1" x14ac:dyDescent="0.25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v>48.61</v>
      </c>
      <c r="P18" s="5">
        <f t="shared" si="12"/>
        <v>48.6648</v>
      </c>
      <c r="Q18" s="5">
        <f t="shared" si="13"/>
        <v>53.540399999999998</v>
      </c>
      <c r="R18" s="5">
        <f t="shared" si="14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7">+Z18*1.1</f>
        <v>184.5437</v>
      </c>
      <c r="AB18" s="3">
        <f t="shared" si="17"/>
        <v>202.99807000000001</v>
      </c>
      <c r="AC18" s="3">
        <f t="shared" si="17"/>
        <v>223.29787700000003</v>
      </c>
      <c r="AD18" s="3">
        <f t="shared" si="17"/>
        <v>245.62766470000005</v>
      </c>
      <c r="AE18" s="3">
        <f t="shared" si="17"/>
        <v>270.19043117000007</v>
      </c>
      <c r="AF18" s="3">
        <f t="shared" si="17"/>
        <v>297.20947428700009</v>
      </c>
    </row>
    <row r="19" spans="2:119" s="3" customFormat="1" x14ac:dyDescent="0.25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8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19">SUM(N15:N18)</f>
        <v>350.94500000000005</v>
      </c>
      <c r="O19" s="5">
        <f t="shared" si="19"/>
        <v>372.79200000000003</v>
      </c>
      <c r="P19" s="5">
        <f t="shared" si="19"/>
        <v>309.1918</v>
      </c>
      <c r="Q19" s="5">
        <f t="shared" si="19"/>
        <v>372.84280000000001</v>
      </c>
      <c r="R19" s="5">
        <f t="shared" si="19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0">SUM(Z15:Z18)</f>
        <v>1111.232</v>
      </c>
      <c r="AA19" s="3">
        <f t="shared" ref="AA19" si="21">SUM(AA15:AA18)</f>
        <v>1481.749</v>
      </c>
      <c r="AB19" s="3">
        <f t="shared" ref="AB19" si="22">SUM(AB15:AB18)</f>
        <v>1629.9239000000002</v>
      </c>
      <c r="AC19" s="3">
        <f t="shared" ref="AC19" si="23">SUM(AC15:AC18)</f>
        <v>1792.9162900000006</v>
      </c>
      <c r="AD19" s="3">
        <f t="shared" ref="AD19" si="24">SUM(AD15:AD18)</f>
        <v>1972.2079190000009</v>
      </c>
      <c r="AE19" s="3">
        <f t="shared" ref="AE19" si="25">SUM(AE15:AE18)</f>
        <v>2169.4287109000011</v>
      </c>
      <c r="AF19" s="3">
        <f t="shared" ref="AF19" si="26">SUM(AF15:AF18)</f>
        <v>2386.3715819900012</v>
      </c>
    </row>
    <row r="20" spans="2:119" s="3" customFormat="1" x14ac:dyDescent="0.25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7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8">N14-N19</f>
        <v>18.595999999999947</v>
      </c>
      <c r="O20" s="5">
        <f t="shared" si="28"/>
        <v>57.886999999999944</v>
      </c>
      <c r="P20" s="5">
        <f t="shared" si="28"/>
        <v>138.8082</v>
      </c>
      <c r="Q20" s="5">
        <f t="shared" si="28"/>
        <v>115.15719999999999</v>
      </c>
      <c r="R20" s="5">
        <f t="shared" si="28"/>
        <v>84.757499999999993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29">Z14-Z19</f>
        <v>61.903000000000247</v>
      </c>
      <c r="AA20" s="3">
        <f t="shared" ref="AA20" si="30">AA14-AA19</f>
        <v>402.73099999999999</v>
      </c>
      <c r="AB20" s="3">
        <f t="shared" ref="AB20" si="31">AB14-AB19</f>
        <v>587.44230160000052</v>
      </c>
      <c r="AC20" s="3">
        <f t="shared" ref="AC20" si="32">AC14-AC19</f>
        <v>722.26480534207985</v>
      </c>
      <c r="AD20" s="3">
        <f t="shared" ref="AD20" si="33">AD14-AD19</f>
        <v>869.56400277894409</v>
      </c>
      <c r="AE20" s="3">
        <f t="shared" ref="AE20" si="34">AE14-AE19</f>
        <v>1090.3868134731124</v>
      </c>
      <c r="AF20" s="3">
        <f t="shared" ref="AF20" si="35">AF14-AF19</f>
        <v>1314.0125664033294</v>
      </c>
    </row>
    <row r="21" spans="2:119" x14ac:dyDescent="0.25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f>+N21</f>
        <v>3.6949999999999998</v>
      </c>
      <c r="P21" s="5">
        <f>+O21</f>
        <v>3.6949999999999998</v>
      </c>
      <c r="Q21" s="5">
        <f>+P21</f>
        <v>3.6949999999999998</v>
      </c>
      <c r="R21" s="5">
        <f>+Q21</f>
        <v>3.6949999999999998</v>
      </c>
      <c r="W21" s="3">
        <v>4.2469999999999999</v>
      </c>
      <c r="X21" s="3">
        <v>2.988</v>
      </c>
      <c r="Y21" s="3">
        <v>7.8819999999999997</v>
      </c>
      <c r="Z21" s="3">
        <f t="shared" ref="Z21" si="36">SUM(K21:N21)</f>
        <v>9.8079999999999998</v>
      </c>
    </row>
    <row r="22" spans="2:119" x14ac:dyDescent="0.25">
      <c r="B22" s="1" t="s">
        <v>25</v>
      </c>
      <c r="C22" s="5"/>
      <c r="D22" s="5"/>
      <c r="F22" s="5">
        <f t="shared" ref="F22:R22" si="37">+F20+F21</f>
        <v>-11.028000000000018</v>
      </c>
      <c r="G22" s="5">
        <f t="shared" si="37"/>
        <v>-9.3853000000000044</v>
      </c>
      <c r="H22" s="5">
        <f t="shared" si="37"/>
        <v>-6.9969999999999901</v>
      </c>
      <c r="I22" s="5">
        <f t="shared" si="37"/>
        <v>-6.3280000000000021</v>
      </c>
      <c r="J22" s="5">
        <f t="shared" si="37"/>
        <v>2.1960000000000228</v>
      </c>
      <c r="K22" s="5">
        <f t="shared" si="37"/>
        <v>12.403000000000048</v>
      </c>
      <c r="L22" s="5">
        <f t="shared" si="37"/>
        <v>13.424000000000058</v>
      </c>
      <c r="M22" s="5">
        <f t="shared" si="37"/>
        <v>23.592999999999968</v>
      </c>
      <c r="N22" s="5">
        <f t="shared" si="37"/>
        <v>22.290999999999947</v>
      </c>
      <c r="O22" s="5">
        <f t="shared" si="37"/>
        <v>61.581999999999944</v>
      </c>
      <c r="P22" s="5">
        <f t="shared" si="37"/>
        <v>142.50319999999999</v>
      </c>
      <c r="Q22" s="5">
        <f t="shared" si="37"/>
        <v>118.85219999999998</v>
      </c>
      <c r="R22" s="5">
        <f t="shared" si="37"/>
        <v>88.452499999999986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8">+AA20+AA21</f>
        <v>402.73099999999999</v>
      </c>
      <c r="AB22" s="3">
        <f t="shared" si="38"/>
        <v>587.44230160000052</v>
      </c>
      <c r="AC22" s="3">
        <f t="shared" si="38"/>
        <v>722.26480534207985</v>
      </c>
      <c r="AD22" s="3">
        <f t="shared" si="38"/>
        <v>869.56400277894409</v>
      </c>
      <c r="AE22" s="3">
        <f t="shared" si="38"/>
        <v>1090.3868134731124</v>
      </c>
      <c r="AF22" s="3">
        <f t="shared" si="38"/>
        <v>1314.0125664033294</v>
      </c>
    </row>
    <row r="23" spans="2:119" x14ac:dyDescent="0.25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f>+O22*0.1</f>
        <v>6.1581999999999946</v>
      </c>
      <c r="P23" s="5">
        <f>+P22*0.1</f>
        <v>14.25032</v>
      </c>
      <c r="Q23" s="5">
        <f>+Q22*0.1</f>
        <v>11.885219999999999</v>
      </c>
      <c r="R23" s="5">
        <f>+R22*0.1</f>
        <v>8.8452499999999983</v>
      </c>
      <c r="W23" s="3">
        <v>-3.1360000000000001</v>
      </c>
      <c r="X23" s="3">
        <v>3.1E-2</v>
      </c>
      <c r="Y23" s="3">
        <v>1.9750000000000001</v>
      </c>
      <c r="Z23" s="3">
        <f t="shared" ref="Z23" si="39">SUM(K23:N23)</f>
        <v>1.1479999999999999</v>
      </c>
      <c r="AA23" s="3">
        <f t="shared" ref="AA23:AF23" si="40">+AA22*0.2</f>
        <v>80.546199999999999</v>
      </c>
      <c r="AB23" s="3">
        <f t="shared" si="40"/>
        <v>117.48846032000012</v>
      </c>
      <c r="AC23" s="3">
        <f t="shared" si="40"/>
        <v>144.45296106841599</v>
      </c>
      <c r="AD23" s="3">
        <f t="shared" si="40"/>
        <v>173.91280055578883</v>
      </c>
      <c r="AE23" s="3">
        <f t="shared" si="40"/>
        <v>218.07736269462248</v>
      </c>
      <c r="AF23" s="3">
        <f t="shared" si="40"/>
        <v>262.80251328066589</v>
      </c>
    </row>
    <row r="24" spans="2:119" x14ac:dyDescent="0.25">
      <c r="B24" s="1" t="s">
        <v>26</v>
      </c>
      <c r="C24" s="5"/>
      <c r="D24" s="5"/>
      <c r="F24" s="5">
        <f t="shared" ref="F24:R24" si="41">+F22+F23</f>
        <v>-10.907000000000018</v>
      </c>
      <c r="G24" s="5">
        <f t="shared" si="41"/>
        <v>-8.9993000000000052</v>
      </c>
      <c r="H24" s="5">
        <f t="shared" si="41"/>
        <v>-6.9839999999999902</v>
      </c>
      <c r="I24" s="5">
        <f t="shared" si="41"/>
        <v>-5.6770000000000023</v>
      </c>
      <c r="J24" s="5">
        <f t="shared" si="41"/>
        <v>1.2450000000000228</v>
      </c>
      <c r="K24" s="5">
        <f t="shared" si="41"/>
        <v>13.678000000000049</v>
      </c>
      <c r="L24" s="5">
        <f t="shared" si="41"/>
        <v>13.297000000000057</v>
      </c>
      <c r="M24" s="5">
        <f t="shared" si="41"/>
        <v>23.592999999999968</v>
      </c>
      <c r="N24" s="5">
        <f t="shared" si="41"/>
        <v>22.290999999999947</v>
      </c>
      <c r="O24" s="5">
        <f t="shared" si="41"/>
        <v>67.740199999999945</v>
      </c>
      <c r="P24" s="5">
        <f t="shared" si="41"/>
        <v>156.75351999999998</v>
      </c>
      <c r="Q24" s="5">
        <f t="shared" si="41"/>
        <v>130.73741999999999</v>
      </c>
      <c r="R24" s="5">
        <f t="shared" si="41"/>
        <v>97.297749999999979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2">+AA22-AA23</f>
        <v>322.1848</v>
      </c>
      <c r="AB24" s="3">
        <f t="shared" si="42"/>
        <v>469.9538412800004</v>
      </c>
      <c r="AC24" s="3">
        <f t="shared" si="42"/>
        <v>577.81184427366384</v>
      </c>
      <c r="AD24" s="3">
        <f t="shared" si="42"/>
        <v>695.65120222315522</v>
      </c>
      <c r="AE24" s="3">
        <f t="shared" si="42"/>
        <v>872.30945077848992</v>
      </c>
      <c r="AF24" s="3">
        <f t="shared" si="42"/>
        <v>1051.2100531226636</v>
      </c>
      <c r="AG24" s="3">
        <f>+AF24*(1+$AH$78)</f>
        <v>1040.6979525914369</v>
      </c>
      <c r="AH24" s="3">
        <f t="shared" ref="AH24:CS24" si="43">+AG24*(1+$AH$78)</f>
        <v>1030.2909730655226</v>
      </c>
      <c r="AI24" s="3">
        <f t="shared" si="43"/>
        <v>1019.9880633348674</v>
      </c>
      <c r="AJ24" s="3">
        <f t="shared" si="43"/>
        <v>1009.7881827015187</v>
      </c>
      <c r="AK24" s="3">
        <f t="shared" si="43"/>
        <v>999.69030087450358</v>
      </c>
      <c r="AL24" s="3">
        <f t="shared" si="43"/>
        <v>989.69339786575858</v>
      </c>
      <c r="AM24" s="3">
        <f t="shared" si="43"/>
        <v>979.79646388710103</v>
      </c>
      <c r="AN24" s="3">
        <f t="shared" si="43"/>
        <v>969.99849924823002</v>
      </c>
      <c r="AO24" s="3">
        <f t="shared" si="43"/>
        <v>960.2985142557477</v>
      </c>
      <c r="AP24" s="3">
        <f t="shared" si="43"/>
        <v>950.69552911319022</v>
      </c>
      <c r="AQ24" s="3">
        <f t="shared" si="43"/>
        <v>941.18857382205829</v>
      </c>
      <c r="AR24" s="3">
        <f t="shared" si="43"/>
        <v>931.77668808383771</v>
      </c>
      <c r="AS24" s="3">
        <f t="shared" si="43"/>
        <v>922.45892120299936</v>
      </c>
      <c r="AT24" s="3">
        <f t="shared" si="43"/>
        <v>913.23433199096939</v>
      </c>
      <c r="AU24" s="3">
        <f t="shared" si="43"/>
        <v>904.10198867105964</v>
      </c>
      <c r="AV24" s="3">
        <f t="shared" si="43"/>
        <v>895.06096878434903</v>
      </c>
      <c r="AW24" s="3">
        <f t="shared" si="43"/>
        <v>886.11035909650548</v>
      </c>
      <c r="AX24" s="3">
        <f t="shared" si="43"/>
        <v>877.24925550554042</v>
      </c>
      <c r="AY24" s="3">
        <f t="shared" si="43"/>
        <v>868.47676295048495</v>
      </c>
      <c r="AZ24" s="3">
        <f t="shared" si="43"/>
        <v>859.79199532098005</v>
      </c>
      <c r="BA24" s="3">
        <f t="shared" si="43"/>
        <v>851.19407536777021</v>
      </c>
      <c r="BB24" s="3">
        <f t="shared" si="43"/>
        <v>842.68213461409255</v>
      </c>
      <c r="BC24" s="3">
        <f t="shared" si="43"/>
        <v>834.25531326795158</v>
      </c>
      <c r="BD24" s="3">
        <f t="shared" si="43"/>
        <v>825.91276013527204</v>
      </c>
      <c r="BE24" s="3">
        <f t="shared" si="43"/>
        <v>817.65363253391934</v>
      </c>
      <c r="BF24" s="3">
        <f t="shared" si="43"/>
        <v>809.47709620858018</v>
      </c>
      <c r="BG24" s="3">
        <f t="shared" si="43"/>
        <v>801.38232524649436</v>
      </c>
      <c r="BH24" s="3">
        <f t="shared" si="43"/>
        <v>793.36850199402943</v>
      </c>
      <c r="BI24" s="3">
        <f t="shared" si="43"/>
        <v>785.43481697408913</v>
      </c>
      <c r="BJ24" s="3">
        <f t="shared" si="43"/>
        <v>777.58046880434824</v>
      </c>
      <c r="BK24" s="3">
        <f t="shared" si="43"/>
        <v>769.80466411630471</v>
      </c>
      <c r="BL24" s="3">
        <f t="shared" si="43"/>
        <v>762.10661747514166</v>
      </c>
      <c r="BM24" s="3">
        <f t="shared" si="43"/>
        <v>754.48555130039028</v>
      </c>
      <c r="BN24" s="3">
        <f t="shared" si="43"/>
        <v>746.9406957873864</v>
      </c>
      <c r="BO24" s="3">
        <f t="shared" si="43"/>
        <v>739.47128882951256</v>
      </c>
      <c r="BP24" s="3">
        <f t="shared" si="43"/>
        <v>732.07657594121747</v>
      </c>
      <c r="BQ24" s="3">
        <f t="shared" si="43"/>
        <v>724.75581018180526</v>
      </c>
      <c r="BR24" s="3">
        <f t="shared" si="43"/>
        <v>717.50825207998719</v>
      </c>
      <c r="BS24" s="3">
        <f t="shared" si="43"/>
        <v>710.33316955918735</v>
      </c>
      <c r="BT24" s="3">
        <f t="shared" si="43"/>
        <v>703.22983786359544</v>
      </c>
      <c r="BU24" s="3">
        <f t="shared" si="43"/>
        <v>696.19753948495952</v>
      </c>
      <c r="BV24" s="3">
        <f t="shared" si="43"/>
        <v>689.23556409010996</v>
      </c>
      <c r="BW24" s="3">
        <f t="shared" si="43"/>
        <v>682.34320844920887</v>
      </c>
      <c r="BX24" s="3">
        <f t="shared" si="43"/>
        <v>675.51977636471679</v>
      </c>
      <c r="BY24" s="3">
        <f t="shared" si="43"/>
        <v>668.76457860106962</v>
      </c>
      <c r="BZ24" s="3">
        <f t="shared" si="43"/>
        <v>662.07693281505897</v>
      </c>
      <c r="CA24" s="3">
        <f t="shared" si="43"/>
        <v>655.45616348690839</v>
      </c>
      <c r="CB24" s="3">
        <f t="shared" si="43"/>
        <v>648.90160185203933</v>
      </c>
      <c r="CC24" s="3">
        <f t="shared" si="43"/>
        <v>642.41258583351896</v>
      </c>
      <c r="CD24" s="3">
        <f t="shared" si="43"/>
        <v>635.98845997518379</v>
      </c>
      <c r="CE24" s="3">
        <f t="shared" si="43"/>
        <v>629.62857537543198</v>
      </c>
      <c r="CF24" s="3">
        <f t="shared" si="43"/>
        <v>623.33228962167766</v>
      </c>
      <c r="CG24" s="3">
        <f t="shared" si="43"/>
        <v>617.09896672546085</v>
      </c>
      <c r="CH24" s="3">
        <f t="shared" si="43"/>
        <v>610.92797705820624</v>
      </c>
      <c r="CI24" s="3">
        <f t="shared" si="43"/>
        <v>604.81869728762422</v>
      </c>
      <c r="CJ24" s="3">
        <f t="shared" si="43"/>
        <v>598.77051031474798</v>
      </c>
      <c r="CK24" s="3">
        <f t="shared" si="43"/>
        <v>592.78280521160048</v>
      </c>
      <c r="CL24" s="3">
        <f t="shared" si="43"/>
        <v>586.85497715948452</v>
      </c>
      <c r="CM24" s="3">
        <f t="shared" si="43"/>
        <v>580.98642738788965</v>
      </c>
      <c r="CN24" s="3">
        <f t="shared" si="43"/>
        <v>575.17656311401072</v>
      </c>
      <c r="CO24" s="3">
        <f t="shared" si="43"/>
        <v>569.42479748287064</v>
      </c>
      <c r="CP24" s="3">
        <f t="shared" si="43"/>
        <v>563.73054950804192</v>
      </c>
      <c r="CQ24" s="3">
        <f t="shared" si="43"/>
        <v>558.09324401296146</v>
      </c>
      <c r="CR24" s="3">
        <f t="shared" si="43"/>
        <v>552.51231157283189</v>
      </c>
      <c r="CS24" s="3">
        <f t="shared" si="43"/>
        <v>546.98718845710357</v>
      </c>
      <c r="CT24" s="3">
        <f t="shared" ref="CT24:DO24" si="44">+CS24*(1+$AH$78)</f>
        <v>541.51731657253254</v>
      </c>
      <c r="CU24" s="3">
        <f t="shared" si="44"/>
        <v>536.10214340680716</v>
      </c>
      <c r="CV24" s="3">
        <f t="shared" si="44"/>
        <v>530.74112197273905</v>
      </c>
      <c r="CW24" s="3">
        <f t="shared" si="44"/>
        <v>525.43371075301161</v>
      </c>
      <c r="CX24" s="3">
        <f t="shared" si="44"/>
        <v>520.17937364548152</v>
      </c>
      <c r="CY24" s="3">
        <f t="shared" si="44"/>
        <v>514.97757990902664</v>
      </c>
      <c r="CZ24" s="3">
        <f t="shared" si="44"/>
        <v>509.82780410993638</v>
      </c>
      <c r="DA24" s="3">
        <f t="shared" si="44"/>
        <v>504.729526068837</v>
      </c>
      <c r="DB24" s="3">
        <f t="shared" si="44"/>
        <v>499.68223080814863</v>
      </c>
      <c r="DC24" s="3">
        <f t="shared" si="44"/>
        <v>494.68540850006713</v>
      </c>
      <c r="DD24" s="3">
        <f t="shared" si="44"/>
        <v>489.73855441506646</v>
      </c>
      <c r="DE24" s="3">
        <f t="shared" si="44"/>
        <v>484.84116887091579</v>
      </c>
      <c r="DF24" s="3">
        <f t="shared" si="44"/>
        <v>479.99275718220662</v>
      </c>
      <c r="DG24" s="3">
        <f t="shared" si="44"/>
        <v>475.19282961038454</v>
      </c>
      <c r="DH24" s="3">
        <f t="shared" si="44"/>
        <v>470.44090131428067</v>
      </c>
      <c r="DI24" s="3">
        <f t="shared" si="44"/>
        <v>465.73649230113784</v>
      </c>
      <c r="DJ24" s="3">
        <f t="shared" si="44"/>
        <v>461.07912737812649</v>
      </c>
      <c r="DK24" s="3">
        <f t="shared" si="44"/>
        <v>456.46833610434521</v>
      </c>
      <c r="DL24" s="3">
        <f t="shared" si="44"/>
        <v>451.90365274330173</v>
      </c>
      <c r="DM24" s="3">
        <f t="shared" si="44"/>
        <v>447.38461621586873</v>
      </c>
      <c r="DN24" s="3">
        <f t="shared" si="44"/>
        <v>442.91077005371005</v>
      </c>
      <c r="DO24" s="3">
        <f t="shared" si="44"/>
        <v>438.48166235317296</v>
      </c>
    </row>
    <row r="25" spans="2:119" x14ac:dyDescent="0.25">
      <c r="B25" s="1" t="s">
        <v>28</v>
      </c>
      <c r="C25" s="6"/>
      <c r="D25" s="6"/>
      <c r="F25" s="6">
        <f t="shared" ref="F25:N25" si="45">+F24/F26</f>
        <v>-5.2910570613702017E-2</v>
      </c>
      <c r="G25" s="6">
        <f t="shared" si="45"/>
        <v>-4.3445433297580778E-2</v>
      </c>
      <c r="H25" s="6">
        <f t="shared" si="45"/>
        <v>-3.3508805957312933E-2</v>
      </c>
      <c r="I25" s="6">
        <f t="shared" si="45"/>
        <v>-2.7016006938902208E-2</v>
      </c>
      <c r="J25" s="6">
        <f t="shared" si="45"/>
        <v>5.6118782791625688E-3</v>
      </c>
      <c r="K25" s="6">
        <f t="shared" si="45"/>
        <v>5.9634315384827385E-2</v>
      </c>
      <c r="L25" s="6">
        <f t="shared" si="45"/>
        <v>5.6633108664250427E-2</v>
      </c>
      <c r="M25" s="6">
        <f t="shared" si="45"/>
        <v>0.10036604530032268</v>
      </c>
      <c r="N25" s="6">
        <f t="shared" si="45"/>
        <v>9.2599304560155166E-2</v>
      </c>
      <c r="O25" s="6">
        <f t="shared" ref="O25:R25" si="46">+O24/O26</f>
        <v>0.28140035937220548</v>
      </c>
      <c r="P25" s="6">
        <f t="shared" si="46"/>
        <v>0.65117163605744055</v>
      </c>
      <c r="Q25" s="6">
        <f t="shared" si="46"/>
        <v>0.5430978498940805</v>
      </c>
      <c r="R25" s="6">
        <f t="shared" si="46"/>
        <v>0.40418572451966517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1.3710699501132433</v>
      </c>
      <c r="AB25" s="2">
        <f t="shared" ref="AB25:AF25" si="47">+AB24/AB26</f>
        <v>1.9999068538282909</v>
      </c>
      <c r="AC25" s="2">
        <f t="shared" si="47"/>
        <v>2.4589007814866912</v>
      </c>
      <c r="AD25" s="2">
        <f t="shared" si="47"/>
        <v>2.9603707534567709</v>
      </c>
      <c r="AE25" s="2">
        <f t="shared" si="47"/>
        <v>3.7121468025871325</v>
      </c>
      <c r="AF25" s="2">
        <f t="shared" si="47"/>
        <v>4.4734652754985031</v>
      </c>
    </row>
    <row r="26" spans="2:119" x14ac:dyDescent="0.25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f t="shared" ref="O26:R26" si="48">+N26</f>
        <v>240.72534999999999</v>
      </c>
      <c r="P26" s="5">
        <f t="shared" si="48"/>
        <v>240.72534999999999</v>
      </c>
      <c r="Q26" s="5">
        <f t="shared" si="48"/>
        <v>240.72534999999999</v>
      </c>
      <c r="R26" s="5">
        <f t="shared" si="48"/>
        <v>240.72534999999999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49">+AA26</f>
        <v>234.98786474999997</v>
      </c>
      <c r="AC26" s="3">
        <f t="shared" si="49"/>
        <v>234.98786474999997</v>
      </c>
      <c r="AD26" s="3">
        <f t="shared" si="49"/>
        <v>234.98786474999997</v>
      </c>
      <c r="AE26" s="3">
        <f t="shared" si="49"/>
        <v>234.98786474999997</v>
      </c>
      <c r="AF26" s="3">
        <f t="shared" si="49"/>
        <v>234.98786474999997</v>
      </c>
    </row>
    <row r="28" spans="2:119" s="10" customFormat="1" ht="13" x14ac:dyDescent="0.3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0">+J12/F12-1</f>
        <v>0.47496755440990879</v>
      </c>
      <c r="K28" s="12">
        <f t="shared" si="50"/>
        <v>0.45814855585259751</v>
      </c>
      <c r="L28" s="12">
        <f t="shared" si="50"/>
        <v>0.51818076878679453</v>
      </c>
      <c r="M28" s="12">
        <f t="shared" si="50"/>
        <v>0.77131791494448576</v>
      </c>
      <c r="N28" s="12">
        <f t="shared" si="50"/>
        <v>0.95094051958689318</v>
      </c>
      <c r="O28" s="12">
        <f t="shared" si="50"/>
        <v>1.1066178717407635</v>
      </c>
      <c r="P28" s="12">
        <f t="shared" si="50"/>
        <v>0.77412814274128139</v>
      </c>
      <c r="Q28" s="12">
        <f t="shared" si="50"/>
        <v>0.51909073703294184</v>
      </c>
      <c r="R28" s="12">
        <f t="shared" si="50"/>
        <v>0.37174496351366226</v>
      </c>
      <c r="V28" s="13">
        <f t="shared" ref="V28:AF28" si="51">+V12/U12-1</f>
        <v>0.80184839749024928</v>
      </c>
      <c r="W28" s="13">
        <f t="shared" si="51"/>
        <v>0.8276652527276025</v>
      </c>
      <c r="X28" s="13">
        <f t="shared" si="51"/>
        <v>0.9380604535857997</v>
      </c>
      <c r="Y28" s="13">
        <f t="shared" si="51"/>
        <v>0.65491273751413881</v>
      </c>
      <c r="Z28" s="13">
        <f t="shared" si="51"/>
        <v>0.69325000000000014</v>
      </c>
      <c r="AA28" s="13">
        <f t="shared" si="51"/>
        <v>0.63628655061855133</v>
      </c>
      <c r="AB28" s="13">
        <f t="shared" si="51"/>
        <v>0.22371203178807986</v>
      </c>
      <c r="AC28" s="13">
        <f t="shared" si="51"/>
        <v>0.18157312299496731</v>
      </c>
      <c r="AD28" s="13">
        <f t="shared" si="51"/>
        <v>0.16212920440259659</v>
      </c>
      <c r="AE28" s="13">
        <f t="shared" si="51"/>
        <v>0.14710666939536576</v>
      </c>
      <c r="AF28" s="13">
        <f t="shared" si="51"/>
        <v>0.13515139759478934</v>
      </c>
    </row>
    <row r="29" spans="2:119" s="10" customFormat="1" ht="13" x14ac:dyDescent="0.3">
      <c r="C29" s="11"/>
      <c r="D29" s="11"/>
      <c r="E29" s="11"/>
      <c r="F29" s="11"/>
      <c r="G29" s="11"/>
      <c r="H29" s="12"/>
      <c r="I29" s="12"/>
      <c r="J29" s="12">
        <f t="shared" ref="J29:M29" si="52">J3/F3-1</f>
        <v>0.47788461538461546</v>
      </c>
      <c r="K29" s="12">
        <f t="shared" si="52"/>
        <v>0.41356492969396186</v>
      </c>
      <c r="L29" s="12">
        <f t="shared" si="52"/>
        <v>0.43384615384615377</v>
      </c>
      <c r="M29" s="12">
        <f t="shared" si="52"/>
        <v>0.43548387096774199</v>
      </c>
      <c r="N29" s="12">
        <f>N3/J3-1</f>
        <v>0.45022771633051395</v>
      </c>
      <c r="O29" s="12"/>
      <c r="P29" s="12"/>
      <c r="Q29" s="12"/>
      <c r="R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1" spans="2:119" x14ac:dyDescent="0.25">
      <c r="B31" s="1" t="s">
        <v>40</v>
      </c>
      <c r="F31" s="16">
        <f t="shared" ref="F31:L31" si="53">+F14/F12</f>
        <v>0.79147503334270308</v>
      </c>
      <c r="G31" s="16">
        <f t="shared" si="53"/>
        <v>0.80424070870681974</v>
      </c>
      <c r="H31" s="16">
        <f t="shared" si="53"/>
        <v>0.81841355958290052</v>
      </c>
      <c r="I31" s="16">
        <f t="shared" si="53"/>
        <v>0.82624096268620506</v>
      </c>
      <c r="J31" s="16">
        <f t="shared" si="53"/>
        <v>0.82742205588377216</v>
      </c>
      <c r="K31" s="16">
        <f t="shared" si="53"/>
        <v>0.82357614560827697</v>
      </c>
      <c r="L31" s="16">
        <f t="shared" si="53"/>
        <v>0.8129720448094081</v>
      </c>
      <c r="M31" s="16">
        <f>+M14/M12</f>
        <v>0.7916355377581209</v>
      </c>
      <c r="N31" s="16">
        <f t="shared" ref="N31:R31" si="54">+N14/N12</f>
        <v>0.76805455388151866</v>
      </c>
      <c r="O31" s="16">
        <f t="shared" si="54"/>
        <v>0.73494709897610921</v>
      </c>
      <c r="P31" s="16">
        <f t="shared" si="54"/>
        <v>0.8</v>
      </c>
      <c r="Q31" s="16">
        <f t="shared" si="54"/>
        <v>0.8</v>
      </c>
      <c r="R31" s="16">
        <f t="shared" si="54"/>
        <v>0.8</v>
      </c>
      <c r="W31" s="14">
        <f>+W14/W12</f>
        <v>0.7521535394551967</v>
      </c>
      <c r="X31" s="14">
        <f>+X14/X12</f>
        <v>0.77568720630992416</v>
      </c>
      <c r="Y31" s="14">
        <f>+Y14/Y12</f>
        <v>0.81989564220183497</v>
      </c>
      <c r="Z31" s="14">
        <f>+Z14/Z12</f>
        <v>0.79453022456949285</v>
      </c>
      <c r="AA31" s="14">
        <f>+AA14/AA12</f>
        <v>0.78</v>
      </c>
      <c r="AB31" s="14">
        <f t="shared" ref="AB31:AF31" si="55">+AB14/AB12</f>
        <v>0.75000000000000011</v>
      </c>
      <c r="AC31" s="14">
        <f t="shared" si="55"/>
        <v>0.72</v>
      </c>
      <c r="AD31" s="14">
        <f t="shared" si="55"/>
        <v>0.7</v>
      </c>
      <c r="AE31" s="14">
        <f t="shared" si="55"/>
        <v>0.7</v>
      </c>
      <c r="AF31" s="14">
        <f t="shared" si="55"/>
        <v>0.7</v>
      </c>
    </row>
    <row r="33" spans="2:28" x14ac:dyDescent="0.25">
      <c r="B33" s="17" t="s">
        <v>3</v>
      </c>
      <c r="K33" s="5">
        <f>105.237+98.355+0.856</f>
        <v>204.44799999999998</v>
      </c>
      <c r="L33" s="5">
        <f>129.295+97.997+0.856</f>
        <v>228.14799999999997</v>
      </c>
      <c r="M33" s="5">
        <f>165.518+88.553+0.856</f>
        <v>254.92699999999999</v>
      </c>
      <c r="N33" s="5">
        <f>220.584+79.667+0.856</f>
        <v>301.10699999999997</v>
      </c>
    </row>
    <row r="34" spans="2:28" x14ac:dyDescent="0.25">
      <c r="B34" s="17" t="s">
        <v>58</v>
      </c>
      <c r="K34" s="5">
        <v>29.826000000000001</v>
      </c>
      <c r="L34" s="5">
        <v>40.588000000000001</v>
      </c>
      <c r="M34" s="5">
        <v>49.11</v>
      </c>
      <c r="N34" s="5">
        <v>64.427000000000007</v>
      </c>
      <c r="AA34" s="1">
        <v>0.61</v>
      </c>
      <c r="AB34" s="1">
        <v>0.88</v>
      </c>
    </row>
    <row r="35" spans="2:28" x14ac:dyDescent="0.25">
      <c r="B35" s="17" t="s">
        <v>59</v>
      </c>
      <c r="K35" s="5">
        <v>28.315999999999999</v>
      </c>
      <c r="L35" s="5">
        <v>23.038</v>
      </c>
      <c r="M35" s="5">
        <v>23.193999999999999</v>
      </c>
      <c r="N35" s="5">
        <v>31.152999999999999</v>
      </c>
    </row>
    <row r="36" spans="2:28" x14ac:dyDescent="0.25">
      <c r="B36" s="17" t="s">
        <v>60</v>
      </c>
      <c r="K36" s="18">
        <f>110.881+17.863</f>
        <v>128.744</v>
      </c>
      <c r="L36" s="18">
        <f>110.881+17.133</f>
        <v>128.01400000000001</v>
      </c>
      <c r="M36" s="18">
        <f>112.728+44.818</f>
        <v>157.54599999999999</v>
      </c>
      <c r="N36" s="5">
        <f>112.728+43.41</f>
        <v>156.13799999999998</v>
      </c>
    </row>
    <row r="37" spans="2:28" x14ac:dyDescent="0.25">
      <c r="B37" s="17" t="s">
        <v>61</v>
      </c>
      <c r="K37" s="5">
        <v>45.212000000000003</v>
      </c>
      <c r="L37" s="5">
        <v>49.54</v>
      </c>
      <c r="M37" s="5">
        <v>52.143999999999998</v>
      </c>
      <c r="N37" s="5">
        <v>82.082999999999998</v>
      </c>
    </row>
    <row r="38" spans="2:28" x14ac:dyDescent="0.25">
      <c r="B38" s="17" t="s">
        <v>55</v>
      </c>
      <c r="K38" s="5">
        <v>11.422000000000001</v>
      </c>
      <c r="L38" s="5">
        <v>11.034000000000001</v>
      </c>
      <c r="M38" s="5">
        <v>10.884</v>
      </c>
      <c r="N38" s="5">
        <v>10.881</v>
      </c>
    </row>
    <row r="39" spans="2:28" x14ac:dyDescent="0.25">
      <c r="B39" s="17" t="s">
        <v>62</v>
      </c>
      <c r="K39" s="5">
        <v>0</v>
      </c>
      <c r="L39" s="5">
        <v>0</v>
      </c>
      <c r="M39" s="5">
        <v>54.317999999999998</v>
      </c>
      <c r="N39" s="5">
        <v>61.603000000000002</v>
      </c>
    </row>
    <row r="40" spans="2:28" x14ac:dyDescent="0.25">
      <c r="B40" s="17" t="s">
        <v>63</v>
      </c>
      <c r="K40" s="5">
        <v>0.13800000000000001</v>
      </c>
      <c r="L40" s="5">
        <v>0.13800000000000001</v>
      </c>
      <c r="M40" s="5">
        <v>0.13800000000000001</v>
      </c>
      <c r="N40" s="5">
        <v>0.14699999999999999</v>
      </c>
    </row>
    <row r="41" spans="2:28" x14ac:dyDescent="0.25">
      <c r="B41" s="17" t="s">
        <v>57</v>
      </c>
      <c r="K41" s="5">
        <f>SUM(K33:K40)</f>
        <v>448.10599999999994</v>
      </c>
      <c r="L41" s="5">
        <f>SUM(L33:L40)</f>
        <v>480.5</v>
      </c>
      <c r="M41" s="5">
        <f>SUM(M33:M40)</f>
        <v>602.26099999999997</v>
      </c>
      <c r="N41" s="5">
        <f>SUM(N33:N40)</f>
        <v>707.53899999999999</v>
      </c>
    </row>
    <row r="42" spans="2:28" x14ac:dyDescent="0.25">
      <c r="M42" s="5"/>
    </row>
    <row r="43" spans="2:28" x14ac:dyDescent="0.25">
      <c r="B43" s="17" t="s">
        <v>52</v>
      </c>
      <c r="K43" s="5">
        <v>43.918999999999997</v>
      </c>
      <c r="L43" s="5">
        <v>57.098999999999997</v>
      </c>
      <c r="M43" s="5">
        <v>75.444000000000003</v>
      </c>
      <c r="N43" s="5">
        <v>91.18</v>
      </c>
    </row>
    <row r="44" spans="2:28" x14ac:dyDescent="0.25">
      <c r="B44" s="17" t="s">
        <v>53</v>
      </c>
      <c r="K44" s="5">
        <v>26.713999999999999</v>
      </c>
      <c r="L44" s="5">
        <v>28.948</v>
      </c>
      <c r="M44" s="5">
        <v>43.223999999999997</v>
      </c>
      <c r="N44" s="5">
        <v>53.012999999999998</v>
      </c>
    </row>
    <row r="45" spans="2:28" x14ac:dyDescent="0.25">
      <c r="B45" s="17" t="s">
        <v>54</v>
      </c>
      <c r="K45" s="5">
        <v>13.734999999999999</v>
      </c>
      <c r="L45" s="5">
        <v>20.99</v>
      </c>
      <c r="M45" s="5">
        <v>32.183999999999997</v>
      </c>
      <c r="N45" s="5">
        <v>75.284999999999997</v>
      </c>
    </row>
    <row r="46" spans="2:28" x14ac:dyDescent="0.25">
      <c r="B46" s="17" t="s">
        <v>64</v>
      </c>
      <c r="K46" s="5">
        <v>7.4119999999999999</v>
      </c>
      <c r="L46" s="5">
        <v>0</v>
      </c>
      <c r="M46" s="5">
        <v>0</v>
      </c>
      <c r="N46" s="5">
        <v>1.889</v>
      </c>
    </row>
    <row r="47" spans="2:28" x14ac:dyDescent="0.25">
      <c r="B47" s="17" t="s">
        <v>55</v>
      </c>
      <c r="K47" s="5">
        <f>1.544+10.279</f>
        <v>11.823</v>
      </c>
      <c r="L47" s="5">
        <f>1.634+9.841</f>
        <v>11.475</v>
      </c>
      <c r="M47" s="5">
        <v>1.7929999999999999</v>
      </c>
      <c r="N47" s="5">
        <v>9.4559999999999995</v>
      </c>
    </row>
    <row r="48" spans="2:28" x14ac:dyDescent="0.25">
      <c r="B48" s="17" t="s">
        <v>56</v>
      </c>
      <c r="K48" s="5">
        <v>2.1000000000000001E-2</v>
      </c>
      <c r="L48" s="5">
        <v>2.1999999999999999E-2</v>
      </c>
      <c r="M48" s="5">
        <v>9.5649999999999995</v>
      </c>
      <c r="N48" s="5">
        <v>0</v>
      </c>
    </row>
    <row r="49" spans="2:14" x14ac:dyDescent="0.25">
      <c r="B49" s="17" t="s">
        <v>51</v>
      </c>
      <c r="K49" s="5">
        <v>344.48200000000003</v>
      </c>
      <c r="L49" s="5">
        <v>361.96600000000001</v>
      </c>
      <c r="M49" s="5">
        <v>440.05099999999999</v>
      </c>
      <c r="N49" s="5">
        <v>476.71600000000001</v>
      </c>
    </row>
    <row r="50" spans="2:14" x14ac:dyDescent="0.25">
      <c r="B50" s="17" t="s">
        <v>50</v>
      </c>
      <c r="K50" s="5">
        <f>SUM(K43:K49)</f>
        <v>448.10600000000005</v>
      </c>
      <c r="L50" s="5">
        <f t="shared" ref="L50" si="56">SUM(L43:L49)</f>
        <v>480.5</v>
      </c>
      <c r="M50" s="5">
        <f>SUM(M43:M49)</f>
        <v>602.26099999999997</v>
      </c>
      <c r="N50" s="5">
        <f>SUM(N43:N49)</f>
        <v>707.53899999999999</v>
      </c>
    </row>
    <row r="52" spans="2:14" x14ac:dyDescent="0.25">
      <c r="B52" s="17" t="s">
        <v>65</v>
      </c>
      <c r="K52" s="5">
        <f>K24</f>
        <v>13.678000000000049</v>
      </c>
      <c r="L52" s="5">
        <f t="shared" ref="L52:N52" si="57">L24</f>
        <v>13.297000000000057</v>
      </c>
      <c r="M52" s="5">
        <f t="shared" si="57"/>
        <v>23.592999999999968</v>
      </c>
      <c r="N52" s="5">
        <f t="shared" si="57"/>
        <v>22.290999999999947</v>
      </c>
    </row>
    <row r="53" spans="2:14" x14ac:dyDescent="0.25">
      <c r="B53" s="17" t="s">
        <v>66</v>
      </c>
      <c r="K53" s="5">
        <v>11.128</v>
      </c>
      <c r="L53" s="5">
        <f>24.425-K53</f>
        <v>13.297000000000001</v>
      </c>
      <c r="M53" s="5">
        <f>100.013-L53-K53</f>
        <v>75.588000000000008</v>
      </c>
      <c r="N53" s="5">
        <f>126.038-M53-L53-K53</f>
        <v>26.024999999999991</v>
      </c>
    </row>
    <row r="54" spans="2:14" x14ac:dyDescent="0.25">
      <c r="B54" s="17" t="s">
        <v>68</v>
      </c>
      <c r="K54" s="5">
        <v>3.0009999999999999</v>
      </c>
      <c r="L54" s="5">
        <f>6.644-K54</f>
        <v>3.6430000000000002</v>
      </c>
      <c r="M54" s="5">
        <f>11.027-L54-K54</f>
        <v>4.3829999999999991</v>
      </c>
      <c r="N54" s="5">
        <f>17.088-M54-L54-K54</f>
        <v>6.0610000000000017</v>
      </c>
    </row>
    <row r="55" spans="2:14" x14ac:dyDescent="0.25">
      <c r="B55" s="17" t="s">
        <v>67</v>
      </c>
      <c r="K55" s="5">
        <v>19.032</v>
      </c>
      <c r="L55" s="5">
        <f>43.074-K55</f>
        <v>24.041999999999998</v>
      </c>
      <c r="M55" s="5">
        <f>67.973-L55-K55</f>
        <v>24.898999999999997</v>
      </c>
      <c r="N55" s="5">
        <f>92.322-M55-L55-K55</f>
        <v>24.349</v>
      </c>
    </row>
    <row r="56" spans="2:14" x14ac:dyDescent="0.25">
      <c r="B56" s="17" t="s">
        <v>72</v>
      </c>
      <c r="K56" s="5">
        <v>-1.077</v>
      </c>
      <c r="L56" s="5">
        <f>-2.281-K56</f>
        <v>-1.2040000000000002</v>
      </c>
      <c r="M56" s="5">
        <f>-3.44-L56-K56</f>
        <v>-1.1589999999999998</v>
      </c>
      <c r="N56" s="5">
        <f>-4.355-M56-L56-K56</f>
        <v>-0.91500000000000048</v>
      </c>
    </row>
    <row r="57" spans="2:14" x14ac:dyDescent="0.25">
      <c r="B57" s="17" t="s">
        <v>71</v>
      </c>
      <c r="K57" s="5">
        <v>7.4999999999999997E-2</v>
      </c>
      <c r="L57" s="5">
        <f>0.114-K57</f>
        <v>3.9000000000000007E-2</v>
      </c>
      <c r="M57" s="5">
        <f>0.114-L57-K57</f>
        <v>0</v>
      </c>
      <c r="N57" s="5">
        <f>0.114-M57-L57-K57</f>
        <v>0</v>
      </c>
    </row>
    <row r="58" spans="2:14" x14ac:dyDescent="0.25">
      <c r="B58" s="17" t="s">
        <v>55</v>
      </c>
      <c r="K58" s="5">
        <v>0.57399999999999995</v>
      </c>
      <c r="L58" s="5">
        <f>1.221-K58</f>
        <v>0.64700000000000013</v>
      </c>
      <c r="M58" s="5">
        <f>1.875-L58-K58</f>
        <v>0.6539999999999998</v>
      </c>
      <c r="N58" s="5">
        <f>2.546-M58-L58-K58</f>
        <v>0.67099999999999971</v>
      </c>
    </row>
    <row r="59" spans="2:14" x14ac:dyDescent="0.25">
      <c r="B59" s="21" t="s">
        <v>85</v>
      </c>
      <c r="K59" s="5">
        <v>0</v>
      </c>
      <c r="L59" s="5">
        <v>0</v>
      </c>
      <c r="M59" s="5">
        <f>-54.34-L59-K59</f>
        <v>-54.34</v>
      </c>
      <c r="N59" s="5">
        <f>-61.649-M59-L59-K59</f>
        <v>-7.3089999999999975</v>
      </c>
    </row>
    <row r="60" spans="2:14" x14ac:dyDescent="0.25">
      <c r="B60" s="17" t="s">
        <v>70</v>
      </c>
      <c r="K60" s="5">
        <v>0.40799999999999997</v>
      </c>
      <c r="L60" s="5">
        <f>0.412-K60</f>
        <v>4.0000000000000036E-3</v>
      </c>
      <c r="M60" s="5">
        <f>0.435-L60-K60</f>
        <v>2.300000000000002E-2</v>
      </c>
      <c r="N60" s="5">
        <f>0.357-M60-L60-K60</f>
        <v>-7.8000000000000014E-2</v>
      </c>
    </row>
    <row r="61" spans="2:14" x14ac:dyDescent="0.25">
      <c r="B61" s="17" t="s">
        <v>69</v>
      </c>
      <c r="K61" s="5">
        <f>-7.362-6.708-0.047+3.602-2.258+6.002-0.532</f>
        <v>-7.3029999999999999</v>
      </c>
      <c r="L61" s="5">
        <f>-18.124-1.43-0.47+16.156-0.24+13.257-1.1-2.825-K61</f>
        <v>12.527000000000001</v>
      </c>
      <c r="M61" s="5">
        <f>-26.295-1.535-0.047+35.052+14.002+24.451-1.761-2.825-L61-K61</f>
        <v>35.817999999999991</v>
      </c>
      <c r="N61" s="5">
        <f>-41.612-9.494-0.056+43.71+23.791+67.552-2.443-2.825-M61-L61-K61</f>
        <v>37.58100000000001</v>
      </c>
    </row>
    <row r="62" spans="2:14" ht="13" x14ac:dyDescent="0.3">
      <c r="B62" s="17" t="s">
        <v>29</v>
      </c>
      <c r="K62" s="8">
        <f>SUM(K53:K61)</f>
        <v>25.838000000000005</v>
      </c>
      <c r="L62" s="8">
        <f t="shared" ref="L62:M62" si="58">SUM(L53:L61)</f>
        <v>52.994999999999997</v>
      </c>
      <c r="M62" s="8">
        <f t="shared" si="58"/>
        <v>85.865999999999985</v>
      </c>
      <c r="N62" s="8">
        <f>SUM(N53:N61)</f>
        <v>86.384999999999991</v>
      </c>
    </row>
    <row r="63" spans="2:14" x14ac:dyDescent="0.25">
      <c r="N63" s="5"/>
    </row>
    <row r="64" spans="2:14" x14ac:dyDescent="0.25">
      <c r="B64" s="17" t="s">
        <v>75</v>
      </c>
      <c r="K64" s="5">
        <f>-70.7+97.7</f>
        <v>27</v>
      </c>
      <c r="L64" s="5">
        <f>-97.539+126.095-K64</f>
        <v>1.5559999999999974</v>
      </c>
      <c r="M64" s="5">
        <f>-150.595+189.292+0.725-L64-K64</f>
        <v>10.866000000000007</v>
      </c>
      <c r="N64" s="5">
        <f>-160.564+208.94+0.725-M64-L64-K64</f>
        <v>9.679000000000002</v>
      </c>
    </row>
    <row r="65" spans="2:34" x14ac:dyDescent="0.25">
      <c r="B65" s="17" t="s">
        <v>74</v>
      </c>
      <c r="K65" s="5">
        <v>-3.3769999999999998</v>
      </c>
      <c r="L65" s="5">
        <f>-6.191-K65</f>
        <v>-2.8140000000000001</v>
      </c>
      <c r="M65" s="5">
        <f>-8.73-L65-K65</f>
        <v>-2.5390000000000006</v>
      </c>
      <c r="N65" s="5">
        <f>-11.095-M65-L65-K65</f>
        <v>-2.3650000000000011</v>
      </c>
    </row>
    <row r="66" spans="2:34" x14ac:dyDescent="0.25">
      <c r="B66" s="21" t="s">
        <v>86</v>
      </c>
      <c r="K66" s="5">
        <v>0</v>
      </c>
      <c r="L66" s="5">
        <v>0</v>
      </c>
      <c r="M66" s="5">
        <f>-15.399-L66-K66</f>
        <v>-15.398999999999999</v>
      </c>
      <c r="N66" s="5">
        <f>-15.399-M66-K66-L66</f>
        <v>0</v>
      </c>
    </row>
    <row r="67" spans="2:34" x14ac:dyDescent="0.25">
      <c r="B67" s="17" t="s">
        <v>31</v>
      </c>
      <c r="K67" s="5">
        <v>-10.581</v>
      </c>
      <c r="L67" s="5">
        <f>-13.793-K67</f>
        <v>-3.2119999999999997</v>
      </c>
      <c r="M67" s="5">
        <f>-17.135-L67-K67</f>
        <v>-3.3420000000000023</v>
      </c>
      <c r="N67" s="5">
        <f>-41.655-M67-L67-K67</f>
        <v>-24.52</v>
      </c>
    </row>
    <row r="68" spans="2:34" x14ac:dyDescent="0.25">
      <c r="B68" s="17" t="s">
        <v>73</v>
      </c>
      <c r="K68" s="5">
        <f>SUM(K64:K67)</f>
        <v>13.042000000000002</v>
      </c>
      <c r="L68" s="5">
        <f>SUM(L64:L67)</f>
        <v>-4.4700000000000024</v>
      </c>
      <c r="M68" s="5">
        <f>SUM(M64:M67)</f>
        <v>-10.413999999999996</v>
      </c>
      <c r="N68" s="5">
        <f>SUM(N64:N67)</f>
        <v>-17.206</v>
      </c>
    </row>
    <row r="69" spans="2:34" x14ac:dyDescent="0.25">
      <c r="N69" s="5"/>
    </row>
    <row r="70" spans="2:34" s="3" customFormat="1" x14ac:dyDescent="0.25">
      <c r="B70" s="20" t="s">
        <v>78</v>
      </c>
      <c r="C70" s="5"/>
      <c r="D70" s="5"/>
      <c r="E70" s="5"/>
      <c r="F70" s="5"/>
      <c r="G70" s="5"/>
      <c r="H70" s="5"/>
      <c r="I70" s="5"/>
      <c r="J70" s="5"/>
      <c r="K70" s="5">
        <f>5.07-7.314</f>
        <v>-2.2439999999999998</v>
      </c>
      <c r="L70" s="5">
        <f>16.472-22.281-K70+1.622</f>
        <v>-1.9429999999999976</v>
      </c>
      <c r="M70" s="5">
        <f>18.505+1.622-L70-K70-33.096</f>
        <v>-8.782</v>
      </c>
      <c r="N70" s="5">
        <f>26.651-52.501+3.901-M70-L70-K70+0.333</f>
        <v>-8.6470000000000002</v>
      </c>
      <c r="O70" s="5"/>
      <c r="P70" s="5"/>
      <c r="Q70" s="5"/>
      <c r="R70" s="5"/>
    </row>
    <row r="71" spans="2:34" s="3" customFormat="1" x14ac:dyDescent="0.25">
      <c r="B71" s="20" t="s">
        <v>64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f>-3.19-K71</f>
        <v>-3.19</v>
      </c>
      <c r="M71" s="5">
        <f>-3.19-L71-K71</f>
        <v>0</v>
      </c>
      <c r="N71" s="5">
        <f>-3.19-M71-L71-K71</f>
        <v>0</v>
      </c>
      <c r="O71" s="5"/>
      <c r="P71" s="5"/>
      <c r="Q71" s="5"/>
      <c r="R71" s="5"/>
    </row>
    <row r="72" spans="2:34" s="3" customFormat="1" x14ac:dyDescent="0.25">
      <c r="B72" s="20" t="s">
        <v>77</v>
      </c>
      <c r="C72" s="5"/>
      <c r="D72" s="5"/>
      <c r="E72" s="5"/>
      <c r="F72" s="5"/>
      <c r="G72" s="5"/>
      <c r="H72" s="5"/>
      <c r="I72" s="5"/>
      <c r="J72" s="5"/>
      <c r="K72" s="5">
        <v>-28.064</v>
      </c>
      <c r="L72" s="5">
        <f>-47.996-K72</f>
        <v>-19.932000000000002</v>
      </c>
      <c r="M72" s="5">
        <f>-78.034-L72-K72</f>
        <v>-30.038000000000004</v>
      </c>
      <c r="N72" s="5">
        <f>-83.039-M72-L72-K72</f>
        <v>-5.0049999999999955</v>
      </c>
      <c r="O72" s="5"/>
      <c r="P72" s="5"/>
      <c r="Q72" s="5"/>
      <c r="R72" s="5"/>
    </row>
    <row r="73" spans="2:34" s="3" customFormat="1" x14ac:dyDescent="0.25">
      <c r="B73" s="20" t="s">
        <v>76</v>
      </c>
      <c r="C73" s="5"/>
      <c r="D73" s="5"/>
      <c r="E73" s="5"/>
      <c r="F73" s="5"/>
      <c r="G73" s="5"/>
      <c r="H73" s="5"/>
      <c r="I73" s="5"/>
      <c r="J73" s="5"/>
      <c r="K73" s="5">
        <f>SUM(K70:K72)</f>
        <v>-30.308</v>
      </c>
      <c r="L73" s="5">
        <f>SUM(L70:L72)</f>
        <v>-25.064999999999998</v>
      </c>
      <c r="M73" s="5">
        <f>SUM(M70:M72)</f>
        <v>-38.820000000000007</v>
      </c>
      <c r="N73" s="5">
        <f>SUM(N70:N72)</f>
        <v>-13.651999999999996</v>
      </c>
      <c r="O73" s="5"/>
      <c r="P73" s="5"/>
      <c r="Q73" s="5"/>
      <c r="R73" s="5"/>
    </row>
    <row r="74" spans="2:34" s="3" customFormat="1" x14ac:dyDescent="0.25">
      <c r="B74" s="20" t="s">
        <v>79</v>
      </c>
      <c r="C74" s="5"/>
      <c r="D74" s="5"/>
      <c r="E74" s="5"/>
      <c r="F74" s="5"/>
      <c r="G74" s="5"/>
      <c r="H74" s="5"/>
      <c r="I74" s="5"/>
      <c r="J74" s="5"/>
      <c r="K74" s="5">
        <v>2E-3</v>
      </c>
      <c r="L74" s="5">
        <f>0.001-K74</f>
        <v>-1E-3</v>
      </c>
      <c r="M74" s="5">
        <f>0.191-L74-K74</f>
        <v>0.19</v>
      </c>
      <c r="N74" s="5">
        <f>-0.27-M74-L74-K74</f>
        <v>-0.46100000000000002</v>
      </c>
      <c r="O74" s="5"/>
      <c r="P74" s="5"/>
      <c r="Q74" s="5"/>
      <c r="R74" s="5"/>
    </row>
    <row r="75" spans="2:34" s="3" customFormat="1" x14ac:dyDescent="0.25">
      <c r="B75" s="20" t="s">
        <v>80</v>
      </c>
      <c r="C75" s="5"/>
      <c r="D75" s="5"/>
      <c r="E75" s="5"/>
      <c r="F75" s="5"/>
      <c r="G75" s="5"/>
      <c r="H75" s="5"/>
      <c r="I75" s="5"/>
      <c r="J75" s="5"/>
      <c r="K75" s="5">
        <f>+K74+K73+K68+K62</f>
        <v>8.5740000000000052</v>
      </c>
      <c r="L75" s="5">
        <f>+L74+L73+L68+L62</f>
        <v>23.458999999999996</v>
      </c>
      <c r="M75" s="5">
        <f>+M74+M73+M68+M62</f>
        <v>36.821999999999981</v>
      </c>
      <c r="N75" s="5">
        <f>+N74+N73+N68+N62</f>
        <v>55.065999999999995</v>
      </c>
      <c r="O75" s="5"/>
      <c r="P75" s="5"/>
      <c r="Q75" s="5"/>
      <c r="R75" s="5"/>
    </row>
    <row r="77" spans="2:34" x14ac:dyDescent="0.25">
      <c r="B77" s="1" t="s">
        <v>29</v>
      </c>
      <c r="D77" s="5"/>
      <c r="E77" s="5"/>
      <c r="F77" s="5"/>
      <c r="H77" s="5"/>
      <c r="I77" s="5"/>
      <c r="J77" s="5"/>
      <c r="K77" s="5"/>
      <c r="L77" s="5"/>
      <c r="M77" s="19"/>
      <c r="AG77" s="17" t="s">
        <v>47</v>
      </c>
      <c r="AH77" s="14">
        <v>0.09</v>
      </c>
    </row>
    <row r="78" spans="2:34" x14ac:dyDescent="0.25">
      <c r="B78" s="1" t="s">
        <v>31</v>
      </c>
      <c r="L78" s="5"/>
      <c r="M78" s="19"/>
      <c r="AG78" s="17" t="s">
        <v>48</v>
      </c>
      <c r="AH78" s="14">
        <v>-0.01</v>
      </c>
    </row>
    <row r="79" spans="2:34" x14ac:dyDescent="0.25">
      <c r="B79" s="1" t="s">
        <v>32</v>
      </c>
      <c r="K79" s="5">
        <f t="shared" ref="K79:L79" si="59">+K62+K67+K65</f>
        <v>11.880000000000006</v>
      </c>
      <c r="L79" s="5">
        <f t="shared" si="59"/>
        <v>46.969000000000001</v>
      </c>
      <c r="M79" s="5">
        <f>+M62+M67+M65</f>
        <v>79.984999999999985</v>
      </c>
      <c r="N79" s="5">
        <f>+N62+N67+N65</f>
        <v>59.499999999999993</v>
      </c>
      <c r="O79" s="4">
        <v>50</v>
      </c>
      <c r="AG79" s="17" t="s">
        <v>49</v>
      </c>
      <c r="AH79" s="3">
        <f>NPV(AH77,AA24:DO24)</f>
        <v>9027.7768708697113</v>
      </c>
    </row>
    <row r="82" spans="2:12" x14ac:dyDescent="0.25">
      <c r="B82" s="1" t="s">
        <v>41</v>
      </c>
      <c r="E82" s="4">
        <v>-6.1</v>
      </c>
      <c r="F82" s="4">
        <v>3.9</v>
      </c>
      <c r="G82" s="4">
        <v>6.1</v>
      </c>
      <c r="H82" s="4">
        <v>10.6</v>
      </c>
      <c r="I82" s="4">
        <v>12.3</v>
      </c>
      <c r="J82" s="4">
        <v>20.6</v>
      </c>
      <c r="K82" s="4">
        <v>32.299999999999997</v>
      </c>
      <c r="L82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C123-7E1D-4334-B166-54791422ED3E}">
  <dimension ref="B1:M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6" x14ac:dyDescent="0.4"/>
  <cols>
    <col min="3" max="7" width="8.6640625" style="22"/>
  </cols>
  <sheetData>
    <row r="1" spans="2:13" x14ac:dyDescent="0.4">
      <c r="C1" s="22" t="s">
        <v>8</v>
      </c>
      <c r="H1" t="s">
        <v>28</v>
      </c>
    </row>
    <row r="2" spans="2:13" x14ac:dyDescent="0.4">
      <c r="B2" t="s">
        <v>87</v>
      </c>
      <c r="C2" s="22" t="s">
        <v>44</v>
      </c>
      <c r="D2" s="22" t="s">
        <v>45</v>
      </c>
      <c r="E2" s="22" t="s">
        <v>46</v>
      </c>
      <c r="F2" s="22">
        <v>2025</v>
      </c>
      <c r="G2" s="22">
        <v>2026</v>
      </c>
      <c r="H2" s="22" t="s">
        <v>44</v>
      </c>
      <c r="I2" s="22" t="s">
        <v>45</v>
      </c>
      <c r="J2" s="22" t="s">
        <v>46</v>
      </c>
      <c r="K2" s="22">
        <v>2025</v>
      </c>
      <c r="L2" s="22">
        <v>2026</v>
      </c>
      <c r="M2" s="22"/>
    </row>
    <row r="3" spans="2:13" x14ac:dyDescent="0.4">
      <c r="B3" s="23">
        <v>45782</v>
      </c>
      <c r="C3" s="25">
        <v>565</v>
      </c>
      <c r="D3" s="25">
        <v>590</v>
      </c>
      <c r="E3" s="25">
        <v>636</v>
      </c>
      <c r="F3" s="25">
        <v>2330</v>
      </c>
      <c r="G3" s="25">
        <v>2880</v>
      </c>
      <c r="H3" s="24">
        <v>0.15</v>
      </c>
      <c r="I3" s="24">
        <v>0.18</v>
      </c>
      <c r="J3" s="24">
        <v>0.2</v>
      </c>
      <c r="K3" s="24">
        <v>0.61</v>
      </c>
      <c r="L3" s="24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2025-05-05T20:35:52Z</dcterms:modified>
</cp:coreProperties>
</file>