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D1EA9B-9B2E-420A-9884-DC82CDDD0FC9}" xr6:coauthVersionLast="47" xr6:coauthVersionMax="47" xr10:uidLastSave="{00000000-0000-0000-0000-000000000000}"/>
  <bookViews>
    <workbookView xWindow="-23325" yWindow="3990" windowWidth="22485" windowHeight="14175" tabRatio="524" firstSheet="1" activeTab="2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88" i="7" l="1"/>
  <c r="CU30" i="7"/>
  <c r="CT8" i="7"/>
  <c r="CT56" i="7"/>
  <c r="CT89" i="7"/>
  <c r="K3" i="1"/>
  <c r="CV51" i="7"/>
  <c r="CW51" i="7" s="1"/>
  <c r="CX51" i="7" s="1"/>
  <c r="CX33" i="7"/>
  <c r="CW33" i="7"/>
  <c r="CV33" i="7"/>
  <c r="CV22" i="7"/>
  <c r="CW22" i="7" s="1"/>
  <c r="CX22" i="7" s="1"/>
  <c r="CX13" i="7"/>
  <c r="CW13" i="7"/>
  <c r="CV13" i="7"/>
  <c r="EH39" i="7"/>
  <c r="EI39" i="7" s="1"/>
  <c r="EJ39" i="7" s="1"/>
  <c r="EK39" i="7" s="1"/>
  <c r="EL39" i="7" s="1"/>
  <c r="EM39" i="7" s="1"/>
  <c r="EB39" i="7"/>
  <c r="EH40" i="7"/>
  <c r="EI40" i="7" s="1"/>
  <c r="EJ40" i="7" s="1"/>
  <c r="EK40" i="7" s="1"/>
  <c r="EL40" i="7" s="1"/>
  <c r="EM40" i="7" s="1"/>
  <c r="EB40" i="7"/>
  <c r="EH38" i="7"/>
  <c r="EI38" i="7" s="1"/>
  <c r="EJ38" i="7" s="1"/>
  <c r="EK38" i="7" s="1"/>
  <c r="EL38" i="7" s="1"/>
  <c r="EM38" i="7" s="1"/>
  <c r="EB38" i="7"/>
  <c r="EB41" i="7"/>
  <c r="EB37" i="7"/>
  <c r="EB36" i="7"/>
  <c r="EB35" i="7"/>
  <c r="CS101" i="7" l="1"/>
  <c r="CT101" i="7" s="1"/>
  <c r="CS93" i="7"/>
  <c r="EB93" i="7" s="1"/>
  <c r="CS92" i="7"/>
  <c r="CS91" i="7"/>
  <c r="EH37" i="7"/>
  <c r="EI37" i="7" s="1"/>
  <c r="EJ37" i="7" s="1"/>
  <c r="EK37" i="7" s="1"/>
  <c r="EL37" i="7" s="1"/>
  <c r="EM37" i="7" s="1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CN171" i="7"/>
  <c r="CN168" i="7"/>
  <c r="CN166" i="7"/>
  <c r="CN167" i="7"/>
  <c r="CN169" i="7"/>
  <c r="CN165" i="7"/>
  <c r="CN159" i="7"/>
  <c r="CN162" i="7"/>
  <c r="CN161" i="7"/>
  <c r="CN157" i="7"/>
  <c r="CN158" i="7"/>
  <c r="CN154" i="7"/>
  <c r="CN153" i="7"/>
  <c r="CN151" i="7"/>
  <c r="CN150" i="7"/>
  <c r="CN149" i="7"/>
  <c r="CN148" i="7"/>
  <c r="CN147" i="7"/>
  <c r="CN146" i="7"/>
  <c r="CN145" i="7"/>
  <c r="CN144" i="7"/>
  <c r="CR171" i="7"/>
  <c r="CR169" i="7"/>
  <c r="CR167" i="7"/>
  <c r="CR168" i="7"/>
  <c r="CR166" i="7"/>
  <c r="CR160" i="7"/>
  <c r="CR159" i="7"/>
  <c r="CR158" i="7"/>
  <c r="CR157" i="7"/>
  <c r="CR161" i="7"/>
  <c r="CR162" i="7"/>
  <c r="CR154" i="7"/>
  <c r="CR153" i="7"/>
  <c r="CR151" i="7"/>
  <c r="CR150" i="7"/>
  <c r="CR149" i="7"/>
  <c r="CR148" i="7"/>
  <c r="CR147" i="7"/>
  <c r="CR146" i="7"/>
  <c r="CR145" i="7"/>
  <c r="CR144" i="7"/>
  <c r="CN139" i="7"/>
  <c r="CN133" i="7"/>
  <c r="CN137" i="7"/>
  <c r="CN122" i="7"/>
  <c r="CN125" i="7"/>
  <c r="CN123" i="7"/>
  <c r="CN128" i="7"/>
  <c r="CP139" i="7"/>
  <c r="CP136" i="7"/>
  <c r="CP137" i="7"/>
  <c r="CP133" i="7"/>
  <c r="CP128" i="7"/>
  <c r="CP125" i="7"/>
  <c r="CP123" i="7"/>
  <c r="CP122" i="7"/>
  <c r="C13" i="46"/>
  <c r="C14" i="33"/>
  <c r="C18" i="33" s="1"/>
  <c r="C19" i="45"/>
  <c r="C18" i="45"/>
  <c r="C17" i="45"/>
  <c r="C20" i="45"/>
  <c r="C15" i="45"/>
  <c r="CU92" i="7" l="1"/>
  <c r="CU101" i="7"/>
  <c r="CV101" i="7" s="1"/>
  <c r="CW101" i="7" s="1"/>
  <c r="CX101" i="7" s="1"/>
  <c r="EB101" i="7"/>
  <c r="EB92" i="7"/>
  <c r="CU93" i="7"/>
  <c r="CV93" i="7" s="1"/>
  <c r="CW93" i="7" s="1"/>
  <c r="CX93" i="7" s="1"/>
  <c r="CU91" i="7"/>
  <c r="CN163" i="7"/>
  <c r="CN170" i="7"/>
  <c r="CN152" i="7"/>
  <c r="CN155" i="7" s="1"/>
  <c r="CR170" i="7"/>
  <c r="C16" i="33"/>
  <c r="C17" i="33"/>
  <c r="C19" i="33"/>
  <c r="CR163" i="7"/>
  <c r="CR152" i="7"/>
  <c r="CR155" i="7" s="1"/>
  <c r="CP142" i="7"/>
  <c r="CN142" i="7"/>
  <c r="CP131" i="7"/>
  <c r="CN131" i="7"/>
  <c r="CN121" i="7"/>
  <c r="CP121" i="7"/>
  <c r="CV28" i="7"/>
  <c r="CX28" i="7"/>
  <c r="C22" i="10"/>
  <c r="C20" i="43"/>
  <c r="C11" i="42"/>
  <c r="C14" i="41"/>
  <c r="CN172" i="7" l="1"/>
  <c r="EB91" i="7"/>
  <c r="CV92" i="7"/>
  <c r="CV91" i="7"/>
  <c r="CR172" i="7"/>
  <c r="CW28" i="7"/>
  <c r="EB28" i="7"/>
  <c r="C25" i="29"/>
  <c r="C29" i="29" s="1"/>
  <c r="CV4" i="7"/>
  <c r="C28" i="38"/>
  <c r="C41" i="35"/>
  <c r="C46" i="35" s="1"/>
  <c r="C26" i="37"/>
  <c r="C28" i="37" s="1"/>
  <c r="C36" i="36"/>
  <c r="C41" i="36" s="1"/>
  <c r="C35" i="34"/>
  <c r="C34" i="34"/>
  <c r="C33" i="34"/>
  <c r="C32" i="34"/>
  <c r="C30" i="34"/>
  <c r="CV10" i="7"/>
  <c r="CV114" i="7" s="1"/>
  <c r="CU114" i="7"/>
  <c r="CV57" i="7"/>
  <c r="CX57" i="7"/>
  <c r="CV56" i="7"/>
  <c r="CW56" i="7" s="1"/>
  <c r="CX56" i="7" s="1"/>
  <c r="CV53" i="7"/>
  <c r="CX53" i="7"/>
  <c r="DT26" i="7"/>
  <c r="CV18" i="7"/>
  <c r="CX18" i="7"/>
  <c r="CV15" i="7"/>
  <c r="CX15" i="7"/>
  <c r="CV14" i="7"/>
  <c r="CX14" i="7"/>
  <c r="CV12" i="7"/>
  <c r="CX12" i="7"/>
  <c r="CV11" i="7"/>
  <c r="CX11" i="7"/>
  <c r="CV8" i="7"/>
  <c r="CX8" i="7"/>
  <c r="CR95" i="7"/>
  <c r="CS95" i="7" s="1"/>
  <c r="CN181" i="7"/>
  <c r="CR181" i="7"/>
  <c r="CN180" i="7"/>
  <c r="CR180" i="7"/>
  <c r="CW4" i="7"/>
  <c r="CV17" i="7"/>
  <c r="CX17" i="7"/>
  <c r="CX7" i="7"/>
  <c r="CV16" i="7"/>
  <c r="CL114" i="7"/>
  <c r="CK114" i="7"/>
  <c r="CQ114" i="7"/>
  <c r="CP114" i="7"/>
  <c r="CO114" i="7"/>
  <c r="CN114" i="7"/>
  <c r="CM114" i="7"/>
  <c r="CR114" i="7"/>
  <c r="CR88" i="7"/>
  <c r="DQ88" i="7"/>
  <c r="DT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15" i="7"/>
  <c r="DT20" i="7"/>
  <c r="DT21" i="7"/>
  <c r="DT22" i="7"/>
  <c r="DT23" i="7"/>
  <c r="DT16" i="7"/>
  <c r="DT24" i="7"/>
  <c r="DT46" i="7"/>
  <c r="DT17" i="7"/>
  <c r="DT48" i="7"/>
  <c r="DT50" i="7"/>
  <c r="DT25" i="7"/>
  <c r="DT49" i="7"/>
  <c r="DT27" i="7"/>
  <c r="DT31" i="7"/>
  <c r="DT32" i="7"/>
  <c r="DT33" i="7"/>
  <c r="DT34" i="7"/>
  <c r="DT42" i="7"/>
  <c r="DT43" i="7"/>
  <c r="DT44" i="7"/>
  <c r="DT45" i="7"/>
  <c r="DT29" i="7"/>
  <c r="DT28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65" i="7"/>
  <c r="DT19" i="7"/>
  <c r="DT6" i="7"/>
  <c r="DT7" i="7"/>
  <c r="DT8" i="7"/>
  <c r="DT47" i="7"/>
  <c r="DT41" i="7"/>
  <c r="DT9" i="7"/>
  <c r="DT10" i="7"/>
  <c r="DT11" i="7"/>
  <c r="DT18" i="7"/>
  <c r="DT12" i="7"/>
  <c r="DT13" i="7"/>
  <c r="DT5" i="7"/>
  <c r="DT4" i="7"/>
  <c r="DT3" i="7"/>
  <c r="DU87" i="7"/>
  <c r="DU66" i="7"/>
  <c r="DU65" i="7"/>
  <c r="DU64" i="7"/>
  <c r="DU24" i="7"/>
  <c r="DU46" i="7"/>
  <c r="DU17" i="7"/>
  <c r="DU48" i="7"/>
  <c r="DU50" i="7"/>
  <c r="DU25" i="7"/>
  <c r="DU49" i="7"/>
  <c r="DU26" i="7"/>
  <c r="DU27" i="7"/>
  <c r="DU31" i="7"/>
  <c r="DU32" i="7"/>
  <c r="DU33" i="7"/>
  <c r="DU34" i="7"/>
  <c r="DU42" i="7"/>
  <c r="DU43" i="7"/>
  <c r="DU44" i="7"/>
  <c r="DU45" i="7"/>
  <c r="DU29" i="7"/>
  <c r="DU28" i="7"/>
  <c r="DU51" i="7"/>
  <c r="DU52" i="7"/>
  <c r="DU53" i="7"/>
  <c r="DU54" i="7"/>
  <c r="DU55" i="7"/>
  <c r="DU56" i="7"/>
  <c r="DU57" i="7"/>
  <c r="DU58" i="7"/>
  <c r="DU59" i="7"/>
  <c r="DU60" i="7"/>
  <c r="DU61" i="7"/>
  <c r="DU62" i="7"/>
  <c r="DU5" i="7"/>
  <c r="DU6" i="7"/>
  <c r="DU7" i="7"/>
  <c r="DU8" i="7"/>
  <c r="DU47" i="7"/>
  <c r="DU41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2" i="7"/>
  <c r="DV33" i="7"/>
  <c r="DV34" i="7"/>
  <c r="DV42" i="7"/>
  <c r="DV43" i="7"/>
  <c r="DV44" i="7"/>
  <c r="DV45" i="7"/>
  <c r="DV29" i="7"/>
  <c r="DV28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66" i="7"/>
  <c r="DV46" i="7"/>
  <c r="DV17" i="7"/>
  <c r="DV48" i="7"/>
  <c r="DV50" i="7"/>
  <c r="DV25" i="7"/>
  <c r="DV49" i="7"/>
  <c r="DV26" i="7"/>
  <c r="DV27" i="7"/>
  <c r="DV31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1" i="7"/>
  <c r="DV47" i="7"/>
  <c r="DV8" i="7"/>
  <c r="DV7" i="7"/>
  <c r="DV6" i="7"/>
  <c r="DV5" i="7"/>
  <c r="DV4" i="7"/>
  <c r="DV3" i="7"/>
  <c r="CW5" i="7"/>
  <c r="CV5" i="7"/>
  <c r="CX5" i="7"/>
  <c r="CR139" i="7"/>
  <c r="CR136" i="7"/>
  <c r="CR137" i="7"/>
  <c r="CR133" i="7"/>
  <c r="CR122" i="7"/>
  <c r="CR125" i="7"/>
  <c r="CR123" i="7"/>
  <c r="CR128" i="7"/>
  <c r="CR89" i="7"/>
  <c r="AE122" i="7"/>
  <c r="AD122" i="7" s="1"/>
  <c r="AB133" i="7"/>
  <c r="CV7" i="7"/>
  <c r="CG115" i="7"/>
  <c r="CF115" i="7"/>
  <c r="CE115" i="7"/>
  <c r="CD115" i="7"/>
  <c r="CC115" i="7"/>
  <c r="CQ115" i="7"/>
  <c r="CP115" i="7"/>
  <c r="CO115" i="7"/>
  <c r="CN115" i="7"/>
  <c r="CM115" i="7"/>
  <c r="CL115" i="7"/>
  <c r="CK115" i="7"/>
  <c r="CJ115" i="7"/>
  <c r="CI115" i="7"/>
  <c r="CH115" i="7"/>
  <c r="CR115" i="7"/>
  <c r="CV6" i="7"/>
  <c r="CV115" i="7" s="1"/>
  <c r="CU115" i="7"/>
  <c r="CX6" i="7"/>
  <c r="CX115" i="7" s="1"/>
  <c r="CW6" i="7"/>
  <c r="CW115" i="7" s="1"/>
  <c r="CV3" i="7"/>
  <c r="CV112" i="7" s="1"/>
  <c r="CU112" i="7"/>
  <c r="CT112" i="7"/>
  <c r="CS112" i="7"/>
  <c r="BG88" i="7"/>
  <c r="BH58" i="7"/>
  <c r="BH88" i="7" s="1"/>
  <c r="BL88" i="7"/>
  <c r="BK88" i="7"/>
  <c r="BJ88" i="7"/>
  <c r="BI88" i="7"/>
  <c r="BM88" i="7"/>
  <c r="BO88" i="7"/>
  <c r="BP95" i="7"/>
  <c r="BP89" i="7"/>
  <c r="BQ95" i="7"/>
  <c r="BQ89" i="7"/>
  <c r="EC28" i="7" l="1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U95" i="7"/>
  <c r="CV95" i="7" s="1"/>
  <c r="CW95" i="7" s="1"/>
  <c r="CW57" i="7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CV58" i="7"/>
  <c r="CW58" i="7" s="1"/>
  <c r="CX58" i="7" s="1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W92" i="7"/>
  <c r="CW53" i="7"/>
  <c r="EB53" i="7"/>
  <c r="EC53" i="7" s="1"/>
  <c r="ED53" i="7" s="1"/>
  <c r="EE53" i="7" s="1"/>
  <c r="EF53" i="7" s="1"/>
  <c r="EG53" i="7" s="1"/>
  <c r="EH53" i="7" s="1"/>
  <c r="EI53" i="7" s="1"/>
  <c r="EJ53" i="7" s="1"/>
  <c r="EK53" i="7" s="1"/>
  <c r="EL53" i="7" s="1"/>
  <c r="EM53" i="7" s="1"/>
  <c r="CX95" i="7"/>
  <c r="CW91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V24" i="7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V26" i="7"/>
  <c r="CW26" i="7" s="1"/>
  <c r="CX26" i="7" s="1"/>
  <c r="CW17" i="7"/>
  <c r="EB17" i="7"/>
  <c r="CV29" i="7"/>
  <c r="CW29" i="7" s="1"/>
  <c r="CX29" i="7" s="1"/>
  <c r="EB13" i="7"/>
  <c r="EC13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CW11" i="7"/>
  <c r="EB11" i="7"/>
  <c r="EC11" i="7" s="1"/>
  <c r="ED11" i="7" s="1"/>
  <c r="EE11" i="7" s="1"/>
  <c r="EF11" i="7" s="1"/>
  <c r="EG11" i="7" s="1"/>
  <c r="EH11" i="7" s="1"/>
  <c r="CV21" i="7"/>
  <c r="CW21" i="7" s="1"/>
  <c r="CX21" i="7" s="1"/>
  <c r="CV23" i="7"/>
  <c r="CW23" i="7" s="1"/>
  <c r="CX23" i="7" s="1"/>
  <c r="CW14" i="7"/>
  <c r="EB14" i="7"/>
  <c r="CW16" i="7"/>
  <c r="EB16" i="7"/>
  <c r="CV19" i="7"/>
  <c r="CW19" i="7" s="1"/>
  <c r="CX19" i="7" s="1"/>
  <c r="CV27" i="7"/>
  <c r="CW27" i="7" s="1"/>
  <c r="CX27" i="7" s="1"/>
  <c r="CV9" i="7"/>
  <c r="CW9" i="7" s="1"/>
  <c r="CX9" i="7" s="1"/>
  <c r="CV20" i="7"/>
  <c r="CW20" i="7" s="1"/>
  <c r="CX20" i="7" s="1"/>
  <c r="CW15" i="7"/>
  <c r="EB15" i="7"/>
  <c r="CW10" i="7"/>
  <c r="CW114" i="7" s="1"/>
  <c r="EB10" i="7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V25" i="7"/>
  <c r="CW25" i="7" s="1"/>
  <c r="CX25" i="7" s="1"/>
  <c r="CX10" i="7"/>
  <c r="CX114" i="7" s="1"/>
  <c r="C30" i="29"/>
  <c r="C28" i="29"/>
  <c r="C27" i="29"/>
  <c r="C30" i="37"/>
  <c r="C31" i="37"/>
  <c r="C29" i="37"/>
  <c r="C43" i="35"/>
  <c r="C44" i="35"/>
  <c r="C45" i="35"/>
  <c r="C40" i="36"/>
  <c r="C38" i="36"/>
  <c r="C39" i="36"/>
  <c r="CT114" i="7"/>
  <c r="CR90" i="7"/>
  <c r="CR104" i="7" s="1"/>
  <c r="EB3" i="7"/>
  <c r="DV88" i="7"/>
  <c r="DU88" i="7"/>
  <c r="CR131" i="7"/>
  <c r="DT88" i="7"/>
  <c r="CX16" i="7"/>
  <c r="CR142" i="7"/>
  <c r="CS114" i="7"/>
  <c r="EB6" i="7"/>
  <c r="CR121" i="7"/>
  <c r="EB5" i="7"/>
  <c r="EC5" i="7" s="1"/>
  <c r="ED5" i="7" s="1"/>
  <c r="CS115" i="7"/>
  <c r="CT115" i="7"/>
  <c r="CW3" i="7"/>
  <c r="CW112" i="7" s="1"/>
  <c r="CX3" i="7"/>
  <c r="CX112" i="7" s="1"/>
  <c r="EA89" i="7"/>
  <c r="DZ89" i="7"/>
  <c r="CL89" i="7"/>
  <c r="CP89" i="7"/>
  <c r="CQ139" i="7"/>
  <c r="CQ134" i="7"/>
  <c r="CQ133" i="7"/>
  <c r="CQ136" i="7"/>
  <c r="CQ137" i="7"/>
  <c r="CQ128" i="7"/>
  <c r="CQ122" i="7"/>
  <c r="CQ125" i="7"/>
  <c r="CQ123" i="7"/>
  <c r="CM95" i="7"/>
  <c r="CQ95" i="7"/>
  <c r="EB95" i="7" s="1"/>
  <c r="CM89" i="7"/>
  <c r="CQ89" i="7"/>
  <c r="CV113" i="7"/>
  <c r="CU113" i="7"/>
  <c r="BS88" i="7"/>
  <c r="BQ88" i="7"/>
  <c r="BQ90" i="7" s="1"/>
  <c r="BQ94" i="7" s="1"/>
  <c r="BQ96" i="7" s="1"/>
  <c r="BQ99" i="7" s="1"/>
  <c r="BN88" i="7"/>
  <c r="BP88" i="7"/>
  <c r="BP90" i="7" s="1"/>
  <c r="BP94" i="7" s="1"/>
  <c r="BP96" i="7" s="1"/>
  <c r="BP99" i="7" s="1"/>
  <c r="BT88" i="7"/>
  <c r="BU88" i="7"/>
  <c r="BV88" i="7"/>
  <c r="CO99" i="7"/>
  <c r="CK99" i="7"/>
  <c r="CK100" i="7" s="1"/>
  <c r="CN95" i="7"/>
  <c r="CN89" i="7"/>
  <c r="CR113" i="7"/>
  <c r="CQ113" i="7"/>
  <c r="CR112" i="7"/>
  <c r="CQ112" i="7"/>
  <c r="CM59" i="7"/>
  <c r="EA22" i="7"/>
  <c r="EA21" i="7"/>
  <c r="EA20" i="7"/>
  <c r="CN59" i="7"/>
  <c r="CO59" i="7"/>
  <c r="EA34" i="7"/>
  <c r="EA33" i="7"/>
  <c r="CP59" i="7"/>
  <c r="EA51" i="7"/>
  <c r="CQ56" i="7"/>
  <c r="CO108" i="7"/>
  <c r="CK108" i="7"/>
  <c r="DZ56" i="7"/>
  <c r="DZ53" i="7"/>
  <c r="DZ28" i="7"/>
  <c r="DZ43" i="7"/>
  <c r="DZ42" i="7"/>
  <c r="DZ32" i="7"/>
  <c r="DZ25" i="7"/>
  <c r="DZ48" i="7"/>
  <c r="EA46" i="7"/>
  <c r="DZ5" i="7"/>
  <c r="DX63" i="7"/>
  <c r="DW63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3" i="7"/>
  <c r="DW53" i="7"/>
  <c r="DX52" i="7"/>
  <c r="DW52" i="7"/>
  <c r="DX28" i="7"/>
  <c r="DW28" i="7"/>
  <c r="DX9" i="7"/>
  <c r="DW9" i="7"/>
  <c r="DX29" i="7"/>
  <c r="DW29" i="7"/>
  <c r="DX45" i="7"/>
  <c r="DW45" i="7"/>
  <c r="DX44" i="7"/>
  <c r="DW44" i="7"/>
  <c r="DX43" i="7"/>
  <c r="DW43" i="7"/>
  <c r="DX42" i="7"/>
  <c r="DW42" i="7"/>
  <c r="DX32" i="7"/>
  <c r="DW32" i="7"/>
  <c r="DX31" i="7"/>
  <c r="DW31" i="7"/>
  <c r="DX27" i="7"/>
  <c r="DW27" i="7"/>
  <c r="DX26" i="7"/>
  <c r="DW26" i="7"/>
  <c r="DX49" i="7"/>
  <c r="DW49" i="7"/>
  <c r="DX25" i="7"/>
  <c r="DW25" i="7"/>
  <c r="DX50" i="7"/>
  <c r="DW50" i="7"/>
  <c r="DX48" i="7"/>
  <c r="DW48" i="7"/>
  <c r="DX17" i="7"/>
  <c r="DW17" i="7"/>
  <c r="DX46" i="7"/>
  <c r="DW46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1" i="7"/>
  <c r="DW41" i="7"/>
  <c r="DX47" i="7"/>
  <c r="DW47" i="7"/>
  <c r="DX8" i="7"/>
  <c r="DW8" i="7"/>
  <c r="DX7" i="7"/>
  <c r="DW7" i="7"/>
  <c r="DX6" i="7"/>
  <c r="DW6" i="7"/>
  <c r="DX5" i="7"/>
  <c r="DW5" i="7"/>
  <c r="DX4" i="7"/>
  <c r="DW4" i="7"/>
  <c r="DW3" i="7"/>
  <c r="DX3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DY59" i="7"/>
  <c r="DY58" i="7"/>
  <c r="DY57" i="7"/>
  <c r="DY56" i="7"/>
  <c r="DY53" i="7"/>
  <c r="DY52" i="7"/>
  <c r="DY28" i="7"/>
  <c r="DY9" i="7"/>
  <c r="DY29" i="7"/>
  <c r="DY45" i="7"/>
  <c r="DY44" i="7"/>
  <c r="DY43" i="7"/>
  <c r="DY42" i="7"/>
  <c r="DY32" i="7"/>
  <c r="DY31" i="7"/>
  <c r="DY27" i="7"/>
  <c r="DY26" i="7"/>
  <c r="DY49" i="7"/>
  <c r="DY25" i="7"/>
  <c r="DY50" i="7"/>
  <c r="DY48" i="7"/>
  <c r="DY17" i="7"/>
  <c r="DY46" i="7"/>
  <c r="DY16" i="7"/>
  <c r="DY23" i="7"/>
  <c r="DY15" i="7"/>
  <c r="DY19" i="7"/>
  <c r="DY14" i="7"/>
  <c r="DY13" i="7"/>
  <c r="DY12" i="7"/>
  <c r="DY18" i="7"/>
  <c r="DY11" i="7"/>
  <c r="DY10" i="7"/>
  <c r="DY41" i="7"/>
  <c r="EA47" i="7"/>
  <c r="DY47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3" i="7"/>
  <c r="CN113" i="7"/>
  <c r="DZ4" i="7"/>
  <c r="CJ113" i="7"/>
  <c r="CK113" i="7"/>
  <c r="CI113" i="7"/>
  <c r="CH113" i="7"/>
  <c r="CG113" i="7"/>
  <c r="CF113" i="7"/>
  <c r="CE113" i="7"/>
  <c r="CD113" i="7"/>
  <c r="CC113" i="7"/>
  <c r="CA95" i="7"/>
  <c r="CE95" i="7"/>
  <c r="CE89" i="7"/>
  <c r="CA89" i="7"/>
  <c r="BZ24" i="7"/>
  <c r="BZ88" i="7" s="1"/>
  <c r="BY24" i="7"/>
  <c r="BY88" i="7" s="1"/>
  <c r="BX24" i="7"/>
  <c r="BX88" i="7" s="1"/>
  <c r="BW24" i="7"/>
  <c r="BW88" i="7" s="1"/>
  <c r="CP112" i="7"/>
  <c r="CK112" i="7"/>
  <c r="CN112" i="7"/>
  <c r="CM112" i="7"/>
  <c r="CL112" i="7"/>
  <c r="CD112" i="7"/>
  <c r="CC112" i="7"/>
  <c r="CI112" i="7"/>
  <c r="CH112" i="7"/>
  <c r="CG112" i="7"/>
  <c r="CF112" i="7"/>
  <c r="CE112" i="7"/>
  <c r="CJ112" i="7"/>
  <c r="DZ47" i="7"/>
  <c r="CD95" i="7"/>
  <c r="CD89" i="7"/>
  <c r="BZ95" i="7"/>
  <c r="BZ89" i="7"/>
  <c r="CF95" i="7"/>
  <c r="CF89" i="7"/>
  <c r="CB89" i="7"/>
  <c r="CB95" i="7"/>
  <c r="CG95" i="7"/>
  <c r="CG89" i="7"/>
  <c r="CC95" i="7"/>
  <c r="CC89" i="7"/>
  <c r="EB19" i="7" l="1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8" i="7"/>
  <c r="EC58" i="7" s="1"/>
  <c r="ED58" i="7" s="1"/>
  <c r="EE58" i="7" s="1"/>
  <c r="EF58" i="7" s="1"/>
  <c r="EG58" i="7" s="1"/>
  <c r="EH58" i="7" s="1"/>
  <c r="EI58" i="7" s="1"/>
  <c r="EJ58" i="7" s="1"/>
  <c r="EK58" i="7" s="1"/>
  <c r="EL58" i="7" s="1"/>
  <c r="EM58" i="7" s="1"/>
  <c r="EB34" i="7"/>
  <c r="EC34" i="7" s="1"/>
  <c r="ED34" i="7" s="1"/>
  <c r="EE34" i="7" s="1"/>
  <c r="EF34" i="7" s="1"/>
  <c r="EG34" i="7" s="1"/>
  <c r="EH34" i="7" s="1"/>
  <c r="EI34" i="7" s="1"/>
  <c r="EJ34" i="7" s="1"/>
  <c r="EK34" i="7" s="1"/>
  <c r="EL34" i="7" s="1"/>
  <c r="EM34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2" i="7"/>
  <c r="CQ88" i="7"/>
  <c r="CQ106" i="7" s="1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EI11" i="7"/>
  <c r="EJ11" i="7" s="1"/>
  <c r="EK11" i="7" s="1"/>
  <c r="EL11" i="7" s="1"/>
  <c r="EM11" i="7" s="1"/>
  <c r="EB23" i="7"/>
  <c r="CX91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8" i="7"/>
  <c r="CX4" i="7"/>
  <c r="CX113" i="7" s="1"/>
  <c r="EB4" i="7"/>
  <c r="CS88" i="7"/>
  <c r="CV88" i="7"/>
  <c r="DX112" i="7"/>
  <c r="DY112" i="7"/>
  <c r="CW113" i="7"/>
  <c r="CS113" i="7"/>
  <c r="CQ142" i="7"/>
  <c r="CT113" i="7"/>
  <c r="CQ131" i="7"/>
  <c r="CQ121" i="7"/>
  <c r="CR105" i="7"/>
  <c r="CR94" i="7"/>
  <c r="CR96" i="7" s="1"/>
  <c r="CR99" i="7" s="1"/>
  <c r="CR100" i="7" s="1"/>
  <c r="CR106" i="7"/>
  <c r="EA57" i="7"/>
  <c r="DZ27" i="7"/>
  <c r="DZ31" i="7"/>
  <c r="DZ29" i="7"/>
  <c r="DZ9" i="7"/>
  <c r="DZ52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6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3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9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9" i="7"/>
  <c r="DZ57" i="7"/>
  <c r="CL113" i="7"/>
  <c r="DZ45" i="7"/>
  <c r="CM113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8" i="7" s="1"/>
  <c r="CP113" i="7"/>
  <c r="DZ23" i="7"/>
  <c r="EA41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50" i="7"/>
  <c r="DZ41" i="7"/>
  <c r="EA23" i="7"/>
  <c r="DZ16" i="7"/>
  <c r="DZ44" i="7"/>
  <c r="DZ58" i="7"/>
  <c r="EA44" i="7"/>
  <c r="EA31" i="7"/>
  <c r="CK88" i="7"/>
  <c r="EA3" i="7"/>
  <c r="CI89" i="7"/>
  <c r="CJ95" i="7"/>
  <c r="CJ89" i="7"/>
  <c r="CJ88" i="7"/>
  <c r="CJ105" i="7" s="1"/>
  <c r="CD24" i="7"/>
  <c r="CD88" i="7" s="1"/>
  <c r="CD110" i="7" s="1"/>
  <c r="CC24" i="7"/>
  <c r="CC88" i="7" s="1"/>
  <c r="CC110" i="7" s="1"/>
  <c r="CB24" i="7"/>
  <c r="CB88" i="7" s="1"/>
  <c r="CB110" i="7" s="1"/>
  <c r="CA24" i="7"/>
  <c r="V88" i="7"/>
  <c r="AC88" i="7"/>
  <c r="AV88" i="7"/>
  <c r="AW88" i="7"/>
  <c r="AX88" i="7"/>
  <c r="BA88" i="7"/>
  <c r="BB88" i="7"/>
  <c r="BE88" i="7"/>
  <c r="BF88" i="7"/>
  <c r="CG24" i="7"/>
  <c r="CG88" i="7" s="1"/>
  <c r="CF24" i="7"/>
  <c r="CF88" i="7" s="1"/>
  <c r="CF90" i="7" s="1"/>
  <c r="CF94" i="7" s="1"/>
  <c r="CF107" i="7" s="1"/>
  <c r="CE24" i="7"/>
  <c r="CH95" i="7"/>
  <c r="CH89" i="7"/>
  <c r="CH24" i="7"/>
  <c r="CL88" i="7" s="1"/>
  <c r="CL90" i="7" s="1"/>
  <c r="CL94" i="7" s="1"/>
  <c r="CL96" i="7" s="1"/>
  <c r="CI88" i="7"/>
  <c r="CI105" i="7" s="1"/>
  <c r="EB88" i="7" l="1"/>
  <c r="CQ105" i="7"/>
  <c r="CQ90" i="7"/>
  <c r="CQ104" i="7" s="1"/>
  <c r="CT90" i="7"/>
  <c r="CT106" i="7"/>
  <c r="CT105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10" i="7"/>
  <c r="CV89" i="7"/>
  <c r="CV90" i="7" s="1"/>
  <c r="CV105" i="7"/>
  <c r="CV106" i="7"/>
  <c r="CU110" i="7"/>
  <c r="CU89" i="7"/>
  <c r="CU90" i="7" s="1"/>
  <c r="CU106" i="7"/>
  <c r="CU105" i="7"/>
  <c r="EB89" i="7"/>
  <c r="CS106" i="7"/>
  <c r="CS105" i="7"/>
  <c r="CX88" i="7"/>
  <c r="CX106" i="7" s="1"/>
  <c r="CW88" i="7"/>
  <c r="DZ112" i="7"/>
  <c r="CL99" i="7"/>
  <c r="CL100" i="7" s="1"/>
  <c r="CL108" i="7"/>
  <c r="CR107" i="7"/>
  <c r="EA112" i="7"/>
  <c r="CR108" i="7"/>
  <c r="CG110" i="7"/>
  <c r="EA17" i="7"/>
  <c r="EA52" i="7"/>
  <c r="CH88" i="7"/>
  <c r="CH105" i="7" s="1"/>
  <c r="EA28" i="7"/>
  <c r="EA43" i="7"/>
  <c r="CL106" i="7"/>
  <c r="CL105" i="7"/>
  <c r="CL107" i="7"/>
  <c r="CL104" i="7"/>
  <c r="CK105" i="7"/>
  <c r="CK106" i="7"/>
  <c r="CK107" i="7"/>
  <c r="CK104" i="7"/>
  <c r="CE88" i="7"/>
  <c r="CE105" i="7" s="1"/>
  <c r="DY24" i="7"/>
  <c r="DY88" i="7" s="1"/>
  <c r="EA32" i="7"/>
  <c r="DZ24" i="7"/>
  <c r="DZ88" i="7" s="1"/>
  <c r="CA88" i="7"/>
  <c r="CA105" i="7" s="1"/>
  <c r="DX24" i="7"/>
  <c r="DX88" i="7" s="1"/>
  <c r="EA9" i="7"/>
  <c r="EA4" i="7"/>
  <c r="EA59" i="7"/>
  <c r="EA56" i="7"/>
  <c r="EA45" i="7"/>
  <c r="EA42" i="7"/>
  <c r="EA27" i="7"/>
  <c r="EA49" i="7"/>
  <c r="EA25" i="7"/>
  <c r="EA50" i="7"/>
  <c r="EA48" i="7"/>
  <c r="CG106" i="7"/>
  <c r="CG105" i="7"/>
  <c r="CJ106" i="7"/>
  <c r="CJ110" i="7"/>
  <c r="CL110" i="7"/>
  <c r="CH90" i="7"/>
  <c r="CH94" i="7" s="1"/>
  <c r="CH107" i="7" s="1"/>
  <c r="CI106" i="7"/>
  <c r="CO112" i="7"/>
  <c r="CK110" i="7"/>
  <c r="CF105" i="7"/>
  <c r="CF110" i="7"/>
  <c r="CC90" i="7"/>
  <c r="CC105" i="7"/>
  <c r="CC106" i="7"/>
  <c r="CF106" i="7"/>
  <c r="CJ90" i="7"/>
  <c r="BZ106" i="7"/>
  <c r="BZ105" i="7"/>
  <c r="CG90" i="7"/>
  <c r="CG94" i="7" s="1"/>
  <c r="CB105" i="7"/>
  <c r="CB106" i="7"/>
  <c r="CB90" i="7"/>
  <c r="CD106" i="7"/>
  <c r="CD105" i="7"/>
  <c r="CD90" i="7"/>
  <c r="BZ90" i="7"/>
  <c r="CF104" i="7"/>
  <c r="CF96" i="7"/>
  <c r="EB90" i="7" l="1"/>
  <c r="EB94" i="7" s="1"/>
  <c r="CQ94" i="7"/>
  <c r="CX105" i="7"/>
  <c r="CS90" i="7"/>
  <c r="CU104" i="7"/>
  <c r="CU94" i="7"/>
  <c r="CW110" i="7"/>
  <c r="CW89" i="7"/>
  <c r="CW90" i="7" s="1"/>
  <c r="CW106" i="7"/>
  <c r="CW105" i="7"/>
  <c r="CV104" i="7"/>
  <c r="CV94" i="7"/>
  <c r="CX110" i="7"/>
  <c r="CX89" i="7"/>
  <c r="CX90" i="7" s="1"/>
  <c r="CT104" i="7"/>
  <c r="CT94" i="7"/>
  <c r="DZ90" i="7"/>
  <c r="EC3" i="7"/>
  <c r="EB112" i="7"/>
  <c r="CQ96" i="7"/>
  <c r="CQ107" i="7"/>
  <c r="CH106" i="7"/>
  <c r="CH110" i="7"/>
  <c r="CA110" i="7"/>
  <c r="CA106" i="7"/>
  <c r="CA90" i="7"/>
  <c r="CA94" i="7" s="1"/>
  <c r="CE106" i="7"/>
  <c r="CI110" i="7"/>
  <c r="CE110" i="7"/>
  <c r="EC4" i="7"/>
  <c r="CE90" i="7"/>
  <c r="CE94" i="7" s="1"/>
  <c r="CH104" i="7"/>
  <c r="CH96" i="7"/>
  <c r="CH99" i="7" s="1"/>
  <c r="CH100" i="7" s="1"/>
  <c r="CM88" i="7"/>
  <c r="EA58" i="7"/>
  <c r="EA29" i="7"/>
  <c r="EA26" i="7"/>
  <c r="BZ94" i="7"/>
  <c r="BZ104" i="7"/>
  <c r="CG96" i="7"/>
  <c r="CG107" i="7"/>
  <c r="CJ94" i="7"/>
  <c r="CJ104" i="7"/>
  <c r="CD94" i="7"/>
  <c r="CD104" i="7"/>
  <c r="CB94" i="7"/>
  <c r="CB104" i="7"/>
  <c r="CG104" i="7"/>
  <c r="CC104" i="7"/>
  <c r="CC94" i="7"/>
  <c r="CF99" i="7"/>
  <c r="CF100" i="7" s="1"/>
  <c r="CF108" i="7"/>
  <c r="BD95" i="7"/>
  <c r="BD89" i="7"/>
  <c r="BD63" i="7"/>
  <c r="BD88" i="7" s="1"/>
  <c r="AZ63" i="7"/>
  <c r="AZ88" i="7" s="1"/>
  <c r="BB89" i="7"/>
  <c r="BA89" i="7"/>
  <c r="BC63" i="7"/>
  <c r="BC88" i="7" s="1"/>
  <c r="AY63" i="7"/>
  <c r="AY88" i="7" s="1"/>
  <c r="DN101" i="7"/>
  <c r="DO98" i="7"/>
  <c r="DP87" i="7"/>
  <c r="DP78" i="7"/>
  <c r="AV101" i="7"/>
  <c r="AW101" i="7" s="1"/>
  <c r="AX92" i="7"/>
  <c r="AW92" i="7"/>
  <c r="DP72" i="7"/>
  <c r="DP74" i="7"/>
  <c r="DP53" i="7"/>
  <c r="AS95" i="7"/>
  <c r="AS89" i="7"/>
  <c r="AS87" i="7"/>
  <c r="DP43" i="7"/>
  <c r="DP14" i="7"/>
  <c r="AS63" i="7"/>
  <c r="AT95" i="7"/>
  <c r="AT89" i="7"/>
  <c r="AT63" i="7"/>
  <c r="AT88" i="7" s="1"/>
  <c r="AU98" i="7"/>
  <c r="AU95" i="7"/>
  <c r="AU89" i="7"/>
  <c r="AU29" i="7"/>
  <c r="AU63" i="7"/>
  <c r="DP63" i="7" s="1"/>
  <c r="AR14" i="7"/>
  <c r="DO14" i="7" s="1"/>
  <c r="DO77" i="7"/>
  <c r="AR101" i="7"/>
  <c r="DO101" i="7" s="1"/>
  <c r="AR95" i="7"/>
  <c r="AR93" i="7"/>
  <c r="DO93" i="7" s="1"/>
  <c r="AR92" i="7"/>
  <c r="DO92" i="7" s="1"/>
  <c r="AR91" i="7"/>
  <c r="DO91" i="7" s="1"/>
  <c r="AR73" i="7"/>
  <c r="DO73" i="7" s="1"/>
  <c r="AR56" i="7"/>
  <c r="DO56" i="7" s="1"/>
  <c r="AR74" i="7"/>
  <c r="DO74" i="7" s="1"/>
  <c r="AR50" i="7"/>
  <c r="DO50" i="7" s="1"/>
  <c r="AR75" i="7"/>
  <c r="DO75" i="7" s="1"/>
  <c r="AR78" i="7"/>
  <c r="DO78" i="7" s="1"/>
  <c r="AR53" i="7"/>
  <c r="DO53" i="7" s="1"/>
  <c r="AR12" i="7"/>
  <c r="DO12" i="7" s="1"/>
  <c r="AR82" i="7"/>
  <c r="DO82" i="7" s="1"/>
  <c r="AR58" i="7"/>
  <c r="DO58" i="7" s="1"/>
  <c r="AR42" i="7"/>
  <c r="DO42" i="7" s="1"/>
  <c r="DP42" i="7"/>
  <c r="AR72" i="7"/>
  <c r="DO72" i="7" s="1"/>
  <c r="AR71" i="7"/>
  <c r="DO71" i="7" s="1"/>
  <c r="AR70" i="7"/>
  <c r="DO70" i="7" s="1"/>
  <c r="AR67" i="7"/>
  <c r="DO67" i="7" s="1"/>
  <c r="AR24" i="7"/>
  <c r="DO24" i="7" s="1"/>
  <c r="AR69" i="7"/>
  <c r="DO69" i="7" s="1"/>
  <c r="AR57" i="7"/>
  <c r="DO57" i="7" s="1"/>
  <c r="AR19" i="7"/>
  <c r="DO19" i="7" s="1"/>
  <c r="AR68" i="7"/>
  <c r="DO68" i="7" s="1"/>
  <c r="AR15" i="7"/>
  <c r="DO15" i="7" s="1"/>
  <c r="AR60" i="7"/>
  <c r="DO60" i="7" s="1"/>
  <c r="AR62" i="7"/>
  <c r="DO62" i="7" s="1"/>
  <c r="AR23" i="7"/>
  <c r="DO23" i="7" s="1"/>
  <c r="DP23" i="7"/>
  <c r="AR44" i="7"/>
  <c r="DO44" i="7" s="1"/>
  <c r="AQ95" i="7"/>
  <c r="AQ89" i="7"/>
  <c r="AQ76" i="7"/>
  <c r="AR76" i="7" s="1"/>
  <c r="AQ87" i="7"/>
  <c r="AR87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6" i="7"/>
  <c r="DI18" i="7"/>
  <c r="DJ18" i="7"/>
  <c r="DK18" i="7"/>
  <c r="DL18" i="7"/>
  <c r="DM18" i="7"/>
  <c r="AN63" i="7"/>
  <c r="AR63" i="7" s="1"/>
  <c r="AO63" i="7"/>
  <c r="AP63" i="7"/>
  <c r="DI63" i="7"/>
  <c r="DJ63" i="7"/>
  <c r="DK63" i="7"/>
  <c r="DL63" i="7"/>
  <c r="DM63" i="7"/>
  <c r="AM14" i="7"/>
  <c r="AM118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3" i="7"/>
  <c r="DJ43" i="7" s="1"/>
  <c r="AA43" i="7"/>
  <c r="DK43" i="7" s="1"/>
  <c r="AR43" i="7"/>
  <c r="DO43" i="7" s="1"/>
  <c r="DI43" i="7"/>
  <c r="DL43" i="7"/>
  <c r="DM43" i="7"/>
  <c r="DN43" i="7"/>
  <c r="W44" i="7"/>
  <c r="DJ44" i="7" s="1"/>
  <c r="AA44" i="7"/>
  <c r="DK44" i="7" s="1"/>
  <c r="DI44" i="7"/>
  <c r="DL44" i="7"/>
  <c r="DM44" i="7"/>
  <c r="DN44" i="7"/>
  <c r="W23" i="7"/>
  <c r="AA23" i="7"/>
  <c r="DK23" i="7" s="1"/>
  <c r="DI23" i="7"/>
  <c r="DL23" i="7"/>
  <c r="DM23" i="7"/>
  <c r="DN23" i="7"/>
  <c r="W62" i="7"/>
  <c r="DJ62" i="7" s="1"/>
  <c r="AA62" i="7"/>
  <c r="DK62" i="7" s="1"/>
  <c r="AM62" i="7"/>
  <c r="DN62" i="7" s="1"/>
  <c r="DI62" i="7"/>
  <c r="DL62" i="7"/>
  <c r="DM62" i="7"/>
  <c r="W60" i="7"/>
  <c r="DJ60" i="7" s="1"/>
  <c r="AA60" i="7"/>
  <c r="DK60" i="7" s="1"/>
  <c r="AM60" i="7"/>
  <c r="DN60" i="7" s="1"/>
  <c r="DI60" i="7"/>
  <c r="DL60" i="7"/>
  <c r="DM60" i="7"/>
  <c r="W15" i="7"/>
  <c r="DJ15" i="7" s="1"/>
  <c r="AA15" i="7"/>
  <c r="DI15" i="7"/>
  <c r="DL15" i="7"/>
  <c r="DM15" i="7"/>
  <c r="DN15" i="7"/>
  <c r="DI68" i="7"/>
  <c r="DJ68" i="7"/>
  <c r="DK68" i="7"/>
  <c r="DL68" i="7"/>
  <c r="DM68" i="7"/>
  <c r="DN68" i="7"/>
  <c r="W19" i="7"/>
  <c r="AA19" i="7"/>
  <c r="AM19" i="7"/>
  <c r="DN19" i="7" s="1"/>
  <c r="DI19" i="7"/>
  <c r="DL19" i="7"/>
  <c r="DM19" i="7"/>
  <c r="DK57" i="7"/>
  <c r="DL57" i="7"/>
  <c r="DM57" i="7"/>
  <c r="DN57" i="7"/>
  <c r="DI69" i="7"/>
  <c r="DJ69" i="7"/>
  <c r="DK69" i="7"/>
  <c r="DL69" i="7" s="1"/>
  <c r="DM69" i="7"/>
  <c r="DN69" i="7"/>
  <c r="DI24" i="7"/>
  <c r="DJ24" i="7"/>
  <c r="DK24" i="7"/>
  <c r="DL24" i="7" s="1"/>
  <c r="DM24" i="7"/>
  <c r="DN24" i="7"/>
  <c r="W67" i="7"/>
  <c r="DJ67" i="7" s="1"/>
  <c r="AA67" i="7"/>
  <c r="DK67" i="7" s="1"/>
  <c r="DL67" i="7" s="1"/>
  <c r="DI67" i="7"/>
  <c r="DM67" i="7"/>
  <c r="DN67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72" i="7"/>
  <c r="DJ72" i="7" s="1"/>
  <c r="AA72" i="7"/>
  <c r="DK72" i="7" s="1"/>
  <c r="DL72" i="7" s="1"/>
  <c r="DI72" i="7"/>
  <c r="DM72" i="7"/>
  <c r="DN72" i="7"/>
  <c r="W42" i="7"/>
  <c r="DJ42" i="7" s="1"/>
  <c r="AA42" i="7"/>
  <c r="DK42" i="7" s="1"/>
  <c r="DI42" i="7"/>
  <c r="DL42" i="7"/>
  <c r="DM42" i="7"/>
  <c r="DN42" i="7"/>
  <c r="DI58" i="7"/>
  <c r="DJ58" i="7"/>
  <c r="DK58" i="7"/>
  <c r="DL58" i="7" s="1"/>
  <c r="DM58" i="7"/>
  <c r="DN58" i="7"/>
  <c r="DI56" i="7"/>
  <c r="DJ56" i="7"/>
  <c r="DK56" i="7"/>
  <c r="DL56" i="7" s="1"/>
  <c r="DM56" i="7"/>
  <c r="DN56" i="7"/>
  <c r="AB29" i="7"/>
  <c r="DI29" i="7"/>
  <c r="DJ29" i="7"/>
  <c r="DM29" i="7"/>
  <c r="DN29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DI75" i="7"/>
  <c r="DJ75" i="7"/>
  <c r="DK75" i="7"/>
  <c r="DL75" i="7" s="1"/>
  <c r="DM75" i="7"/>
  <c r="DN75" i="7"/>
  <c r="AE76" i="7"/>
  <c r="DI76" i="7"/>
  <c r="DJ76" i="7"/>
  <c r="DK76" i="7"/>
  <c r="DL76" i="7" s="1"/>
  <c r="DM76" i="7"/>
  <c r="DN76" i="7"/>
  <c r="DM50" i="7"/>
  <c r="DN50" i="7"/>
  <c r="DM53" i="7"/>
  <c r="DN53" i="7"/>
  <c r="DM77" i="7"/>
  <c r="DN77" i="7"/>
  <c r="W79" i="7"/>
  <c r="DJ79" i="7" s="1"/>
  <c r="AA79" i="7"/>
  <c r="DK79" i="7" s="1"/>
  <c r="DL79" i="7" s="1"/>
  <c r="DI79" i="7"/>
  <c r="DM79" i="7"/>
  <c r="W80" i="7"/>
  <c r="DJ80" i="7" s="1"/>
  <c r="AA80" i="7"/>
  <c r="DK80" i="7" s="1"/>
  <c r="DL80" i="7" s="1"/>
  <c r="DI80" i="7"/>
  <c r="DM80" i="7"/>
  <c r="DK81" i="7"/>
  <c r="DL81" i="7" s="1"/>
  <c r="DM81" i="7"/>
  <c r="W46" i="7"/>
  <c r="DJ46" i="7" s="1"/>
  <c r="AA46" i="7"/>
  <c r="DI46" i="7"/>
  <c r="W82" i="7"/>
  <c r="DJ82" i="7" s="1"/>
  <c r="AA82" i="7"/>
  <c r="DK82" i="7" s="1"/>
  <c r="DL82" i="7" s="1"/>
  <c r="DI82" i="7"/>
  <c r="DM82" i="7"/>
  <c r="W87" i="7"/>
  <c r="X87" i="7"/>
  <c r="Y87" i="7"/>
  <c r="Y88" i="7" s="1"/>
  <c r="Z87" i="7"/>
  <c r="AA87" i="7"/>
  <c r="AB87" i="7"/>
  <c r="AD87" i="7"/>
  <c r="AD88" i="7" s="1"/>
  <c r="AF87" i="7"/>
  <c r="AF88" i="7" s="1"/>
  <c r="AG87" i="7"/>
  <c r="AG88" i="7" s="1"/>
  <c r="AH87" i="7"/>
  <c r="AH88" i="7" s="1"/>
  <c r="AI87" i="7"/>
  <c r="AI88" i="7" s="1"/>
  <c r="AJ87" i="7"/>
  <c r="AK87" i="7"/>
  <c r="AL87" i="7"/>
  <c r="AM87" i="7"/>
  <c r="AN87" i="7"/>
  <c r="AO87" i="7"/>
  <c r="AP87" i="7"/>
  <c r="DI87" i="7"/>
  <c r="V107" i="7"/>
  <c r="AC105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DL104" i="7"/>
  <c r="DM89" i="7"/>
  <c r="DJ91" i="7"/>
  <c r="DK91" i="7" s="1"/>
  <c r="DL91" i="7" s="1"/>
  <c r="DM91" i="7"/>
  <c r="DN91" i="7"/>
  <c r="DJ92" i="7"/>
  <c r="DK92" i="7" s="1"/>
  <c r="DL92" i="7" s="1"/>
  <c r="DM92" i="7"/>
  <c r="DN92" i="7"/>
  <c r="DJ93" i="7"/>
  <c r="DK93" i="7" s="1"/>
  <c r="DL93" i="7" s="1"/>
  <c r="DM93" i="7"/>
  <c r="DN93" i="7"/>
  <c r="W95" i="7"/>
  <c r="X95" i="7"/>
  <c r="Y95" i="7"/>
  <c r="Z95" i="7"/>
  <c r="AA95" i="7"/>
  <c r="AB95" i="7"/>
  <c r="AC95" i="7"/>
  <c r="AD95" i="7"/>
  <c r="AF95" i="7"/>
  <c r="AG95" i="7"/>
  <c r="AH95" i="7"/>
  <c r="AI95" i="7"/>
  <c r="AJ95" i="7"/>
  <c r="AK95" i="7"/>
  <c r="AL95" i="7"/>
  <c r="AM95" i="7"/>
  <c r="AN95" i="7"/>
  <c r="AO95" i="7"/>
  <c r="AP95" i="7"/>
  <c r="DL95" i="7"/>
  <c r="DN97" i="7"/>
  <c r="DJ97" i="7"/>
  <c r="DM97" i="7"/>
  <c r="DM98" i="7"/>
  <c r="DN98" i="7"/>
  <c r="AD101" i="7"/>
  <c r="DL101" i="7"/>
  <c r="DM101" i="7"/>
  <c r="R104" i="7"/>
  <c r="S104" i="7"/>
  <c r="T104" i="7"/>
  <c r="U104" i="7"/>
  <c r="S107" i="7"/>
  <c r="T107" i="7"/>
  <c r="U107" i="7"/>
  <c r="AN122" i="7"/>
  <c r="AN133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N116" i="7"/>
  <c r="AO116" i="7"/>
  <c r="AP116" i="7"/>
  <c r="AS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Q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N118" i="7"/>
  <c r="AO118" i="7"/>
  <c r="AP118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M123" i="7"/>
  <c r="AN123" i="7"/>
  <c r="AM124" i="7"/>
  <c r="AM128" i="7"/>
  <c r="AN128" i="7"/>
  <c r="AM133" i="7"/>
  <c r="AM136" i="7"/>
  <c r="AN136" i="7"/>
  <c r="AM137" i="7"/>
  <c r="AN137" i="7"/>
  <c r="K4" i="1"/>
  <c r="K7" i="1" s="1"/>
  <c r="DR87" i="7"/>
  <c r="DP75" i="7"/>
  <c r="DO46" i="7"/>
  <c r="DP46" i="7"/>
  <c r="DP57" i="7"/>
  <c r="DP50" i="7"/>
  <c r="DP76" i="7"/>
  <c r="DP69" i="7"/>
  <c r="DP70" i="7"/>
  <c r="DP68" i="7"/>
  <c r="DP84" i="7"/>
  <c r="DP18" i="7"/>
  <c r="AV105" i="7"/>
  <c r="DP24" i="7"/>
  <c r="DP19" i="7"/>
  <c r="DP12" i="7"/>
  <c r="DP73" i="7"/>
  <c r="DP56" i="7"/>
  <c r="DP60" i="7"/>
  <c r="DP62" i="7"/>
  <c r="DP44" i="7"/>
  <c r="DP67" i="7"/>
  <c r="DP15" i="7"/>
  <c r="AX105" i="7"/>
  <c r="AW90" i="7"/>
  <c r="DP58" i="7"/>
  <c r="CT107" i="7" l="1"/>
  <c r="CT96" i="7"/>
  <c r="CA104" i="7"/>
  <c r="CX104" i="7"/>
  <c r="CX94" i="7"/>
  <c r="CV107" i="7"/>
  <c r="CV96" i="7"/>
  <c r="CW104" i="7"/>
  <c r="CW94" i="7"/>
  <c r="CU107" i="7"/>
  <c r="CU96" i="7"/>
  <c r="CS104" i="7"/>
  <c r="CS94" i="7"/>
  <c r="DS87" i="7"/>
  <c r="DS88" i="7" s="1"/>
  <c r="DR88" i="7"/>
  <c r="ED3" i="7"/>
  <c r="EC112" i="7"/>
  <c r="CQ110" i="7"/>
  <c r="CM90" i="7"/>
  <c r="CM94" i="7" s="1"/>
  <c r="CM96" i="7" s="1"/>
  <c r="CQ99" i="7"/>
  <c r="CQ100" i="7" s="1"/>
  <c r="CQ108" i="7"/>
  <c r="CE104" i="7"/>
  <c r="CO88" i="7"/>
  <c r="CS110" i="7" s="1"/>
  <c r="CN88" i="7"/>
  <c r="CM106" i="7"/>
  <c r="CM105" i="7"/>
  <c r="CM110" i="7"/>
  <c r="CH108" i="7"/>
  <c r="ED4" i="7"/>
  <c r="EC88" i="7"/>
  <c r="CA107" i="7"/>
  <c r="CA96" i="7"/>
  <c r="CE107" i="7"/>
  <c r="CE96" i="7"/>
  <c r="CC107" i="7"/>
  <c r="CC96" i="7"/>
  <c r="CB96" i="7"/>
  <c r="CB107" i="7"/>
  <c r="CD96" i="7"/>
  <c r="CD107" i="7"/>
  <c r="CJ107" i="7"/>
  <c r="CJ96" i="7"/>
  <c r="CG99" i="7"/>
  <c r="CG100" i="7" s="1"/>
  <c r="CG108" i="7"/>
  <c r="AS88" i="7"/>
  <c r="AS106" i="7" s="1"/>
  <c r="BZ107" i="7"/>
  <c r="BZ96" i="7"/>
  <c r="AO88" i="7"/>
  <c r="AO106" i="7" s="1"/>
  <c r="AQ88" i="7"/>
  <c r="AK88" i="7"/>
  <c r="AK105" i="7" s="1"/>
  <c r="AP117" i="7"/>
  <c r="AP88" i="7"/>
  <c r="AP90" i="7" s="1"/>
  <c r="AJ88" i="7"/>
  <c r="AJ105" i="7" s="1"/>
  <c r="AN117" i="7"/>
  <c r="AN88" i="7"/>
  <c r="DK29" i="7"/>
  <c r="DL29" i="7" s="1"/>
  <c r="AB88" i="7"/>
  <c r="AE87" i="7"/>
  <c r="AE88" i="7" s="1"/>
  <c r="AI110" i="7" s="1"/>
  <c r="DP29" i="7"/>
  <c r="AU88" i="7"/>
  <c r="AU106" i="7" s="1"/>
  <c r="DK19" i="7"/>
  <c r="AA88" i="7"/>
  <c r="Z88" i="7"/>
  <c r="Z106" i="7" s="1"/>
  <c r="DJ19" i="7"/>
  <c r="W88" i="7"/>
  <c r="AR116" i="7"/>
  <c r="DN18" i="7"/>
  <c r="AM88" i="7"/>
  <c r="AL88" i="7"/>
  <c r="AL106" i="7" s="1"/>
  <c r="X88" i="7"/>
  <c r="X106" i="7" s="1"/>
  <c r="AW105" i="7"/>
  <c r="CI90" i="7"/>
  <c r="AS117" i="7"/>
  <c r="DO76" i="7"/>
  <c r="DO18" i="7"/>
  <c r="AX106" i="7"/>
  <c r="DO63" i="7"/>
  <c r="AT117" i="7"/>
  <c r="AV92" i="7"/>
  <c r="AV106" i="7" s="1"/>
  <c r="DM87" i="7"/>
  <c r="DM88" i="7" s="1"/>
  <c r="DM90" i="7" s="1"/>
  <c r="DJ87" i="7"/>
  <c r="AM140" i="7"/>
  <c r="AM142" i="7" s="1"/>
  <c r="AN140" i="7"/>
  <c r="AN142" i="7" s="1"/>
  <c r="AH105" i="7"/>
  <c r="AH90" i="7"/>
  <c r="DM95" i="7"/>
  <c r="AC90" i="7"/>
  <c r="DO87" i="7"/>
  <c r="AM131" i="7"/>
  <c r="AG110" i="7"/>
  <c r="AG106" i="7"/>
  <c r="AM116" i="7"/>
  <c r="AG90" i="7"/>
  <c r="DO95" i="7"/>
  <c r="DJ95" i="7"/>
  <c r="AG105" i="7"/>
  <c r="AQ116" i="7"/>
  <c r="Y106" i="7"/>
  <c r="Y110" i="7"/>
  <c r="Y105" i="7"/>
  <c r="Y90" i="7"/>
  <c r="AC110" i="7"/>
  <c r="DJ89" i="7"/>
  <c r="AX90" i="7"/>
  <c r="AH110" i="7"/>
  <c r="AW106" i="7"/>
  <c r="DN95" i="7"/>
  <c r="DN14" i="7"/>
  <c r="AN131" i="7"/>
  <c r="V104" i="7"/>
  <c r="AC106" i="7"/>
  <c r="AW94" i="7"/>
  <c r="AW104" i="7"/>
  <c r="AI106" i="7"/>
  <c r="AI90" i="7"/>
  <c r="DN63" i="7"/>
  <c r="AR29" i="7"/>
  <c r="DO29" i="7" s="1"/>
  <c r="AV90" i="7"/>
  <c r="AF106" i="7"/>
  <c r="AF90" i="7"/>
  <c r="AF105" i="7"/>
  <c r="AD105" i="7"/>
  <c r="AD106" i="7"/>
  <c r="AD90" i="7"/>
  <c r="DI88" i="7"/>
  <c r="BD105" i="7"/>
  <c r="BD106" i="7"/>
  <c r="BD90" i="7"/>
  <c r="AW89" i="7"/>
  <c r="DK87" i="7"/>
  <c r="DL87" i="7" s="1"/>
  <c r="AX101" i="7"/>
  <c r="DP101" i="7" s="1"/>
  <c r="DQ101" i="7" s="1"/>
  <c r="DR101" i="7" s="1"/>
  <c r="DS101" i="7" s="1"/>
  <c r="DT101" i="7" s="1"/>
  <c r="DU101" i="7" s="1"/>
  <c r="DV101" i="7" s="1"/>
  <c r="DW101" i="7" s="1"/>
  <c r="DX101" i="7" s="1"/>
  <c r="DY101" i="7" s="1"/>
  <c r="EC101" i="7" s="1"/>
  <c r="ED101" i="7" s="1"/>
  <c r="EE101" i="7" s="1"/>
  <c r="EF101" i="7" s="1"/>
  <c r="EG101" i="7" s="1"/>
  <c r="EH101" i="7" s="1"/>
  <c r="EI101" i="7" s="1"/>
  <c r="EJ101" i="7" s="1"/>
  <c r="EK101" i="7" s="1"/>
  <c r="EL101" i="7" s="1"/>
  <c r="EM101" i="7" s="1"/>
  <c r="AT106" i="7"/>
  <c r="AT105" i="7"/>
  <c r="AT90" i="7"/>
  <c r="AR117" i="7"/>
  <c r="AI105" i="7"/>
  <c r="DK15" i="7"/>
  <c r="AO117" i="7"/>
  <c r="DJ23" i="7"/>
  <c r="DN87" i="7"/>
  <c r="AH106" i="7"/>
  <c r="CU97" i="7" l="1"/>
  <c r="CU108" i="7" s="1"/>
  <c r="CX107" i="7"/>
  <c r="CX96" i="7"/>
  <c r="CS107" i="7"/>
  <c r="CS96" i="7"/>
  <c r="CW107" i="7"/>
  <c r="CW96" i="7"/>
  <c r="CV97" i="7"/>
  <c r="CV108" i="7" s="1"/>
  <c r="CT99" i="7"/>
  <c r="CT100" i="7" s="1"/>
  <c r="ED112" i="7"/>
  <c r="EE3" i="7"/>
  <c r="CM104" i="7"/>
  <c r="CM107" i="7"/>
  <c r="CM99" i="7"/>
  <c r="CM100" i="7" s="1"/>
  <c r="CM108" i="7"/>
  <c r="CN90" i="7"/>
  <c r="CN94" i="7" s="1"/>
  <c r="CN96" i="7" s="1"/>
  <c r="CR110" i="7"/>
  <c r="CN110" i="7"/>
  <c r="CN105" i="7"/>
  <c r="CN106" i="7"/>
  <c r="EE4" i="7"/>
  <c r="ED88" i="7"/>
  <c r="ED110" i="7" s="1"/>
  <c r="CO110" i="7"/>
  <c r="CO105" i="7"/>
  <c r="CO104" i="7"/>
  <c r="CO107" i="7"/>
  <c r="CO106" i="7"/>
  <c r="CA108" i="7"/>
  <c r="CA99" i="7"/>
  <c r="CA100" i="7" s="1"/>
  <c r="BZ99" i="7"/>
  <c r="BZ100" i="7" s="1"/>
  <c r="BZ108" i="7"/>
  <c r="CJ99" i="7"/>
  <c r="CJ100" i="7" s="1"/>
  <c r="CJ108" i="7"/>
  <c r="CC99" i="7"/>
  <c r="CC100" i="7" s="1"/>
  <c r="CC108" i="7"/>
  <c r="CD99" i="7"/>
  <c r="CD100" i="7" s="1"/>
  <c r="CD108" i="7"/>
  <c r="AK90" i="7"/>
  <c r="AK104" i="7" s="1"/>
  <c r="AK110" i="7"/>
  <c r="CE99" i="7"/>
  <c r="CE100" i="7" s="1"/>
  <c r="CE108" i="7"/>
  <c r="AK106" i="7"/>
  <c r="CB99" i="7"/>
  <c r="CB100" i="7" s="1"/>
  <c r="CB108" i="7"/>
  <c r="AJ110" i="7"/>
  <c r="CI94" i="7"/>
  <c r="CI104" i="7"/>
  <c r="AJ90" i="7"/>
  <c r="AJ104" i="7" s="1"/>
  <c r="AJ106" i="7"/>
  <c r="AD110" i="7"/>
  <c r="Z110" i="7"/>
  <c r="AL110" i="7"/>
  <c r="Z105" i="7"/>
  <c r="X90" i="7"/>
  <c r="X104" i="7" s="1"/>
  <c r="X105" i="7"/>
  <c r="AB110" i="7"/>
  <c r="AL105" i="7"/>
  <c r="DP88" i="7"/>
  <c r="DP92" i="7" s="1"/>
  <c r="Z90" i="7"/>
  <c r="Z104" i="7" s="1"/>
  <c r="AL90" i="7"/>
  <c r="AL104" i="7" s="1"/>
  <c r="DL88" i="7"/>
  <c r="DL106" i="7" s="1"/>
  <c r="Z94" i="7"/>
  <c r="Z96" i="7" s="1"/>
  <c r="Z108" i="7" s="1"/>
  <c r="AR88" i="7"/>
  <c r="AR105" i="7" s="1"/>
  <c r="AS105" i="7"/>
  <c r="AS90" i="7"/>
  <c r="AS94" i="7" s="1"/>
  <c r="DO88" i="7"/>
  <c r="DO105" i="7" s="1"/>
  <c r="AP110" i="7"/>
  <c r="AP105" i="7"/>
  <c r="AP106" i="7"/>
  <c r="AO110" i="7"/>
  <c r="DJ88" i="7"/>
  <c r="DJ106" i="7" s="1"/>
  <c r="AO105" i="7"/>
  <c r="AO90" i="7"/>
  <c r="AO104" i="7" s="1"/>
  <c r="AU105" i="7"/>
  <c r="AU90" i="7"/>
  <c r="AU104" i="7" s="1"/>
  <c r="DK88" i="7"/>
  <c r="DK90" i="7" s="1"/>
  <c r="DK94" i="7" s="1"/>
  <c r="DK96" i="7" s="1"/>
  <c r="AC104" i="7"/>
  <c r="AC94" i="7"/>
  <c r="AB90" i="7"/>
  <c r="AB94" i="7" s="1"/>
  <c r="AB105" i="7"/>
  <c r="AF110" i="7"/>
  <c r="AB106" i="7"/>
  <c r="AH104" i="7"/>
  <c r="AH94" i="7"/>
  <c r="DM106" i="7"/>
  <c r="AG104" i="7"/>
  <c r="AG94" i="7"/>
  <c r="AM105" i="7"/>
  <c r="AM110" i="7"/>
  <c r="AM90" i="7"/>
  <c r="AM106" i="7"/>
  <c r="Y94" i="7"/>
  <c r="Y104" i="7"/>
  <c r="DN88" i="7"/>
  <c r="AE90" i="7"/>
  <c r="AE106" i="7"/>
  <c r="AE105" i="7"/>
  <c r="W106" i="7"/>
  <c r="W90" i="7"/>
  <c r="W105" i="7"/>
  <c r="AX89" i="7"/>
  <c r="AX94" i="7"/>
  <c r="AX104" i="7"/>
  <c r="AV94" i="7"/>
  <c r="AV104" i="7"/>
  <c r="AN106" i="7"/>
  <c r="AN105" i="7"/>
  <c r="AN110" i="7"/>
  <c r="AN90" i="7"/>
  <c r="AP104" i="7"/>
  <c r="AP94" i="7"/>
  <c r="AI94" i="7"/>
  <c r="AI104" i="7"/>
  <c r="AQ105" i="7"/>
  <c r="AQ90" i="7"/>
  <c r="AQ106" i="7"/>
  <c r="BD104" i="7"/>
  <c r="BD94" i="7"/>
  <c r="DM104" i="7"/>
  <c r="DM94" i="7"/>
  <c r="DM96" i="7" s="1"/>
  <c r="DM99" i="7" s="1"/>
  <c r="DM100" i="7" s="1"/>
  <c r="AF104" i="7"/>
  <c r="AF94" i="7"/>
  <c r="AW107" i="7"/>
  <c r="AW96" i="7"/>
  <c r="AA105" i="7"/>
  <c r="AA90" i="7"/>
  <c r="AA106" i="7"/>
  <c r="AE110" i="7"/>
  <c r="AA110" i="7"/>
  <c r="AD94" i="7"/>
  <c r="AD104" i="7"/>
  <c r="AT104" i="7"/>
  <c r="AT94" i="7"/>
  <c r="AV89" i="7"/>
  <c r="CU99" i="7" l="1"/>
  <c r="CU100" i="7" s="1"/>
  <c r="CW97" i="7"/>
  <c r="CW108" i="7" s="1"/>
  <c r="CS97" i="7"/>
  <c r="CS108" i="7" s="1"/>
  <c r="CX97" i="7"/>
  <c r="CX108" i="7" s="1"/>
  <c r="CT108" i="7"/>
  <c r="CV99" i="7"/>
  <c r="CV100" i="7" s="1"/>
  <c r="CN107" i="7"/>
  <c r="CN104" i="7"/>
  <c r="EE112" i="7"/>
  <c r="EF3" i="7"/>
  <c r="CN108" i="7"/>
  <c r="CN99" i="7"/>
  <c r="CN100" i="7" s="1"/>
  <c r="AK94" i="7"/>
  <c r="CP88" i="7"/>
  <c r="CT110" i="7" s="1"/>
  <c r="EA24" i="7"/>
  <c r="EA88" i="7" s="1"/>
  <c r="EA90" i="7" s="1"/>
  <c r="AJ94" i="7"/>
  <c r="AJ107" i="7" s="1"/>
  <c r="ED92" i="7"/>
  <c r="ED105" i="7"/>
  <c r="EF4" i="7"/>
  <c r="EE88" i="7"/>
  <c r="EE110" i="7" s="1"/>
  <c r="X94" i="7"/>
  <c r="X107" i="7" s="1"/>
  <c r="CI96" i="7"/>
  <c r="CI107" i="7"/>
  <c r="DP105" i="7"/>
  <c r="Z107" i="7"/>
  <c r="DL90" i="7"/>
  <c r="DL94" i="7" s="1"/>
  <c r="DL96" i="7" s="1"/>
  <c r="DL97" i="7" s="1"/>
  <c r="DL99" i="7" s="1"/>
  <c r="DL100" i="7" s="1"/>
  <c r="AL94" i="7"/>
  <c r="AL96" i="7" s="1"/>
  <c r="AL108" i="7" s="1"/>
  <c r="Z99" i="7"/>
  <c r="Z100" i="7" s="1"/>
  <c r="AS104" i="7"/>
  <c r="DP110" i="7"/>
  <c r="DO110" i="7"/>
  <c r="AR90" i="7"/>
  <c r="AR89" i="7" s="1"/>
  <c r="DO89" i="7" s="1"/>
  <c r="AR106" i="7"/>
  <c r="DN105" i="7"/>
  <c r="DJ90" i="7"/>
  <c r="DJ104" i="7" s="1"/>
  <c r="DJ105" i="7"/>
  <c r="AO94" i="7"/>
  <c r="AO107" i="7" s="1"/>
  <c r="DK106" i="7"/>
  <c r="DN110" i="7"/>
  <c r="DK89" i="7"/>
  <c r="AB104" i="7"/>
  <c r="AU94" i="7"/>
  <c r="AU96" i="7" s="1"/>
  <c r="AH107" i="7"/>
  <c r="AH96" i="7"/>
  <c r="AG96" i="7"/>
  <c r="AG107" i="7"/>
  <c r="AC107" i="7"/>
  <c r="AC96" i="7"/>
  <c r="DN106" i="7"/>
  <c r="Y107" i="7"/>
  <c r="Y96" i="7"/>
  <c r="W104" i="7"/>
  <c r="W94" i="7"/>
  <c r="AS107" i="7"/>
  <c r="AS96" i="7"/>
  <c r="AX96" i="7"/>
  <c r="AX97" i="7" s="1"/>
  <c r="AX107" i="7"/>
  <c r="AM94" i="7"/>
  <c r="AM104" i="7"/>
  <c r="AE104" i="7"/>
  <c r="AE94" i="7"/>
  <c r="AN94" i="7"/>
  <c r="AN104" i="7"/>
  <c r="DN90" i="7"/>
  <c r="DT110" i="7"/>
  <c r="DT92" i="7"/>
  <c r="DT105" i="7"/>
  <c r="AK107" i="7"/>
  <c r="AK96" i="7"/>
  <c r="AA104" i="7"/>
  <c r="AA94" i="7"/>
  <c r="DK97" i="7"/>
  <c r="DK99" i="7" s="1"/>
  <c r="AV96" i="7"/>
  <c r="AV107" i="7"/>
  <c r="BD107" i="7"/>
  <c r="BD96" i="7"/>
  <c r="DR110" i="7"/>
  <c r="DR105" i="7"/>
  <c r="DR92" i="7"/>
  <c r="AI107" i="7"/>
  <c r="AI96" i="7"/>
  <c r="DS110" i="7"/>
  <c r="DS105" i="7"/>
  <c r="DS92" i="7"/>
  <c r="AF96" i="7"/>
  <c r="AF107" i="7"/>
  <c r="AD107" i="7"/>
  <c r="AD96" i="7"/>
  <c r="DQ110" i="7"/>
  <c r="DQ92" i="7"/>
  <c r="DQ105" i="7"/>
  <c r="AP107" i="7"/>
  <c r="AP96" i="7"/>
  <c r="AW97" i="7"/>
  <c r="AW108" i="7" s="1"/>
  <c r="AT107" i="7"/>
  <c r="AT96" i="7"/>
  <c r="AQ104" i="7"/>
  <c r="AQ94" i="7"/>
  <c r="AB96" i="7"/>
  <c r="AB107" i="7"/>
  <c r="DU110" i="7"/>
  <c r="DU105" i="7"/>
  <c r="DU92" i="7"/>
  <c r="CW99" i="7" l="1"/>
  <c r="CW100" i="7" s="1"/>
  <c r="EB97" i="7"/>
  <c r="CS99" i="7"/>
  <c r="CS100" i="7" s="1"/>
  <c r="AJ96" i="7"/>
  <c r="AJ99" i="7" s="1"/>
  <c r="AJ100" i="7" s="1"/>
  <c r="CX99" i="7"/>
  <c r="CX100" i="7" s="1"/>
  <c r="CP90" i="7"/>
  <c r="CP94" i="7" s="1"/>
  <c r="CP96" i="7" s="1"/>
  <c r="EF112" i="7"/>
  <c r="EG3" i="7"/>
  <c r="CP99" i="7"/>
  <c r="CP100" i="7" s="1"/>
  <c r="CP108" i="7"/>
  <c r="CP107" i="7"/>
  <c r="CP105" i="7"/>
  <c r="CP110" i="7"/>
  <c r="CP104" i="7"/>
  <c r="CP106" i="7"/>
  <c r="EE92" i="7"/>
  <c r="EE105" i="7"/>
  <c r="EG4" i="7"/>
  <c r="EF88" i="7"/>
  <c r="EF110" i="7" s="1"/>
  <c r="DL89" i="7"/>
  <c r="X96" i="7"/>
  <c r="X99" i="7" s="1"/>
  <c r="X100" i="7" s="1"/>
  <c r="CI99" i="7"/>
  <c r="CI100" i="7" s="1"/>
  <c r="CI108" i="7"/>
  <c r="AL99" i="7"/>
  <c r="AL100" i="7" s="1"/>
  <c r="AL107" i="7"/>
  <c r="AR94" i="7"/>
  <c r="AR96" i="7" s="1"/>
  <c r="AR104" i="7"/>
  <c r="DO90" i="7"/>
  <c r="DO94" i="7" s="1"/>
  <c r="DO107" i="7" s="1"/>
  <c r="DJ94" i="7"/>
  <c r="DJ96" i="7" s="1"/>
  <c r="AU107" i="7"/>
  <c r="AO96" i="7"/>
  <c r="AO108" i="7" s="1"/>
  <c r="AG108" i="7"/>
  <c r="AG99" i="7"/>
  <c r="AG100" i="7" s="1"/>
  <c r="AH99" i="7"/>
  <c r="AH100" i="7" s="1"/>
  <c r="AH108" i="7"/>
  <c r="AC99" i="7"/>
  <c r="AC100" i="7" s="1"/>
  <c r="AC108" i="7"/>
  <c r="AM96" i="7"/>
  <c r="AM107" i="7"/>
  <c r="AX99" i="7"/>
  <c r="AX100" i="7" s="1"/>
  <c r="AX108" i="7"/>
  <c r="AU108" i="7"/>
  <c r="AU99" i="7"/>
  <c r="AU100" i="7" s="1"/>
  <c r="AS108" i="7"/>
  <c r="AS99" i="7"/>
  <c r="AS100" i="7" s="1"/>
  <c r="W107" i="7"/>
  <c r="W96" i="7"/>
  <c r="AE107" i="7"/>
  <c r="AE96" i="7"/>
  <c r="Y108" i="7"/>
  <c r="Y99" i="7"/>
  <c r="Y100" i="7" s="1"/>
  <c r="BD108" i="7"/>
  <c r="BD99" i="7"/>
  <c r="BD100" i="7" s="1"/>
  <c r="AA107" i="7"/>
  <c r="AA96" i="7"/>
  <c r="AW99" i="7"/>
  <c r="AW100" i="7" s="1"/>
  <c r="AV97" i="7"/>
  <c r="AV108" i="7" s="1"/>
  <c r="DV92" i="7"/>
  <c r="DV110" i="7"/>
  <c r="DV105" i="7"/>
  <c r="AK99" i="7"/>
  <c r="AK100" i="7" s="1"/>
  <c r="AK108" i="7"/>
  <c r="DN94" i="7"/>
  <c r="DN104" i="7"/>
  <c r="DO104" i="7" s="1"/>
  <c r="DP104" i="7" s="1"/>
  <c r="DN89" i="7"/>
  <c r="AP108" i="7"/>
  <c r="AP99" i="7"/>
  <c r="AP100" i="7" s="1"/>
  <c r="AD99" i="7"/>
  <c r="AD100" i="7" s="1"/>
  <c r="AD108" i="7"/>
  <c r="AB99" i="7"/>
  <c r="AB100" i="7" s="1"/>
  <c r="AB108" i="7"/>
  <c r="AI99" i="7"/>
  <c r="AI100" i="7" s="1"/>
  <c r="AI108" i="7"/>
  <c r="AQ107" i="7"/>
  <c r="AQ96" i="7"/>
  <c r="AT108" i="7"/>
  <c r="AT99" i="7"/>
  <c r="AT100" i="7" s="1"/>
  <c r="AF99" i="7"/>
  <c r="AF100" i="7" s="1"/>
  <c r="AF108" i="7"/>
  <c r="AN96" i="7"/>
  <c r="AN107" i="7"/>
  <c r="AJ108" i="7" l="1"/>
  <c r="EG112" i="7"/>
  <c r="EH3" i="7"/>
  <c r="DJ107" i="7"/>
  <c r="X108" i="7"/>
  <c r="DO96" i="7"/>
  <c r="EF92" i="7"/>
  <c r="EF105" i="7"/>
  <c r="EH4" i="7"/>
  <c r="EG88" i="7"/>
  <c r="EG110" i="7" s="1"/>
  <c r="AO99" i="7"/>
  <c r="AO100" i="7" s="1"/>
  <c r="AR107" i="7"/>
  <c r="AE108" i="7"/>
  <c r="AE99" i="7"/>
  <c r="AE100" i="7" s="1"/>
  <c r="W108" i="7"/>
  <c r="W99" i="7"/>
  <c r="W100" i="7" s="1"/>
  <c r="AM99" i="7"/>
  <c r="AM100" i="7" s="1"/>
  <c r="AM108" i="7"/>
  <c r="AN108" i="7"/>
  <c r="AN99" i="7"/>
  <c r="AN100" i="7" s="1"/>
  <c r="AQ99" i="7"/>
  <c r="AQ100" i="7" s="1"/>
  <c r="AQ108" i="7"/>
  <c r="AA99" i="7"/>
  <c r="AA100" i="7" s="1"/>
  <c r="AA108" i="7"/>
  <c r="DW92" i="7"/>
  <c r="DW105" i="7"/>
  <c r="DW110" i="7"/>
  <c r="AR97" i="7"/>
  <c r="AR99" i="7" s="1"/>
  <c r="AR100" i="7" s="1"/>
  <c r="DQ104" i="7"/>
  <c r="DP90" i="7"/>
  <c r="DN96" i="7"/>
  <c r="DN107" i="7"/>
  <c r="AV99" i="7"/>
  <c r="AV100" i="7" s="1"/>
  <c r="DJ99" i="7"/>
  <c r="DJ108" i="7"/>
  <c r="EH112" i="7" l="1"/>
  <c r="EI3" i="7"/>
  <c r="EI4" i="7"/>
  <c r="EH88" i="7"/>
  <c r="EH110" i="7" s="1"/>
  <c r="EG105" i="7"/>
  <c r="EG92" i="7"/>
  <c r="DX92" i="7"/>
  <c r="DX105" i="7"/>
  <c r="DX110" i="7"/>
  <c r="DN108" i="7"/>
  <c r="DN99" i="7"/>
  <c r="DN100" i="7" s="1"/>
  <c r="DP94" i="7"/>
  <c r="DP89" i="7"/>
  <c r="DR104" i="7"/>
  <c r="DQ90" i="7"/>
  <c r="DO97" i="7"/>
  <c r="AR108" i="7"/>
  <c r="EI112" i="7" l="1"/>
  <c r="EJ3" i="7"/>
  <c r="EH105" i="7"/>
  <c r="EH92" i="7"/>
  <c r="EJ4" i="7"/>
  <c r="EI88" i="7"/>
  <c r="EI110" i="7" s="1"/>
  <c r="DP96" i="7"/>
  <c r="DP107" i="7"/>
  <c r="DO108" i="7"/>
  <c r="DO99" i="7"/>
  <c r="DS104" i="7"/>
  <c r="DR90" i="7"/>
  <c r="DQ94" i="7"/>
  <c r="DQ89" i="7"/>
  <c r="DY92" i="7"/>
  <c r="DY105" i="7"/>
  <c r="DY110" i="7"/>
  <c r="EJ112" i="7" l="1"/>
  <c r="EK3" i="7"/>
  <c r="EL3" i="7" s="1"/>
  <c r="EM3" i="7" s="1"/>
  <c r="EI105" i="7"/>
  <c r="EI92" i="7"/>
  <c r="EK4" i="7"/>
  <c r="EJ88" i="7"/>
  <c r="EJ110" i="7" s="1"/>
  <c r="DZ110" i="7"/>
  <c r="DZ105" i="7"/>
  <c r="DQ107" i="7"/>
  <c r="DQ96" i="7"/>
  <c r="DR94" i="7"/>
  <c r="DR89" i="7"/>
  <c r="DT104" i="7"/>
  <c r="DS90" i="7"/>
  <c r="DO100" i="7"/>
  <c r="DP97" i="7"/>
  <c r="DP108" i="7" s="1"/>
  <c r="EJ105" i="7" l="1"/>
  <c r="EJ92" i="7"/>
  <c r="EL4" i="7"/>
  <c r="EK88" i="7"/>
  <c r="DS94" i="7"/>
  <c r="DS89" i="7"/>
  <c r="DU104" i="7"/>
  <c r="DT90" i="7"/>
  <c r="DR107" i="7"/>
  <c r="DQ97" i="7"/>
  <c r="DQ108" i="7" s="1"/>
  <c r="DP99" i="7"/>
  <c r="EA105" i="7"/>
  <c r="EA110" i="7"/>
  <c r="EK92" i="7" l="1"/>
  <c r="EK105" i="7"/>
  <c r="EM4" i="7"/>
  <c r="EM88" i="7" s="1"/>
  <c r="EL88" i="7"/>
  <c r="DQ99" i="7"/>
  <c r="DQ100" i="7" s="1"/>
  <c r="DT94" i="7"/>
  <c r="DT89" i="7"/>
  <c r="EB105" i="7"/>
  <c r="EB110" i="7"/>
  <c r="DP100" i="7"/>
  <c r="DV104" i="7"/>
  <c r="DU90" i="7"/>
  <c r="DS107" i="7"/>
  <c r="EC92" i="7"/>
  <c r="EC105" i="7"/>
  <c r="EC110" i="7"/>
  <c r="EL92" i="7" l="1"/>
  <c r="EL105" i="7"/>
  <c r="EM92" i="7"/>
  <c r="EM105" i="7"/>
  <c r="DR96" i="7"/>
  <c r="DV90" i="7"/>
  <c r="DU94" i="7"/>
  <c r="DU89" i="7"/>
  <c r="DT107" i="7"/>
  <c r="DU107" i="7" l="1"/>
  <c r="DR97" i="7"/>
  <c r="DR108" i="7" s="1"/>
  <c r="DV94" i="7"/>
  <c r="DV89" i="7"/>
  <c r="DW90" i="7"/>
  <c r="DW94" i="7" l="1"/>
  <c r="DW89" i="7"/>
  <c r="DX90" i="7"/>
  <c r="DV107" i="7"/>
  <c r="DR99" i="7"/>
  <c r="DX94" i="7" l="1"/>
  <c r="DX89" i="7"/>
  <c r="DR100" i="7"/>
  <c r="DY90" i="7"/>
  <c r="DW107" i="7"/>
  <c r="DY94" i="7" l="1"/>
  <c r="DY89" i="7"/>
  <c r="DS96" i="7"/>
  <c r="DX107" i="7"/>
  <c r="DS97" i="7" l="1"/>
  <c r="DS108" i="7" s="1"/>
  <c r="DY107" i="7"/>
  <c r="DZ94" i="7"/>
  <c r="EA94" i="7" l="1"/>
  <c r="DZ107" i="7"/>
  <c r="DS99" i="7"/>
  <c r="EC90" i="7" l="1"/>
  <c r="EC94" i="7" s="1"/>
  <c r="DS100" i="7"/>
  <c r="EA107" i="7"/>
  <c r="EC89" i="7" l="1"/>
  <c r="ED90" i="7"/>
  <c r="EB107" i="7"/>
  <c r="EC107" i="7"/>
  <c r="DT96" i="7"/>
  <c r="ED89" i="7" l="1"/>
  <c r="ED94" i="7"/>
  <c r="EE90" i="7"/>
  <c r="DT97" i="7"/>
  <c r="DT108" i="7" s="1"/>
  <c r="EE89" i="7" l="1"/>
  <c r="EE94" i="7"/>
  <c r="ED107" i="7"/>
  <c r="ED96" i="7"/>
  <c r="ED97" i="7" s="1"/>
  <c r="EF90" i="7"/>
  <c r="DT99" i="7"/>
  <c r="DT100" i="7" s="1"/>
  <c r="EF89" i="7" l="1"/>
  <c r="EF94" i="7"/>
  <c r="ED108" i="7"/>
  <c r="ED99" i="7"/>
  <c r="ED100" i="7" s="1"/>
  <c r="EE107" i="7"/>
  <c r="EE96" i="7"/>
  <c r="EE97" i="7" s="1"/>
  <c r="EG90" i="7"/>
  <c r="DU96" i="7"/>
  <c r="EG89" i="7" l="1"/>
  <c r="EG94" i="7"/>
  <c r="EE108" i="7"/>
  <c r="EE99" i="7"/>
  <c r="EE100" i="7" s="1"/>
  <c r="EF107" i="7"/>
  <c r="EF96" i="7"/>
  <c r="EF97" i="7" s="1"/>
  <c r="EH90" i="7"/>
  <c r="DU97" i="7"/>
  <c r="DU108" i="7" s="1"/>
  <c r="EH89" i="7" l="1"/>
  <c r="EH94" i="7"/>
  <c r="EF108" i="7"/>
  <c r="EF99" i="7"/>
  <c r="EF100" i="7" s="1"/>
  <c r="EG107" i="7"/>
  <c r="EG96" i="7"/>
  <c r="EG97" i="7" s="1"/>
  <c r="EI90" i="7"/>
  <c r="DU99" i="7"/>
  <c r="DU100" i="7" s="1"/>
  <c r="EI89" i="7" l="1"/>
  <c r="EI94" i="7"/>
  <c r="EG108" i="7"/>
  <c r="EG99" i="7"/>
  <c r="EG100" i="7" s="1"/>
  <c r="EH96" i="7"/>
  <c r="EH97" i="7" s="1"/>
  <c r="EH107" i="7"/>
  <c r="EJ90" i="7"/>
  <c r="DV96" i="7"/>
  <c r="EJ89" i="7" l="1"/>
  <c r="EJ94" i="7"/>
  <c r="EH99" i="7"/>
  <c r="EH100" i="7" s="1"/>
  <c r="EH108" i="7"/>
  <c r="EI96" i="7"/>
  <c r="EI97" i="7" s="1"/>
  <c r="EI107" i="7"/>
  <c r="EK90" i="7"/>
  <c r="DV97" i="7"/>
  <c r="DV108" i="7" s="1"/>
  <c r="EK89" i="7" l="1"/>
  <c r="EK94" i="7"/>
  <c r="EI108" i="7"/>
  <c r="EI99" i="7"/>
  <c r="EI100" i="7" s="1"/>
  <c r="EJ107" i="7"/>
  <c r="EJ96" i="7"/>
  <c r="EJ97" i="7" s="1"/>
  <c r="EM90" i="7"/>
  <c r="EL90" i="7"/>
  <c r="DV99" i="7"/>
  <c r="DV100" i="7" s="1"/>
  <c r="EL89" i="7" l="1"/>
  <c r="EL94" i="7"/>
  <c r="EM89" i="7"/>
  <c r="EM94" i="7"/>
  <c r="EJ108" i="7"/>
  <c r="EJ99" i="7"/>
  <c r="EJ100" i="7" s="1"/>
  <c r="EK96" i="7"/>
  <c r="EK97" i="7" s="1"/>
  <c r="EK107" i="7"/>
  <c r="DW96" i="7"/>
  <c r="EK108" i="7" l="1"/>
  <c r="EK99" i="7"/>
  <c r="EK100" i="7" s="1"/>
  <c r="EM96" i="7"/>
  <c r="EM97" i="7" s="1"/>
  <c r="EM107" i="7"/>
  <c r="EL107" i="7"/>
  <c r="EL96" i="7"/>
  <c r="EL97" i="7" s="1"/>
  <c r="DW97" i="7"/>
  <c r="DW108" i="7" s="1"/>
  <c r="EL108" i="7" l="1"/>
  <c r="EL99" i="7"/>
  <c r="EL100" i="7" s="1"/>
  <c r="EM99" i="7"/>
  <c r="EM100" i="7" s="1"/>
  <c r="EM108" i="7"/>
  <c r="DW99" i="7"/>
  <c r="DW100" i="7" s="1"/>
  <c r="DX96" i="7" l="1"/>
  <c r="DX97" i="7" l="1"/>
  <c r="DX108" i="7" s="1"/>
  <c r="DX99" i="7" l="1"/>
  <c r="DX100" i="7" s="1"/>
  <c r="DY96" i="7" l="1"/>
  <c r="DY97" i="7" l="1"/>
  <c r="DY108" i="7" s="1"/>
  <c r="DY99" i="7" l="1"/>
  <c r="DY100" i="7" l="1"/>
  <c r="DZ96" i="7" l="1"/>
  <c r="DZ108" i="7" l="1"/>
  <c r="DZ99" i="7" l="1"/>
  <c r="DZ100" i="7" s="1"/>
  <c r="EA96" i="7" l="1"/>
  <c r="EA108" i="7" l="1"/>
  <c r="EA99" i="7" l="1"/>
  <c r="EA100" i="7" s="1"/>
  <c r="EB96" i="7" l="1"/>
  <c r="EB108" i="7" l="1"/>
  <c r="EB99" i="7" l="1"/>
  <c r="EB100" i="7" l="1"/>
  <c r="EC96" i="7" l="1"/>
  <c r="EC97" i="7" s="1"/>
  <c r="EC108" i="7" l="1"/>
  <c r="EC99" i="7" l="1"/>
  <c r="EC100" i="7" l="1"/>
  <c r="EN99" i="7"/>
  <c r="EO99" i="7" s="1"/>
  <c r="EP99" i="7" s="1"/>
  <c r="EQ99" i="7" s="1"/>
  <c r="ER99" i="7" s="1"/>
  <c r="ES99" i="7" s="1"/>
  <c r="ET99" i="7" s="1"/>
  <c r="EU99" i="7" s="1"/>
  <c r="EV99" i="7" s="1"/>
  <c r="EW99" i="7" s="1"/>
  <c r="EX99" i="7" s="1"/>
  <c r="EY99" i="7" s="1"/>
  <c r="EZ99" i="7" s="1"/>
  <c r="FA99" i="7" s="1"/>
  <c r="FB99" i="7" s="1"/>
  <c r="FC99" i="7" s="1"/>
  <c r="FD99" i="7" s="1"/>
  <c r="FE99" i="7" s="1"/>
  <c r="FF99" i="7" s="1"/>
  <c r="FG99" i="7" s="1"/>
  <c r="FH99" i="7" s="1"/>
  <c r="FI99" i="7" s="1"/>
  <c r="FJ99" i="7" s="1"/>
  <c r="FK99" i="7" s="1"/>
  <c r="FL99" i="7" s="1"/>
  <c r="FM99" i="7" s="1"/>
  <c r="FN99" i="7" s="1"/>
  <c r="FO99" i="7" s="1"/>
  <c r="FP99" i="7" s="1"/>
  <c r="FQ99" i="7" s="1"/>
  <c r="FR99" i="7" s="1"/>
  <c r="FS99" i="7" s="1"/>
  <c r="FT99" i="7" s="1"/>
  <c r="FU99" i="7" s="1"/>
  <c r="FV99" i="7" s="1"/>
  <c r="FW99" i="7" s="1"/>
  <c r="FX99" i="7" s="1"/>
  <c r="FY99" i="7" s="1"/>
  <c r="FZ99" i="7" s="1"/>
  <c r="GA99" i="7" s="1"/>
  <c r="GB99" i="7" s="1"/>
  <c r="GC99" i="7" s="1"/>
  <c r="GD99" i="7" s="1"/>
  <c r="GE99" i="7" s="1"/>
  <c r="GF99" i="7" s="1"/>
  <c r="GG99" i="7" s="1"/>
  <c r="GH99" i="7" s="1"/>
  <c r="GI99" i="7" s="1"/>
  <c r="GJ99" i="7" s="1"/>
  <c r="GK99" i="7" s="1"/>
  <c r="GL99" i="7" s="1"/>
  <c r="GM99" i="7" s="1"/>
  <c r="GN99" i="7" s="1"/>
  <c r="GO99" i="7" s="1"/>
  <c r="GP99" i="7" s="1"/>
  <c r="GQ99" i="7" s="1"/>
  <c r="GR99" i="7" s="1"/>
  <c r="EP106" i="7" s="1"/>
  <c r="EP107" i="7" s="1"/>
  <c r="BR8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tc={997BBBCE-CAE7-4E4D-B44B-1C86D7F5246C}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CT8" authorId="3" shapeId="0" xr:uid="{997BBBCE-CAE7-4E4D-B44B-1C86D7F5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$600m sales milestone</t>
      </text>
    </comment>
    <comment ref="EC8" authorId="4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5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6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7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8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9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9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10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8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9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1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2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3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3" authorId="14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3" authorId="9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3" authorId="10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6" authorId="15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9" authorId="16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60" authorId="9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2" authorId="9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3" authorId="10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3" authorId="1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3" authorId="1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7" authorId="17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DO88" authorId="10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8" authorId="18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3" authorId="1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7" authorId="9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100" authorId="19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100" authorId="20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100" authorId="9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4" authorId="21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8" authorId="22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10" authorId="8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10" authorId="9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10" authorId="23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2" authorId="24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8" authorId="9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9" authorId="25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<sst xmlns="http://schemas.openxmlformats.org/spreadsheetml/2006/main" count="1290" uniqueCount="884">
  <si>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</si>
  <si>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</si>
  <si>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</si>
  <si>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</si>
  <si>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</si>
  <si>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</si>
  <si>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</si>
  <si>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</si>
  <si>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</si>
  <si>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</si>
  <si>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</si>
  <si>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</si>
  <si>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</si>
  <si>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</si>
  <si>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</si>
  <si>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</si>
  <si>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</si>
  <si>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</si>
  <si>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</si>
  <si>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</si>
  <si>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</si>
  <si>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</si>
  <si>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</si>
  <si>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</si>
  <si>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</si>
  <si>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</si>
  <si>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</si>
  <si>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</si>
  <si>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</si>
  <si>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</si>
  <si>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</si>
  <si>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</si>
  <si>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</si>
  <si>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</si>
  <si>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</si>
  <si>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</si>
  <si>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</si>
  <si>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</si>
  <si>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</si>
  <si>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</si>
  <si>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</si>
  <si>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</si>
  <si>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</si>
  <si>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</si>
  <si>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</si>
  <si>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</si>
  <si>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</si>
  <si>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</si>
  <si>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</si>
  <si>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</si>
  <si>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</si>
  <si>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</si>
  <si>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</si>
  <si>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</si>
  <si>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</si>
  <si>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</si>
  <si>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</si>
  <si>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</si>
  <si>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</si>
  <si>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</si>
  <si>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</si>
  <si>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</si>
  <si>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</si>
  <si>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</si>
  <si>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</si>
  <si>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</si>
  <si>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</si>
  <si>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</si>
  <si>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</si>
  <si>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</si>
  <si>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</si>
  <si>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</si>
  <si>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</si>
  <si>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</si>
  <si>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</si>
  <si>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</si>
  <si>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</si>
  <si>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</si>
  <si>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</si>
  <si>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</si>
  <si>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</si>
  <si>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</si>
  <si>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</si>
  <si>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</si>
  <si>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</si>
  <si>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</si>
  <si>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</si>
  <si>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</si>
  <si>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</si>
  <si>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</si>
  <si>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</si>
  <si>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</si>
  <si>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</si>
  <si>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</si>
  <si>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</si>
  <si>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</si>
  <si>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</si>
  <si>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</si>
  <si>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</si>
  <si>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</si>
  <si>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</si>
  <si>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</si>
  <si>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</si>
  <si>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</si>
  <si>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</si>
  <si>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</si>
  <si>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</si>
  <si>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</si>
  <si>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</si>
  <si>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</si>
  <si>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</si>
  <si>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</si>
  <si>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</si>
  <si>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</si>
  <si>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</si>
  <si>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</si>
  <si>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</si>
  <si>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</si>
  <si>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</si>
  <si>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</si>
  <si>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</si>
  <si>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</si>
  <si>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</si>
  <si>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</si>
  <si>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</si>
  <si>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</si>
  <si>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</si>
  <si>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</si>
  <si>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</si>
  <si>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</si>
  <si>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</si>
  <si>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</si>
  <si>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</si>
  <si>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</si>
  <si>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</si>
  <si>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</si>
  <si>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</si>
  <si>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</si>
  <si>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</si>
  <si>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</si>
  <si>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</si>
  <si>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</si>
  <si>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</si>
  <si>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</si>
  <si>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</si>
  <si>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</si>
  <si>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</si>
  <si>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</si>
  <si>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</si>
  <si>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</si>
  <si>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</si>
  <si>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</si>
  <si>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</si>
  <si>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</si>
  <si>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</si>
  <si>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</si>
  <si>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</si>
  <si>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</si>
  <si>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</si>
  <si>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</si>
  <si>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</si>
  <si>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</si>
  <si>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</si>
  <si>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</si>
  <si>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</si>
  <si>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</si>
  <si>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</si>
  <si>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</si>
  <si>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</si>
  <si>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</si>
  <si>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</si>
  <si>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</si>
  <si>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</si>
  <si>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</si>
  <si>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</si>
  <si>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</si>
  <si>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</si>
  <si>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</si>
  <si>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</si>
  <si>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</si>
  <si>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</si>
  <si>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</si>
  <si>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</si>
  <si>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</si>
  <si>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</si>
  <si>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</si>
  <si>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</si>
  <si>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</si>
  <si>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</si>
  <si>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</si>
  <si>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</si>
  <si>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</si>
  <si>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</si>
  <si>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</si>
  <si>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</si>
  <si>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</si>
  <si>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</si>
  <si>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</si>
  <si>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</si>
  <si>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</si>
  <si>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</si>
  <si>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</si>
  <si>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</si>
  <si>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</si>
  <si>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</si>
  <si>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</si>
  <si>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</si>
  <si>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</si>
  <si>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</si>
  <si>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</si>
  <si>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</si>
  <si>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</si>
  <si>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</si>
  <si>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</si>
  <si>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</si>
  <si>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</si>
  <si>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</si>
  <si>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</si>
  <si>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</si>
  <si>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</si>
  <si>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</si>
  <si>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</si>
  <si>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</si>
  <si>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</si>
  <si>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</si>
  <si>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</si>
  <si>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</si>
  <si>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</si>
  <si>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</si>
  <si>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</si>
  <si>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</si>
  <si>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</si>
  <si>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</si>
  <si>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</si>
  <si>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</si>
  <si>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</si>
  <si>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</si>
  <si>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</si>
  <si>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</si>
  <si>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</si>
  <si>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</si>
  <si>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</si>
  <si>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</si>
  <si>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</si>
  <si>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</si>
  <si>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</si>
  <si>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</si>
  <si>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</si>
  <si>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</si>
  <si>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</si>
  <si>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</si>
  <si>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</si>
  <si>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</si>
  <si>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</si>
  <si>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</si>
  <si>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</si>
  <si>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</si>
  <si>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</si>
  <si>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</si>
  <si>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</si>
  <si>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</si>
  <si>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</si>
  <si>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</si>
  <si>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</si>
  <si>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</si>
  <si>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</si>
  <si>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</si>
  <si>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</si>
  <si>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</si>
  <si>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</si>
  <si>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</si>
  <si>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</si>
  <si>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</si>
  <si>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</si>
  <si>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</si>
  <si>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</si>
  <si>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</si>
  <si>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</si>
  <si>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</si>
  <si>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</si>
  <si>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</si>
  <si>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</si>
  <si>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</si>
  <si>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</si>
  <si>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</si>
  <si>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</si>
  <si>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</si>
  <si>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</si>
  <si>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</si>
  <si>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</si>
  <si>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</si>
  <si>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</si>
  <si>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</si>
  <si>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</si>
  <si>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</si>
  <si>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</si>
  <si>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</si>
  <si>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</si>
  <si>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</si>
  <si>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</si>
  <si>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</si>
  <si>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</si>
  <si>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</si>
  <si>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</si>
  <si>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</si>
  <si>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</si>
  <si>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</si>
  <si>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</si>
  <si>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</si>
  <si>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</si>
  <si>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</si>
  <si>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</si>
  <si>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</si>
  <si>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</si>
  <si>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</si>
  <si>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</si>
  <si>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</si>
  <si>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</si>
  <si>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</si>
  <si>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</si>
  <si>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</si>
  <si>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</si>
  <si>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</si>
  <si>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</si>
  <si>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</si>
  <si>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</si>
  <si>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</si>
  <si>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</si>
  <si>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</si>
  <si>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</si>
  <si>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</si>
  <si>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</si>
  <si>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</si>
  <si>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</si>
  <si>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</si>
  <si>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</si>
  <si>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</si>
  <si>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</si>
  <si>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</si>
  <si>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</si>
  <si>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</si>
  <si>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</si>
  <si>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</si>
  <si>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</si>
  <si>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</si>
  <si>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</si>
  <si>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</si>
  <si>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</si>
  <si>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</si>
  <si>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</si>
  <si>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</si>
  <si>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</si>
  <si>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</si>
  <si>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</si>
  <si>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</si>
  <si>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</si>
  <si>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</si>
  <si>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</si>
  <si>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</si>
  <si>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</si>
  <si>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</si>
  <si>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</si>
  <si>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</si>
  <si>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</si>
  <si>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</si>
  <si>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</si>
  <si>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</si>
  <si>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</si>
  <si>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</si>
  <si>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</si>
  <si>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</si>
  <si>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</si>
  <si>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</si>
  <si>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</si>
  <si>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</si>
  <si>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</si>
  <si>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</si>
  <si>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</si>
  <si>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</si>
  <si>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</si>
  <si>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</si>
  <si>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</si>
  <si>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</si>
  <si>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</si>
  <si>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</si>
  <si>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</si>
  <si>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</si>
  <si>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</si>
  <si>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</si>
  <si>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</si>
  <si>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</si>
  <si>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</si>
  <si>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</si>
  <si>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</si>
  <si>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</si>
  <si>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</si>
  <si>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</si>
  <si>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</si>
  <si>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</si>
  <si>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</si>
  <si>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</si>
  <si>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</si>
  <si>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</si>
  <si>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</si>
  <si>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</si>
  <si>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</si>
  <si>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</si>
  <si>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</si>
  <si>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</si>
  <si>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</si>
  <si>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</si>
  <si>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</si>
  <si>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</si>
  <si>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</si>
  <si>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</si>
  <si>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</si>
  <si>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</si>
  <si>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</si>
  <si>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</si>
  <si>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</si>
  <si>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</si>
  <si>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</si>
  <si>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</si>
  <si>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</si>
  <si>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</si>
  <si>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</si>
  <si>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</si>
  <si>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</si>
  <si>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</si>
  <si>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</si>
  <si>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</si>
  <si>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</si>
  <si>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</si>
  <si>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</si>
  <si>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</si>
  <si>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</si>
  <si>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</si>
  <si>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</si>
  <si>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</si>
  <si>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</si>
  <si>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</si>
  <si>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</si>
  <si>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</si>
  <si>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</si>
  <si>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</si>
  <si>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</si>
  <si>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</si>
  <si>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</si>
  <si>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</si>
  <si>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</si>
  <si>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</si>
  <si>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</si>
  <si>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</si>
  <si>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</si>
  <si>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</si>
  <si>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</si>
  <si>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</si>
  <si>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</si>
  <si>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</si>
  <si>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</si>
  <si>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</si>
  <si>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</si>
  <si>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</si>
  <si>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</si>
  <si>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</si>
  <si>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</si>
  <si>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</si>
  <si>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</si>
  <si>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</si>
  <si>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</si>
  <si>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</si>
  <si>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</si>
  <si>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</si>
  <si>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</si>
  <si>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</si>
  <si>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</si>
  <si>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</si>
  <si>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</si>
  <si>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</si>
  <si>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</si>
  <si>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</si>
  <si>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</si>
  <si>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</si>
  <si>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</si>
  <si>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</si>
  <si>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</si>
  <si>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</si>
  <si>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</si>
  <si>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</si>
  <si>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</si>
  <si>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</si>
  <si>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</si>
  <si>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</si>
  <si>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</si>
  <si>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</si>
  <si>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</si>
  <si>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</si>
  <si>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</si>
  <si>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</si>
  <si>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</si>
  <si>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</si>
  <si>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</si>
  <si>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</si>
  <si>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</si>
  <si>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</si>
  <si>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</si>
  <si>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</si>
  <si>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</si>
  <si>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</si>
  <si>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</si>
  <si>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</si>
  <si>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</si>
  <si>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</si>
  <si>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</si>
  <si>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</si>
  <si>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</si>
  <si>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</si>
  <si>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</si>
  <si>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</si>
  <si>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</si>
  <si>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</si>
  <si>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</si>
  <si>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</si>
  <si>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</si>
  <si>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</si>
  <si>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</si>
  <si>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</si>
  <si>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</si>
  <si>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</si>
  <si>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</si>
  <si>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</si>
  <si>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</si>
  <si>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</si>
  <si>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</si>
  <si>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</si>
  <si>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</si>
  <si>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</si>
  <si>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</si>
  <si>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</si>
  <si>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</si>
  <si>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</si>
  <si>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</si>
  <si>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</si>
  <si>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</si>
  <si>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</si>
  <si>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</si>
  <si>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</si>
  <si>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</si>
  <si>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</si>
  <si>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</si>
  <si>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</si>
  <si>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</si>
  <si>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</si>
  <si>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</si>
  <si>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</si>
  <si>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</si>
  <si>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</si>
  <si>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</si>
  <si>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</si>
  <si>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</si>
  <si>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</si>
  <si>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</si>
  <si>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</si>
  <si>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</si>
  <si>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</si>
  <si>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</si>
  <si>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</si>
  <si>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</si>
  <si>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</si>
  <si>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</si>
  <si>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</si>
  <si>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</si>
  <si>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</si>
  <si>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</si>
  <si>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</si>
  <si>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</si>
  <si>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</si>
  <si>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</si>
  <si>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</si>
  <si>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</si>
  <si>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</si>
  <si>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</si>
  <si>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</si>
  <si>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</si>
  <si>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</si>
  <si>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</si>
  <si>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</si>
  <si>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</si>
  <si>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</si>
  <si>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</si>
  <si>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</si>
  <si>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</si>
  <si>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</si>
  <si>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</si>
  <si>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</si>
  <si>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</si>
  <si>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</si>
  <si>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</si>
  <si>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</si>
  <si>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</si>
  <si>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</si>
  <si>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</si>
  <si>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</si>
  <si>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</si>
  <si>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</si>
  <si>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</si>
  <si>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</si>
  <si>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</si>
  <si>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</si>
  <si>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</si>
  <si>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</si>
  <si>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</si>
  <si>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</si>
  <si>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</si>
  <si>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</si>
  <si>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</si>
  <si>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</si>
  <si>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</si>
  <si>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</si>
  <si>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</si>
  <si>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</si>
  <si>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</si>
  <si>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</si>
  <si>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</si>
  <si>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</si>
  <si>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</si>
  <si>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</si>
  <si>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</si>
  <si>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</si>
  <si>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</si>
  <si>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</si>
  <si>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</si>
  <si>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</si>
  <si>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</si>
  <si>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</si>
  <si>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</si>
  <si>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</si>
  <si>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</si>
  <si>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</si>
  <si>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</si>
  <si>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</si>
  <si>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</si>
  <si>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</si>
  <si>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</si>
  <si>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</si>
  <si>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</si>
  <si>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</si>
  <si>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</si>
  <si>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</si>
  <si>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</si>
  <si>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</si>
  <si>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</si>
  <si>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</si>
  <si>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</si>
  <si>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</si>
  <si>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</si>
  <si>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</si>
  <si>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</si>
  <si>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</si>
  <si>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</si>
  <si>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</si>
  <si>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</si>
  <si>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</si>
  <si>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</si>
  <si>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</si>
  <si>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</si>
  <si>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</si>
  <si>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</si>
  <si>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</si>
  <si>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</si>
  <si>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</si>
  <si>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</si>
  <si>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</si>
  <si>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</si>
  <si>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</si>
  <si>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</si>
  <si>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</si>
  <si>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</si>
  <si>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</si>
  <si>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</si>
  <si>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</si>
  <si>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</si>
  <si>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</si>
  <si>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</si>
  <si>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</si>
  <si>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</si>
  <si>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</si>
  <si>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</si>
  <si>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</si>
  <si>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</si>
  <si>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</si>
  <si>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</si>
  <si>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</si>
  <si>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</si>
  <si>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</si>
  <si>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</si>
  <si>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</si>
  <si>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</si>
  <si>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</si>
  <si>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</si>
  <si>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</si>
  <si>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</si>
  <si>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</si>
  <si>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</si>
  <si>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</si>
  <si>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</si>
  <si>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</si>
  <si>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</si>
  <si>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</si>
  <si>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</si>
  <si>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</si>
  <si>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</si>
  <si>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</si>
  <si>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</si>
  <si>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</si>
  <si>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</si>
  <si>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</si>
  <si>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</si>
  <si>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</si>
  <si>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</si>
  <si>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</si>
  <si>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</si>
  <si>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</si>
  <si>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</si>
  <si>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</si>
  <si>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</si>
  <si>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</si>
  <si>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</si>
  <si>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</si>
  <si>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</si>
  <si>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</si>
  <si>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</si>
  <si>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</si>
  <si>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</si>
  <si>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</si>
  <si>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</si>
  <si>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</si>
  <si>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</si>
  <si>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</si>
  <si>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</si>
  <si>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</si>
  <si>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</si>
  <si>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</si>
  <si>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</si>
  <si>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</si>
  <si>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</si>
  <si>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</si>
  <si>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</si>
  <si>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</si>
  <si>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</si>
  <si>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</si>
  <si>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</si>
  <si>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</si>
  <si>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</si>
  <si>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</si>
  <si>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</si>
  <si>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</si>
  <si>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</si>
  <si>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</si>
  <si>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</si>
  <si>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</si>
  <si>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</si>
  <si>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</si>
  <si>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</si>
  <si>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</si>
  <si>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</si>
  <si>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</si>
  <si>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</si>
  <si>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</si>
  <si>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</si>
  <si>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</si>
  <si>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</si>
  <si>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</si>
  <si>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</si>
  <si>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</si>
  <si>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</si>
  <si>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</si>
  <si>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</si>
  <si>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</si>
  <si>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</si>
  <si>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</si>
  <si>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</si>
  <si>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</si>
  <si>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</si>
  <si>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</si>
  <si>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</si>
  <si>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</si>
  <si>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</si>
  <si>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</si>
  <si>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</si>
  <si>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</si>
  <si>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</si>
  <si>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</si>
  <si>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</si>
  <si>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</si>
  <si>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</si>
  <si>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</si>
  <si>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</si>
  <si>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</si>
  <si>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</si>
  <si>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</si>
  <si>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</si>
  <si>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</si>
  <si>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</si>
  <si>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</si>
  <si>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</si>
  <si>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</si>
  <si>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</si>
  <si>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</si>
  <si>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</si>
  <si>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</si>
  <si>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</si>
  <si>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</si>
  <si>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</si>
  <si>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</si>
  <si>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</si>
  <si>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</si>
  <si>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</si>
  <si>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</si>
  <si>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</si>
  <si>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</si>
  <si>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</si>
  <si>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</si>
  <si>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</si>
  <si>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</si>
  <si>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</si>
  <si>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</si>
  <si>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</si>
  <si>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</si>
  <si>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</si>
  <si>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</si>
  <si>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</si>
  <si>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</si>
  <si>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</si>
  <si>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</si>
  <si>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</si>
  <si>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</si>
  <si>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</si>
  <si>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</si>
  <si>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</si>
  <si>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</si>
  <si>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</si>
  <si>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</si>
  <si>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</si>
  <si>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</si>
  <si>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</si>
  <si>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</si>
  <si>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</si>
  <si>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</si>
  <si>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</si>
  <si>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</si>
  <si>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</si>
  <si>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</si>
  <si>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</si>
  <si>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</si>
  <si>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</si>
  <si>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</si>
  <si>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</si>
  <si>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</si>
  <si>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</si>
  <si>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</si>
  <si>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</si>
  <si>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</si>
  <si>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</si>
  <si>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</si>
  <si>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</si>
  <si>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</si>
  <si>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</si>
  <si>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</si>
  <si>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</si>
  <si>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</si>
  <si>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</si>
  <si>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</si>
  <si>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</si>
  <si>
    <t>Regulatory</t>
  </si>
  <si>
    <t>BLA 761069 approved 5/1/2017</t>
  </si>
  <si>
    <t>AKT</t>
  </si>
  <si>
    <t>AKT inhibitor (AKT1, AKT2, AKT3)</t>
  </si>
  <si>
    <t>FDA approves CAPItello-291 11/16/2023</t>
  </si>
  <si>
    <t>Phase III "CAPitello-291" combination with Faslodex n=708 HR+ HE2- mBC</t>
  </si>
  <si>
    <t>7.2 months PFS vs. 3.6 months placebo, HR=0.60</t>
  </si>
  <si>
    <t>Datroway (datopotamab deruxtecan)</t>
  </si>
  <si>
    <t>Datroway</t>
  </si>
  <si>
    <t>Others (Rare)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</si>
</sst>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14488</xdr:colOff>
      <xdr:row>0</xdr:row>
      <xdr:rowOff>0</xdr:rowOff>
    </xdr:from>
    <xdr:to>
      <xdr:col>99</xdr:col>
      <xdr:colOff>14488</xdr:colOff>
      <xdr:row>190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5898712" y="0"/>
          <a:ext cx="0" cy="310896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12962</xdr:colOff>
      <xdr:row>0</xdr:row>
      <xdr:rowOff>0</xdr:rowOff>
    </xdr:from>
    <xdr:to>
      <xdr:col>131</xdr:col>
      <xdr:colOff>12962</xdr:colOff>
      <xdr:row>134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60585393" y="0"/>
          <a:ext cx="0" cy="218799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CT8" dT="2025-02-10T15:39:10.23" personId="{A895112F-5F85-4B64-BDC7-EC2B8A981C44}" id="{997BBBCE-CAE7-4E4D-B44B-1C86D7F5246C}">
    <text>$600m sales milestone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3" dT="2024-11-07T04:49:46.12" personId="{A895112F-5F85-4B64-BDC7-EC2B8A981C44}" id="{29EDF96C-E7AA-48B8-8C08-0DD18E859291}">
    <text>7m alliance</text>
  </threadedComment>
  <threadedComment ref="CR56" dT="2024-11-07T04:50:43.66" personId="{A895112F-5F85-4B64-BDC7-EC2B8A981C44}" id="{07C2355C-2F91-4FEC-B7AF-2C093C23087B}">
    <text>4m Farxiga sales milestones</text>
  </threadedComment>
  <threadedComment ref="CR59" dT="2024-11-07T01:34:57.37" personId="{A895112F-5F85-4B64-BDC7-EC2B8A981C44}" id="{42C52143-ABD2-4472-8E88-4E9D4130E218}">
    <text>4m collaboration</text>
  </threadedComment>
  <threadedComment ref="EB87" dT="2024-11-07T01:17:44.63" personId="{A895112F-5F85-4B64-BDC7-EC2B8A981C44}" id="{1F159F62-A8AF-4547-8349-2CF314B5051A}">
    <text>Q224: Collaboration revenue will not increase in 2024</text>
  </threadedComment>
  <threadedComment ref="EH88" dT="2024-11-07T00:28:07.29" personId="{A895112F-5F85-4B64-BDC7-EC2B8A981C44}" id="{047CC09F-8B58-4663-92EB-4563859FCE43}">
    <text>80B ambition by 2030</text>
  </threadedComment>
  <threadedComment ref="CK100" dT="2023-01-03T02:56:36.43" personId="{A895112F-5F85-4B64-BDC7-EC2B8A981C44}" id="{8323C141-3819-4911-BF8C-26B7E5B6D8CB}">
    <text>Core 1.67</text>
  </threadedComment>
  <threadedComment ref="CR100" dT="2024-11-06T16:40:47.43" personId="{A895112F-5F85-4B64-BDC7-EC2B8A981C44}" id="{932DB68E-5116-47DB-9126-3DF300A7FFC0}">
    <text>1.98 core</text>
  </threadedComment>
  <threadedComment ref="CR104" dT="2024-11-07T02:48:51.82" personId="{A895112F-5F85-4B64-BDC7-EC2B8A981C44}" id="{33B8DB53-52E5-4394-B981-829628410B78}">
    <text>Product GM 83%</text>
  </threadedComment>
  <threadedComment ref="EB108" dT="2024-11-07T01:12:50.41" personId="{A895112F-5F85-4B64-BDC7-EC2B8A981C44}" id="{85A3583F-D75C-4861-A947-94586CB03356}">
    <text>Q224: 18-22%</text>
  </threadedComment>
  <threadedComment ref="EB110" dT="2024-11-07T01:02:32.09" personId="{A895112F-5F85-4B64-BDC7-EC2B8A981C44}" id="{98490C7F-6D1E-4D48-BF90-62A6F0C0ADB0}">
    <text>Q224: raised guidance to mid teens (was low DD to low teens)</text>
  </threadedComment>
  <threadedComment ref="CR112" dT="2024-11-07T01:29:04.50" personId="{A895112F-5F85-4B64-BDC7-EC2B8A981C44}" id="{80E3A555-D5AE-4A57-876F-770B75A4A3CF}">
    <text>12% CER</text>
  </threadedComment>
  <threadedComment ref="CR139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K87"/>
  <sheetViews>
    <sheetView topLeftCell="A49" zoomScale="160" zoomScaleNormal="160" workbookViewId="0">
      <selection activeCell="C73" sqref="C73"/>
    </sheetView>
  </sheetViews>
  <sheetFormatPr defaultColWidth="8.85546875" defaultRowHeight="12.75"/>
  <cols>
    <col min="2" max="2" width="22.140625" customWidth="1"/>
    <col min="3" max="3" width="11.7109375" customWidth="1"/>
    <col min="5" max="5" width="10.8554687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740</v>
      </c>
      <c r="C12" s="7"/>
      <c r="D12" s="6"/>
      <c r="E12" s="37"/>
      <c r="F12" s="7"/>
      <c r="G12" s="7"/>
      <c r="H12" s="7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735</v>
      </c>
    </row>
    <row r="17" spans="2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2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2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2:9">
      <c r="B20" s="155" t="s">
        <v>519</v>
      </c>
      <c r="C20" s="118" t="s">
        <v>739</v>
      </c>
      <c r="D20" s="6"/>
      <c r="E20" s="6"/>
      <c r="F20" s="7"/>
      <c r="G20" s="7"/>
    </row>
    <row r="21" spans="2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2:9">
      <c r="B22" s="155" t="s">
        <v>736</v>
      </c>
      <c r="C22" s="118" t="s">
        <v>737</v>
      </c>
      <c r="D22" s="7"/>
      <c r="E22" s="37"/>
      <c r="F22" s="20"/>
      <c r="G22" s="20"/>
      <c r="H22" s="20"/>
      <c r="I22" s="20"/>
    </row>
    <row r="23" spans="2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2:9">
      <c r="B24" s="144"/>
      <c r="C24" s="145"/>
      <c r="D24" s="146"/>
      <c r="E24" s="146"/>
      <c r="F24" s="145"/>
      <c r="G24" s="7"/>
    </row>
    <row r="25" spans="2:9">
      <c r="B25" s="147" t="s">
        <v>360</v>
      </c>
    </row>
    <row r="26" spans="2:9">
      <c r="B26" s="120" t="s">
        <v>552</v>
      </c>
      <c r="C26" s="120" t="s">
        <v>551</v>
      </c>
    </row>
    <row r="27" spans="2:9">
      <c r="B27" s="31" t="s">
        <v>372</v>
      </c>
    </row>
    <row r="28" spans="2:9">
      <c r="B28" s="31" t="s">
        <v>369</v>
      </c>
    </row>
    <row r="29" spans="2:9">
      <c r="B29" s="120" t="s">
        <v>681</v>
      </c>
      <c r="C29" s="120" t="s">
        <v>551</v>
      </c>
    </row>
    <row r="30" spans="2:9">
      <c r="B30" s="120" t="s">
        <v>680</v>
      </c>
    </row>
    <row r="31" spans="2:9">
      <c r="B31" s="148" t="s">
        <v>682</v>
      </c>
      <c r="C31" s="97" t="s">
        <v>56</v>
      </c>
      <c r="D31" s="146">
        <v>1</v>
      </c>
      <c r="E31" s="149" t="s">
        <v>51</v>
      </c>
      <c r="F31" s="145" t="s">
        <v>252</v>
      </c>
    </row>
    <row r="32" spans="2:9">
      <c r="B32" s="120" t="s">
        <v>579</v>
      </c>
      <c r="C32" s="131" t="s">
        <v>580</v>
      </c>
      <c r="D32" s="120" t="s">
        <v>359</v>
      </c>
    </row>
    <row r="33" spans="2:11">
      <c r="B33" s="31" t="s">
        <v>367</v>
      </c>
      <c r="C33" s="152"/>
    </row>
    <row r="34" spans="2:11">
      <c r="B34" s="31" t="s">
        <v>460</v>
      </c>
      <c r="C34" s="152"/>
    </row>
    <row r="35" spans="2:11">
      <c r="B35" s="31" t="s">
        <v>370</v>
      </c>
      <c r="C35" s="152"/>
      <c r="F35" s="152"/>
    </row>
    <row r="36" spans="2:11">
      <c r="B36" s="31" t="s">
        <v>381</v>
      </c>
      <c r="C36" s="152"/>
      <c r="F36" s="152"/>
    </row>
    <row r="37" spans="2:11">
      <c r="B37" s="31" t="s">
        <v>462</v>
      </c>
      <c r="C37" s="97" t="s">
        <v>251</v>
      </c>
      <c r="D37" s="146">
        <v>1</v>
      </c>
      <c r="E37" s="149" t="s">
        <v>51</v>
      </c>
      <c r="F37" s="97" t="s">
        <v>387</v>
      </c>
    </row>
    <row r="38" spans="2:11">
      <c r="B38" s="150" t="s">
        <v>683</v>
      </c>
      <c r="C38" s="97" t="s">
        <v>389</v>
      </c>
      <c r="D38" s="146">
        <v>1</v>
      </c>
      <c r="E38" s="149" t="s">
        <v>51</v>
      </c>
      <c r="F38" s="97" t="s">
        <v>379</v>
      </c>
    </row>
    <row r="39" spans="2:11">
      <c r="B39" s="31" t="s">
        <v>373</v>
      </c>
      <c r="C39" s="152"/>
      <c r="F39" s="152"/>
    </row>
    <row r="40" spans="2:11">
      <c r="B40" s="148" t="s">
        <v>684</v>
      </c>
      <c r="C40" s="97" t="s">
        <v>56</v>
      </c>
      <c r="D40" s="146">
        <v>1</v>
      </c>
      <c r="E40" s="149" t="s">
        <v>57</v>
      </c>
      <c r="F40" s="97" t="s">
        <v>387</v>
      </c>
    </row>
    <row r="41" spans="2:11">
      <c r="B41" s="31" t="s">
        <v>463</v>
      </c>
      <c r="C41" s="152"/>
      <c r="F41" s="152"/>
    </row>
    <row r="42" spans="2:11">
      <c r="B42" s="120" t="s">
        <v>686</v>
      </c>
      <c r="C42" s="131" t="s">
        <v>687</v>
      </c>
      <c r="F42" s="131" t="s">
        <v>782</v>
      </c>
      <c r="K42" s="120"/>
    </row>
    <row r="43" spans="2:11">
      <c r="B43" s="31" t="s">
        <v>371</v>
      </c>
      <c r="C43" s="152"/>
      <c r="F43" s="152"/>
    </row>
    <row r="44" spans="2:11">
      <c r="B44" s="148" t="s">
        <v>685</v>
      </c>
      <c r="C44" s="152" t="s">
        <v>56</v>
      </c>
      <c r="D44" s="146">
        <v>1</v>
      </c>
      <c r="E44" s="149" t="s">
        <v>51</v>
      </c>
      <c r="F44" s="97" t="s">
        <v>368</v>
      </c>
    </row>
    <row r="45" spans="2:11">
      <c r="B45" s="120" t="s">
        <v>571</v>
      </c>
      <c r="C45" s="131" t="s">
        <v>570</v>
      </c>
      <c r="D45" s="120" t="s">
        <v>126</v>
      </c>
      <c r="E45" s="145" t="s">
        <v>51</v>
      </c>
      <c r="F45" s="97" t="s">
        <v>362</v>
      </c>
      <c r="G45" s="149" t="s">
        <v>94</v>
      </c>
    </row>
    <row r="46" spans="2:11">
      <c r="B46" s="148" t="s">
        <v>688</v>
      </c>
      <c r="C46" s="97" t="s">
        <v>249</v>
      </c>
      <c r="D46" s="146">
        <v>1</v>
      </c>
      <c r="E46" s="149" t="s">
        <v>57</v>
      </c>
      <c r="F46" s="97" t="s">
        <v>383</v>
      </c>
    </row>
    <row r="47" spans="2:11">
      <c r="B47" s="120" t="s">
        <v>558</v>
      </c>
      <c r="C47" s="131" t="s">
        <v>287</v>
      </c>
      <c r="F47" s="152"/>
    </row>
    <row r="48" spans="2:11">
      <c r="B48" s="120" t="s">
        <v>568</v>
      </c>
      <c r="C48" s="131" t="s">
        <v>569</v>
      </c>
      <c r="F48" s="152"/>
    </row>
    <row r="49" spans="2:11">
      <c r="B49" s="31" t="s">
        <v>380</v>
      </c>
      <c r="C49" s="152"/>
      <c r="F49" s="152"/>
    </row>
    <row r="50" spans="2:11">
      <c r="B50" s="31" t="s">
        <v>366</v>
      </c>
      <c r="C50" s="152"/>
      <c r="F50" s="152"/>
    </row>
    <row r="51" spans="2:11">
      <c r="B51" s="148" t="s">
        <v>690</v>
      </c>
      <c r="C51" s="152" t="s">
        <v>249</v>
      </c>
      <c r="D51" s="146">
        <v>1</v>
      </c>
      <c r="E51" s="149" t="s">
        <v>51</v>
      </c>
      <c r="F51" s="152" t="s">
        <v>250</v>
      </c>
    </row>
    <row r="52" spans="2:11">
      <c r="B52" s="148" t="s">
        <v>691</v>
      </c>
      <c r="C52" s="97" t="s">
        <v>55</v>
      </c>
      <c r="D52" s="146">
        <v>1</v>
      </c>
      <c r="E52" s="149" t="s">
        <v>57</v>
      </c>
      <c r="F52" s="149" t="s">
        <v>382</v>
      </c>
    </row>
    <row r="53" spans="2:11">
      <c r="B53" s="31" t="s">
        <v>374</v>
      </c>
      <c r="C53" s="152"/>
      <c r="F53" s="152"/>
    </row>
    <row r="54" spans="2:11">
      <c r="B54" s="31" t="s">
        <v>461</v>
      </c>
      <c r="C54" s="152"/>
      <c r="F54" s="152"/>
    </row>
    <row r="55" spans="2:11">
      <c r="B55" s="150" t="s">
        <v>689</v>
      </c>
      <c r="C55" s="97" t="s">
        <v>378</v>
      </c>
      <c r="D55" s="146">
        <v>1</v>
      </c>
      <c r="E55" s="149" t="s">
        <v>51</v>
      </c>
      <c r="F55" s="97" t="s">
        <v>388</v>
      </c>
    </row>
    <row r="56" spans="2:11">
      <c r="B56" s="31" t="s">
        <v>376</v>
      </c>
      <c r="C56" s="152"/>
      <c r="F56" s="152"/>
    </row>
    <row r="57" spans="2:11">
      <c r="B57" s="150" t="s">
        <v>692</v>
      </c>
      <c r="C57" s="145" t="s">
        <v>357</v>
      </c>
      <c r="D57" s="146">
        <v>1</v>
      </c>
      <c r="E57" s="145" t="s">
        <v>51</v>
      </c>
      <c r="F57" s="145" t="s">
        <v>358</v>
      </c>
    </row>
    <row r="58" spans="2:11">
      <c r="B58" s="150" t="s">
        <v>831</v>
      </c>
      <c r="C58" s="145"/>
      <c r="D58" s="146"/>
      <c r="E58" s="145"/>
      <c r="F58" s="145" t="s">
        <v>832</v>
      </c>
    </row>
    <row r="59" spans="2:11">
      <c r="B59" s="31" t="s">
        <v>365</v>
      </c>
      <c r="C59" s="152" t="s">
        <v>111</v>
      </c>
      <c r="F59" s="152"/>
    </row>
    <row r="60" spans="2:11">
      <c r="B60" s="31" t="s">
        <v>364</v>
      </c>
      <c r="C60" s="152"/>
      <c r="F60" s="152"/>
    </row>
    <row r="61" spans="2:11">
      <c r="B61" s="31" t="s">
        <v>361</v>
      </c>
      <c r="C61" s="152"/>
    </row>
    <row r="62" spans="2:11">
      <c r="B62" s="31" t="s">
        <v>375</v>
      </c>
    </row>
    <row r="63" spans="2:11">
      <c r="B63" s="31" t="s">
        <v>377</v>
      </c>
      <c r="K63" s="11" t="s">
        <v>459</v>
      </c>
    </row>
    <row r="64" spans="2:11">
      <c r="B64" s="31" t="s">
        <v>328</v>
      </c>
      <c r="C64" s="149" t="s">
        <v>329</v>
      </c>
      <c r="D64" s="149" t="s">
        <v>549</v>
      </c>
      <c r="E64" s="149" t="s">
        <v>52</v>
      </c>
      <c r="F64" s="149" t="s">
        <v>390</v>
      </c>
    </row>
    <row r="65" spans="2:9">
      <c r="B65" s="31" t="s">
        <v>441</v>
      </c>
    </row>
    <row r="66" spans="2:9">
      <c r="B66" s="31" t="s">
        <v>448</v>
      </c>
    </row>
    <row r="67" spans="2:9">
      <c r="B67" s="31" t="s">
        <v>391</v>
      </c>
      <c r="C67" s="120"/>
      <c r="D67" s="120"/>
      <c r="E67" s="120"/>
      <c r="F67" s="120"/>
      <c r="G67" s="120"/>
      <c r="H67" s="120"/>
      <c r="I67" s="120"/>
    </row>
    <row r="68" spans="2:9">
      <c r="B68" s="31" t="s">
        <v>392</v>
      </c>
      <c r="C68" s="120"/>
      <c r="D68" s="120"/>
      <c r="E68" s="120"/>
      <c r="F68" s="120"/>
      <c r="G68" s="120"/>
      <c r="H68" s="120"/>
      <c r="I68" s="120"/>
    </row>
    <row r="69" spans="2:9">
      <c r="B69" s="97" t="s">
        <v>350</v>
      </c>
      <c r="C69" s="151" t="s">
        <v>351</v>
      </c>
      <c r="D69" s="153" t="s">
        <v>548</v>
      </c>
      <c r="E69" s="151" t="s">
        <v>52</v>
      </c>
      <c r="F69" s="151" t="s">
        <v>352</v>
      </c>
      <c r="G69" s="151" t="s">
        <v>94</v>
      </c>
      <c r="H69" s="151" t="s">
        <v>353</v>
      </c>
      <c r="I69" s="120"/>
    </row>
    <row r="70" spans="2:9">
      <c r="B70" s="31" t="s">
        <v>248</v>
      </c>
    </row>
    <row r="71" spans="2:9">
      <c r="B71" s="11" t="s">
        <v>464</v>
      </c>
    </row>
    <row r="72" spans="2:9">
      <c r="B72" s="119" t="s">
        <v>829</v>
      </c>
      <c r="C72" t="s">
        <v>316</v>
      </c>
      <c r="F72" t="s">
        <v>830</v>
      </c>
    </row>
    <row r="73" spans="2:9">
      <c r="B73" s="119" t="s">
        <v>324</v>
      </c>
      <c r="F73" t="s">
        <v>836</v>
      </c>
    </row>
    <row r="74" spans="2:9">
      <c r="B74" s="119" t="s">
        <v>323</v>
      </c>
      <c r="C74" t="s">
        <v>834</v>
      </c>
      <c r="F74" t="s">
        <v>833</v>
      </c>
    </row>
    <row r="75" spans="2:9">
      <c r="B75" s="11" t="s">
        <v>170</v>
      </c>
    </row>
    <row r="76" spans="2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2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2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2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2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806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670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731</v>
      </c>
    </row>
    <row r="6" spans="1:3">
      <c r="B6" s="120" t="s">
        <v>60</v>
      </c>
    </row>
    <row r="7" spans="1:3">
      <c r="B7" s="120"/>
      <c r="C7" s="121" t="s">
        <v>780</v>
      </c>
    </row>
    <row r="8" spans="1:3">
      <c r="B8" s="120"/>
      <c r="C8" s="148" t="s">
        <v>781</v>
      </c>
    </row>
    <row r="9" spans="1:3">
      <c r="B9" s="120"/>
    </row>
    <row r="10" spans="1:3">
      <c r="B10" s="120"/>
    </row>
    <row r="11" spans="1:3">
      <c r="C11" s="121" t="s">
        <v>777</v>
      </c>
    </row>
    <row r="12" spans="1:3">
      <c r="C12" s="120" t="s">
        <v>778</v>
      </c>
    </row>
    <row r="13" spans="1:3">
      <c r="C13" s="120" t="s">
        <v>779</v>
      </c>
    </row>
    <row r="14" spans="1:3">
      <c r="C14" s="120"/>
    </row>
    <row r="16" spans="1:3">
      <c r="B16" s="120" t="s">
        <v>665</v>
      </c>
      <c r="C16">
        <v>180</v>
      </c>
    </row>
    <row r="17" spans="2:3">
      <c r="B17" s="120" t="s">
        <v>667</v>
      </c>
      <c r="C17">
        <v>5</v>
      </c>
    </row>
    <row r="18" spans="2:3">
      <c r="B18" s="120" t="s">
        <v>668</v>
      </c>
      <c r="C18">
        <v>61</v>
      </c>
    </row>
    <row r="19" spans="2:3">
      <c r="B19" s="120" t="s">
        <v>669</v>
      </c>
      <c r="C19">
        <v>34</v>
      </c>
    </row>
    <row r="20" spans="2:3">
      <c r="B20" s="120" t="s">
        <v>705</v>
      </c>
      <c r="C20">
        <f>SUM(C16:C19)</f>
        <v>280</v>
      </c>
    </row>
    <row r="21" spans="2:3">
      <c r="B21" s="120" t="s">
        <v>715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665</v>
      </c>
      <c r="C7">
        <v>225</v>
      </c>
    </row>
    <row r="8" spans="1:3">
      <c r="A8" s="120"/>
      <c r="B8" s="120" t="s">
        <v>667</v>
      </c>
      <c r="C8">
        <v>131</v>
      </c>
    </row>
    <row r="9" spans="1:3">
      <c r="B9" s="120" t="s">
        <v>668</v>
      </c>
      <c r="C9">
        <v>65</v>
      </c>
    </row>
    <row r="10" spans="1:3">
      <c r="B10" s="120" t="s">
        <v>669</v>
      </c>
      <c r="C10">
        <v>33</v>
      </c>
    </row>
    <row r="11" spans="1:3">
      <c r="B11" s="120" t="s">
        <v>705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3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79</v>
      </c>
      <c r="C5" s="120" t="s">
        <v>877</v>
      </c>
    </row>
    <row r="6" spans="1:3">
      <c r="B6" s="120" t="s">
        <v>874</v>
      </c>
      <c r="C6" s="120" t="s">
        <v>878</v>
      </c>
    </row>
    <row r="7" spans="1:3">
      <c r="B7" s="120" t="s">
        <v>60</v>
      </c>
    </row>
    <row r="8" spans="1:3">
      <c r="C8" s="121" t="s">
        <v>879</v>
      </c>
    </row>
    <row r="9" spans="1:3">
      <c r="C9" s="120" t="s">
        <v>880</v>
      </c>
    </row>
    <row r="12" spans="1:3">
      <c r="C12" s="121" t="s">
        <v>761</v>
      </c>
    </row>
    <row r="13" spans="1:3">
      <c r="C13" s="120" t="s">
        <v>762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738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661</v>
      </c>
    </row>
    <row r="5" spans="1:3">
      <c r="B5" s="120" t="s">
        <v>4</v>
      </c>
      <c r="C5" s="120" t="s">
        <v>816</v>
      </c>
    </row>
    <row r="6" spans="1:3">
      <c r="B6" s="120"/>
      <c r="C6" s="120" t="s">
        <v>844</v>
      </c>
    </row>
    <row r="7" spans="1:3">
      <c r="B7" s="120"/>
      <c r="C7" s="120" t="s">
        <v>845</v>
      </c>
    </row>
    <row r="8" spans="1:3">
      <c r="B8" s="120"/>
    </row>
    <row r="9" spans="1:3">
      <c r="B9" s="120" t="s">
        <v>60</v>
      </c>
    </row>
    <row r="10" spans="1:3">
      <c r="C10" s="121" t="s">
        <v>760</v>
      </c>
    </row>
    <row r="11" spans="1:3">
      <c r="C11" s="120" t="s">
        <v>758</v>
      </c>
    </row>
    <row r="12" spans="1:3">
      <c r="C12" s="120" t="s">
        <v>759</v>
      </c>
    </row>
    <row r="13" spans="1:3">
      <c r="C13" s="120"/>
    </row>
    <row r="14" spans="1:3">
      <c r="C14" s="121" t="s">
        <v>712</v>
      </c>
    </row>
    <row r="22" spans="2:3">
      <c r="B22" s="120" t="s">
        <v>665</v>
      </c>
      <c r="C22">
        <v>1048</v>
      </c>
    </row>
    <row r="23" spans="2:3">
      <c r="B23" s="120" t="s">
        <v>667</v>
      </c>
      <c r="C23">
        <v>75</v>
      </c>
    </row>
    <row r="24" spans="2:3">
      <c r="B24" s="120" t="s">
        <v>668</v>
      </c>
      <c r="C24">
        <v>320</v>
      </c>
    </row>
    <row r="25" spans="2:3">
      <c r="B25" s="120" t="s">
        <v>669</v>
      </c>
      <c r="C25">
        <v>65</v>
      </c>
    </row>
    <row r="26" spans="2:3">
      <c r="B26" s="120" t="s">
        <v>705</v>
      </c>
      <c r="C26">
        <f>SUM(C22:C25)</f>
        <v>1508</v>
      </c>
    </row>
    <row r="28" spans="2:3">
      <c r="B28" s="120" t="s">
        <v>665</v>
      </c>
      <c r="C28" s="141">
        <f>+C22/$C$26</f>
        <v>0.69496021220159154</v>
      </c>
    </row>
    <row r="29" spans="2:3">
      <c r="B29" s="120" t="s">
        <v>667</v>
      </c>
      <c r="C29" s="141">
        <f>+C23/$C$26</f>
        <v>4.9734748010610078E-2</v>
      </c>
    </row>
    <row r="30" spans="2:3">
      <c r="B30" s="120" t="s">
        <v>668</v>
      </c>
      <c r="C30" s="141">
        <f>+C24/$C$26</f>
        <v>0.21220159151193635</v>
      </c>
    </row>
    <row r="31" spans="2:3">
      <c r="B31" s="120" t="s">
        <v>669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819</v>
      </c>
    </row>
    <row r="7" spans="1:3">
      <c r="B7" s="120" t="s">
        <v>564</v>
      </c>
      <c r="C7" s="120" t="s">
        <v>557</v>
      </c>
    </row>
    <row r="9" spans="1:3">
      <c r="C9" s="156" t="s">
        <v>704</v>
      </c>
    </row>
    <row r="10" spans="1:3">
      <c r="B10" s="120" t="s">
        <v>665</v>
      </c>
      <c r="C10">
        <v>808</v>
      </c>
    </row>
    <row r="11" spans="1:3">
      <c r="B11" s="120" t="s">
        <v>667</v>
      </c>
      <c r="C11">
        <v>255</v>
      </c>
    </row>
    <row r="12" spans="1:3">
      <c r="B12" s="120" t="s">
        <v>668</v>
      </c>
      <c r="C12">
        <v>260</v>
      </c>
    </row>
    <row r="13" spans="1:3">
      <c r="B13" s="120" t="s">
        <v>669</v>
      </c>
      <c r="C13">
        <v>166</v>
      </c>
    </row>
    <row r="14" spans="1:3">
      <c r="B14" s="120" t="s">
        <v>705</v>
      </c>
      <c r="C14">
        <f>SUM(C10:C13)</f>
        <v>1489</v>
      </c>
    </row>
    <row r="16" spans="1:3">
      <c r="B16" s="120" t="s">
        <v>665</v>
      </c>
      <c r="C16" s="141">
        <f>+C10/$C$14</f>
        <v>0.54264607118871722</v>
      </c>
    </row>
    <row r="17" spans="2:3">
      <c r="B17" s="120" t="s">
        <v>667</v>
      </c>
      <c r="C17" s="141">
        <f>+C11/$C$14</f>
        <v>0.1712558764271323</v>
      </c>
    </row>
    <row r="18" spans="2:3">
      <c r="B18" s="120" t="s">
        <v>668</v>
      </c>
      <c r="C18" s="141">
        <f>+C12/$C$14</f>
        <v>0.17461383478844864</v>
      </c>
    </row>
    <row r="19" spans="2:3">
      <c r="B19" s="120" t="s">
        <v>669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29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716</v>
      </c>
    </row>
    <row r="6" spans="1:3">
      <c r="B6" s="120" t="s">
        <v>4</v>
      </c>
      <c r="C6" s="120" t="s">
        <v>815</v>
      </c>
    </row>
    <row r="7" spans="1:3">
      <c r="B7" s="120" t="s">
        <v>60</v>
      </c>
    </row>
    <row r="8" spans="1:3">
      <c r="B8" s="120"/>
      <c r="C8" s="120" t="s">
        <v>722</v>
      </c>
    </row>
    <row r="9" spans="1:3">
      <c r="B9" s="120"/>
    </row>
    <row r="10" spans="1:3">
      <c r="B10" s="120"/>
      <c r="C10" s="120" t="s">
        <v>723</v>
      </c>
    </row>
    <row r="11" spans="1:3">
      <c r="B11" s="120"/>
    </row>
    <row r="12" spans="1:3">
      <c r="B12" s="120"/>
    </row>
    <row r="13" spans="1:3">
      <c r="C13" s="121" t="s">
        <v>693</v>
      </c>
    </row>
    <row r="14" spans="1:3">
      <c r="C14" s="120" t="s">
        <v>757</v>
      </c>
    </row>
    <row r="16" spans="1:3">
      <c r="C16" s="121" t="s">
        <v>719</v>
      </c>
    </row>
    <row r="18" spans="2:3">
      <c r="C18" s="121" t="s">
        <v>720</v>
      </c>
    </row>
    <row r="20" spans="2:3">
      <c r="C20" s="121" t="s">
        <v>721</v>
      </c>
    </row>
    <row r="22" spans="2:3">
      <c r="C22" s="156" t="s">
        <v>704</v>
      </c>
    </row>
    <row r="23" spans="2:3">
      <c r="B23" s="120" t="s">
        <v>665</v>
      </c>
      <c r="C23">
        <v>414</v>
      </c>
    </row>
    <row r="24" spans="2:3">
      <c r="B24" s="120" t="s">
        <v>717</v>
      </c>
      <c r="C24">
        <v>865</v>
      </c>
    </row>
    <row r="25" spans="2:3">
      <c r="B25" s="120" t="s">
        <v>667</v>
      </c>
      <c r="C25">
        <v>224</v>
      </c>
    </row>
    <row r="26" spans="2:3">
      <c r="B26" s="120" t="s">
        <v>668</v>
      </c>
      <c r="C26">
        <v>263</v>
      </c>
    </row>
    <row r="27" spans="2:3">
      <c r="B27" s="120" t="s">
        <v>669</v>
      </c>
      <c r="C27">
        <v>31</v>
      </c>
    </row>
    <row r="28" spans="2:3">
      <c r="B28" s="120" t="s">
        <v>718</v>
      </c>
      <c r="C28">
        <f>+C23+C25+C26+C27</f>
        <v>932</v>
      </c>
    </row>
    <row r="29" spans="2:3">
      <c r="B29" s="120" t="s">
        <v>715</v>
      </c>
      <c r="C29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728</v>
      </c>
    </row>
    <row r="4" spans="1:3">
      <c r="B4" s="120" t="s">
        <v>1</v>
      </c>
      <c r="C4" s="120" t="s">
        <v>729</v>
      </c>
    </row>
    <row r="5" spans="1:3">
      <c r="B5" s="120" t="s">
        <v>564</v>
      </c>
      <c r="C5" s="120" t="s">
        <v>730</v>
      </c>
    </row>
    <row r="6" spans="1:3">
      <c r="B6" s="120" t="s">
        <v>60</v>
      </c>
    </row>
    <row r="10" spans="1:3">
      <c r="B10" s="120" t="s">
        <v>665</v>
      </c>
      <c r="C10">
        <v>478</v>
      </c>
    </row>
    <row r="11" spans="1:3">
      <c r="B11" s="120" t="s">
        <v>667</v>
      </c>
      <c r="C11">
        <v>41</v>
      </c>
    </row>
    <row r="12" spans="1:3">
      <c r="B12" s="120" t="s">
        <v>668</v>
      </c>
      <c r="C12">
        <v>192</v>
      </c>
    </row>
    <row r="13" spans="1:3">
      <c r="B13" s="120" t="s">
        <v>669</v>
      </c>
      <c r="C13">
        <v>70</v>
      </c>
    </row>
    <row r="14" spans="1:3">
      <c r="B14" s="120" t="s">
        <v>705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725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>
      <c r="C9" s="121" t="s">
        <v>243</v>
      </c>
    </row>
    <row r="10" spans="1:3">
      <c r="C10" t="s">
        <v>244</v>
      </c>
    </row>
    <row r="13" spans="1:3">
      <c r="C13" s="121" t="s">
        <v>763</v>
      </c>
    </row>
    <row r="21" spans="2:3">
      <c r="B21" s="120" t="s">
        <v>665</v>
      </c>
      <c r="C21">
        <v>869</v>
      </c>
    </row>
    <row r="22" spans="2:3">
      <c r="B22" s="120" t="s">
        <v>667</v>
      </c>
      <c r="C22">
        <v>1474</v>
      </c>
    </row>
    <row r="23" spans="2:3">
      <c r="B23" s="120" t="s">
        <v>668</v>
      </c>
      <c r="C23">
        <v>1233</v>
      </c>
    </row>
    <row r="24" spans="2:3">
      <c r="B24" s="120" t="s">
        <v>724</v>
      </c>
      <c r="C24">
        <v>260</v>
      </c>
    </row>
    <row r="25" spans="2:3">
      <c r="B25" s="120" t="s">
        <v>705</v>
      </c>
      <c r="C25">
        <f>SUM(C21:C24)</f>
        <v>3836</v>
      </c>
    </row>
    <row r="27" spans="2:3">
      <c r="B27" s="120" t="s">
        <v>665</v>
      </c>
      <c r="C27" s="141">
        <f>+C21/$C$25</f>
        <v>0.22653806047966632</v>
      </c>
    </row>
    <row r="28" spans="2:3">
      <c r="B28" s="120" t="s">
        <v>667</v>
      </c>
      <c r="C28" s="141">
        <f>+C22/$C$25</f>
        <v>0.38425443169968715</v>
      </c>
    </row>
    <row r="29" spans="2:3">
      <c r="B29" s="120" t="s">
        <v>668</v>
      </c>
      <c r="C29" s="141">
        <f>+C23/$C$25</f>
        <v>0.32142857142857145</v>
      </c>
    </row>
    <row r="30" spans="2:3">
      <c r="B30" s="120" t="s">
        <v>724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818</v>
      </c>
    </row>
    <row r="9" spans="1:3">
      <c r="B9" s="120"/>
      <c r="C9" s="120" t="s">
        <v>820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>
      <c r="C17" s="121" t="s">
        <v>585</v>
      </c>
    </row>
    <row r="19" spans="3:3">
      <c r="C19" s="121" t="s">
        <v>586</v>
      </c>
    </row>
    <row r="21" spans="3:3">
      <c r="C21" s="121" t="s">
        <v>589</v>
      </c>
    </row>
    <row r="22" spans="3:3">
      <c r="C22" s="120" t="s">
        <v>588</v>
      </c>
    </row>
    <row r="24" spans="3: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>
      <c r="C29" s="121" t="s">
        <v>713</v>
      </c>
    </row>
    <row r="31" spans="3:3">
      <c r="C31" s="121" t="s">
        <v>714</v>
      </c>
    </row>
    <row r="33" spans="2:5">
      <c r="E33" s="121" t="s">
        <v>656</v>
      </c>
    </row>
    <row r="34" spans="2:5">
      <c r="E34" s="120" t="s">
        <v>655</v>
      </c>
    </row>
    <row r="35" spans="2:5">
      <c r="E35" s="120" t="s">
        <v>672</v>
      </c>
    </row>
    <row r="37" spans="2:5">
      <c r="B37" s="120" t="s">
        <v>665</v>
      </c>
      <c r="C37">
        <v>607</v>
      </c>
    </row>
    <row r="38" spans="2:5">
      <c r="B38" s="120" t="s">
        <v>667</v>
      </c>
      <c r="C38">
        <v>320</v>
      </c>
    </row>
    <row r="39" spans="2:5">
      <c r="B39" s="120" t="s">
        <v>668</v>
      </c>
      <c r="C39">
        <v>398</v>
      </c>
    </row>
    <row r="40" spans="2:5">
      <c r="B40" s="120" t="s">
        <v>669</v>
      </c>
      <c r="C40">
        <v>125</v>
      </c>
    </row>
    <row r="41" spans="2:5">
      <c r="B41" s="120" t="s">
        <v>705</v>
      </c>
      <c r="C41">
        <f>SUM(C37:C40)</f>
        <v>1450</v>
      </c>
    </row>
    <row r="43" spans="2:5">
      <c r="B43" s="120" t="s">
        <v>665</v>
      </c>
      <c r="C43" s="141">
        <f>+C37/$C$41</f>
        <v>0.41862068965517241</v>
      </c>
    </row>
    <row r="44" spans="2:5">
      <c r="B44" s="120" t="s">
        <v>667</v>
      </c>
      <c r="C44" s="141">
        <f>+C38/$C$41</f>
        <v>0.22068965517241379</v>
      </c>
    </row>
    <row r="45" spans="2:5">
      <c r="B45" s="120" t="s">
        <v>668</v>
      </c>
      <c r="C45" s="141">
        <f>+C39/$C$41</f>
        <v>0.27448275862068966</v>
      </c>
    </row>
    <row r="46" spans="2:5">
      <c r="B46" s="120" t="s">
        <v>669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opLeftCell="A4" zoomScale="145" zoomScaleNormal="145" workbookViewId="0">
      <selection activeCell="F16" sqref="F16"/>
    </sheetView>
  </sheetViews>
  <sheetFormatPr defaultColWidth="9.140625" defaultRowHeight="12.75"/>
  <cols>
    <col min="1" max="1" width="2.7109375" style="1" customWidth="1"/>
    <col min="2" max="2" width="22.28515625" style="1" customWidth="1"/>
    <col min="3" max="3" width="17.85546875" style="1" customWidth="1"/>
    <col min="4" max="4" width="10.28515625" style="1" customWidth="1"/>
    <col min="5" max="5" width="13.42578125" style="1" customWidth="1"/>
    <col min="6" max="6" width="15.42578125" style="1" customWidth="1"/>
    <col min="7" max="7" width="12.140625" style="1" customWidth="1"/>
    <col min="8" max="8" width="10.4257812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72.72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822</v>
      </c>
      <c r="J3" s="1" t="s">
        <v>180</v>
      </c>
      <c r="K3" s="24">
        <f>1560</f>
        <v>1560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113443.2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733</v>
      </c>
      <c r="G7" s="7" t="s">
        <v>121</v>
      </c>
      <c r="H7" s="8"/>
      <c r="J7" s="1" t="s">
        <v>212</v>
      </c>
      <c r="K7" s="24">
        <f>K4-K5+K6</f>
        <v>139767.20000000001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771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868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732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727</v>
      </c>
      <c r="C15" s="118" t="s">
        <v>69</v>
      </c>
      <c r="D15" s="6"/>
      <c r="F15" s="118" t="s">
        <v>726</v>
      </c>
      <c r="G15" s="7"/>
      <c r="H15" s="8"/>
      <c r="J15" s="23"/>
      <c r="K15" s="122"/>
    </row>
    <row r="16" spans="1:12">
      <c r="B16" s="12" t="s">
        <v>745</v>
      </c>
      <c r="C16" s="118" t="s">
        <v>744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663</v>
      </c>
      <c r="C17" s="118" t="s">
        <v>69</v>
      </c>
      <c r="D17" s="6"/>
      <c r="E17" s="21">
        <v>44035</v>
      </c>
      <c r="F17" s="118" t="s">
        <v>664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>
      <c r="B19" s="12" t="s">
        <v>616</v>
      </c>
      <c r="C19" s="118" t="s">
        <v>630</v>
      </c>
      <c r="D19" s="125"/>
      <c r="E19" s="21">
        <v>45246</v>
      </c>
      <c r="F19" s="118" t="s">
        <v>876</v>
      </c>
      <c r="G19" s="118" t="s">
        <v>94</v>
      </c>
      <c r="H19" s="8"/>
      <c r="J19" s="154" t="s">
        <v>696</v>
      </c>
      <c r="K19" s="122"/>
    </row>
    <row r="20" spans="2:11">
      <c r="B20" s="12" t="s">
        <v>614</v>
      </c>
      <c r="C20" s="118"/>
      <c r="D20" s="125"/>
      <c r="F20" s="118" t="s">
        <v>754</v>
      </c>
      <c r="G20" s="118" t="s">
        <v>555</v>
      </c>
      <c r="H20" s="8"/>
      <c r="J20" s="128" t="s">
        <v>697</v>
      </c>
      <c r="K20" s="122"/>
    </row>
    <row r="21" spans="2:11">
      <c r="B21" s="12" t="s">
        <v>824</v>
      </c>
      <c r="C21" s="118" t="s">
        <v>316</v>
      </c>
      <c r="D21" s="125">
        <v>1</v>
      </c>
      <c r="F21" s="118" t="s">
        <v>828</v>
      </c>
      <c r="G21" s="118"/>
      <c r="H21" s="8"/>
      <c r="J21" s="128"/>
      <c r="K21" s="122"/>
    </row>
    <row r="22" spans="2:11">
      <c r="B22" s="12" t="s">
        <v>881</v>
      </c>
      <c r="C22" s="118" t="s">
        <v>9</v>
      </c>
      <c r="D22" s="125" t="s">
        <v>650</v>
      </c>
      <c r="E22" s="118"/>
      <c r="F22" s="118" t="s">
        <v>676</v>
      </c>
      <c r="G22" s="118" t="s">
        <v>555</v>
      </c>
      <c r="H22" s="38"/>
      <c r="J22" s="154"/>
      <c r="K22" s="122"/>
    </row>
    <row r="23" spans="2:11">
      <c r="B23" s="160" t="s">
        <v>512</v>
      </c>
      <c r="C23" s="118"/>
      <c r="D23" s="125"/>
      <c r="F23" s="118"/>
      <c r="G23" s="118"/>
      <c r="H23" s="126" t="s">
        <v>817</v>
      </c>
      <c r="K23" s="122"/>
    </row>
    <row r="24" spans="2:11">
      <c r="B24" s="12" t="s">
        <v>544</v>
      </c>
      <c r="C24" s="7" t="s">
        <v>543</v>
      </c>
      <c r="D24" s="118" t="s">
        <v>746</v>
      </c>
      <c r="F24" s="7" t="s">
        <v>547</v>
      </c>
      <c r="G24" s="7" t="s">
        <v>94</v>
      </c>
      <c r="H24" s="27"/>
      <c r="K24" s="24"/>
    </row>
    <row r="25" spans="2:11">
      <c r="B25" s="116" t="s">
        <v>255</v>
      </c>
      <c r="C25" s="9" t="s">
        <v>9</v>
      </c>
      <c r="D25" s="117">
        <v>1</v>
      </c>
      <c r="E25" s="117"/>
      <c r="F25" s="9" t="s">
        <v>120</v>
      </c>
      <c r="G25" s="9" t="s">
        <v>94</v>
      </c>
      <c r="H25" s="61"/>
      <c r="J25" s="18" t="s">
        <v>747</v>
      </c>
      <c r="K25" s="24"/>
    </row>
    <row r="26" spans="2:11">
      <c r="B26" s="2"/>
      <c r="C26" s="3"/>
      <c r="D26" s="3"/>
      <c r="E26" s="3" t="s">
        <v>5</v>
      </c>
      <c r="F26" s="3"/>
      <c r="G26" s="3"/>
      <c r="H26" s="4"/>
      <c r="J26" s="119" t="s">
        <v>698</v>
      </c>
    </row>
    <row r="27" spans="2:11">
      <c r="B27" s="123" t="s">
        <v>849</v>
      </c>
      <c r="C27" s="118"/>
      <c r="D27" s="125"/>
      <c r="E27" s="118"/>
      <c r="F27" s="118" t="s">
        <v>850</v>
      </c>
      <c r="G27" s="118"/>
      <c r="H27" s="38"/>
      <c r="J27" s="119" t="s">
        <v>812</v>
      </c>
    </row>
    <row r="28" spans="2:11">
      <c r="B28" s="123" t="s">
        <v>851</v>
      </c>
      <c r="C28" s="118" t="s">
        <v>834</v>
      </c>
      <c r="D28" s="125"/>
      <c r="E28" s="118"/>
      <c r="F28" s="118" t="s">
        <v>852</v>
      </c>
      <c r="G28" s="118"/>
      <c r="H28" s="38"/>
      <c r="J28" s="119" t="s">
        <v>821</v>
      </c>
    </row>
    <row r="29" spans="2:11">
      <c r="B29" s="142" t="s">
        <v>853</v>
      </c>
      <c r="C29" s="118" t="s">
        <v>834</v>
      </c>
      <c r="D29" s="125"/>
      <c r="E29" s="118"/>
      <c r="F29" s="118" t="s">
        <v>127</v>
      </c>
      <c r="G29" s="118"/>
      <c r="H29" s="38"/>
      <c r="J29" s="119" t="s">
        <v>807</v>
      </c>
    </row>
    <row r="30" spans="2:11">
      <c r="B30" s="142" t="s">
        <v>854</v>
      </c>
      <c r="C30" s="118" t="s">
        <v>834</v>
      </c>
      <c r="D30" s="125"/>
      <c r="E30" s="118"/>
      <c r="F30" s="118" t="s">
        <v>855</v>
      </c>
      <c r="G30" s="118"/>
      <c r="H30" s="38"/>
      <c r="J30" s="119" t="s">
        <v>808</v>
      </c>
    </row>
    <row r="31" spans="2:11">
      <c r="B31" s="123" t="s">
        <v>701</v>
      </c>
      <c r="C31" s="118" t="s">
        <v>703</v>
      </c>
      <c r="D31" s="6"/>
      <c r="E31" s="20"/>
      <c r="F31" s="118" t="s">
        <v>702</v>
      </c>
      <c r="G31" s="7"/>
      <c r="H31" s="38"/>
    </row>
    <row r="32" spans="2:11">
      <c r="B32" s="123" t="s">
        <v>856</v>
      </c>
      <c r="C32" s="118" t="s">
        <v>858</v>
      </c>
      <c r="D32" s="6"/>
      <c r="E32" s="20"/>
      <c r="F32" s="118" t="s">
        <v>857</v>
      </c>
      <c r="G32" s="7"/>
      <c r="H32" s="38"/>
    </row>
    <row r="33" spans="2:10">
      <c r="B33" s="123" t="s">
        <v>862</v>
      </c>
      <c r="C33" s="118" t="s">
        <v>864</v>
      </c>
      <c r="D33" s="6"/>
      <c r="E33" s="20"/>
      <c r="F33" s="118" t="s">
        <v>863</v>
      </c>
      <c r="G33" s="7"/>
      <c r="H33" s="38"/>
    </row>
    <row r="34" spans="2:10">
      <c r="B34" s="123" t="s">
        <v>859</v>
      </c>
      <c r="C34" s="118" t="s">
        <v>860</v>
      </c>
      <c r="D34" s="6"/>
      <c r="E34" s="20"/>
      <c r="F34" s="118" t="s">
        <v>861</v>
      </c>
      <c r="G34" s="7"/>
      <c r="H34" s="38"/>
    </row>
    <row r="35" spans="2:10">
      <c r="B35" s="142" t="s">
        <v>865</v>
      </c>
      <c r="C35" s="118" t="s">
        <v>866</v>
      </c>
      <c r="D35" s="6"/>
      <c r="E35" s="20"/>
      <c r="F35" s="118"/>
      <c r="G35" s="7"/>
      <c r="H35" s="38"/>
    </row>
    <row r="36" spans="2:10">
      <c r="B36" s="158" t="s">
        <v>764</v>
      </c>
      <c r="C36" s="118" t="s">
        <v>766</v>
      </c>
      <c r="D36" s="6"/>
      <c r="E36" s="118" t="s">
        <v>57</v>
      </c>
      <c r="F36" s="118" t="s">
        <v>765</v>
      </c>
      <c r="G36" s="7"/>
      <c r="H36" s="8"/>
      <c r="J36" s="1" t="s">
        <v>748</v>
      </c>
    </row>
    <row r="37" spans="2:10">
      <c r="B37" s="155" t="s">
        <v>783</v>
      </c>
      <c r="C37" s="118" t="s">
        <v>785</v>
      </c>
      <c r="D37" s="6"/>
      <c r="E37" s="20"/>
      <c r="F37" s="20"/>
      <c r="G37" s="7"/>
      <c r="H37" s="38"/>
    </row>
    <row r="38" spans="2:10">
      <c r="B38" s="143" t="s">
        <v>809</v>
      </c>
      <c r="C38" s="118" t="s">
        <v>810</v>
      </c>
      <c r="D38" s="6"/>
      <c r="E38" s="20"/>
      <c r="F38" s="118" t="s">
        <v>811</v>
      </c>
      <c r="G38" s="7"/>
      <c r="H38" s="38"/>
    </row>
    <row r="39" spans="2:10">
      <c r="B39" s="155" t="s">
        <v>784</v>
      </c>
      <c r="C39" s="118" t="s">
        <v>786</v>
      </c>
      <c r="D39" s="6"/>
      <c r="E39" s="20"/>
      <c r="F39" s="20"/>
      <c r="G39" s="7"/>
      <c r="H39" s="38"/>
    </row>
    <row r="40" spans="2:10">
      <c r="B40" s="155" t="s">
        <v>699</v>
      </c>
      <c r="C40" s="118" t="s">
        <v>700</v>
      </c>
      <c r="D40" s="6"/>
      <c r="E40" s="20"/>
      <c r="F40" s="20"/>
      <c r="G40" s="7"/>
      <c r="H40" s="38"/>
    </row>
    <row r="41" spans="2:10">
      <c r="B41" s="155" t="s">
        <v>813</v>
      </c>
      <c r="C41" s="118"/>
      <c r="D41" s="6"/>
      <c r="E41" s="20"/>
      <c r="F41" s="20"/>
      <c r="G41" s="7"/>
      <c r="H41" s="38"/>
    </row>
    <row r="42" spans="2:10">
      <c r="B42" s="143" t="s">
        <v>814</v>
      </c>
      <c r="C42" s="118" t="s">
        <v>125</v>
      </c>
      <c r="D42" s="6"/>
      <c r="E42" s="20"/>
      <c r="F42" s="118" t="s">
        <v>835</v>
      </c>
      <c r="G42" s="118" t="s">
        <v>555</v>
      </c>
      <c r="H42" s="38"/>
    </row>
    <row r="43" spans="2:10">
      <c r="B43" s="143" t="s">
        <v>846</v>
      </c>
      <c r="C43" s="118" t="s">
        <v>847</v>
      </c>
      <c r="D43" s="6"/>
      <c r="E43" s="20"/>
      <c r="F43" s="118" t="s">
        <v>848</v>
      </c>
      <c r="G43" s="118"/>
      <c r="H43" s="38"/>
    </row>
    <row r="44" spans="2:10">
      <c r="B44" s="143" t="s">
        <v>840</v>
      </c>
      <c r="C44" s="118" t="s">
        <v>838</v>
      </c>
      <c r="D44" s="6"/>
      <c r="E44" s="118" t="s">
        <v>51</v>
      </c>
      <c r="F44" s="118" t="s">
        <v>841</v>
      </c>
      <c r="G44" s="118" t="s">
        <v>867</v>
      </c>
      <c r="H44" s="38"/>
    </row>
    <row r="45" spans="2:10">
      <c r="B45" s="143" t="s">
        <v>842</v>
      </c>
      <c r="C45" s="118" t="s">
        <v>838</v>
      </c>
      <c r="D45" s="6"/>
      <c r="E45" s="118" t="s">
        <v>51</v>
      </c>
      <c r="F45" s="118" t="s">
        <v>843</v>
      </c>
      <c r="G45" s="118" t="s">
        <v>867</v>
      </c>
      <c r="H45" s="38"/>
    </row>
    <row r="46" spans="2:10">
      <c r="B46" s="163" t="s">
        <v>837</v>
      </c>
      <c r="C46" s="162" t="s">
        <v>838</v>
      </c>
      <c r="D46" s="60"/>
      <c r="E46" s="162" t="s">
        <v>51</v>
      </c>
      <c r="F46" s="162" t="s">
        <v>839</v>
      </c>
      <c r="G46" s="162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>
      <c r="G48" s="28" t="s">
        <v>235</v>
      </c>
    </row>
    <row r="49" spans="2:9">
      <c r="G49" s="28" t="s">
        <v>236</v>
      </c>
    </row>
    <row r="50" spans="2:9">
      <c r="G50" s="28" t="s">
        <v>327</v>
      </c>
    </row>
    <row r="51" spans="2:9">
      <c r="G51" s="28" t="s">
        <v>317</v>
      </c>
    </row>
    <row r="52" spans="2:9">
      <c r="G52" s="28" t="s">
        <v>318</v>
      </c>
    </row>
    <row r="53" spans="2:9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>
      <c r="F56" s="119"/>
      <c r="G56" s="28"/>
    </row>
    <row r="57" spans="2:9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5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4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2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734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665</v>
      </c>
      <c r="C18" s="1">
        <v>598</v>
      </c>
    </row>
    <row r="19" spans="2:3">
      <c r="B19" s="119" t="s">
        <v>667</v>
      </c>
      <c r="C19" s="1">
        <v>450</v>
      </c>
    </row>
    <row r="20" spans="2:3">
      <c r="B20" s="119" t="s">
        <v>668</v>
      </c>
      <c r="C20" s="1">
        <v>286</v>
      </c>
    </row>
    <row r="21" spans="2:3">
      <c r="B21" s="119" t="s">
        <v>669</v>
      </c>
      <c r="C21" s="1">
        <v>157</v>
      </c>
    </row>
    <row r="22" spans="2:3">
      <c r="B22" s="119" t="s">
        <v>705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>
      <c r="C12" s="18" t="s">
        <v>300</v>
      </c>
    </row>
    <row r="13" spans="1: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defaultColWidth="8.85546875"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675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677</v>
      </c>
    </row>
    <row r="6" spans="1:3">
      <c r="B6" s="120" t="s">
        <v>60</v>
      </c>
    </row>
    <row r="7" spans="1:3">
      <c r="C7" s="121" t="s">
        <v>769</v>
      </c>
    </row>
    <row r="8" spans="1:3">
      <c r="C8" s="120" t="s">
        <v>678</v>
      </c>
    </row>
    <row r="9" spans="1:3">
      <c r="C9" s="120" t="s">
        <v>679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ColWidth="8.85546875" defaultRowHeight="12.75"/>
  <cols>
    <col min="1" max="1" width="5" bestFit="1" customWidth="1"/>
    <col min="2" max="2" width="12.140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767</v>
      </c>
    </row>
    <row r="3" spans="1:3">
      <c r="B3" s="120" t="s">
        <v>560</v>
      </c>
    </row>
    <row r="4" spans="1:3">
      <c r="B4" s="120" t="s">
        <v>1</v>
      </c>
      <c r="C4" s="120" t="s">
        <v>768</v>
      </c>
    </row>
    <row r="5" spans="1:3">
      <c r="B5" s="120" t="s">
        <v>775</v>
      </c>
      <c r="C5" s="120" t="s">
        <v>776</v>
      </c>
    </row>
    <row r="6" spans="1:3">
      <c r="C6" s="120" t="s">
        <v>765</v>
      </c>
    </row>
    <row r="7" spans="1:3">
      <c r="B7" s="120" t="s">
        <v>60</v>
      </c>
    </row>
    <row r="8" spans="1:3">
      <c r="C8" s="121" t="s">
        <v>770</v>
      </c>
    </row>
    <row r="12" spans="1:3">
      <c r="C12" s="121" t="s">
        <v>772</v>
      </c>
    </row>
    <row r="13" spans="1:3">
      <c r="C13" s="148" t="s">
        <v>773</v>
      </c>
    </row>
    <row r="14" spans="1:3">
      <c r="C14" s="148" t="s">
        <v>774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>
      <c r="C9" s="18" t="s">
        <v>399</v>
      </c>
    </row>
    <row r="11" spans="1:3">
      <c r="C11" s="18" t="s">
        <v>201</v>
      </c>
    </row>
    <row r="13" spans="1:3">
      <c r="C13" s="18" t="s">
        <v>200</v>
      </c>
    </row>
    <row r="14" spans="1:3">
      <c r="C14" s="11" t="s">
        <v>396</v>
      </c>
    </row>
    <row r="16" spans="1:3">
      <c r="C16" s="18" t="s">
        <v>198</v>
      </c>
    </row>
    <row r="17" spans="3:3">
      <c r="C17" s="11" t="s">
        <v>397</v>
      </c>
    </row>
    <row r="19" spans="3:3">
      <c r="C19" s="18" t="s">
        <v>199</v>
      </c>
    </row>
    <row r="21" spans="3:3">
      <c r="C21" s="18" t="s">
        <v>202</v>
      </c>
    </row>
    <row r="22" spans="3:3">
      <c r="C22" s="18"/>
    </row>
    <row r="23" spans="3:3">
      <c r="C23" s="18" t="s">
        <v>175</v>
      </c>
    </row>
    <row r="24" spans="3:3">
      <c r="C24" s="1" t="s">
        <v>176</v>
      </c>
    </row>
    <row r="26" spans="3: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>
      <c r="C21" s="18" t="s">
        <v>262</v>
      </c>
    </row>
    <row r="23" spans="3:3">
      <c r="C23" s="18" t="s">
        <v>268</v>
      </c>
    </row>
    <row r="24" spans="3:3">
      <c r="C24" s="1" t="s">
        <v>269</v>
      </c>
    </row>
    <row r="26" spans="3:3">
      <c r="C26" s="18" t="s">
        <v>266</v>
      </c>
    </row>
    <row r="28" spans="3:3">
      <c r="C28" s="18" t="s">
        <v>267</v>
      </c>
    </row>
    <row r="31" spans="3: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1"/>
  <sheetViews>
    <sheetView tabSelected="1" zoomScale="145" zoomScaleNormal="145" workbookViewId="0">
      <pane xSplit="2" ySplit="2" topLeftCell="DU79" activePane="bottomRight" state="frozen"/>
      <selection pane="topRight" activeCell="B1" sqref="B1"/>
      <selection pane="bottomLeft" activeCell="A3" sqref="A3"/>
      <selection pane="bottomRight" activeCell="EE83" sqref="EE83"/>
    </sheetView>
  </sheetViews>
  <sheetFormatPr defaultColWidth="9.140625" defaultRowHeight="12.75"/>
  <cols>
    <col min="1" max="1" width="5" style="100" bestFit="1" customWidth="1"/>
    <col min="2" max="2" width="21.42578125" style="100" customWidth="1"/>
    <col min="3" max="66" width="6.7109375" style="41" customWidth="1"/>
    <col min="67" max="67" width="6.7109375" style="79" customWidth="1"/>
    <col min="68" max="74" width="6.7109375" style="41" customWidth="1"/>
    <col min="75" max="86" width="6.7109375" style="79" customWidth="1"/>
    <col min="87" max="90" width="6.85546875" style="79" customWidth="1"/>
    <col min="91" max="94" width="8" style="79" customWidth="1"/>
    <col min="95" max="102" width="7.85546875" style="79" customWidth="1"/>
    <col min="103" max="104" width="6.7109375" style="79" customWidth="1"/>
    <col min="105" max="119" width="6.7109375" style="41" customWidth="1"/>
    <col min="120" max="126" width="6.42578125" style="41" customWidth="1"/>
    <col min="127" max="128" width="7.42578125" style="41" customWidth="1"/>
    <col min="129" max="134" width="7.42578125" style="14" customWidth="1"/>
    <col min="135" max="143" width="7.28515625" style="14" customWidth="1"/>
    <col min="144" max="16384" width="9.140625" style="14"/>
  </cols>
  <sheetData>
    <row r="1" spans="1:143" s="11" customFormat="1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75"/>
      <c r="CZ2" s="75"/>
      <c r="DA2" s="69"/>
      <c r="DB2" s="69"/>
      <c r="DC2" s="69"/>
      <c r="DD2" s="69"/>
      <c r="DE2" s="69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v>1674</v>
      </c>
      <c r="CT3" s="75">
        <v>1703</v>
      </c>
      <c r="CU3" s="75">
        <v>1679</v>
      </c>
      <c r="CV3" s="75">
        <f t="shared" ref="CV3:CX3" si="2">+CR3*1.05</f>
        <v>1688.4</v>
      </c>
      <c r="CW3" s="75">
        <f t="shared" si="2"/>
        <v>1757.7</v>
      </c>
      <c r="CX3" s="75">
        <f t="shared" si="2"/>
        <v>1788.15</v>
      </c>
      <c r="CY3" s="75"/>
      <c r="CZ3" s="75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 t="shared" ref="DV3:DV24" si="3"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4">SUM(CE3:CH3)</f>
        <v>5016</v>
      </c>
      <c r="DZ3" s="69">
        <f t="shared" ref="DZ3:DZ7" si="5">SUM(CI3:CL3)</f>
        <v>5444</v>
      </c>
      <c r="EA3" s="69">
        <f t="shared" ref="EA3:EA7" si="6">SUM(CM3:CP3)</f>
        <v>5799</v>
      </c>
      <c r="EB3" s="69">
        <f t="shared" ref="EB3:EB34" si="7">SUM(CQ3:CT3)</f>
        <v>6580</v>
      </c>
      <c r="EC3" s="69">
        <f t="shared" ref="EC3:EF3" si="8">+EB3*1.01</f>
        <v>6645.8</v>
      </c>
      <c r="ED3" s="69">
        <f t="shared" si="8"/>
        <v>6712.2579999999998</v>
      </c>
      <c r="EE3" s="69">
        <f t="shared" si="8"/>
        <v>6779.38058</v>
      </c>
      <c r="EF3" s="69">
        <f t="shared" si="8"/>
        <v>6847.1743858</v>
      </c>
      <c r="EG3" s="69">
        <f>+EF3*0.95</f>
        <v>6504.8156665099996</v>
      </c>
      <c r="EH3" s="69">
        <f>+EG3*0.95</f>
        <v>6179.5748831844994</v>
      </c>
      <c r="EI3" s="69">
        <f>+EH3*0.95</f>
        <v>5870.5961390252742</v>
      </c>
      <c r="EJ3" s="69">
        <f>+EI3*0.5</f>
        <v>2935.2980695126371</v>
      </c>
      <c r="EK3" s="63">
        <f>+EJ3*0.2</f>
        <v>587.05961390252742</v>
      </c>
      <c r="EL3" s="63">
        <f t="shared" ref="EL3:EM3" si="9">+EK3*0.2</f>
        <v>117.41192278050549</v>
      </c>
      <c r="EM3" s="63">
        <f t="shared" si="9"/>
        <v>23.482384556101099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v>1943</v>
      </c>
      <c r="CT4" s="75">
        <v>1938</v>
      </c>
      <c r="CU4" s="75">
        <v>2058</v>
      </c>
      <c r="CV4" s="75">
        <f>+CR4*0.5</f>
        <v>972.5</v>
      </c>
      <c r="CW4" s="75">
        <f>+CS4*0.5</f>
        <v>971.5</v>
      </c>
      <c r="CX4" s="75">
        <f>+CT4*0.5</f>
        <v>969</v>
      </c>
      <c r="CY4" s="75"/>
      <c r="CZ4" s="75"/>
      <c r="DA4" s="69"/>
      <c r="DB4" s="69"/>
      <c r="DC4" s="69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 t="shared" si="3"/>
        <v>1391</v>
      </c>
      <c r="DW4" s="69">
        <f t="shared" ref="DW4:DW63" si="10">SUM(BW4:BZ4)</f>
        <v>1543</v>
      </c>
      <c r="DX4" s="69">
        <f t="shared" ref="DX4:DX63" si="11">SUM(CA4:CD4)</f>
        <v>1959</v>
      </c>
      <c r="DY4" s="69">
        <f t="shared" si="4"/>
        <v>3000</v>
      </c>
      <c r="DZ4" s="69">
        <f t="shared" si="5"/>
        <v>4381</v>
      </c>
      <c r="EA4" s="69">
        <f t="shared" si="6"/>
        <v>5964</v>
      </c>
      <c r="EB4" s="69">
        <f t="shared" si="7"/>
        <v>7718</v>
      </c>
      <c r="EC4" s="69">
        <f>+EB4*1.05</f>
        <v>8103.9000000000005</v>
      </c>
      <c r="ED4" s="63">
        <f>+EC4*0.2</f>
        <v>1620.7800000000002</v>
      </c>
      <c r="EE4" s="63">
        <f t="shared" ref="EE4:EM4" si="12">+ED4*0.2</f>
        <v>324.15600000000006</v>
      </c>
      <c r="EF4" s="63">
        <f t="shared" si="12"/>
        <v>64.83120000000001</v>
      </c>
      <c r="EG4" s="63">
        <f t="shared" si="12"/>
        <v>12.966240000000003</v>
      </c>
      <c r="EH4" s="63">
        <f t="shared" si="12"/>
        <v>2.5932480000000009</v>
      </c>
      <c r="EI4" s="63">
        <f t="shared" si="12"/>
        <v>0.51864960000000015</v>
      </c>
      <c r="EJ4" s="63">
        <f t="shared" si="12"/>
        <v>0.10372992000000003</v>
      </c>
      <c r="EK4" s="63">
        <f t="shared" si="12"/>
        <v>2.0745984000000009E-2</v>
      </c>
      <c r="EL4" s="63">
        <f t="shared" si="12"/>
        <v>4.149196800000002E-3</v>
      </c>
      <c r="EM4" s="63">
        <f t="shared" si="12"/>
        <v>8.2983936000000048E-4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v>606</v>
      </c>
      <c r="CT5" s="75">
        <v>543</v>
      </c>
      <c r="CU5" s="75">
        <v>444</v>
      </c>
      <c r="CV5" s="75">
        <f>+CR5*0.9</f>
        <v>630</v>
      </c>
      <c r="CW5" s="75">
        <f>+CS5*0.9</f>
        <v>545.4</v>
      </c>
      <c r="CX5" s="75">
        <f>+CT5*0.9</f>
        <v>488.7</v>
      </c>
      <c r="CY5" s="75"/>
      <c r="CZ5" s="75"/>
      <c r="DA5" s="69"/>
      <c r="DB5" s="69"/>
      <c r="DC5" s="69"/>
      <c r="DD5" s="69"/>
      <c r="DE5" s="69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6" si="13">SUM(BO5:BR5)</f>
        <v>0</v>
      </c>
      <c r="DV5" s="69">
        <f t="shared" si="3"/>
        <v>0</v>
      </c>
      <c r="DW5" s="69">
        <f t="shared" si="10"/>
        <v>0</v>
      </c>
      <c r="DX5" s="69">
        <f t="shared" si="11"/>
        <v>0</v>
      </c>
      <c r="DY5" s="69">
        <f t="shared" si="4"/>
        <v>1874</v>
      </c>
      <c r="DZ5" s="69">
        <f t="shared" si="5"/>
        <v>3762</v>
      </c>
      <c r="EA5" s="69">
        <f t="shared" si="6"/>
        <v>3144</v>
      </c>
      <c r="EB5" s="69">
        <f t="shared" si="7"/>
        <v>2588</v>
      </c>
      <c r="EC5" s="69">
        <f>+EB5*0.7</f>
        <v>1811.6</v>
      </c>
      <c r="ED5" s="69">
        <f>+EC5*0.5</f>
        <v>905.8</v>
      </c>
      <c r="EE5" s="69">
        <f t="shared" ref="EE5:EM5" si="14">+ED5*0.95</f>
        <v>860.50999999999988</v>
      </c>
      <c r="EF5" s="69">
        <f t="shared" si="14"/>
        <v>817.4844999999998</v>
      </c>
      <c r="EG5" s="69">
        <f t="shared" si="14"/>
        <v>776.61027499999977</v>
      </c>
      <c r="EH5" s="69">
        <f t="shared" si="14"/>
        <v>737.77976124999975</v>
      </c>
      <c r="EI5" s="69">
        <f t="shared" si="14"/>
        <v>700.89077318749969</v>
      </c>
      <c r="EJ5" s="69">
        <f t="shared" si="14"/>
        <v>665.84623452812468</v>
      </c>
      <c r="EK5" s="69">
        <f t="shared" si="14"/>
        <v>632.55392280171839</v>
      </c>
      <c r="EL5" s="69">
        <f t="shared" si="14"/>
        <v>600.92622666163243</v>
      </c>
      <c r="EM5" s="69">
        <f t="shared" si="14"/>
        <v>570.87991532855074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v>1203</v>
      </c>
      <c r="CT6" s="75">
        <v>1254</v>
      </c>
      <c r="CU6" s="75">
        <v>1261</v>
      </c>
      <c r="CV6" s="75">
        <f t="shared" ref="CV6:CX6" si="15">+CR6*1.1</f>
        <v>1261.7</v>
      </c>
      <c r="CW6" s="75">
        <f t="shared" si="15"/>
        <v>1323.3000000000002</v>
      </c>
      <c r="CX6" s="75">
        <f t="shared" si="15"/>
        <v>1379.4</v>
      </c>
      <c r="CY6" s="75"/>
      <c r="CZ6" s="75"/>
      <c r="DA6" s="69"/>
      <c r="DB6" s="69"/>
      <c r="DC6" s="69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6" si="16">SUM(BK6:BN6)</f>
        <v>0</v>
      </c>
      <c r="DU6" s="69">
        <f t="shared" si="13"/>
        <v>19</v>
      </c>
      <c r="DV6" s="69">
        <f t="shared" si="3"/>
        <v>633</v>
      </c>
      <c r="DW6" s="69">
        <f t="shared" si="10"/>
        <v>1469</v>
      </c>
      <c r="DX6" s="69">
        <f t="shared" si="11"/>
        <v>2042</v>
      </c>
      <c r="DY6" s="69">
        <f t="shared" si="4"/>
        <v>2412</v>
      </c>
      <c r="DZ6" s="69">
        <f t="shared" si="5"/>
        <v>2783</v>
      </c>
      <c r="EA6" s="69">
        <f t="shared" si="6"/>
        <v>4237</v>
      </c>
      <c r="EB6" s="69">
        <f t="shared" si="7"/>
        <v>4717</v>
      </c>
      <c r="EC6" s="69">
        <f t="shared" ref="EC6:EF6" si="17">+EB6*1.05</f>
        <v>4952.8500000000004</v>
      </c>
      <c r="ED6" s="69">
        <f t="shared" si="17"/>
        <v>5200.4925000000003</v>
      </c>
      <c r="EE6" s="69">
        <f t="shared" si="17"/>
        <v>5460.5171250000003</v>
      </c>
      <c r="EF6" s="69">
        <f t="shared" si="17"/>
        <v>5733.5429812500006</v>
      </c>
      <c r="EG6" s="63">
        <f>+EF6*0.95</f>
        <v>5446.8658321875</v>
      </c>
      <c r="EH6" s="63">
        <f t="shared" ref="EH6:EM6" si="18">+EG6*0.95</f>
        <v>5174.5225405781248</v>
      </c>
      <c r="EI6" s="63">
        <f t="shared" si="18"/>
        <v>4915.7964135492184</v>
      </c>
      <c r="EJ6" s="63">
        <f t="shared" si="18"/>
        <v>4670.0065928717577</v>
      </c>
      <c r="EK6" s="63">
        <f t="shared" si="18"/>
        <v>4436.5062632281697</v>
      </c>
      <c r="EL6" s="63">
        <f t="shared" si="18"/>
        <v>4214.6809500667614</v>
      </c>
      <c r="EM6" s="63">
        <f t="shared" si="18"/>
        <v>4003.946902563423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v>705</v>
      </c>
      <c r="CT7" s="72">
        <v>684</v>
      </c>
      <c r="CU7" s="72">
        <v>723</v>
      </c>
      <c r="CV7" s="72">
        <f>+CR7*1.05</f>
        <v>758.1</v>
      </c>
      <c r="CW7" s="72">
        <f>+CS7*1.1</f>
        <v>775.50000000000011</v>
      </c>
      <c r="CX7" s="72">
        <f>+CT7*1.1</f>
        <v>752.40000000000009</v>
      </c>
      <c r="CY7" s="72"/>
      <c r="CZ7" s="72"/>
      <c r="DA7" s="40"/>
      <c r="DB7" s="40"/>
      <c r="DC7" s="40"/>
      <c r="DD7" s="39"/>
      <c r="DE7" s="39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6"/>
        <v>2989</v>
      </c>
      <c r="DU7" s="69">
        <f t="shared" si="13"/>
        <v>2803</v>
      </c>
      <c r="DV7" s="69">
        <f t="shared" si="3"/>
        <v>2561</v>
      </c>
      <c r="DW7" s="69">
        <f t="shared" si="10"/>
        <v>2495</v>
      </c>
      <c r="DX7" s="69">
        <f t="shared" si="11"/>
        <v>2722</v>
      </c>
      <c r="DY7" s="69">
        <f t="shared" si="4"/>
        <v>2728</v>
      </c>
      <c r="DZ7" s="69">
        <f t="shared" si="5"/>
        <v>2538</v>
      </c>
      <c r="EA7" s="69">
        <f t="shared" si="6"/>
        <v>2363</v>
      </c>
      <c r="EB7" s="69">
        <f t="shared" si="7"/>
        <v>2880</v>
      </c>
      <c r="EC7" s="63">
        <f t="shared" ref="EC7:EM7" si="19">+EB7*0.95</f>
        <v>2736</v>
      </c>
      <c r="ED7" s="63">
        <f t="shared" si="19"/>
        <v>2599.1999999999998</v>
      </c>
      <c r="EE7" s="63">
        <f t="shared" si="19"/>
        <v>2469.2399999999998</v>
      </c>
      <c r="EF7" s="63">
        <f t="shared" si="19"/>
        <v>2345.7779999999998</v>
      </c>
      <c r="EG7" s="63">
        <f t="shared" si="19"/>
        <v>2228.4890999999998</v>
      </c>
      <c r="EH7" s="63">
        <f t="shared" si="19"/>
        <v>2117.0646449999995</v>
      </c>
      <c r="EI7" s="63">
        <f t="shared" si="19"/>
        <v>2011.2114127499995</v>
      </c>
      <c r="EJ7" s="63">
        <f t="shared" si="19"/>
        <v>1910.6508421124995</v>
      </c>
      <c r="EK7" s="63">
        <f t="shared" si="19"/>
        <v>1815.1183000068745</v>
      </c>
      <c r="EL7" s="63">
        <f t="shared" si="19"/>
        <v>1724.3623850065308</v>
      </c>
      <c r="EM7" s="63">
        <f t="shared" si="19"/>
        <v>1638.144265756204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v>778</v>
      </c>
      <c r="CT8" s="75">
        <f>1444-600</f>
        <v>844</v>
      </c>
      <c r="CU8" s="75">
        <v>726</v>
      </c>
      <c r="CV8" s="75">
        <f>+CR8*1.05</f>
        <v>781.2</v>
      </c>
      <c r="CW8" s="75">
        <f>+CS8*1.05</f>
        <v>816.90000000000009</v>
      </c>
      <c r="CX8" s="75">
        <f>+CT8*1.05</f>
        <v>886.2</v>
      </c>
      <c r="CY8" s="75"/>
      <c r="CZ8" s="75"/>
      <c r="DA8" s="69"/>
      <c r="DB8" s="69"/>
      <c r="DC8" s="69"/>
      <c r="DD8" s="69"/>
      <c r="DE8" s="69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6"/>
        <v>218</v>
      </c>
      <c r="DU8" s="69">
        <f t="shared" si="13"/>
        <v>297</v>
      </c>
      <c r="DV8" s="69">
        <f t="shared" si="3"/>
        <v>647</v>
      </c>
      <c r="DW8" s="69">
        <f t="shared" si="10"/>
        <v>1198</v>
      </c>
      <c r="DX8" s="69">
        <f t="shared" si="11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 t="shared" si="7"/>
        <v>3071</v>
      </c>
      <c r="EC8" s="69">
        <f>+EB8*0.2</f>
        <v>614.20000000000005</v>
      </c>
      <c r="ED8" s="69">
        <f t="shared" ref="ED8:EM8" si="20">+EC8*0.2</f>
        <v>122.84000000000002</v>
      </c>
      <c r="EE8" s="69">
        <f t="shared" si="20"/>
        <v>24.568000000000005</v>
      </c>
      <c r="EF8" s="69">
        <f t="shared" si="20"/>
        <v>4.9136000000000015</v>
      </c>
      <c r="EG8" s="69">
        <f t="shared" si="20"/>
        <v>0.98272000000000037</v>
      </c>
      <c r="EH8" s="69">
        <f t="shared" si="20"/>
        <v>0.19654400000000008</v>
      </c>
      <c r="EI8" s="69">
        <f t="shared" si="20"/>
        <v>3.9308800000000019E-2</v>
      </c>
      <c r="EJ8" s="69">
        <f t="shared" si="20"/>
        <v>7.8617600000000041E-3</v>
      </c>
      <c r="EK8" s="69">
        <f t="shared" si="20"/>
        <v>1.5723520000000008E-3</v>
      </c>
      <c r="EL8" s="69">
        <f t="shared" si="20"/>
        <v>3.1447040000000021E-4</v>
      </c>
      <c r="EM8" s="69">
        <f t="shared" si="20"/>
        <v>6.2894080000000044E-5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v>510</v>
      </c>
      <c r="CT9" s="75">
        <v>540</v>
      </c>
      <c r="CU9" s="75">
        <v>596</v>
      </c>
      <c r="CV9" s="75">
        <f t="shared" ref="CV9:CX9" si="21">+CU9+50</f>
        <v>646</v>
      </c>
      <c r="CW9" s="75">
        <f t="shared" si="21"/>
        <v>696</v>
      </c>
      <c r="CX9" s="75">
        <f t="shared" si="21"/>
        <v>746</v>
      </c>
      <c r="CY9" s="75"/>
      <c r="CZ9" s="75"/>
      <c r="DA9" s="69"/>
      <c r="DB9" s="69"/>
      <c r="DC9" s="69"/>
      <c r="DD9" s="69"/>
      <c r="DE9" s="69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6"/>
        <v>0</v>
      </c>
      <c r="DU9" s="69">
        <f t="shared" si="13"/>
        <v>0</v>
      </c>
      <c r="DV9" s="69">
        <f t="shared" si="3"/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 t="shared" si="7"/>
        <v>1983</v>
      </c>
      <c r="EC9" s="69">
        <f>+EB9*1.4</f>
        <v>2776.2</v>
      </c>
      <c r="ED9" s="69">
        <f>+EC9*1.3</f>
        <v>3609.06</v>
      </c>
      <c r="EE9" s="69">
        <f>+ED9*1.2</f>
        <v>4330.8719999999994</v>
      </c>
      <c r="EF9" s="69">
        <f>+EE9*1.1</f>
        <v>4763.9591999999993</v>
      </c>
      <c r="EG9" s="69">
        <f t="shared" ref="EG9:EM9" si="22">+EF9*1.03</f>
        <v>4906.8779759999998</v>
      </c>
      <c r="EH9" s="69">
        <f t="shared" si="22"/>
        <v>5054.0843152799998</v>
      </c>
      <c r="EI9" s="69">
        <f t="shared" si="22"/>
        <v>5205.7068447383999</v>
      </c>
      <c r="EJ9" s="69">
        <f t="shared" si="22"/>
        <v>5361.8780500805524</v>
      </c>
      <c r="EK9" s="69">
        <f t="shared" si="22"/>
        <v>5522.7343915829688</v>
      </c>
      <c r="EL9" s="69">
        <f t="shared" si="22"/>
        <v>5688.4164233304582</v>
      </c>
      <c r="EM9" s="69">
        <f t="shared" si="22"/>
        <v>5859.0689160303718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v>1031</v>
      </c>
      <c r="CT10" s="75">
        <v>1089</v>
      </c>
      <c r="CU10" s="75">
        <v>1050</v>
      </c>
      <c r="CV10" s="75">
        <f t="shared" ref="CV10:CX10" si="23">+CR10*1.2</f>
        <v>1135.2</v>
      </c>
      <c r="CW10" s="75">
        <f t="shared" si="23"/>
        <v>1237.2</v>
      </c>
      <c r="CX10" s="75">
        <f t="shared" si="23"/>
        <v>1306.8</v>
      </c>
      <c r="CY10" s="75"/>
      <c r="CZ10" s="75"/>
      <c r="DA10" s="69"/>
      <c r="DB10" s="69"/>
      <c r="DC10" s="69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6"/>
        <v>0</v>
      </c>
      <c r="DU10" s="69">
        <f t="shared" si="13"/>
        <v>0</v>
      </c>
      <c r="DV10" s="69">
        <f t="shared" si="3"/>
        <v>0</v>
      </c>
      <c r="DW10" s="69">
        <f t="shared" si="10"/>
        <v>0</v>
      </c>
      <c r="DX10" s="69">
        <f t="shared" si="11"/>
        <v>0</v>
      </c>
      <c r="DY10" s="69">
        <f t="shared" ref="DY10:DY45" si="24">SUM(CE10:CH10)</f>
        <v>688</v>
      </c>
      <c r="DZ10" s="69">
        <f t="shared" ref="DZ10:DZ45" si="25">SUM(CI10:CL10)</f>
        <v>1964</v>
      </c>
      <c r="EA10" s="69">
        <f t="shared" ref="EA10:EA51" si="26">SUM(CM10:CP10)</f>
        <v>2966</v>
      </c>
      <c r="EB10" s="69">
        <f t="shared" si="7"/>
        <v>3925</v>
      </c>
      <c r="EC10" s="69">
        <f>+EB10*1.2</f>
        <v>4710</v>
      </c>
      <c r="ED10" s="63">
        <f>+EC10*1.02</f>
        <v>4804.2</v>
      </c>
      <c r="EE10" s="63">
        <f t="shared" ref="EE10:EM10" si="27">+ED10*1.02</f>
        <v>4900.2839999999997</v>
      </c>
      <c r="EF10" s="63">
        <f t="shared" si="27"/>
        <v>4998.2896799999999</v>
      </c>
      <c r="EG10" s="63">
        <f t="shared" si="27"/>
        <v>5098.2554736000002</v>
      </c>
      <c r="EH10" s="63">
        <f t="shared" si="27"/>
        <v>5200.2205830720004</v>
      </c>
      <c r="EI10" s="63">
        <f t="shared" si="27"/>
        <v>5304.2249947334403</v>
      </c>
      <c r="EJ10" s="63">
        <f t="shared" si="27"/>
        <v>5410.309494628109</v>
      </c>
      <c r="EK10" s="63">
        <f t="shared" si="27"/>
        <v>5518.5156845206711</v>
      </c>
      <c r="EL10" s="63">
        <f t="shared" si="27"/>
        <v>5628.8859982110844</v>
      </c>
      <c r="EM10" s="63">
        <f t="shared" si="27"/>
        <v>5741.463718175306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v>813</v>
      </c>
      <c r="CT11" s="75">
        <v>808</v>
      </c>
      <c r="CU11" s="75">
        <v>762</v>
      </c>
      <c r="CV11" s="75">
        <f>+CR11*1.2</f>
        <v>948</v>
      </c>
      <c r="CW11" s="75">
        <f>+CS11*1.2</f>
        <v>975.59999999999991</v>
      </c>
      <c r="CX11" s="75">
        <f>+CT11*1.2</f>
        <v>969.59999999999991</v>
      </c>
      <c r="CY11" s="75"/>
      <c r="CZ11" s="75"/>
      <c r="DA11" s="69"/>
      <c r="DB11" s="69"/>
      <c r="DC11" s="69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6"/>
        <v>0</v>
      </c>
      <c r="DU11" s="69">
        <f t="shared" si="13"/>
        <v>3</v>
      </c>
      <c r="DV11" s="69">
        <f t="shared" si="3"/>
        <v>62</v>
      </c>
      <c r="DW11" s="69">
        <f t="shared" si="10"/>
        <v>164</v>
      </c>
      <c r="DX11" s="69">
        <f t="shared" si="11"/>
        <v>522</v>
      </c>
      <c r="DY11" s="69">
        <f t="shared" si="24"/>
        <v>1238</v>
      </c>
      <c r="DZ11" s="69">
        <f t="shared" si="25"/>
        <v>2057</v>
      </c>
      <c r="EA11" s="69">
        <f t="shared" si="26"/>
        <v>2514</v>
      </c>
      <c r="EB11" s="69">
        <f t="shared" si="7"/>
        <v>3129</v>
      </c>
      <c r="EC11" s="69">
        <f>+EB11*1.1</f>
        <v>3441.9</v>
      </c>
      <c r="ED11" s="63">
        <f>+EC11*1.01</f>
        <v>3476.319</v>
      </c>
      <c r="EE11" s="63">
        <f t="shared" ref="EE11:EH11" si="28">+ED11*1.01</f>
        <v>3511.0821900000001</v>
      </c>
      <c r="EF11" s="63">
        <f t="shared" si="28"/>
        <v>3546.1930119000003</v>
      </c>
      <c r="EG11" s="63">
        <f t="shared" si="28"/>
        <v>3581.6549420190004</v>
      </c>
      <c r="EH11" s="63">
        <f t="shared" si="28"/>
        <v>3617.4714914391902</v>
      </c>
      <c r="EI11" s="63">
        <f>+EH11*0.1</f>
        <v>361.74714914391905</v>
      </c>
      <c r="EJ11" s="63">
        <f t="shared" ref="EJ11:EM11" si="29">+EI11*0.1</f>
        <v>36.174714914391906</v>
      </c>
      <c r="EK11" s="63">
        <f t="shared" si="29"/>
        <v>3.6174714914391908</v>
      </c>
      <c r="EL11" s="63">
        <f t="shared" si="29"/>
        <v>0.36174714914391909</v>
      </c>
      <c r="EM11" s="63">
        <f t="shared" si="29"/>
        <v>3.6174714914391913E-2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v>327</v>
      </c>
      <c r="CT12" s="72">
        <v>341</v>
      </c>
      <c r="CU12" s="72">
        <v>305</v>
      </c>
      <c r="CV12" s="72">
        <f t="shared" ref="CV12:CX14" si="30">+CR12*1.01</f>
        <v>345.42</v>
      </c>
      <c r="CW12" s="72">
        <f t="shared" si="30"/>
        <v>330.27</v>
      </c>
      <c r="CX12" s="72">
        <f t="shared" si="30"/>
        <v>344.41</v>
      </c>
      <c r="CY12" s="72"/>
      <c r="CZ12" s="72"/>
      <c r="DA12" s="40"/>
      <c r="DB12" s="40"/>
      <c r="DC12" s="40"/>
      <c r="DD12" s="39"/>
      <c r="DE12" s="39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6"/>
        <v>839</v>
      </c>
      <c r="DU12" s="69">
        <f t="shared" si="13"/>
        <v>1079</v>
      </c>
      <c r="DV12" s="69">
        <f t="shared" si="3"/>
        <v>1321</v>
      </c>
      <c r="DW12" s="69">
        <f t="shared" si="10"/>
        <v>1581</v>
      </c>
      <c r="DX12" s="69">
        <f t="shared" si="11"/>
        <v>1593</v>
      </c>
      <c r="DY12" s="69">
        <f t="shared" si="24"/>
        <v>1472</v>
      </c>
      <c r="DZ12" s="69">
        <f t="shared" si="25"/>
        <v>1358</v>
      </c>
      <c r="EA12" s="69">
        <f t="shared" si="26"/>
        <v>1325</v>
      </c>
      <c r="EB12" s="69">
        <f t="shared" si="7"/>
        <v>1333</v>
      </c>
      <c r="EC12" s="69">
        <f>+EB12*0.9</f>
        <v>1199.7</v>
      </c>
      <c r="ED12" s="69">
        <f t="shared" ref="ED12:EM12" si="31">+EC12*0.9</f>
        <v>1079.73</v>
      </c>
      <c r="EE12" s="69">
        <f t="shared" si="31"/>
        <v>971.75700000000006</v>
      </c>
      <c r="EF12" s="69">
        <f t="shared" si="31"/>
        <v>874.58130000000006</v>
      </c>
      <c r="EG12" s="69">
        <f t="shared" si="31"/>
        <v>787.12317000000007</v>
      </c>
      <c r="EH12" s="69">
        <f t="shared" si="31"/>
        <v>708.41085300000009</v>
      </c>
      <c r="EI12" s="69">
        <f t="shared" si="31"/>
        <v>637.56976770000006</v>
      </c>
      <c r="EJ12" s="69">
        <f t="shared" si="31"/>
        <v>573.81279093000012</v>
      </c>
      <c r="EK12" s="69">
        <f t="shared" si="31"/>
        <v>516.43151183700013</v>
      </c>
      <c r="EL12" s="69">
        <f t="shared" si="31"/>
        <v>464.78836065330012</v>
      </c>
      <c r="EM12" s="69">
        <f t="shared" si="31"/>
        <v>418.30952458797009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v>436</v>
      </c>
      <c r="CT13" s="72">
        <v>471</v>
      </c>
      <c r="CU13" s="72">
        <v>418</v>
      </c>
      <c r="CV13" s="72">
        <f>+CR13*1.05</f>
        <v>444.15000000000003</v>
      </c>
      <c r="CW13" s="72">
        <f>+CS13*1.05</f>
        <v>457.8</v>
      </c>
      <c r="CX13" s="72">
        <f>+CT13*1.05</f>
        <v>494.55</v>
      </c>
      <c r="CY13" s="72"/>
      <c r="CZ13" s="72"/>
      <c r="DA13" s="40"/>
      <c r="DB13" s="40"/>
      <c r="DC13" s="40"/>
      <c r="DD13" s="39"/>
      <c r="DE13" s="39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6"/>
        <v>0</v>
      </c>
      <c r="DU13" s="69">
        <f t="shared" si="13"/>
        <v>0</v>
      </c>
      <c r="DV13" s="69">
        <f t="shared" si="3"/>
        <v>297</v>
      </c>
      <c r="DW13" s="69">
        <f t="shared" si="10"/>
        <v>704</v>
      </c>
      <c r="DX13" s="69">
        <f t="shared" si="11"/>
        <v>949</v>
      </c>
      <c r="DY13" s="69">
        <f t="shared" si="24"/>
        <v>1259</v>
      </c>
      <c r="DZ13" s="69">
        <f t="shared" si="25"/>
        <v>1396</v>
      </c>
      <c r="EA13" s="69">
        <f t="shared" si="26"/>
        <v>1553</v>
      </c>
      <c r="EB13" s="69">
        <f t="shared" si="7"/>
        <v>1688</v>
      </c>
      <c r="EC13" s="63">
        <f t="shared" ref="EC13:EH13" si="32">+EB13*1.1</f>
        <v>1856.8000000000002</v>
      </c>
      <c r="ED13" s="63">
        <f t="shared" si="32"/>
        <v>2042.4800000000005</v>
      </c>
      <c r="EE13" s="63">
        <f t="shared" si="32"/>
        <v>2246.7280000000005</v>
      </c>
      <c r="EF13" s="63">
        <f t="shared" si="32"/>
        <v>2471.4008000000008</v>
      </c>
      <c r="EG13" s="63">
        <f t="shared" si="32"/>
        <v>2718.5408800000009</v>
      </c>
      <c r="EH13" s="63">
        <f t="shared" si="32"/>
        <v>2990.3949680000014</v>
      </c>
      <c r="EI13" s="63">
        <f t="shared" ref="EI13:EM13" si="33">+EH13*0.9</f>
        <v>2691.3554712000014</v>
      </c>
      <c r="EJ13" s="63">
        <f t="shared" si="33"/>
        <v>2422.2199240800014</v>
      </c>
      <c r="EK13" s="63">
        <f t="shared" si="33"/>
        <v>2179.9979316720014</v>
      </c>
      <c r="EL13" s="63">
        <f t="shared" si="33"/>
        <v>1961.9981385048013</v>
      </c>
      <c r="EM13" s="63">
        <f t="shared" si="33"/>
        <v>1765.7983246543213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v>304</v>
      </c>
      <c r="CT14" s="72">
        <v>261</v>
      </c>
      <c r="CU14" s="72">
        <v>317</v>
      </c>
      <c r="CV14" s="72">
        <f t="shared" si="30"/>
        <v>295.93</v>
      </c>
      <c r="CW14" s="72">
        <f t="shared" si="30"/>
        <v>307.04000000000002</v>
      </c>
      <c r="CX14" s="72">
        <f t="shared" si="30"/>
        <v>263.61</v>
      </c>
      <c r="CY14" s="72"/>
      <c r="CZ14" s="72"/>
      <c r="DA14" s="40"/>
      <c r="DB14" s="40"/>
      <c r="DC14" s="40"/>
      <c r="DD14" s="39"/>
      <c r="DE14" s="39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3"/>
        <v>2365</v>
      </c>
      <c r="DV14" s="69">
        <f t="shared" si="3"/>
        <v>1433</v>
      </c>
      <c r="DW14" s="69">
        <f t="shared" si="10"/>
        <v>1278</v>
      </c>
      <c r="DX14" s="69">
        <f t="shared" si="11"/>
        <v>1180</v>
      </c>
      <c r="DY14" s="69">
        <f t="shared" si="24"/>
        <v>1096</v>
      </c>
      <c r="DZ14" s="69">
        <f t="shared" si="25"/>
        <v>1048</v>
      </c>
      <c r="EA14" s="69">
        <f t="shared" si="26"/>
        <v>1107</v>
      </c>
      <c r="EB14" s="69">
        <f t="shared" si="7"/>
        <v>1155</v>
      </c>
      <c r="EC14" s="40">
        <f t="shared" ref="EC14:EM25" si="34">+EB14*0.9</f>
        <v>1039.5</v>
      </c>
      <c r="ED14" s="40">
        <f t="shared" si="34"/>
        <v>935.55000000000007</v>
      </c>
      <c r="EE14" s="40">
        <f t="shared" si="34"/>
        <v>841.99500000000012</v>
      </c>
      <c r="EF14" s="40">
        <f t="shared" si="34"/>
        <v>757.79550000000017</v>
      </c>
      <c r="EG14" s="40">
        <f t="shared" si="34"/>
        <v>682.0159500000002</v>
      </c>
      <c r="EH14" s="40">
        <f t="shared" si="34"/>
        <v>613.81435500000021</v>
      </c>
      <c r="EI14" s="40">
        <f t="shared" si="34"/>
        <v>552.43291950000025</v>
      </c>
      <c r="EJ14" s="40">
        <f t="shared" si="34"/>
        <v>497.18962755000024</v>
      </c>
      <c r="EK14" s="40">
        <f t="shared" si="34"/>
        <v>447.47066479500023</v>
      </c>
      <c r="EL14" s="40">
        <f t="shared" si="34"/>
        <v>402.72359831550023</v>
      </c>
      <c r="EM14" s="40">
        <f t="shared" si="34"/>
        <v>362.45123848395019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v>278</v>
      </c>
      <c r="CT15" s="72">
        <v>252</v>
      </c>
      <c r="CU15" s="72">
        <v>293</v>
      </c>
      <c r="CV15" s="72">
        <f t="shared" ref="CV15:CX16" si="35">+CR15*1.1</f>
        <v>310.20000000000005</v>
      </c>
      <c r="CW15" s="72">
        <f t="shared" si="35"/>
        <v>305.8</v>
      </c>
      <c r="CX15" s="72">
        <f t="shared" si="35"/>
        <v>277.20000000000005</v>
      </c>
      <c r="CY15" s="72"/>
      <c r="CZ15" s="72"/>
      <c r="DA15" s="40"/>
      <c r="DB15" s="40"/>
      <c r="DC15" s="40"/>
      <c r="DD15" s="39"/>
      <c r="DE15" s="39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 t="shared" si="3"/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 t="shared" si="7"/>
        <v>1097</v>
      </c>
      <c r="EC15" s="40">
        <f t="shared" ref="EC15:EM15" si="36">+EB15*0.9</f>
        <v>987.30000000000007</v>
      </c>
      <c r="ED15" s="40">
        <f t="shared" si="36"/>
        <v>888.57</v>
      </c>
      <c r="EE15" s="40">
        <f t="shared" si="36"/>
        <v>799.71300000000008</v>
      </c>
      <c r="EF15" s="40">
        <f t="shared" si="36"/>
        <v>719.74170000000004</v>
      </c>
      <c r="EG15" s="40">
        <f t="shared" si="36"/>
        <v>647.76753000000008</v>
      </c>
      <c r="EH15" s="40">
        <f t="shared" si="36"/>
        <v>582.99077700000009</v>
      </c>
      <c r="EI15" s="40">
        <f t="shared" si="36"/>
        <v>524.6916993000001</v>
      </c>
      <c r="EJ15" s="40">
        <f t="shared" si="36"/>
        <v>472.22252937000007</v>
      </c>
      <c r="EK15" s="40">
        <f t="shared" si="36"/>
        <v>425.00027643300007</v>
      </c>
      <c r="EL15" s="40">
        <f t="shared" si="36"/>
        <v>382.50024878970009</v>
      </c>
      <c r="EM15" s="40">
        <f t="shared" si="36"/>
        <v>344.25022391073009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v>343</v>
      </c>
      <c r="CT16" s="72">
        <v>420</v>
      </c>
      <c r="CU16" s="72">
        <v>352</v>
      </c>
      <c r="CV16" s="72">
        <f t="shared" si="35"/>
        <v>374.00000000000006</v>
      </c>
      <c r="CW16" s="72">
        <f t="shared" si="35"/>
        <v>377.3</v>
      </c>
      <c r="CX16" s="72">
        <f t="shared" si="35"/>
        <v>462.00000000000006</v>
      </c>
      <c r="CY16" s="72"/>
      <c r="CZ16" s="72"/>
      <c r="DA16" s="40"/>
      <c r="DB16" s="40"/>
      <c r="DC16" s="40"/>
      <c r="DD16" s="39"/>
      <c r="DE16" s="39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 t="shared" si="3"/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 t="shared" si="7"/>
        <v>1416</v>
      </c>
      <c r="EC16" s="40">
        <f t="shared" ref="EC16:EM16" si="37">+EB16*1.03</f>
        <v>1458.48</v>
      </c>
      <c r="ED16" s="40">
        <f t="shared" si="37"/>
        <v>1502.2344000000001</v>
      </c>
      <c r="EE16" s="40">
        <f t="shared" si="37"/>
        <v>1547.3014320000002</v>
      </c>
      <c r="EF16" s="40">
        <f t="shared" si="37"/>
        <v>1593.7204749600003</v>
      </c>
      <c r="EG16" s="40">
        <f t="shared" si="37"/>
        <v>1641.5320892088002</v>
      </c>
      <c r="EH16" s="40">
        <f t="shared" si="37"/>
        <v>1690.7780518850643</v>
      </c>
      <c r="EI16" s="40">
        <f t="shared" si="37"/>
        <v>1741.5013934416163</v>
      </c>
      <c r="EJ16" s="40">
        <f t="shared" si="37"/>
        <v>1793.7464352448649</v>
      </c>
      <c r="EK16" s="40">
        <f t="shared" si="37"/>
        <v>1847.5588283022109</v>
      </c>
      <c r="EL16" s="40">
        <f t="shared" si="37"/>
        <v>1902.9855931512773</v>
      </c>
      <c r="EM16" s="40">
        <f t="shared" si="37"/>
        <v>1960.0751609458157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v>266</v>
      </c>
      <c r="CT17" s="72">
        <v>257</v>
      </c>
      <c r="CU17" s="72">
        <v>300</v>
      </c>
      <c r="CV17" s="72">
        <f>+CR17*1.3</f>
        <v>305.5</v>
      </c>
      <c r="CW17" s="72">
        <f>+CS17*1.4</f>
        <v>372.4</v>
      </c>
      <c r="CX17" s="72">
        <f>+CT17*1.3</f>
        <v>334.1</v>
      </c>
      <c r="CY17" s="72"/>
      <c r="CZ17" s="72"/>
      <c r="DA17" s="40"/>
      <c r="DB17" s="40"/>
      <c r="DC17" s="40"/>
      <c r="DD17" s="39"/>
      <c r="DE17" s="39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 t="shared" si="3"/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 t="shared" si="7"/>
        <v>977</v>
      </c>
      <c r="EC17" s="63">
        <f>+EB17*1.3</f>
        <v>1270.1000000000001</v>
      </c>
      <c r="ED17" s="63">
        <f>+EC17*1.3</f>
        <v>1651.1300000000003</v>
      </c>
      <c r="EE17" s="63">
        <f>+ED17*1.3</f>
        <v>2146.4690000000005</v>
      </c>
      <c r="EF17" s="63">
        <f>+EE17*1.1</f>
        <v>2361.1159000000007</v>
      </c>
      <c r="EG17" s="63">
        <f>+EF17*1.1</f>
        <v>2597.2274900000011</v>
      </c>
      <c r="EH17" s="63">
        <f>+EG17*1.1</f>
        <v>2856.9502390000016</v>
      </c>
      <c r="EI17" s="63">
        <f>+EH17*1.05</f>
        <v>2999.797750950002</v>
      </c>
      <c r="EJ17" s="63">
        <f>+EI17*1.05</f>
        <v>3149.787638497502</v>
      </c>
      <c r="EK17" s="63">
        <f>+EJ17*1.05</f>
        <v>3307.2770204223771</v>
      </c>
      <c r="EL17" s="63">
        <f>+EK17*1.05</f>
        <v>3472.6408714434961</v>
      </c>
      <c r="EM17" s="63">
        <f>+EL17*1.05</f>
        <v>3646.2729150156711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v>216</v>
      </c>
      <c r="CT18" s="72">
        <v>201</v>
      </c>
      <c r="CU18" s="72">
        <v>233</v>
      </c>
      <c r="CV18" s="72">
        <f t="shared" ref="CV18:CX18" si="38">+CR18</f>
        <v>227</v>
      </c>
      <c r="CW18" s="72">
        <f t="shared" si="38"/>
        <v>216</v>
      </c>
      <c r="CX18" s="72">
        <f t="shared" si="38"/>
        <v>201</v>
      </c>
      <c r="CY18" s="72"/>
      <c r="CZ18" s="72"/>
      <c r="DA18" s="40"/>
      <c r="DB18" s="40"/>
      <c r="DC18" s="40"/>
      <c r="DD18" s="39"/>
      <c r="DE18" s="39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 t="shared" si="3"/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 t="shared" si="7"/>
        <v>887</v>
      </c>
      <c r="EC18" s="40">
        <f t="shared" ref="EC18:EM18" si="39">+EB18*0.9</f>
        <v>798.30000000000007</v>
      </c>
      <c r="ED18" s="40">
        <f t="shared" si="39"/>
        <v>718.47</v>
      </c>
      <c r="EE18" s="40">
        <f t="shared" si="39"/>
        <v>646.62300000000005</v>
      </c>
      <c r="EF18" s="40">
        <f t="shared" si="39"/>
        <v>581.96070000000009</v>
      </c>
      <c r="EG18" s="40">
        <f t="shared" si="39"/>
        <v>523.76463000000012</v>
      </c>
      <c r="EH18" s="40">
        <f t="shared" si="39"/>
        <v>471.38816700000012</v>
      </c>
      <c r="EI18" s="40">
        <f t="shared" si="39"/>
        <v>424.24935030000012</v>
      </c>
      <c r="EJ18" s="40">
        <f t="shared" si="39"/>
        <v>381.82441527000009</v>
      </c>
      <c r="EK18" s="40">
        <f t="shared" si="39"/>
        <v>343.64197374300011</v>
      </c>
      <c r="EL18" s="40">
        <f t="shared" si="39"/>
        <v>309.27777636870013</v>
      </c>
      <c r="EM18" s="40">
        <f t="shared" si="39"/>
        <v>278.34999873183011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v>151</v>
      </c>
      <c r="CT19" s="72">
        <v>140</v>
      </c>
      <c r="CU19" s="72">
        <v>161</v>
      </c>
      <c r="CV19" s="72">
        <f t="shared" ref="CV19:CX19" si="40">+CU19-5</f>
        <v>156</v>
      </c>
      <c r="CW19" s="72">
        <f t="shared" si="40"/>
        <v>151</v>
      </c>
      <c r="CX19" s="72">
        <f t="shared" si="40"/>
        <v>146</v>
      </c>
      <c r="CY19" s="72"/>
      <c r="CZ19" s="72"/>
      <c r="DA19" s="40"/>
      <c r="DB19" s="40"/>
      <c r="DC19" s="40"/>
      <c r="DD19" s="39"/>
      <c r="DE19" s="39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6"/>
        <v>737</v>
      </c>
      <c r="DU19" s="69">
        <f t="shared" si="13"/>
        <v>695</v>
      </c>
      <c r="DV19" s="69">
        <f t="shared" si="3"/>
        <v>712</v>
      </c>
      <c r="DW19" s="69">
        <f t="shared" si="10"/>
        <v>760</v>
      </c>
      <c r="DX19" s="69">
        <f t="shared" si="11"/>
        <v>820</v>
      </c>
      <c r="DY19" s="69">
        <f t="shared" si="24"/>
        <v>952</v>
      </c>
      <c r="DZ19" s="69">
        <f t="shared" si="25"/>
        <v>862</v>
      </c>
      <c r="EA19" s="69">
        <f t="shared" si="26"/>
        <v>640</v>
      </c>
      <c r="EB19" s="69">
        <f t="shared" si="7"/>
        <v>606</v>
      </c>
      <c r="EC19" s="40">
        <f t="shared" si="34"/>
        <v>545.4</v>
      </c>
      <c r="ED19" s="40">
        <f t="shared" si="34"/>
        <v>490.86</v>
      </c>
      <c r="EE19" s="40">
        <f t="shared" si="34"/>
        <v>441.774</v>
      </c>
      <c r="EF19" s="40">
        <f t="shared" si="34"/>
        <v>397.59660000000002</v>
      </c>
      <c r="EG19" s="40">
        <f t="shared" si="34"/>
        <v>357.83694000000003</v>
      </c>
      <c r="EH19" s="40">
        <f t="shared" si="34"/>
        <v>322.05324600000006</v>
      </c>
      <c r="EI19" s="40">
        <f t="shared" si="34"/>
        <v>289.84792140000008</v>
      </c>
      <c r="EJ19" s="40">
        <f t="shared" si="34"/>
        <v>260.86312926000005</v>
      </c>
      <c r="EK19" s="40">
        <f t="shared" si="34"/>
        <v>234.77681633400005</v>
      </c>
      <c r="EL19" s="40">
        <f t="shared" si="34"/>
        <v>211.29913470060004</v>
      </c>
      <c r="EM19" s="40">
        <f t="shared" si="34"/>
        <v>190.16922123054005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v>72</v>
      </c>
      <c r="CT20" s="72">
        <v>73</v>
      </c>
      <c r="CU20" s="72">
        <v>80</v>
      </c>
      <c r="CV20" s="72">
        <f t="shared" ref="CV20:CX20" si="41">+CU20+2</f>
        <v>82</v>
      </c>
      <c r="CW20" s="72">
        <f t="shared" si="41"/>
        <v>84</v>
      </c>
      <c r="CX20" s="72">
        <f t="shared" si="41"/>
        <v>86</v>
      </c>
      <c r="CY20" s="72"/>
      <c r="CZ20" s="72"/>
      <c r="DA20" s="40"/>
      <c r="DB20" s="40"/>
      <c r="DC20" s="40"/>
      <c r="DD20" s="39"/>
      <c r="DE20" s="39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6"/>
        <v>0</v>
      </c>
      <c r="DU20" s="69">
        <f t="shared" si="13"/>
        <v>0</v>
      </c>
      <c r="DV20" s="69">
        <f t="shared" si="3"/>
        <v>0</v>
      </c>
      <c r="DW20" s="69"/>
      <c r="DX20" s="69"/>
      <c r="DY20" s="69"/>
      <c r="DZ20" s="69"/>
      <c r="EA20" s="69">
        <f t="shared" si="26"/>
        <v>0</v>
      </c>
      <c r="EB20" s="69">
        <f t="shared" si="7"/>
        <v>281</v>
      </c>
      <c r="EC20" s="40">
        <f>+EB20*1.1</f>
        <v>309.10000000000002</v>
      </c>
      <c r="ED20" s="40">
        <f>+EC20*1.1</f>
        <v>340.01000000000005</v>
      </c>
      <c r="EE20" s="40">
        <f>+ED20*1.1</f>
        <v>374.01100000000008</v>
      </c>
      <c r="EF20" s="40">
        <f t="shared" ref="EF20:EM20" si="42">+EE20*1.05</f>
        <v>392.7115500000001</v>
      </c>
      <c r="EG20" s="40">
        <f t="shared" si="42"/>
        <v>412.34712750000011</v>
      </c>
      <c r="EH20" s="40">
        <f t="shared" si="42"/>
        <v>432.96448387500016</v>
      </c>
      <c r="EI20" s="40">
        <f t="shared" si="42"/>
        <v>454.61270806875018</v>
      </c>
      <c r="EJ20" s="40">
        <f t="shared" si="42"/>
        <v>477.34334347218771</v>
      </c>
      <c r="EK20" s="40">
        <f t="shared" si="42"/>
        <v>501.21051064579711</v>
      </c>
      <c r="EL20" s="40">
        <f t="shared" si="42"/>
        <v>526.271036178087</v>
      </c>
      <c r="EM20" s="40">
        <f t="shared" si="42"/>
        <v>552.58458798699132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v>191</v>
      </c>
      <c r="CT21" s="72">
        <v>213</v>
      </c>
      <c r="CU21" s="72">
        <v>217</v>
      </c>
      <c r="CV21" s="72">
        <f t="shared" ref="CV21:CX21" si="43">+CU21+30</f>
        <v>247</v>
      </c>
      <c r="CW21" s="72">
        <f t="shared" si="43"/>
        <v>277</v>
      </c>
      <c r="CX21" s="72">
        <f t="shared" si="43"/>
        <v>307</v>
      </c>
      <c r="CY21" s="72"/>
      <c r="CZ21" s="72"/>
      <c r="DA21" s="40"/>
      <c r="DB21" s="40"/>
      <c r="DC21" s="40"/>
      <c r="DD21" s="39"/>
      <c r="DE21" s="39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6"/>
        <v>0</v>
      </c>
      <c r="DU21" s="69">
        <f t="shared" si="13"/>
        <v>0</v>
      </c>
      <c r="DV21" s="69">
        <f t="shared" si="3"/>
        <v>0</v>
      </c>
      <c r="DW21" s="69"/>
      <c r="DX21" s="69"/>
      <c r="DY21" s="69"/>
      <c r="DZ21" s="69"/>
      <c r="EA21" s="69">
        <f t="shared" si="26"/>
        <v>86</v>
      </c>
      <c r="EB21" s="69">
        <f t="shared" si="7"/>
        <v>684</v>
      </c>
      <c r="EC21" s="40">
        <f>+EB21*1.4</f>
        <v>957.59999999999991</v>
      </c>
      <c r="ED21" s="40">
        <f>+EC21*1.3</f>
        <v>1244.8799999999999</v>
      </c>
      <c r="EE21" s="40">
        <f>+ED21*1.3</f>
        <v>1618.3439999999998</v>
      </c>
      <c r="EF21" s="40">
        <f>+EE21*1.2</f>
        <v>1942.0127999999997</v>
      </c>
      <c r="EG21" s="40">
        <f>+EF21*1.2</f>
        <v>2330.4153599999995</v>
      </c>
      <c r="EH21" s="40">
        <f>+EG21*1.1</f>
        <v>2563.4568959999997</v>
      </c>
      <c r="EI21" s="40">
        <f>+EH21*1.05</f>
        <v>2691.6297407999996</v>
      </c>
      <c r="EJ21" s="40">
        <f>+EI21*1.05</f>
        <v>2826.2112278399995</v>
      </c>
      <c r="EK21" s="40">
        <f>+EJ21*1.05</f>
        <v>2967.5217892319997</v>
      </c>
      <c r="EL21" s="40">
        <f>+EK21*1.05</f>
        <v>3115.8978786936</v>
      </c>
      <c r="EM21" s="40">
        <f>+EL21*1.05</f>
        <v>3271.6927726282802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v>125</v>
      </c>
      <c r="CT22" s="72">
        <v>163</v>
      </c>
      <c r="CU22" s="72">
        <v>132</v>
      </c>
      <c r="CV22" s="72">
        <f>+CU22+10</f>
        <v>142</v>
      </c>
      <c r="CW22" s="72">
        <f>+CV22+10</f>
        <v>152</v>
      </c>
      <c r="CX22" s="72">
        <f>+CW22+10</f>
        <v>162</v>
      </c>
      <c r="CY22" s="72"/>
      <c r="CZ22" s="72"/>
      <c r="DA22" s="40"/>
      <c r="DB22" s="40"/>
      <c r="DC22" s="40"/>
      <c r="DD22" s="39"/>
      <c r="DE22" s="39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6"/>
        <v>0</v>
      </c>
      <c r="DU22" s="69">
        <f t="shared" si="13"/>
        <v>0</v>
      </c>
      <c r="DV22" s="69">
        <f t="shared" si="3"/>
        <v>0</v>
      </c>
      <c r="DW22" s="69"/>
      <c r="DX22" s="69"/>
      <c r="DY22" s="69"/>
      <c r="DZ22" s="69"/>
      <c r="EA22" s="69">
        <f t="shared" si="26"/>
        <v>6</v>
      </c>
      <c r="EB22" s="69">
        <f t="shared" si="7"/>
        <v>430</v>
      </c>
      <c r="EC22" s="40">
        <f>+EB22*1.05</f>
        <v>451.5</v>
      </c>
      <c r="ED22" s="40">
        <f>+EC22*1.05</f>
        <v>474.07500000000005</v>
      </c>
      <c r="EE22" s="40">
        <f>+ED22*1.05</f>
        <v>497.77875000000006</v>
      </c>
      <c r="EF22" s="40">
        <f>+EE22*1.05</f>
        <v>522.66768750000006</v>
      </c>
      <c r="EG22" s="40">
        <f t="shared" ref="EG22:EM22" si="44">+EF22*1.05</f>
        <v>548.80107187500005</v>
      </c>
      <c r="EH22" s="40">
        <f t="shared" si="44"/>
        <v>576.24112546875006</v>
      </c>
      <c r="EI22" s="40">
        <f t="shared" si="44"/>
        <v>605.05318174218758</v>
      </c>
      <c r="EJ22" s="40">
        <f t="shared" si="44"/>
        <v>635.30584082929693</v>
      </c>
      <c r="EK22" s="40">
        <f t="shared" si="44"/>
        <v>667.07113287076174</v>
      </c>
      <c r="EL22" s="40">
        <f t="shared" si="44"/>
        <v>700.42468951429987</v>
      </c>
      <c r="EM22" s="40">
        <f t="shared" si="44"/>
        <v>735.44592399001488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v>138</v>
      </c>
      <c r="CT23" s="72">
        <v>164</v>
      </c>
      <c r="CU23" s="72">
        <v>158</v>
      </c>
      <c r="CV23" s="72">
        <f t="shared" ref="CV23:CX24" si="45">+CU23</f>
        <v>158</v>
      </c>
      <c r="CW23" s="72">
        <f t="shared" si="45"/>
        <v>158</v>
      </c>
      <c r="CX23" s="72">
        <f t="shared" si="45"/>
        <v>158</v>
      </c>
      <c r="CY23" s="72"/>
      <c r="CZ23" s="72"/>
      <c r="DA23" s="40"/>
      <c r="DB23" s="40"/>
      <c r="DC23" s="40"/>
      <c r="DD23" s="39"/>
      <c r="DE23" s="39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6"/>
        <v>1061</v>
      </c>
      <c r="DU23" s="69">
        <f t="shared" si="13"/>
        <v>1176</v>
      </c>
      <c r="DV23" s="69">
        <f t="shared" si="3"/>
        <v>1286</v>
      </c>
      <c r="DW23" s="69">
        <f t="shared" si="10"/>
        <v>1466</v>
      </c>
      <c r="DX23" s="69">
        <f t="shared" si="11"/>
        <v>996</v>
      </c>
      <c r="DY23" s="69">
        <f t="shared" si="24"/>
        <v>962</v>
      </c>
      <c r="DZ23" s="69">
        <f t="shared" si="25"/>
        <v>644</v>
      </c>
      <c r="EA23" s="69">
        <f t="shared" si="26"/>
        <v>712</v>
      </c>
      <c r="EB23" s="69">
        <f t="shared" si="7"/>
        <v>681</v>
      </c>
      <c r="EC23" s="40">
        <f t="shared" si="34"/>
        <v>612.9</v>
      </c>
      <c r="ED23" s="40">
        <f t="shared" si="34"/>
        <v>551.61</v>
      </c>
      <c r="EE23" s="40">
        <f t="shared" si="34"/>
        <v>496.44900000000001</v>
      </c>
      <c r="EF23" s="40">
        <f t="shared" si="34"/>
        <v>446.80410000000001</v>
      </c>
      <c r="EG23" s="40">
        <f t="shared" si="34"/>
        <v>402.12369000000001</v>
      </c>
      <c r="EH23" s="40">
        <f t="shared" si="34"/>
        <v>361.91132100000004</v>
      </c>
      <c r="EI23" s="40">
        <f t="shared" si="34"/>
        <v>325.72018890000004</v>
      </c>
      <c r="EJ23" s="40">
        <f t="shared" si="34"/>
        <v>293.14817001000006</v>
      </c>
      <c r="EK23" s="40">
        <f t="shared" si="34"/>
        <v>263.83335300900006</v>
      </c>
      <c r="EL23" s="40">
        <f t="shared" si="34"/>
        <v>237.45001770810006</v>
      </c>
      <c r="EM23" s="40">
        <f t="shared" si="34"/>
        <v>213.70501593729006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v>120</v>
      </c>
      <c r="CT24" s="72">
        <v>132</v>
      </c>
      <c r="CU24" s="72">
        <v>136</v>
      </c>
      <c r="CV24" s="72">
        <f t="shared" si="45"/>
        <v>136</v>
      </c>
      <c r="CW24" s="72">
        <f t="shared" si="45"/>
        <v>136</v>
      </c>
      <c r="CX24" s="72">
        <f t="shared" si="45"/>
        <v>136</v>
      </c>
      <c r="CY24" s="72"/>
      <c r="CZ24" s="72"/>
      <c r="DA24" s="40"/>
      <c r="DB24" s="40"/>
      <c r="DC24" s="40"/>
      <c r="DD24" s="39"/>
      <c r="DE24" s="39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6"/>
        <v>437</v>
      </c>
      <c r="DU24" s="69">
        <f t="shared" si="13"/>
        <v>353</v>
      </c>
      <c r="DV24" s="69">
        <f t="shared" si="3"/>
        <v>306</v>
      </c>
      <c r="DW24" s="69">
        <f t="shared" si="10"/>
        <v>323</v>
      </c>
      <c r="DX24" s="69">
        <f t="shared" si="11"/>
        <v>238</v>
      </c>
      <c r="DY24" s="69">
        <f t="shared" si="24"/>
        <v>255</v>
      </c>
      <c r="DZ24" s="69">
        <f t="shared" si="25"/>
        <v>366</v>
      </c>
      <c r="EA24" s="69">
        <f t="shared" si="26"/>
        <v>295</v>
      </c>
      <c r="EB24" s="69">
        <f t="shared" si="7"/>
        <v>523</v>
      </c>
      <c r="EC24" s="40">
        <f>+EB24*0.9</f>
        <v>470.7</v>
      </c>
      <c r="ED24" s="40">
        <f>+EC24*0.9</f>
        <v>423.63</v>
      </c>
      <c r="EE24" s="40">
        <f t="shared" si="34"/>
        <v>381.267</v>
      </c>
      <c r="EF24" s="40">
        <f t="shared" si="34"/>
        <v>343.14030000000002</v>
      </c>
      <c r="EG24" s="40">
        <f t="shared" si="34"/>
        <v>308.82627000000002</v>
      </c>
      <c r="EH24" s="40">
        <f t="shared" si="34"/>
        <v>277.94364300000001</v>
      </c>
      <c r="EI24" s="40">
        <f t="shared" si="34"/>
        <v>250.14927870000002</v>
      </c>
      <c r="EJ24" s="40">
        <f t="shared" si="34"/>
        <v>225.13435083000002</v>
      </c>
      <c r="EK24" s="40">
        <f t="shared" si="34"/>
        <v>202.62091574700003</v>
      </c>
      <c r="EL24" s="40">
        <f t="shared" si="34"/>
        <v>182.35882417230002</v>
      </c>
      <c r="EM24" s="40">
        <f t="shared" si="34"/>
        <v>164.12294175507003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v>143</v>
      </c>
      <c r="CT25" s="72">
        <v>150</v>
      </c>
      <c r="CU25" s="72">
        <v>153</v>
      </c>
      <c r="CV25" s="72">
        <f t="shared" ref="CV25:CX25" si="46">+CU25+10</f>
        <v>163</v>
      </c>
      <c r="CW25" s="72">
        <f t="shared" si="46"/>
        <v>173</v>
      </c>
      <c r="CX25" s="72">
        <f t="shared" si="46"/>
        <v>183</v>
      </c>
      <c r="CY25" s="72"/>
      <c r="CZ25" s="72"/>
      <c r="DA25" s="40"/>
      <c r="DB25" s="40"/>
      <c r="DC25" s="40"/>
      <c r="DD25" s="39"/>
      <c r="DE25" s="39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6"/>
        <v>0</v>
      </c>
      <c r="DU25" s="69">
        <f t="shared" si="13"/>
        <v>0</v>
      </c>
      <c r="DV25" s="69">
        <f t="shared" ref="DV25:DV66" si="47">SUM(BS25:BV25)</f>
        <v>0</v>
      </c>
      <c r="DW25" s="69">
        <f t="shared" si="10"/>
        <v>14</v>
      </c>
      <c r="DX25" s="69">
        <f t="shared" si="11"/>
        <v>77</v>
      </c>
      <c r="DY25" s="69">
        <f t="shared" si="24"/>
        <v>175</v>
      </c>
      <c r="DZ25" s="69">
        <f t="shared" si="25"/>
        <v>289</v>
      </c>
      <c r="EA25" s="69">
        <f t="shared" si="26"/>
        <v>412</v>
      </c>
      <c r="EB25" s="69">
        <f t="shared" si="7"/>
        <v>543</v>
      </c>
      <c r="EC25" s="63">
        <f t="shared" ref="EC25:EH25" si="48">+EB25*1.1</f>
        <v>597.30000000000007</v>
      </c>
      <c r="ED25" s="63">
        <f t="shared" si="48"/>
        <v>657.03000000000009</v>
      </c>
      <c r="EE25" s="63">
        <f t="shared" si="48"/>
        <v>722.73300000000017</v>
      </c>
      <c r="EF25" s="63">
        <f t="shared" si="48"/>
        <v>795.00630000000024</v>
      </c>
      <c r="EG25" s="63">
        <f t="shared" si="48"/>
        <v>874.50693000000035</v>
      </c>
      <c r="EH25" s="63">
        <f t="shared" si="48"/>
        <v>961.95762300000047</v>
      </c>
      <c r="EI25" s="63">
        <f t="shared" si="34"/>
        <v>865.7618607000004</v>
      </c>
      <c r="EJ25" s="63">
        <f t="shared" si="34"/>
        <v>779.18567463000034</v>
      </c>
      <c r="EK25" s="63">
        <f t="shared" si="34"/>
        <v>701.26710716700029</v>
      </c>
      <c r="EL25" s="63">
        <f t="shared" si="34"/>
        <v>631.14039645030027</v>
      </c>
      <c r="EM25" s="63">
        <f t="shared" si="34"/>
        <v>568.02635680527021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v>95</v>
      </c>
      <c r="CT26" s="72">
        <v>75</v>
      </c>
      <c r="CU26" s="72">
        <v>79</v>
      </c>
      <c r="CV26" s="72">
        <f t="shared" ref="CV26:CX26" si="49">+CU26+1</f>
        <v>80</v>
      </c>
      <c r="CW26" s="72">
        <f t="shared" si="49"/>
        <v>81</v>
      </c>
      <c r="CX26" s="72">
        <f t="shared" si="49"/>
        <v>82</v>
      </c>
      <c r="CY26" s="72"/>
      <c r="CZ26" s="72"/>
      <c r="DA26" s="40"/>
      <c r="DB26" s="40"/>
      <c r="DC26" s="40"/>
      <c r="DD26" s="39"/>
      <c r="DE26" s="39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6"/>
        <v>0</v>
      </c>
      <c r="DU26" s="69">
        <f t="shared" si="13"/>
        <v>0</v>
      </c>
      <c r="DV26" s="69">
        <f t="shared" si="47"/>
        <v>0</v>
      </c>
      <c r="DW26" s="69">
        <f t="shared" si="10"/>
        <v>0</v>
      </c>
      <c r="DX26" s="69">
        <f t="shared" si="11"/>
        <v>0</v>
      </c>
      <c r="DY26" s="69">
        <f t="shared" si="24"/>
        <v>175</v>
      </c>
      <c r="DZ26" s="69">
        <f t="shared" si="25"/>
        <v>197</v>
      </c>
      <c r="EA26" s="69">
        <f t="shared" si="26"/>
        <v>271</v>
      </c>
      <c r="EB26" s="69">
        <f t="shared" si="7"/>
        <v>337</v>
      </c>
      <c r="EC26" s="63">
        <f t="shared" ref="EC26:ED26" si="50">+EB26*0.9</f>
        <v>303.3</v>
      </c>
      <c r="ED26" s="63">
        <f t="shared" si="50"/>
        <v>272.97000000000003</v>
      </c>
      <c r="EE26" s="63">
        <f t="shared" ref="EE26" si="51">+ED26*0.9</f>
        <v>245.67300000000003</v>
      </c>
      <c r="EF26" s="63">
        <f t="shared" ref="EF26" si="52">+EE26*0.9</f>
        <v>221.10570000000004</v>
      </c>
      <c r="EG26" s="63">
        <f t="shared" ref="EG26" si="53">+EF26*0.9</f>
        <v>198.99513000000005</v>
      </c>
      <c r="EH26" s="63">
        <f t="shared" ref="EH26" si="54">+EG26*0.9</f>
        <v>179.09561700000003</v>
      </c>
      <c r="EI26" s="63">
        <f t="shared" ref="EI26" si="55">+EH26*0.9</f>
        <v>161.18605530000002</v>
      </c>
      <c r="EJ26" s="63">
        <f t="shared" ref="EJ26" si="56">+EI26*0.9</f>
        <v>145.06744977000002</v>
      </c>
      <c r="EK26" s="63">
        <f t="shared" ref="EK26" si="57">+EJ26*0.9</f>
        <v>130.56070479300001</v>
      </c>
      <c r="EL26" s="63">
        <f t="shared" ref="EL26" si="58">+EK26*0.9</f>
        <v>117.50463431370001</v>
      </c>
      <c r="EM26" s="63">
        <f t="shared" ref="EM26" si="59">+EL26*0.9</f>
        <v>105.75417088233002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v>119</v>
      </c>
      <c r="CT27" s="72">
        <v>265</v>
      </c>
      <c r="CU27" s="72">
        <v>138</v>
      </c>
      <c r="CV27" s="72">
        <f t="shared" ref="CV27:CX27" si="60">+CU27+5</f>
        <v>143</v>
      </c>
      <c r="CW27" s="72">
        <f t="shared" si="60"/>
        <v>148</v>
      </c>
      <c r="CX27" s="72">
        <f t="shared" si="60"/>
        <v>153</v>
      </c>
      <c r="CY27" s="72"/>
      <c r="CZ27" s="72"/>
      <c r="DA27" s="40"/>
      <c r="DB27" s="40"/>
      <c r="DC27" s="40"/>
      <c r="DD27" s="39"/>
      <c r="DE27" s="39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6"/>
        <v>0</v>
      </c>
      <c r="DU27" s="69">
        <f t="shared" si="13"/>
        <v>0</v>
      </c>
      <c r="DV27" s="69">
        <f t="shared" si="47"/>
        <v>0</v>
      </c>
      <c r="DW27" s="69">
        <f t="shared" si="10"/>
        <v>0</v>
      </c>
      <c r="DX27" s="69">
        <f t="shared" si="11"/>
        <v>37</v>
      </c>
      <c r="DY27" s="69">
        <f t="shared" si="24"/>
        <v>107</v>
      </c>
      <c r="DZ27" s="69">
        <f t="shared" si="25"/>
        <v>207</v>
      </c>
      <c r="EA27" s="69">
        <f t="shared" si="26"/>
        <v>331</v>
      </c>
      <c r="EB27" s="69">
        <f t="shared" si="7"/>
        <v>630</v>
      </c>
      <c r="EC27" s="63">
        <f>+EB27*1.05</f>
        <v>661.5</v>
      </c>
      <c r="ED27" s="63">
        <f t="shared" ref="ED27:EM27" si="61">+EC27*1.05</f>
        <v>694.57500000000005</v>
      </c>
      <c r="EE27" s="63">
        <f t="shared" si="61"/>
        <v>729.30375000000004</v>
      </c>
      <c r="EF27" s="63">
        <f t="shared" si="61"/>
        <v>765.76893750000011</v>
      </c>
      <c r="EG27" s="63">
        <f t="shared" si="61"/>
        <v>804.0573843750002</v>
      </c>
      <c r="EH27" s="63">
        <f t="shared" si="61"/>
        <v>844.26025359375024</v>
      </c>
      <c r="EI27" s="63">
        <f t="shared" si="61"/>
        <v>886.47326627343773</v>
      </c>
      <c r="EJ27" s="63">
        <f t="shared" si="61"/>
        <v>930.79692958710962</v>
      </c>
      <c r="EK27" s="63">
        <f t="shared" si="61"/>
        <v>977.33677606646518</v>
      </c>
      <c r="EL27" s="63">
        <f t="shared" si="61"/>
        <v>1026.2036148697885</v>
      </c>
      <c r="EM27" s="63">
        <f t="shared" si="61"/>
        <v>1077.513795613278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v>124</v>
      </c>
      <c r="CT28" s="75">
        <v>147</v>
      </c>
      <c r="CU28" s="75">
        <v>136</v>
      </c>
      <c r="CV28" s="75">
        <f t="shared" ref="CV28:CX28" si="62">+CR28*1.7</f>
        <v>190.4</v>
      </c>
      <c r="CW28" s="75">
        <f t="shared" si="62"/>
        <v>210.79999999999998</v>
      </c>
      <c r="CX28" s="75">
        <f t="shared" si="62"/>
        <v>249.9</v>
      </c>
      <c r="CY28" s="75"/>
      <c r="CZ28" s="75"/>
      <c r="DA28" s="69"/>
      <c r="DB28" s="69"/>
      <c r="DC28" s="69"/>
      <c r="DD28" s="69"/>
      <c r="DE28" s="69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 t="shared" si="7"/>
        <v>474</v>
      </c>
      <c r="EC28" s="63">
        <f>+EB28*1.5</f>
        <v>711</v>
      </c>
      <c r="ED28" s="63">
        <f>+EC28*1.4</f>
        <v>995.4</v>
      </c>
      <c r="EE28" s="63">
        <f>+ED28*1.3</f>
        <v>1294.02</v>
      </c>
      <c r="EF28" s="63">
        <f>+EE28*1.2</f>
        <v>1552.8239999999998</v>
      </c>
      <c r="EG28" s="63">
        <f t="shared" ref="EC28:EM33" si="63">+EF28*1.05</f>
        <v>1630.4651999999999</v>
      </c>
      <c r="EH28" s="63">
        <f t="shared" si="63"/>
        <v>1711.98846</v>
      </c>
      <c r="EI28" s="63">
        <f t="shared" si="63"/>
        <v>1797.5878830000001</v>
      </c>
      <c r="EJ28" s="63">
        <f t="shared" si="63"/>
        <v>1887.4672771500002</v>
      </c>
      <c r="EK28" s="63">
        <f t="shared" si="63"/>
        <v>1981.8406410075004</v>
      </c>
      <c r="EL28" s="63">
        <f t="shared" si="63"/>
        <v>2080.9326730578755</v>
      </c>
      <c r="EM28" s="63">
        <f t="shared" si="63"/>
        <v>2184.9793067107694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90-AB46-AB82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150-AQ46-AQ82</f>
        <v>4</v>
      </c>
      <c r="AR29" s="40">
        <f>AQ29</f>
        <v>4</v>
      </c>
      <c r="AS29" s="40">
        <v>168</v>
      </c>
      <c r="AT29" s="40">
        <v>184</v>
      </c>
      <c r="AU29" s="40">
        <f>29-AU84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v>106</v>
      </c>
      <c r="CT29" s="72">
        <v>97</v>
      </c>
      <c r="CU29" s="72">
        <v>110</v>
      </c>
      <c r="CV29" s="72">
        <f t="shared" ref="CV29:CX29" si="64">+CU29-1</f>
        <v>109</v>
      </c>
      <c r="CW29" s="72">
        <f t="shared" si="64"/>
        <v>108</v>
      </c>
      <c r="CX29" s="72">
        <f t="shared" si="64"/>
        <v>107</v>
      </c>
      <c r="CY29" s="72"/>
      <c r="CZ29" s="72"/>
      <c r="DA29" s="40"/>
      <c r="DB29" s="40"/>
      <c r="DC29" s="40"/>
      <c r="DD29" s="40"/>
      <c r="DE29" s="40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 t="shared" si="7"/>
        <v>419</v>
      </c>
      <c r="EC29" s="40">
        <f>+EB29*0.9</f>
        <v>377.1</v>
      </c>
      <c r="ED29" s="40">
        <f t="shared" ref="ED29:EM29" si="65">+EC29*0.9</f>
        <v>339.39000000000004</v>
      </c>
      <c r="EE29" s="40">
        <f t="shared" si="65"/>
        <v>305.45100000000002</v>
      </c>
      <c r="EF29" s="40">
        <f t="shared" si="65"/>
        <v>274.90590000000003</v>
      </c>
      <c r="EG29" s="40">
        <f t="shared" si="65"/>
        <v>247.41531000000003</v>
      </c>
      <c r="EH29" s="40">
        <f t="shared" si="65"/>
        <v>222.67377900000002</v>
      </c>
      <c r="EI29" s="40">
        <f t="shared" si="65"/>
        <v>200.40640110000004</v>
      </c>
      <c r="EJ29" s="40">
        <f t="shared" si="65"/>
        <v>180.36576099000004</v>
      </c>
      <c r="EK29" s="40">
        <f t="shared" si="65"/>
        <v>162.32918489100004</v>
      </c>
      <c r="EL29" s="40">
        <f t="shared" si="65"/>
        <v>146.09626640190004</v>
      </c>
      <c r="EM29" s="40">
        <f t="shared" si="65"/>
        <v>131.48663976171005</v>
      </c>
    </row>
    <row r="30" spans="1:143" s="11" customFormat="1">
      <c r="A30" s="31"/>
      <c r="B30" s="130" t="s">
        <v>883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72"/>
      <c r="BJ30" s="72"/>
      <c r="BK30" s="72"/>
      <c r="BL30" s="72"/>
      <c r="BM30" s="72"/>
      <c r="BN30" s="40"/>
      <c r="BO30" s="72"/>
      <c r="BP30" s="40"/>
      <c r="BQ30" s="40"/>
      <c r="BR30" s="40"/>
      <c r="BS30" s="40"/>
      <c r="BT30" s="40"/>
      <c r="BU30" s="40"/>
      <c r="BV30" s="40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>
        <f>58+1</f>
        <v>59</v>
      </c>
      <c r="CV30" s="72"/>
      <c r="CW30" s="72"/>
      <c r="CX30" s="72"/>
      <c r="CY30" s="72"/>
      <c r="CZ30" s="72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/>
      <c r="DU30" s="69"/>
      <c r="DV30" s="69"/>
      <c r="DW30" s="69"/>
      <c r="DX30" s="69"/>
      <c r="DY30" s="69"/>
      <c r="DZ30" s="69"/>
      <c r="EA30" s="69"/>
      <c r="EB30" s="69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</row>
    <row r="31" spans="1:143" s="11" customFormat="1">
      <c r="A31" s="31"/>
      <c r="B31" s="98" t="s">
        <v>526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>
        <v>0</v>
      </c>
      <c r="BH31" s="40">
        <v>0</v>
      </c>
      <c r="BI31" s="40">
        <v>0</v>
      </c>
      <c r="BJ31" s="40">
        <v>0</v>
      </c>
      <c r="BK31" s="40">
        <v>0</v>
      </c>
      <c r="BL31" s="40">
        <v>0</v>
      </c>
      <c r="BM31" s="40">
        <v>0</v>
      </c>
      <c r="BN31" s="40">
        <v>0</v>
      </c>
      <c r="BO31" s="72">
        <v>0</v>
      </c>
      <c r="BP31" s="40">
        <v>0</v>
      </c>
      <c r="BQ31" s="40">
        <v>0</v>
      </c>
      <c r="BR31" s="40">
        <v>0</v>
      </c>
      <c r="BS31" s="40">
        <v>0</v>
      </c>
      <c r="BT31" s="40">
        <v>0</v>
      </c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28</v>
      </c>
      <c r="CH31" s="72">
        <v>34</v>
      </c>
      <c r="CI31" s="72">
        <v>38</v>
      </c>
      <c r="CJ31" s="72">
        <v>36</v>
      </c>
      <c r="CK31" s="72">
        <v>37</v>
      </c>
      <c r="CL31" s="72">
        <v>49</v>
      </c>
      <c r="CM31" s="72">
        <v>40</v>
      </c>
      <c r="CN31" s="72">
        <v>46</v>
      </c>
      <c r="CO31" s="72">
        <v>44</v>
      </c>
      <c r="CP31" s="72">
        <v>41</v>
      </c>
      <c r="CQ31" s="72">
        <v>53</v>
      </c>
      <c r="CR31" s="72">
        <v>47</v>
      </c>
      <c r="CS31" s="72">
        <v>49</v>
      </c>
      <c r="CT31" s="72">
        <v>60</v>
      </c>
      <c r="CU31" s="72"/>
      <c r="CV31" s="72"/>
      <c r="CW31" s="72"/>
      <c r="CX31" s="72"/>
      <c r="CY31" s="72"/>
      <c r="CZ31" s="72"/>
      <c r="DA31" s="40"/>
      <c r="DB31" s="40"/>
      <c r="DC31" s="40"/>
      <c r="DD31" s="39"/>
      <c r="DE31" s="39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6"/>
        <v>0</v>
      </c>
      <c r="DU31" s="69">
        <f t="shared" si="13"/>
        <v>0</v>
      </c>
      <c r="DV31" s="69">
        <f t="shared" si="47"/>
        <v>0</v>
      </c>
      <c r="DW31" s="69">
        <f t="shared" si="10"/>
        <v>0</v>
      </c>
      <c r="DX31" s="69">
        <f t="shared" si="11"/>
        <v>0</v>
      </c>
      <c r="DY31" s="69">
        <f t="shared" si="24"/>
        <v>62</v>
      </c>
      <c r="DZ31" s="69">
        <f t="shared" si="25"/>
        <v>160</v>
      </c>
      <c r="EA31" s="69">
        <f t="shared" si="26"/>
        <v>171</v>
      </c>
      <c r="EB31" s="69">
        <f t="shared" si="7"/>
        <v>209</v>
      </c>
      <c r="EC31" s="63">
        <f t="shared" si="63"/>
        <v>219.45000000000002</v>
      </c>
      <c r="ED31" s="63">
        <f t="shared" si="63"/>
        <v>230.42250000000001</v>
      </c>
      <c r="EE31" s="63">
        <f t="shared" si="63"/>
        <v>241.94362500000003</v>
      </c>
      <c r="EF31" s="63">
        <f t="shared" si="63"/>
        <v>254.04080625000003</v>
      </c>
      <c r="EG31" s="63">
        <f t="shared" si="63"/>
        <v>266.74284656250006</v>
      </c>
      <c r="EH31" s="63">
        <f t="shared" si="63"/>
        <v>280.07998889062509</v>
      </c>
      <c r="EI31" s="63">
        <f t="shared" si="63"/>
        <v>294.08398833515633</v>
      </c>
      <c r="EJ31" s="63">
        <f t="shared" si="63"/>
        <v>308.78818775191417</v>
      </c>
      <c r="EK31" s="63">
        <f t="shared" si="63"/>
        <v>324.2275971395099</v>
      </c>
      <c r="EL31" s="63">
        <f t="shared" si="63"/>
        <v>340.43897699648539</v>
      </c>
      <c r="EM31" s="63">
        <f t="shared" si="63"/>
        <v>357.46092584630969</v>
      </c>
    </row>
    <row r="32" spans="1:143" s="11" customFormat="1">
      <c r="A32" s="31"/>
      <c r="B32" s="98" t="s">
        <v>514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40">
        <v>0</v>
      </c>
      <c r="BV32" s="40">
        <v>0</v>
      </c>
      <c r="BW32" s="72">
        <v>0</v>
      </c>
      <c r="BX32" s="72">
        <v>0</v>
      </c>
      <c r="BY32" s="72">
        <v>0</v>
      </c>
      <c r="BZ32" s="72">
        <v>0</v>
      </c>
      <c r="CA32" s="72">
        <v>0</v>
      </c>
      <c r="CB32" s="72">
        <v>0</v>
      </c>
      <c r="CC32" s="72">
        <v>0</v>
      </c>
      <c r="CD32" s="72">
        <v>0</v>
      </c>
      <c r="CE32" s="72">
        <v>0</v>
      </c>
      <c r="CF32" s="72">
        <v>0</v>
      </c>
      <c r="CG32" s="72">
        <v>29</v>
      </c>
      <c r="CH32" s="72">
        <v>39</v>
      </c>
      <c r="CI32" s="72">
        <v>33</v>
      </c>
      <c r="CJ32" s="72">
        <v>37</v>
      </c>
      <c r="CK32" s="72">
        <v>41</v>
      </c>
      <c r="CL32" s="72">
        <v>39</v>
      </c>
      <c r="CM32" s="72">
        <v>44</v>
      </c>
      <c r="CN32" s="72">
        <v>45</v>
      </c>
      <c r="CO32" s="72">
        <v>40</v>
      </c>
      <c r="CP32" s="72">
        <v>53</v>
      </c>
      <c r="CQ32" s="72">
        <v>47</v>
      </c>
      <c r="CR32" s="72">
        <v>59</v>
      </c>
      <c r="CS32" s="72">
        <v>54</v>
      </c>
      <c r="CT32" s="72">
        <v>59</v>
      </c>
      <c r="CU32" s="72"/>
      <c r="CV32" s="72"/>
      <c r="CW32" s="72"/>
      <c r="CX32" s="72"/>
      <c r="CY32" s="72"/>
      <c r="CZ32" s="72"/>
      <c r="DA32" s="40"/>
      <c r="DB32" s="40"/>
      <c r="DC32" s="40"/>
      <c r="DD32" s="39"/>
      <c r="DE32" s="39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6"/>
        <v>0</v>
      </c>
      <c r="DU32" s="69">
        <f t="shared" si="13"/>
        <v>0</v>
      </c>
      <c r="DV32" s="69">
        <f t="shared" si="47"/>
        <v>0</v>
      </c>
      <c r="DW32" s="69">
        <f t="shared" si="10"/>
        <v>0</v>
      </c>
      <c r="DX32" s="69">
        <f t="shared" si="11"/>
        <v>0</v>
      </c>
      <c r="DY32" s="69">
        <f t="shared" si="24"/>
        <v>68</v>
      </c>
      <c r="DZ32" s="69">
        <f t="shared" si="25"/>
        <v>150</v>
      </c>
      <c r="EA32" s="69">
        <f t="shared" si="26"/>
        <v>182</v>
      </c>
      <c r="EB32" s="69">
        <f t="shared" si="7"/>
        <v>219</v>
      </c>
      <c r="EC32" s="63">
        <f t="shared" si="63"/>
        <v>229.95000000000002</v>
      </c>
      <c r="ED32" s="63">
        <f t="shared" si="63"/>
        <v>241.44750000000002</v>
      </c>
      <c r="EE32" s="63">
        <f t="shared" si="63"/>
        <v>253.51987500000004</v>
      </c>
      <c r="EF32" s="63">
        <f t="shared" si="63"/>
        <v>266.19586875000005</v>
      </c>
      <c r="EG32" s="63">
        <f t="shared" si="63"/>
        <v>279.50566218750004</v>
      </c>
      <c r="EH32" s="63">
        <f t="shared" si="63"/>
        <v>293.48094529687506</v>
      </c>
      <c r="EI32" s="63">
        <f t="shared" si="63"/>
        <v>308.15499256171881</v>
      </c>
      <c r="EJ32" s="63">
        <f t="shared" si="63"/>
        <v>323.56274218980479</v>
      </c>
      <c r="EK32" s="63">
        <f t="shared" si="63"/>
        <v>339.74087929929505</v>
      </c>
      <c r="EL32" s="63">
        <f t="shared" si="63"/>
        <v>356.7279232642598</v>
      </c>
      <c r="EM32" s="63">
        <f t="shared" si="63"/>
        <v>374.56431942747281</v>
      </c>
    </row>
    <row r="33" spans="1:143" s="11" customFormat="1">
      <c r="A33" s="31"/>
      <c r="B33" s="130" t="s">
        <v>620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2</v>
      </c>
      <c r="CO33" s="72">
        <v>50</v>
      </c>
      <c r="CP33" s="72">
        <v>54</v>
      </c>
      <c r="CQ33" s="72">
        <v>46</v>
      </c>
      <c r="CR33" s="72">
        <v>35</v>
      </c>
      <c r="CS33" s="72">
        <v>238</v>
      </c>
      <c r="CT33" s="72">
        <v>403</v>
      </c>
      <c r="CU33" s="72">
        <v>112</v>
      </c>
      <c r="CV33" s="72">
        <f>+CR33</f>
        <v>35</v>
      </c>
      <c r="CW33" s="72">
        <f>+CS33</f>
        <v>238</v>
      </c>
      <c r="CX33" s="72">
        <f>+CT33</f>
        <v>403</v>
      </c>
      <c r="CY33" s="72"/>
      <c r="CZ33" s="72"/>
      <c r="DA33" s="40"/>
      <c r="DB33" s="40"/>
      <c r="DC33" s="40"/>
      <c r="DD33" s="39"/>
      <c r="DE33" s="39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6"/>
        <v>0</v>
      </c>
      <c r="DU33" s="69">
        <f t="shared" si="13"/>
        <v>0</v>
      </c>
      <c r="DV33" s="69">
        <f t="shared" si="47"/>
        <v>0</v>
      </c>
      <c r="DW33" s="69"/>
      <c r="DX33" s="69"/>
      <c r="DY33" s="69"/>
      <c r="DZ33" s="69"/>
      <c r="EA33" s="69">
        <f t="shared" si="26"/>
        <v>106</v>
      </c>
      <c r="EB33" s="69">
        <f t="shared" si="7"/>
        <v>722</v>
      </c>
      <c r="EC33" s="63">
        <f t="shared" si="63"/>
        <v>758.1</v>
      </c>
      <c r="ED33" s="63">
        <f t="shared" si="63"/>
        <v>796.00500000000011</v>
      </c>
      <c r="EE33" s="63">
        <f t="shared" si="63"/>
        <v>835.80525000000011</v>
      </c>
      <c r="EF33" s="63">
        <f t="shared" si="63"/>
        <v>877.59551250000015</v>
      </c>
      <c r="EG33" s="63">
        <f t="shared" si="63"/>
        <v>921.47528812500025</v>
      </c>
      <c r="EH33" s="63">
        <f t="shared" si="63"/>
        <v>967.54905253125025</v>
      </c>
      <c r="EI33" s="63">
        <f t="shared" si="63"/>
        <v>1015.9265051578128</v>
      </c>
      <c r="EJ33" s="63">
        <f t="shared" si="63"/>
        <v>1066.7228304157036</v>
      </c>
      <c r="EK33" s="63">
        <f t="shared" si="63"/>
        <v>1120.0589719364889</v>
      </c>
      <c r="EL33" s="63">
        <f t="shared" si="63"/>
        <v>1176.0619205333135</v>
      </c>
      <c r="EM33" s="63">
        <f t="shared" si="63"/>
        <v>1234.8650165599793</v>
      </c>
    </row>
    <row r="34" spans="1:143" s="11" customFormat="1">
      <c r="A34" s="31"/>
      <c r="B34" s="130" t="s">
        <v>617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>
        <v>0</v>
      </c>
      <c r="BQ34" s="40">
        <v>0</v>
      </c>
      <c r="BR34" s="40">
        <v>0</v>
      </c>
      <c r="BS34" s="40">
        <v>0</v>
      </c>
      <c r="BT34" s="40">
        <v>0</v>
      </c>
      <c r="BU34" s="40">
        <v>0</v>
      </c>
      <c r="BV34" s="40">
        <v>0</v>
      </c>
      <c r="BW34" s="40">
        <v>0</v>
      </c>
      <c r="BX34" s="40">
        <v>0</v>
      </c>
      <c r="BY34" s="40">
        <v>0</v>
      </c>
      <c r="BZ34" s="40">
        <v>0</v>
      </c>
      <c r="CA34" s="40">
        <v>0</v>
      </c>
      <c r="CB34" s="40">
        <v>0</v>
      </c>
      <c r="CC34" s="40">
        <v>0</v>
      </c>
      <c r="CD34" s="40">
        <v>0</v>
      </c>
      <c r="CE34" s="40">
        <v>0</v>
      </c>
      <c r="CF34" s="40">
        <v>0</v>
      </c>
      <c r="CG34" s="40">
        <v>0</v>
      </c>
      <c r="CH34" s="40">
        <v>0</v>
      </c>
      <c r="CI34" s="40">
        <v>0</v>
      </c>
      <c r="CJ34" s="40">
        <v>0</v>
      </c>
      <c r="CK34" s="40">
        <v>0</v>
      </c>
      <c r="CL34" s="40">
        <v>0</v>
      </c>
      <c r="CM34" s="72">
        <v>0</v>
      </c>
      <c r="CN34" s="72">
        <v>0</v>
      </c>
      <c r="CO34" s="72">
        <v>0</v>
      </c>
      <c r="CP34" s="72">
        <v>0</v>
      </c>
      <c r="CQ34" s="72">
        <v>5</v>
      </c>
      <c r="CR34" s="72">
        <v>16</v>
      </c>
      <c r="CS34" s="72">
        <v>23</v>
      </c>
      <c r="CT34" s="72">
        <v>42</v>
      </c>
      <c r="CU34" s="72"/>
      <c r="CV34" s="72"/>
      <c r="CW34" s="72"/>
      <c r="CX34" s="72"/>
      <c r="CY34" s="72"/>
      <c r="CZ34" s="72"/>
      <c r="DA34" s="40"/>
      <c r="DB34" s="40"/>
      <c r="DC34" s="40"/>
      <c r="DD34" s="39"/>
      <c r="DE34" s="39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>
        <f t="shared" si="16"/>
        <v>0</v>
      </c>
      <c r="DU34" s="69">
        <f t="shared" si="13"/>
        <v>0</v>
      </c>
      <c r="DV34" s="69">
        <f t="shared" si="47"/>
        <v>0</v>
      </c>
      <c r="DW34" s="69"/>
      <c r="DX34" s="69"/>
      <c r="DY34" s="69"/>
      <c r="DZ34" s="69"/>
      <c r="EA34" s="69">
        <f t="shared" si="26"/>
        <v>0</v>
      </c>
      <c r="EB34" s="69">
        <f t="shared" si="7"/>
        <v>86</v>
      </c>
      <c r="EC34" s="63">
        <f>+EB34*1.05</f>
        <v>90.3</v>
      </c>
      <c r="ED34" s="63">
        <f t="shared" ref="ED34:EM40" si="66">+EC34*1.05</f>
        <v>94.814999999999998</v>
      </c>
      <c r="EE34" s="63">
        <f t="shared" si="66"/>
        <v>99.555750000000003</v>
      </c>
      <c r="EF34" s="63">
        <f t="shared" si="66"/>
        <v>104.53353750000001</v>
      </c>
      <c r="EG34" s="63">
        <f t="shared" si="66"/>
        <v>109.76021437500002</v>
      </c>
      <c r="EH34" s="63">
        <f t="shared" si="66"/>
        <v>115.24822509375002</v>
      </c>
      <c r="EI34" s="63">
        <f t="shared" si="66"/>
        <v>121.01063634843753</v>
      </c>
      <c r="EJ34" s="63">
        <f t="shared" si="66"/>
        <v>127.06116816585941</v>
      </c>
      <c r="EK34" s="63">
        <f t="shared" si="66"/>
        <v>133.41422657415239</v>
      </c>
      <c r="EL34" s="63">
        <f t="shared" si="66"/>
        <v>140.08493790286002</v>
      </c>
      <c r="EM34" s="63">
        <f t="shared" si="66"/>
        <v>147.08918479800303</v>
      </c>
    </row>
    <row r="35" spans="1:143" s="11" customFormat="1">
      <c r="A35" s="31"/>
      <c r="B35" s="130" t="s">
        <v>882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>
        <v>4</v>
      </c>
      <c r="CV35" s="72"/>
      <c r="CW35" s="72"/>
      <c r="CX35" s="72"/>
      <c r="CY35" s="72"/>
      <c r="CZ35" s="72"/>
      <c r="DA35" s="40"/>
      <c r="DB35" s="40"/>
      <c r="DC35" s="40"/>
      <c r="DD35" s="39"/>
      <c r="DE35" s="39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ref="EB35:EB58" si="67">SUM(CQ35:CT35)</f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 t="shared" ref="EH35:EH40" si="68">+EG35*1.01</f>
        <v>505</v>
      </c>
      <c r="EI35" s="63">
        <f t="shared" si="66"/>
        <v>530.25</v>
      </c>
      <c r="EJ35" s="63">
        <f t="shared" si="66"/>
        <v>556.76250000000005</v>
      </c>
      <c r="EK35" s="63">
        <f t="shared" si="66"/>
        <v>584.60062500000004</v>
      </c>
      <c r="EL35" s="63">
        <f t="shared" si="66"/>
        <v>613.83065625000006</v>
      </c>
      <c r="EM35" s="63">
        <f t="shared" si="66"/>
        <v>644.52218906250005</v>
      </c>
    </row>
    <row r="36" spans="1:143" s="11" customFormat="1">
      <c r="A36" s="31"/>
      <c r="B36" s="130" t="s">
        <v>823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40"/>
      <c r="DB36" s="40"/>
      <c r="DC36" s="40"/>
      <c r="DD36" s="39"/>
      <c r="DE36" s="39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67"/>
        <v>0</v>
      </c>
      <c r="EC36" s="63">
        <v>100</v>
      </c>
      <c r="ED36" s="63">
        <v>200</v>
      </c>
      <c r="EE36" s="63">
        <v>300</v>
      </c>
      <c r="EF36" s="63">
        <v>400</v>
      </c>
      <c r="EG36" s="63">
        <v>500</v>
      </c>
      <c r="EH36" s="63">
        <f t="shared" si="68"/>
        <v>505</v>
      </c>
      <c r="EI36" s="63">
        <f t="shared" si="66"/>
        <v>530.25</v>
      </c>
      <c r="EJ36" s="63">
        <f t="shared" si="66"/>
        <v>556.76250000000005</v>
      </c>
      <c r="EK36" s="63">
        <f t="shared" si="66"/>
        <v>584.60062500000004</v>
      </c>
      <c r="EL36" s="63">
        <f t="shared" si="66"/>
        <v>613.83065625000006</v>
      </c>
      <c r="EM36" s="63">
        <f t="shared" si="66"/>
        <v>644.52218906250005</v>
      </c>
    </row>
    <row r="37" spans="1:143" s="11" customFormat="1">
      <c r="A37" s="31"/>
      <c r="B37" s="161" t="s">
        <v>764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40"/>
      <c r="DB37" s="40"/>
      <c r="DC37" s="40"/>
      <c r="DD37" s="39"/>
      <c r="DE37" s="39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si="67"/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 t="shared" si="68"/>
        <v>1010</v>
      </c>
      <c r="EI37" s="63">
        <f t="shared" si="66"/>
        <v>1060.5</v>
      </c>
      <c r="EJ37" s="63">
        <f t="shared" si="66"/>
        <v>1113.5250000000001</v>
      </c>
      <c r="EK37" s="63">
        <f t="shared" si="66"/>
        <v>1169.2012500000001</v>
      </c>
      <c r="EL37" s="63">
        <f t="shared" si="66"/>
        <v>1227.6613125000001</v>
      </c>
      <c r="EM37" s="63">
        <f t="shared" si="66"/>
        <v>1289.0443781250001</v>
      </c>
    </row>
    <row r="38" spans="1:143" s="11" customFormat="1">
      <c r="A38" s="31"/>
      <c r="B38" s="161" t="s">
        <v>849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40"/>
      <c r="DB38" s="40"/>
      <c r="DC38" s="40"/>
      <c r="DD38" s="39"/>
      <c r="DE38" s="39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:EB40" si="69">SUM(CQ38:CT38)</f>
        <v>0</v>
      </c>
      <c r="EC38" s="63">
        <v>200</v>
      </c>
      <c r="ED38" s="63">
        <v>400</v>
      </c>
      <c r="EE38" s="63">
        <v>600</v>
      </c>
      <c r="EF38" s="63">
        <v>800</v>
      </c>
      <c r="EG38" s="63">
        <v>1000</v>
      </c>
      <c r="EH38" s="63">
        <f t="shared" si="68"/>
        <v>1010</v>
      </c>
      <c r="EI38" s="63">
        <f t="shared" si="66"/>
        <v>1060.5</v>
      </c>
      <c r="EJ38" s="63">
        <f t="shared" si="66"/>
        <v>1113.5250000000001</v>
      </c>
      <c r="EK38" s="63">
        <f t="shared" si="66"/>
        <v>1169.2012500000001</v>
      </c>
      <c r="EL38" s="63">
        <f t="shared" si="66"/>
        <v>1227.6613125000001</v>
      </c>
      <c r="EM38" s="63">
        <f t="shared" si="66"/>
        <v>1289.0443781250001</v>
      </c>
    </row>
    <row r="39" spans="1:143" s="11" customFormat="1">
      <c r="A39" s="31"/>
      <c r="B39" s="161" t="s">
        <v>853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40"/>
      <c r="DB39" s="40"/>
      <c r="DC39" s="40"/>
      <c r="DD39" s="39"/>
      <c r="DE39" s="39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ref="EB39" si="70">SUM(CQ39:CT39)</f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 t="shared" si="68"/>
        <v>505</v>
      </c>
      <c r="EI39" s="63">
        <f t="shared" si="66"/>
        <v>530.25</v>
      </c>
      <c r="EJ39" s="63">
        <f t="shared" si="66"/>
        <v>556.76250000000005</v>
      </c>
      <c r="EK39" s="63">
        <f t="shared" si="66"/>
        <v>584.60062500000004</v>
      </c>
      <c r="EL39" s="63">
        <f t="shared" si="66"/>
        <v>613.83065625000006</v>
      </c>
      <c r="EM39" s="63">
        <f t="shared" si="66"/>
        <v>644.52218906250005</v>
      </c>
    </row>
    <row r="40" spans="1:143" s="11" customFormat="1">
      <c r="A40" s="31"/>
      <c r="B40" s="161" t="s">
        <v>851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2"/>
      <c r="AL40" s="40"/>
      <c r="AM40" s="40"/>
      <c r="AN40" s="40"/>
      <c r="AO40" s="40"/>
      <c r="AP40" s="40"/>
      <c r="AQ40" s="67"/>
      <c r="AR40" s="40"/>
      <c r="AS40" s="40"/>
      <c r="AT40" s="40"/>
      <c r="AU40" s="40"/>
      <c r="AV40" s="40"/>
      <c r="AW40" s="40"/>
      <c r="AX40" s="40"/>
      <c r="AY40" s="40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40"/>
      <c r="DB40" s="40"/>
      <c r="DC40" s="40"/>
      <c r="DD40" s="39"/>
      <c r="DE40" s="39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69"/>
      <c r="DU40" s="69"/>
      <c r="DV40" s="69"/>
      <c r="DW40" s="69"/>
      <c r="DX40" s="69"/>
      <c r="DY40" s="69"/>
      <c r="DZ40" s="69"/>
      <c r="EA40" s="69"/>
      <c r="EB40" s="69">
        <f t="shared" si="69"/>
        <v>0</v>
      </c>
      <c r="EC40" s="63">
        <v>100</v>
      </c>
      <c r="ED40" s="63">
        <v>200</v>
      </c>
      <c r="EE40" s="63">
        <v>300</v>
      </c>
      <c r="EF40" s="63">
        <v>400</v>
      </c>
      <c r="EG40" s="63">
        <v>500</v>
      </c>
      <c r="EH40" s="63">
        <f t="shared" si="68"/>
        <v>505</v>
      </c>
      <c r="EI40" s="63">
        <f t="shared" si="66"/>
        <v>530.25</v>
      </c>
      <c r="EJ40" s="63">
        <f t="shared" si="66"/>
        <v>556.76250000000005</v>
      </c>
      <c r="EK40" s="63">
        <f t="shared" si="66"/>
        <v>584.60062500000004</v>
      </c>
      <c r="EL40" s="63">
        <f t="shared" si="66"/>
        <v>613.83065625000006</v>
      </c>
      <c r="EM40" s="63">
        <f t="shared" si="66"/>
        <v>644.52218906250005</v>
      </c>
    </row>
    <row r="41" spans="1:143" s="11" customFormat="1">
      <c r="A41" s="31"/>
      <c r="B41" s="97" t="s">
        <v>520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69">
        <v>0</v>
      </c>
      <c r="BU41" s="69">
        <v>0</v>
      </c>
      <c r="BV41" s="69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85</v>
      </c>
      <c r="CI41" s="75">
        <v>469</v>
      </c>
      <c r="CJ41" s="75">
        <v>445</v>
      </c>
      <c r="CK41" s="75">
        <v>537</v>
      </c>
      <c r="CL41" s="75">
        <v>734</v>
      </c>
      <c r="CM41" s="75">
        <v>127</v>
      </c>
      <c r="CN41" s="75">
        <v>0</v>
      </c>
      <c r="CO41" s="75">
        <v>0</v>
      </c>
      <c r="CP41" s="75">
        <v>6</v>
      </c>
      <c r="CQ41" s="75">
        <v>2</v>
      </c>
      <c r="CR41" s="75">
        <v>1</v>
      </c>
      <c r="CS41" s="134"/>
      <c r="CT41" s="134"/>
      <c r="CU41" s="134"/>
      <c r="CV41" s="134"/>
      <c r="CW41" s="134"/>
      <c r="CX41" s="134"/>
      <c r="CY41" s="75"/>
      <c r="CZ41" s="75"/>
      <c r="DA41" s="69"/>
      <c r="DB41" s="69"/>
      <c r="DC41" s="69"/>
      <c r="DD41" s="69"/>
      <c r="DE41" s="69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69">
        <f>SUM(BK41:BN41)</f>
        <v>0</v>
      </c>
      <c r="DU41" s="69">
        <f>SUM(BO41:BR41)</f>
        <v>0</v>
      </c>
      <c r="DV41" s="69">
        <f>SUM(BS41:BV41)</f>
        <v>0</v>
      </c>
      <c r="DW41" s="69">
        <f>SUM(BW41:BZ41)</f>
        <v>0</v>
      </c>
      <c r="DX41" s="69">
        <f>SUM(CA41:CD41)</f>
        <v>0</v>
      </c>
      <c r="DY41" s="69">
        <f>SUM(CE41:CH41)</f>
        <v>85</v>
      </c>
      <c r="DZ41" s="69">
        <f>SUM(CI41:CL41)</f>
        <v>2185</v>
      </c>
      <c r="EA41" s="69">
        <f>SUM(CM41:CP41)</f>
        <v>133</v>
      </c>
      <c r="EB41" s="69">
        <f t="shared" si="67"/>
        <v>3</v>
      </c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</row>
    <row r="42" spans="1:143" s="11" customFormat="1">
      <c r="A42" s="31"/>
      <c r="B42" s="98" t="s">
        <v>8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26</v>
      </c>
      <c r="J42" s="40">
        <v>41</v>
      </c>
      <c r="K42" s="40">
        <v>19</v>
      </c>
      <c r="L42" s="40">
        <v>47</v>
      </c>
      <c r="M42" s="40">
        <v>70</v>
      </c>
      <c r="N42" s="40">
        <v>92</v>
      </c>
      <c r="O42" s="40">
        <v>93</v>
      </c>
      <c r="P42" s="40">
        <v>103</v>
      </c>
      <c r="Q42" s="40">
        <v>113</v>
      </c>
      <c r="R42" s="40">
        <v>80</v>
      </c>
      <c r="S42" s="40">
        <v>81</v>
      </c>
      <c r="T42" s="40">
        <v>59</v>
      </c>
      <c r="U42" s="40">
        <v>61</v>
      </c>
      <c r="V42" s="40">
        <v>72</v>
      </c>
      <c r="W42" s="40">
        <f>112-X42</f>
        <v>50</v>
      </c>
      <c r="X42" s="40">
        <v>62</v>
      </c>
      <c r="Y42" s="40">
        <v>62</v>
      </c>
      <c r="Z42" s="40">
        <v>63</v>
      </c>
      <c r="AA42" s="40">
        <f>113-AB42</f>
        <v>52</v>
      </c>
      <c r="AB42" s="40">
        <v>61</v>
      </c>
      <c r="AC42" s="40">
        <v>55</v>
      </c>
      <c r="AD42" s="40">
        <v>70</v>
      </c>
      <c r="AE42" s="40">
        <v>58</v>
      </c>
      <c r="AF42" s="40">
        <v>67</v>
      </c>
      <c r="AG42" s="40">
        <v>67</v>
      </c>
      <c r="AH42" s="40">
        <v>73</v>
      </c>
      <c r="AI42" s="40">
        <v>68</v>
      </c>
      <c r="AJ42" s="40">
        <v>75</v>
      </c>
      <c r="AK42" s="52">
        <v>75</v>
      </c>
      <c r="AL42" s="40">
        <v>79</v>
      </c>
      <c r="AM42" s="40">
        <v>83</v>
      </c>
      <c r="AN42" s="40">
        <v>93</v>
      </c>
      <c r="AO42" s="40">
        <v>102</v>
      </c>
      <c r="AP42" s="40">
        <v>115</v>
      </c>
      <c r="AQ42" s="67">
        <v>121</v>
      </c>
      <c r="AR42" s="40">
        <f>AQ42</f>
        <v>121</v>
      </c>
      <c r="AS42" s="40">
        <v>145</v>
      </c>
      <c r="AT42" s="40">
        <v>149</v>
      </c>
      <c r="AU42" s="40">
        <v>143</v>
      </c>
      <c r="AV42" s="40"/>
      <c r="AW42" s="40"/>
      <c r="AX42" s="40"/>
      <c r="AY42" s="40">
        <v>168</v>
      </c>
      <c r="AZ42" s="40">
        <v>156</v>
      </c>
      <c r="BA42" s="40"/>
      <c r="BB42" s="40"/>
      <c r="BC42" s="40">
        <v>169</v>
      </c>
      <c r="BD42" s="40">
        <v>147</v>
      </c>
      <c r="BE42" s="40"/>
      <c r="BF42" s="40"/>
      <c r="BG42" s="40">
        <v>144</v>
      </c>
      <c r="BH42" s="40">
        <v>129</v>
      </c>
      <c r="BI42" s="72">
        <v>141</v>
      </c>
      <c r="BJ42" s="72">
        <v>129</v>
      </c>
      <c r="BK42" s="72">
        <v>135</v>
      </c>
      <c r="BL42" s="72">
        <v>135</v>
      </c>
      <c r="BM42" s="72">
        <v>125</v>
      </c>
      <c r="BN42" s="40">
        <v>118</v>
      </c>
      <c r="BO42" s="72">
        <v>124</v>
      </c>
      <c r="BP42" s="40">
        <v>137</v>
      </c>
      <c r="BQ42" s="40">
        <v>137</v>
      </c>
      <c r="BR42" s="40">
        <v>130</v>
      </c>
      <c r="BS42" s="40">
        <v>132</v>
      </c>
      <c r="BT42" s="40">
        <v>143</v>
      </c>
      <c r="BU42" s="40">
        <v>131</v>
      </c>
      <c r="BV42" s="40">
        <v>112</v>
      </c>
      <c r="BW42" s="72">
        <v>134</v>
      </c>
      <c r="BX42" s="72">
        <v>118</v>
      </c>
      <c r="BY42" s="72">
        <v>91</v>
      </c>
      <c r="BZ42" s="72">
        <v>80</v>
      </c>
      <c r="CA42" s="72">
        <v>77</v>
      </c>
      <c r="CB42" s="72">
        <v>70</v>
      </c>
      <c r="CC42" s="72">
        <v>54</v>
      </c>
      <c r="CD42" s="72">
        <v>67</v>
      </c>
      <c r="CE42" s="72">
        <v>61</v>
      </c>
      <c r="CF42" s="72">
        <v>47</v>
      </c>
      <c r="CG42" s="72">
        <v>41</v>
      </c>
      <c r="CH42" s="72">
        <v>35</v>
      </c>
      <c r="CI42" s="72">
        <v>32</v>
      </c>
      <c r="CJ42" s="72">
        <v>32</v>
      </c>
      <c r="CK42" s="72">
        <v>27</v>
      </c>
      <c r="CL42" s="72">
        <v>24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40"/>
      <c r="DB42" s="40"/>
      <c r="DC42" s="40"/>
      <c r="DD42" s="39"/>
      <c r="DE42" s="39"/>
      <c r="DF42" s="40">
        <v>67</v>
      </c>
      <c r="DG42" s="40">
        <v>228</v>
      </c>
      <c r="DH42" s="40">
        <v>389</v>
      </c>
      <c r="DI42" s="40">
        <f>SUM(S42:V42)</f>
        <v>273</v>
      </c>
      <c r="DJ42" s="40">
        <f>SUM(W42:Z42)</f>
        <v>237</v>
      </c>
      <c r="DK42" s="40">
        <f>SUM(AA42:AD42)</f>
        <v>238</v>
      </c>
      <c r="DL42" s="40">
        <f>SUM(AE42:AH42)</f>
        <v>265</v>
      </c>
      <c r="DM42" s="40">
        <f>SUM(AI42:AL42)</f>
        <v>297</v>
      </c>
      <c r="DN42" s="40">
        <f>SUM(AM42:AP42)</f>
        <v>393</v>
      </c>
      <c r="DO42" s="40">
        <f>SUM(AQ42:AT42)</f>
        <v>536</v>
      </c>
      <c r="DP42" s="40">
        <f>SUM(AU42:AX42)</f>
        <v>143</v>
      </c>
      <c r="DQ42" s="40"/>
      <c r="DR42" s="40"/>
      <c r="DS42" s="40"/>
      <c r="DT42" s="69">
        <f t="shared" si="16"/>
        <v>513</v>
      </c>
      <c r="DU42" s="69">
        <f t="shared" si="13"/>
        <v>528</v>
      </c>
      <c r="DV42" s="69">
        <f t="shared" si="47"/>
        <v>518</v>
      </c>
      <c r="DW42" s="69">
        <f t="shared" si="10"/>
        <v>423</v>
      </c>
      <c r="DX42" s="69">
        <f t="shared" si="11"/>
        <v>268</v>
      </c>
      <c r="DY42" s="69">
        <f t="shared" si="24"/>
        <v>184</v>
      </c>
      <c r="DZ42" s="69">
        <f t="shared" si="25"/>
        <v>115</v>
      </c>
      <c r="EA42" s="69">
        <f t="shared" si="26"/>
        <v>0</v>
      </c>
      <c r="EB42" s="69"/>
      <c r="EC42" s="40"/>
    </row>
    <row r="43" spans="1:143" s="11" customFormat="1">
      <c r="A43" s="31"/>
      <c r="B43" s="98" t="s">
        <v>435</v>
      </c>
      <c r="C43" s="40">
        <v>42</v>
      </c>
      <c r="D43" s="40">
        <v>48</v>
      </c>
      <c r="E43" s="40">
        <v>47</v>
      </c>
      <c r="F43" s="40">
        <v>51</v>
      </c>
      <c r="G43" s="40">
        <v>65</v>
      </c>
      <c r="H43" s="40">
        <v>79</v>
      </c>
      <c r="I43" s="40">
        <v>95</v>
      </c>
      <c r="J43" s="40">
        <v>92</v>
      </c>
      <c r="K43" s="40">
        <v>93</v>
      </c>
      <c r="L43" s="40">
        <v>143</v>
      </c>
      <c r="M43" s="40">
        <v>136</v>
      </c>
      <c r="N43" s="40">
        <v>147</v>
      </c>
      <c r="O43" s="40">
        <v>166</v>
      </c>
      <c r="P43" s="40">
        <v>191</v>
      </c>
      <c r="Q43" s="40">
        <v>221</v>
      </c>
      <c r="R43" s="40">
        <v>233</v>
      </c>
      <c r="S43" s="40">
        <v>256</v>
      </c>
      <c r="T43" s="40">
        <v>297</v>
      </c>
      <c r="U43" s="40">
        <v>303</v>
      </c>
      <c r="V43" s="40">
        <v>325</v>
      </c>
      <c r="W43" s="40">
        <f>714-X43</f>
        <v>335</v>
      </c>
      <c r="X43" s="40">
        <v>379</v>
      </c>
      <c r="Y43" s="40">
        <v>382</v>
      </c>
      <c r="Z43" s="40">
        <v>412</v>
      </c>
      <c r="AA43" s="40">
        <f>831-AB43</f>
        <v>401</v>
      </c>
      <c r="AB43" s="40">
        <v>430</v>
      </c>
      <c r="AC43" s="40">
        <v>425</v>
      </c>
      <c r="AD43" s="40">
        <v>474</v>
      </c>
      <c r="AE43" s="40">
        <v>430</v>
      </c>
      <c r="AF43" s="40">
        <v>490</v>
      </c>
      <c r="AG43" s="40">
        <v>486</v>
      </c>
      <c r="AH43" s="40">
        <v>451</v>
      </c>
      <c r="AI43" s="40">
        <v>463</v>
      </c>
      <c r="AJ43" s="40">
        <v>483</v>
      </c>
      <c r="AK43" s="52">
        <v>476</v>
      </c>
      <c r="AL43" s="40">
        <v>499</v>
      </c>
      <c r="AM43" s="40">
        <v>511</v>
      </c>
      <c r="AN43" s="40">
        <v>439</v>
      </c>
      <c r="AO43" s="40">
        <v>284</v>
      </c>
      <c r="AP43" s="40">
        <v>278</v>
      </c>
      <c r="AQ43" s="67">
        <v>233</v>
      </c>
      <c r="AR43" s="40">
        <f>+AQ43-5</f>
        <v>228</v>
      </c>
      <c r="AS43" s="40">
        <v>176</v>
      </c>
      <c r="AT43" s="40">
        <v>166</v>
      </c>
      <c r="AU43" s="40">
        <v>144</v>
      </c>
      <c r="AV43" s="40"/>
      <c r="AW43" s="40"/>
      <c r="AX43" s="40"/>
      <c r="AY43" s="40">
        <v>92</v>
      </c>
      <c r="AZ43" s="40">
        <v>83</v>
      </c>
      <c r="BA43" s="40"/>
      <c r="BB43" s="40"/>
      <c r="BC43" s="40">
        <v>78</v>
      </c>
      <c r="BD43" s="40">
        <v>78</v>
      </c>
      <c r="BE43" s="40"/>
      <c r="BF43" s="40"/>
      <c r="BG43" s="40">
        <v>62</v>
      </c>
      <c r="BH43" s="40">
        <v>64</v>
      </c>
      <c r="BI43" s="72">
        <v>64</v>
      </c>
      <c r="BJ43" s="72">
        <v>60</v>
      </c>
      <c r="BK43" s="72">
        <v>57</v>
      </c>
      <c r="BL43" s="72">
        <v>62</v>
      </c>
      <c r="BM43" s="72">
        <v>56</v>
      </c>
      <c r="BN43" s="40">
        <v>57</v>
      </c>
      <c r="BO43" s="72">
        <v>52</v>
      </c>
      <c r="BP43" s="40">
        <v>54</v>
      </c>
      <c r="BQ43" s="40">
        <v>54</v>
      </c>
      <c r="BR43" s="40">
        <v>57</v>
      </c>
      <c r="BS43" s="40">
        <v>54</v>
      </c>
      <c r="BT43" s="40">
        <v>57</v>
      </c>
      <c r="BU43" s="40">
        <v>55</v>
      </c>
      <c r="BV43" s="40">
        <v>46</v>
      </c>
      <c r="BW43" s="72">
        <v>51</v>
      </c>
      <c r="BX43" s="72">
        <v>60</v>
      </c>
      <c r="BY43" s="72">
        <v>63</v>
      </c>
      <c r="BZ43" s="72">
        <v>51</v>
      </c>
      <c r="CA43" s="72">
        <v>50</v>
      </c>
      <c r="CB43" s="72">
        <v>58</v>
      </c>
      <c r="CC43" s="72">
        <v>42</v>
      </c>
      <c r="CD43" s="72">
        <v>36</v>
      </c>
      <c r="CE43" s="72">
        <v>44</v>
      </c>
      <c r="CF43" s="72">
        <v>29</v>
      </c>
      <c r="CG43" s="72">
        <v>33</v>
      </c>
      <c r="CH43" s="72">
        <v>33</v>
      </c>
      <c r="CI43" s="72">
        <v>32</v>
      </c>
      <c r="CJ43" s="72">
        <v>28</v>
      </c>
      <c r="CK43" s="72">
        <v>24</v>
      </c>
      <c r="CL43" s="72">
        <v>14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40"/>
      <c r="DB43" s="40"/>
      <c r="DC43" s="40"/>
      <c r="DD43" s="39"/>
      <c r="DE43" s="39"/>
      <c r="DF43" s="40">
        <v>331</v>
      </c>
      <c r="DG43" s="40">
        <v>519</v>
      </c>
      <c r="DH43" s="40">
        <v>811</v>
      </c>
      <c r="DI43" s="40">
        <f>SUM(S43:V43)</f>
        <v>1181</v>
      </c>
      <c r="DJ43" s="40">
        <f>SUM(W43:Z43)</f>
        <v>1508</v>
      </c>
      <c r="DK43" s="40">
        <f>SUM(AA43:AD43)</f>
        <v>1730</v>
      </c>
      <c r="DL43" s="40">
        <f>SUM(AE43:AH43)</f>
        <v>1857</v>
      </c>
      <c r="DM43" s="40">
        <f>SUM(AI43:AL43)</f>
        <v>1921</v>
      </c>
      <c r="DN43" s="40">
        <f>SUM(AM43:AP43)</f>
        <v>1512</v>
      </c>
      <c r="DO43" s="40">
        <f>SUM(AQ43:AT43)</f>
        <v>803</v>
      </c>
      <c r="DP43" s="40">
        <f>SUM(AU43:AX43)</f>
        <v>144</v>
      </c>
      <c r="DQ43" s="40"/>
      <c r="DR43" s="40"/>
      <c r="DS43" s="40"/>
      <c r="DT43" s="69">
        <f t="shared" si="16"/>
        <v>232</v>
      </c>
      <c r="DU43" s="69">
        <f t="shared" si="13"/>
        <v>217</v>
      </c>
      <c r="DV43" s="69">
        <f t="shared" si="47"/>
        <v>212</v>
      </c>
      <c r="DW43" s="69">
        <f t="shared" si="10"/>
        <v>225</v>
      </c>
      <c r="DX43" s="69">
        <f t="shared" si="11"/>
        <v>186</v>
      </c>
      <c r="DY43" s="69">
        <f t="shared" si="24"/>
        <v>139</v>
      </c>
      <c r="DZ43" s="69">
        <f t="shared" si="25"/>
        <v>98</v>
      </c>
      <c r="EA43" s="69">
        <f t="shared" si="26"/>
        <v>0</v>
      </c>
      <c r="EB43" s="69"/>
      <c r="EC43" s="40"/>
    </row>
    <row r="44" spans="1:143" s="11" customFormat="1">
      <c r="A44" s="31"/>
      <c r="B44" s="98" t="s">
        <v>454</v>
      </c>
      <c r="C44" s="40">
        <v>114</v>
      </c>
      <c r="D44" s="40">
        <v>128</v>
      </c>
      <c r="E44" s="40">
        <v>146</v>
      </c>
      <c r="F44" s="40">
        <v>173</v>
      </c>
      <c r="G44" s="40">
        <v>123</v>
      </c>
      <c r="H44" s="40">
        <v>148</v>
      </c>
      <c r="I44" s="40">
        <v>189</v>
      </c>
      <c r="J44" s="40">
        <v>184</v>
      </c>
      <c r="K44" s="40">
        <v>189</v>
      </c>
      <c r="L44" s="40">
        <v>228</v>
      </c>
      <c r="M44" s="40">
        <v>230</v>
      </c>
      <c r="N44" s="40">
        <v>207</v>
      </c>
      <c r="O44" s="40">
        <v>229</v>
      </c>
      <c r="P44" s="40">
        <v>249</v>
      </c>
      <c r="Q44" s="40">
        <v>258</v>
      </c>
      <c r="R44" s="40">
        <v>276</v>
      </c>
      <c r="S44" s="40">
        <v>277</v>
      </c>
      <c r="T44" s="40">
        <v>287</v>
      </c>
      <c r="U44" s="40">
        <v>276</v>
      </c>
      <c r="V44" s="40">
        <v>283</v>
      </c>
      <c r="W44" s="40">
        <f>580-X44</f>
        <v>274</v>
      </c>
      <c r="X44" s="40">
        <v>306</v>
      </c>
      <c r="Y44" s="40">
        <v>299</v>
      </c>
      <c r="Z44" s="40">
        <v>327</v>
      </c>
      <c r="AA44" s="40">
        <f>641-AB44</f>
        <v>310</v>
      </c>
      <c r="AB44" s="40">
        <v>331</v>
      </c>
      <c r="AC44" s="40">
        <v>324</v>
      </c>
      <c r="AD44" s="40">
        <v>370</v>
      </c>
      <c r="AE44" s="40">
        <v>316</v>
      </c>
      <c r="AF44" s="40">
        <v>358</v>
      </c>
      <c r="AG44" s="40">
        <v>300</v>
      </c>
      <c r="AH44" s="40">
        <v>284</v>
      </c>
      <c r="AI44" s="40">
        <v>236</v>
      </c>
      <c r="AJ44" s="40">
        <v>245</v>
      </c>
      <c r="AK44" s="52">
        <v>174</v>
      </c>
      <c r="AL44" s="40">
        <v>189</v>
      </c>
      <c r="AM44" s="40">
        <v>143</v>
      </c>
      <c r="AN44" s="40">
        <v>151</v>
      </c>
      <c r="AO44" s="40">
        <v>137</v>
      </c>
      <c r="AP44" s="40">
        <v>148</v>
      </c>
      <c r="AQ44" s="67">
        <v>133</v>
      </c>
      <c r="AR44" s="40">
        <f>AQ44-5</f>
        <v>128</v>
      </c>
      <c r="AS44" s="40">
        <v>137</v>
      </c>
      <c r="AT44" s="40">
        <v>142</v>
      </c>
      <c r="AU44" s="40">
        <v>113</v>
      </c>
      <c r="AV44" s="40"/>
      <c r="AW44" s="40"/>
      <c r="AX44" s="40"/>
      <c r="AY44" s="40">
        <v>92</v>
      </c>
      <c r="AZ44" s="40">
        <v>96</v>
      </c>
      <c r="BA44" s="40"/>
      <c r="BB44" s="40"/>
      <c r="BC44" s="40">
        <v>83</v>
      </c>
      <c r="BD44" s="40">
        <v>83</v>
      </c>
      <c r="BE44" s="40"/>
      <c r="BF44" s="40"/>
      <c r="BG44" s="40">
        <v>70</v>
      </c>
      <c r="BH44" s="40">
        <v>69</v>
      </c>
      <c r="BI44" s="72">
        <v>65</v>
      </c>
      <c r="BJ44" s="72">
        <v>63</v>
      </c>
      <c r="BK44" s="72">
        <v>62</v>
      </c>
      <c r="BL44" s="72">
        <v>63</v>
      </c>
      <c r="BM44" s="72">
        <v>62</v>
      </c>
      <c r="BN44" s="40">
        <v>60</v>
      </c>
      <c r="BO44" s="72">
        <v>56</v>
      </c>
      <c r="BP44" s="40">
        <v>54</v>
      </c>
      <c r="BQ44" s="40">
        <v>51</v>
      </c>
      <c r="BR44" s="40">
        <v>54</v>
      </c>
      <c r="BS44" s="40">
        <v>52</v>
      </c>
      <c r="BT44" s="40">
        <v>52</v>
      </c>
      <c r="BU44" s="40">
        <v>51</v>
      </c>
      <c r="BV44" s="40">
        <v>46</v>
      </c>
      <c r="BW44" s="72">
        <v>48</v>
      </c>
      <c r="BX44" s="72">
        <v>57</v>
      </c>
      <c r="BY44" s="72">
        <v>52</v>
      </c>
      <c r="BZ44" s="72">
        <v>43</v>
      </c>
      <c r="CA44" s="72">
        <v>42</v>
      </c>
      <c r="CB44" s="72">
        <v>47</v>
      </c>
      <c r="CC44" s="72">
        <v>44</v>
      </c>
      <c r="CD44" s="72">
        <v>39</v>
      </c>
      <c r="CE44" s="72">
        <v>42</v>
      </c>
      <c r="CF44" s="72">
        <v>41</v>
      </c>
      <c r="CG44" s="72">
        <v>38</v>
      </c>
      <c r="CH44" s="72">
        <v>22</v>
      </c>
      <c r="CI44" s="72">
        <v>21</v>
      </c>
      <c r="CJ44" s="72">
        <v>21</v>
      </c>
      <c r="CK44" s="72">
        <v>21</v>
      </c>
      <c r="CL44" s="72">
        <v>16</v>
      </c>
      <c r="CM44" s="72">
        <v>0</v>
      </c>
      <c r="CN44" s="72">
        <v>0</v>
      </c>
      <c r="CO44" s="72">
        <v>0</v>
      </c>
      <c r="CP44" s="72">
        <v>0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40"/>
      <c r="DB44" s="40"/>
      <c r="DC44" s="40"/>
      <c r="DD44" s="39"/>
      <c r="DE44" s="39"/>
      <c r="DF44" s="40">
        <v>644</v>
      </c>
      <c r="DG44" s="40">
        <v>854</v>
      </c>
      <c r="DH44" s="40">
        <v>1012</v>
      </c>
      <c r="DI44" s="40">
        <f>SUM(S44:V44)</f>
        <v>1123</v>
      </c>
      <c r="DJ44" s="40">
        <f>SUM(W44:Z44)</f>
        <v>1206</v>
      </c>
      <c r="DK44" s="40">
        <f>SUM(AA44:AD44)</f>
        <v>1335</v>
      </c>
      <c r="DL44" s="40">
        <f>SUM(AE44:AH44)</f>
        <v>1258</v>
      </c>
      <c r="DM44" s="40">
        <f>SUM(AI44:AL44)</f>
        <v>844</v>
      </c>
      <c r="DN44" s="40">
        <f>SUM(AM44:AP44)</f>
        <v>579</v>
      </c>
      <c r="DO44" s="40">
        <f>SUM(AQ44:AT44)</f>
        <v>540</v>
      </c>
      <c r="DP44" s="40">
        <f>SUM(AU44:AX44)</f>
        <v>113</v>
      </c>
      <c r="DQ44" s="40"/>
      <c r="DR44" s="40"/>
      <c r="DS44" s="40"/>
      <c r="DT44" s="69">
        <f t="shared" si="16"/>
        <v>247</v>
      </c>
      <c r="DU44" s="69">
        <f t="shared" si="13"/>
        <v>215</v>
      </c>
      <c r="DV44" s="69">
        <f t="shared" si="47"/>
        <v>201</v>
      </c>
      <c r="DW44" s="69">
        <f t="shared" si="10"/>
        <v>200</v>
      </c>
      <c r="DX44" s="69">
        <f t="shared" si="11"/>
        <v>172</v>
      </c>
      <c r="DY44" s="69">
        <f t="shared" si="24"/>
        <v>143</v>
      </c>
      <c r="DZ44" s="69">
        <f t="shared" si="25"/>
        <v>79</v>
      </c>
      <c r="EA44" s="69">
        <f t="shared" si="26"/>
        <v>0</v>
      </c>
      <c r="EB44" s="69"/>
      <c r="EC44" s="40"/>
    </row>
    <row r="45" spans="1:143" s="11" customFormat="1">
      <c r="A45" s="31"/>
      <c r="B45" s="98" t="s">
        <v>521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52"/>
      <c r="AL45" s="40"/>
      <c r="AM45" s="40"/>
      <c r="AN45" s="40"/>
      <c r="AO45" s="40"/>
      <c r="AP45" s="40"/>
      <c r="AQ45" s="67"/>
      <c r="AR45" s="40"/>
      <c r="AS45" s="40"/>
      <c r="AT45" s="40"/>
      <c r="AU45" s="40"/>
      <c r="AV45" s="40"/>
      <c r="AW45" s="40"/>
      <c r="AX45" s="40"/>
      <c r="AY45" s="40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72">
        <v>0</v>
      </c>
      <c r="BP45" s="40">
        <v>3</v>
      </c>
      <c r="BQ45" s="40">
        <v>4</v>
      </c>
      <c r="BR45" s="40">
        <v>8</v>
      </c>
      <c r="BS45" s="40">
        <v>5</v>
      </c>
      <c r="BT45" s="40">
        <v>8</v>
      </c>
      <c r="BU45" s="40">
        <v>10</v>
      </c>
      <c r="BV45" s="40">
        <v>10</v>
      </c>
      <c r="BW45" s="72">
        <v>10</v>
      </c>
      <c r="BX45" s="72">
        <v>10</v>
      </c>
      <c r="BY45" s="72">
        <v>10</v>
      </c>
      <c r="BZ45" s="72">
        <v>12</v>
      </c>
      <c r="CA45" s="72">
        <v>12</v>
      </c>
      <c r="CB45" s="72">
        <v>10</v>
      </c>
      <c r="CC45" s="72">
        <v>14</v>
      </c>
      <c r="CD45" s="72">
        <v>12</v>
      </c>
      <c r="CE45" s="72">
        <v>13</v>
      </c>
      <c r="CF45" s="72">
        <v>13</v>
      </c>
      <c r="CG45" s="72">
        <v>13</v>
      </c>
      <c r="CH45" s="72">
        <v>15</v>
      </c>
      <c r="CI45" s="72">
        <v>15</v>
      </c>
      <c r="CJ45" s="72">
        <v>15</v>
      </c>
      <c r="CK45" s="72">
        <v>14</v>
      </c>
      <c r="CL45" s="72">
        <v>14</v>
      </c>
      <c r="CM45" s="72">
        <v>15</v>
      </c>
      <c r="CN45" s="72">
        <v>15</v>
      </c>
      <c r="CO45" s="72">
        <v>13</v>
      </c>
      <c r="CP45" s="72">
        <v>15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40"/>
      <c r="DB45" s="40"/>
      <c r="DC45" s="40"/>
      <c r="DD45" s="39"/>
      <c r="DE45" s="39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69">
        <f t="shared" si="16"/>
        <v>0</v>
      </c>
      <c r="DU45" s="69">
        <f t="shared" si="13"/>
        <v>15</v>
      </c>
      <c r="DV45" s="69">
        <f t="shared" si="47"/>
        <v>33</v>
      </c>
      <c r="DW45" s="69">
        <f t="shared" si="10"/>
        <v>42</v>
      </c>
      <c r="DX45" s="69">
        <f t="shared" si="11"/>
        <v>48</v>
      </c>
      <c r="DY45" s="69">
        <f t="shared" si="24"/>
        <v>54</v>
      </c>
      <c r="DZ45" s="69">
        <f t="shared" si="25"/>
        <v>58</v>
      </c>
      <c r="EA45" s="69">
        <f t="shared" si="26"/>
        <v>58</v>
      </c>
      <c r="EB45" s="69"/>
      <c r="EC45" s="40"/>
    </row>
    <row r="46" spans="1:143" s="11" customFormat="1">
      <c r="A46" s="31"/>
      <c r="B46" s="98" t="s">
        <v>42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8</v>
      </c>
      <c r="I46" s="40">
        <v>11</v>
      </c>
      <c r="J46" s="40">
        <v>16</v>
      </c>
      <c r="K46" s="40">
        <v>22</v>
      </c>
      <c r="L46" s="40">
        <v>15</v>
      </c>
      <c r="M46" s="40">
        <v>19</v>
      </c>
      <c r="N46" s="40">
        <v>21</v>
      </c>
      <c r="O46" s="40">
        <v>26</v>
      </c>
      <c r="P46" s="40">
        <v>23</v>
      </c>
      <c r="Q46" s="40">
        <v>24</v>
      </c>
      <c r="R46" s="40">
        <v>26</v>
      </c>
      <c r="S46" s="40">
        <v>29</v>
      </c>
      <c r="T46" s="40">
        <v>35</v>
      </c>
      <c r="U46" s="40">
        <v>37</v>
      </c>
      <c r="V46" s="40">
        <v>39</v>
      </c>
      <c r="W46" s="40">
        <f>91-X46</f>
        <v>44</v>
      </c>
      <c r="X46" s="40">
        <v>47</v>
      </c>
      <c r="Y46" s="40"/>
      <c r="Z46" s="40">
        <v>48</v>
      </c>
      <c r="AA46" s="40">
        <f>102-AB46</f>
        <v>49</v>
      </c>
      <c r="AB46" s="40">
        <v>53</v>
      </c>
      <c r="AC46" s="40"/>
      <c r="AD46" s="40">
        <v>58</v>
      </c>
      <c r="AE46" s="40">
        <v>56</v>
      </c>
      <c r="AF46" s="40"/>
      <c r="AG46" s="53" t="s">
        <v>331</v>
      </c>
      <c r="AH46" s="40"/>
      <c r="AI46" s="40"/>
      <c r="AJ46" s="40"/>
      <c r="AK46" s="52"/>
      <c r="AL46" s="40"/>
      <c r="AM46" s="40"/>
      <c r="AN46" s="40"/>
      <c r="AO46" s="40"/>
      <c r="AP46" s="40"/>
      <c r="AQ46" s="67">
        <v>123</v>
      </c>
      <c r="AR46" s="40">
        <v>0</v>
      </c>
      <c r="AS46" s="40">
        <v>0</v>
      </c>
      <c r="AT46" s="40">
        <v>0</v>
      </c>
      <c r="AU46" s="40">
        <v>151</v>
      </c>
      <c r="AV46" s="40"/>
      <c r="AW46" s="40"/>
      <c r="AX46" s="40"/>
      <c r="AY46" s="40">
        <v>157</v>
      </c>
      <c r="AZ46" s="40">
        <v>173</v>
      </c>
      <c r="BA46" s="40"/>
      <c r="BB46" s="40"/>
      <c r="BC46" s="40">
        <v>172</v>
      </c>
      <c r="BD46" s="40">
        <v>179</v>
      </c>
      <c r="BE46" s="40"/>
      <c r="BF46" s="40"/>
      <c r="BG46" s="40">
        <v>161</v>
      </c>
      <c r="BH46" s="40">
        <v>172</v>
      </c>
      <c r="BI46" s="72">
        <v>186</v>
      </c>
      <c r="BJ46" s="72">
        <v>185</v>
      </c>
      <c r="BK46" s="72">
        <v>190</v>
      </c>
      <c r="BL46" s="72">
        <v>211</v>
      </c>
      <c r="BM46" s="72">
        <v>207</v>
      </c>
      <c r="BN46" s="40">
        <v>222</v>
      </c>
      <c r="BO46" s="72">
        <v>214</v>
      </c>
      <c r="BP46" s="40">
        <v>248</v>
      </c>
      <c r="BQ46" s="40">
        <v>241</v>
      </c>
      <c r="BR46" s="40">
        <v>238</v>
      </c>
      <c r="BS46" s="40">
        <v>254</v>
      </c>
      <c r="BT46" s="40">
        <v>247</v>
      </c>
      <c r="BU46" s="40">
        <v>258</v>
      </c>
      <c r="BV46" s="40">
        <v>269</v>
      </c>
      <c r="BW46" s="72">
        <v>254</v>
      </c>
      <c r="BX46" s="72">
        <v>267</v>
      </c>
      <c r="BY46" s="72">
        <v>205</v>
      </c>
      <c r="BZ46" s="72">
        <v>166</v>
      </c>
      <c r="CA46" s="72">
        <v>166</v>
      </c>
      <c r="CB46" s="72">
        <v>146</v>
      </c>
      <c r="CC46" s="72">
        <v>138</v>
      </c>
      <c r="CD46" s="72">
        <v>130</v>
      </c>
      <c r="CE46" s="72">
        <v>122</v>
      </c>
      <c r="CF46" s="72">
        <v>105</v>
      </c>
      <c r="CG46" s="72">
        <v>103</v>
      </c>
      <c r="CH46" s="72">
        <v>101</v>
      </c>
      <c r="CI46" s="72">
        <v>93</v>
      </c>
      <c r="CJ46" s="72">
        <v>86</v>
      </c>
      <c r="CK46" s="72">
        <v>81</v>
      </c>
      <c r="CL46" s="72">
        <v>74</v>
      </c>
      <c r="CM46" s="72">
        <v>75</v>
      </c>
      <c r="CN46" s="72">
        <v>78</v>
      </c>
      <c r="CO46" s="72">
        <v>64</v>
      </c>
      <c r="CP46" s="72">
        <v>79</v>
      </c>
      <c r="CQ46" s="135"/>
      <c r="CR46" s="135"/>
      <c r="CS46" s="135"/>
      <c r="CT46" s="135"/>
      <c r="CU46" s="135"/>
      <c r="CV46" s="135"/>
      <c r="CW46" s="135"/>
      <c r="CX46" s="135"/>
      <c r="CY46" s="72"/>
      <c r="CZ46" s="72"/>
      <c r="DA46" s="40"/>
      <c r="DB46" s="40"/>
      <c r="DC46" s="40"/>
      <c r="DD46" s="39"/>
      <c r="DE46" s="39"/>
      <c r="DF46" s="40">
        <v>35</v>
      </c>
      <c r="DG46" s="40">
        <v>77</v>
      </c>
      <c r="DH46" s="40">
        <v>99</v>
      </c>
      <c r="DI46" s="40">
        <f>SUM(S46:V46)</f>
        <v>140</v>
      </c>
      <c r="DJ46" s="40">
        <f>SUM(W46:Z46)</f>
        <v>139</v>
      </c>
      <c r="DK46" s="40"/>
      <c r="DL46" s="40"/>
      <c r="DM46" s="40"/>
      <c r="DN46" s="39"/>
      <c r="DO46" s="40">
        <f>SUM(AQ46:AT46)</f>
        <v>123</v>
      </c>
      <c r="DP46" s="40">
        <f>SUM(AU46:AX46)</f>
        <v>151</v>
      </c>
      <c r="DQ46" s="42"/>
      <c r="DR46" s="42"/>
      <c r="DS46" s="42"/>
      <c r="DT46" s="69">
        <f>SUM(BK46:BN46)</f>
        <v>830</v>
      </c>
      <c r="DU46" s="69">
        <f>SUM(BO46:BR46)</f>
        <v>941</v>
      </c>
      <c r="DV46" s="69">
        <f>SUM(BS46:BV46)</f>
        <v>1028</v>
      </c>
      <c r="DW46" s="69">
        <f>SUM(BW46:BZ46)</f>
        <v>892</v>
      </c>
      <c r="DX46" s="69">
        <f>SUM(CA46:CD46)</f>
        <v>580</v>
      </c>
      <c r="DY46" s="69">
        <f>SUM(CE46:CH46)</f>
        <v>431</v>
      </c>
      <c r="DZ46" s="69">
        <f>SUM(CI46:CL46)</f>
        <v>334</v>
      </c>
      <c r="EA46" s="69">
        <f>SUM(CM46:CP46)</f>
        <v>296</v>
      </c>
      <c r="EB46" s="69"/>
      <c r="EC46" s="63"/>
    </row>
    <row r="47" spans="1:143" s="11" customFormat="1">
      <c r="A47" s="31"/>
      <c r="B47" s="97" t="s">
        <v>519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69">
        <v>0</v>
      </c>
      <c r="BU47" s="69">
        <v>0</v>
      </c>
      <c r="BV47" s="69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275</v>
      </c>
      <c r="CF47" s="75">
        <v>862</v>
      </c>
      <c r="CG47" s="75">
        <v>1000</v>
      </c>
      <c r="CH47" s="75">
        <v>1781</v>
      </c>
      <c r="CI47" s="75">
        <v>1089</v>
      </c>
      <c r="CJ47" s="75">
        <v>451</v>
      </c>
      <c r="CK47" s="75">
        <v>173</v>
      </c>
      <c r="CL47" s="75">
        <v>85</v>
      </c>
      <c r="CM47" s="75">
        <v>28</v>
      </c>
      <c r="CN47" s="75">
        <v>0</v>
      </c>
      <c r="CO47" s="75">
        <v>0</v>
      </c>
      <c r="CP47" s="75">
        <v>-17</v>
      </c>
      <c r="CQ47" s="134"/>
      <c r="CR47" s="134"/>
      <c r="CS47" s="134"/>
      <c r="CT47" s="134"/>
      <c r="CU47" s="134"/>
      <c r="CV47" s="134"/>
      <c r="CW47" s="134"/>
      <c r="CX47" s="134"/>
      <c r="CY47" s="75"/>
      <c r="CZ47" s="75"/>
      <c r="DA47" s="69"/>
      <c r="DB47" s="69"/>
      <c r="DC47" s="69"/>
      <c r="DD47" s="69"/>
      <c r="DE47" s="69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69">
        <f>SUM(BK47:BN47)</f>
        <v>0</v>
      </c>
      <c r="DU47" s="69">
        <f>SUM(BO47:BR47)</f>
        <v>0</v>
      </c>
      <c r="DV47" s="69">
        <f>SUM(BS47:BV47)</f>
        <v>0</v>
      </c>
      <c r="DW47" s="69">
        <f>SUM(BW47:BZ47)</f>
        <v>0</v>
      </c>
      <c r="DX47" s="69">
        <f>SUM(CA47:CD47)</f>
        <v>0</v>
      </c>
      <c r="DY47" s="69">
        <f>SUM(CE47:CH47)</f>
        <v>3918</v>
      </c>
      <c r="DZ47" s="69">
        <f>SUM(CI47:CL47)</f>
        <v>1798</v>
      </c>
      <c r="EA47" s="69">
        <f>SUM(CM47:CP47)</f>
        <v>11</v>
      </c>
      <c r="EB47" s="69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</row>
    <row r="48" spans="1:143" s="11" customFormat="1">
      <c r="A48" s="31"/>
      <c r="B48" s="98" t="s">
        <v>473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>
        <v>27</v>
      </c>
      <c r="AZ48" s="40">
        <v>32</v>
      </c>
      <c r="BA48" s="40"/>
      <c r="BB48" s="40"/>
      <c r="BC48" s="40">
        <v>80</v>
      </c>
      <c r="BD48" s="40">
        <v>112</v>
      </c>
      <c r="BE48" s="40"/>
      <c r="BF48" s="40"/>
      <c r="BG48" s="40">
        <v>123</v>
      </c>
      <c r="BH48" s="40">
        <v>140</v>
      </c>
      <c r="BI48" s="72">
        <v>162</v>
      </c>
      <c r="BJ48" s="72">
        <v>155</v>
      </c>
      <c r="BK48" s="72">
        <v>135</v>
      </c>
      <c r="BL48" s="72">
        <v>156</v>
      </c>
      <c r="BM48" s="72">
        <v>145</v>
      </c>
      <c r="BN48" s="40">
        <v>142</v>
      </c>
      <c r="BO48" s="72">
        <v>153</v>
      </c>
      <c r="BP48" s="40">
        <v>146</v>
      </c>
      <c r="BQ48" s="40">
        <v>128</v>
      </c>
      <c r="BR48" s="40">
        <v>147</v>
      </c>
      <c r="BS48" s="40">
        <v>139</v>
      </c>
      <c r="BT48" s="40">
        <v>155</v>
      </c>
      <c r="BU48" s="40">
        <v>152</v>
      </c>
      <c r="BV48" s="40">
        <v>138</v>
      </c>
      <c r="BW48" s="72">
        <v>142</v>
      </c>
      <c r="BX48" s="72">
        <v>141</v>
      </c>
      <c r="BY48" s="72">
        <v>127</v>
      </c>
      <c r="BZ48" s="72">
        <v>139</v>
      </c>
      <c r="CA48" s="72">
        <v>100</v>
      </c>
      <c r="CB48" s="72">
        <v>116</v>
      </c>
      <c r="CC48" s="72">
        <v>109</v>
      </c>
      <c r="CD48" s="72">
        <v>122</v>
      </c>
      <c r="CE48" s="72">
        <v>103</v>
      </c>
      <c r="CF48" s="72">
        <v>95</v>
      </c>
      <c r="CG48" s="72">
        <v>95</v>
      </c>
      <c r="CH48" s="72">
        <v>91</v>
      </c>
      <c r="CI48" s="72">
        <v>68</v>
      </c>
      <c r="CJ48" s="72">
        <v>73</v>
      </c>
      <c r="CK48" s="72">
        <v>66</v>
      </c>
      <c r="CL48" s="72">
        <v>73</v>
      </c>
      <c r="CM48" s="72">
        <v>45</v>
      </c>
      <c r="CN48" s="72">
        <v>43</v>
      </c>
      <c r="CO48" s="72">
        <v>35</v>
      </c>
      <c r="CP48" s="72">
        <v>39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40"/>
      <c r="DB48" s="40"/>
      <c r="DC48" s="40"/>
      <c r="DD48" s="39"/>
      <c r="DE48" s="39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578</v>
      </c>
      <c r="DU48" s="69">
        <f>SUM(BO48:BR48)</f>
        <v>574</v>
      </c>
      <c r="DV48" s="69">
        <f>SUM(BS48:BV48)</f>
        <v>584</v>
      </c>
      <c r="DW48" s="69">
        <f>SUM(BW48:BZ48)</f>
        <v>549</v>
      </c>
      <c r="DX48" s="69">
        <f>SUM(CA48:CD48)</f>
        <v>447</v>
      </c>
      <c r="DY48" s="69">
        <f>SUM(CE48:CH48)</f>
        <v>384</v>
      </c>
      <c r="DZ48" s="69">
        <f>SUM(CI48:CL48)</f>
        <v>280</v>
      </c>
      <c r="EA48" s="69">
        <f>SUM(CM48:CP48)</f>
        <v>162</v>
      </c>
      <c r="EB48" s="69"/>
      <c r="EC48" s="40"/>
    </row>
    <row r="49" spans="1:143" s="11" customFormat="1">
      <c r="A49" s="31"/>
      <c r="B49" s="98" t="s">
        <v>518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/>
      <c r="AL49" s="40"/>
      <c r="AM49" s="40"/>
      <c r="AN49" s="40"/>
      <c r="AO49" s="40"/>
      <c r="AP49" s="40"/>
      <c r="AQ49" s="67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>
        <v>0</v>
      </c>
      <c r="BH49" s="40">
        <v>32</v>
      </c>
      <c r="BI49" s="72">
        <v>33</v>
      </c>
      <c r="BJ49" s="72">
        <v>32</v>
      </c>
      <c r="BK49" s="72">
        <v>31</v>
      </c>
      <c r="BL49" s="72">
        <v>40</v>
      </c>
      <c r="BM49" s="72">
        <v>42</v>
      </c>
      <c r="BN49" s="40">
        <v>41</v>
      </c>
      <c r="BO49" s="72">
        <v>44</v>
      </c>
      <c r="BP49" s="40">
        <v>48</v>
      </c>
      <c r="BQ49" s="40">
        <v>53</v>
      </c>
      <c r="BR49" s="40">
        <v>53</v>
      </c>
      <c r="BS49" s="40">
        <v>38</v>
      </c>
      <c r="BT49" s="40">
        <v>45</v>
      </c>
      <c r="BU49" s="40">
        <v>52</v>
      </c>
      <c r="BV49" s="40">
        <v>54</v>
      </c>
      <c r="BW49" s="72">
        <v>48</v>
      </c>
      <c r="BX49" s="72">
        <v>56</v>
      </c>
      <c r="BY49" s="72">
        <v>53</v>
      </c>
      <c r="BZ49" s="72">
        <v>58</v>
      </c>
      <c r="CA49" s="72">
        <v>53</v>
      </c>
      <c r="CB49" s="72">
        <v>53</v>
      </c>
      <c r="CC49" s="72">
        <v>57</v>
      </c>
      <c r="CD49" s="72">
        <v>54</v>
      </c>
      <c r="CE49" s="72">
        <v>60</v>
      </c>
      <c r="CF49" s="72">
        <v>54</v>
      </c>
      <c r="CG49" s="72">
        <v>54</v>
      </c>
      <c r="CH49" s="72">
        <v>59</v>
      </c>
      <c r="CI49" s="72">
        <v>51</v>
      </c>
      <c r="CJ49" s="72">
        <v>58</v>
      </c>
      <c r="CK49" s="72">
        <v>52</v>
      </c>
      <c r="CL49" s="72">
        <v>28</v>
      </c>
      <c r="CM49" s="72">
        <v>13</v>
      </c>
      <c r="CN49" s="72">
        <v>17</v>
      </c>
      <c r="CO49" s="72">
        <v>11</v>
      </c>
      <c r="CP49" s="72">
        <v>13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40"/>
      <c r="DB49" s="40"/>
      <c r="DC49" s="40"/>
      <c r="DD49" s="39"/>
      <c r="DE49" s="39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69">
        <f>SUM(BK49:BN49)</f>
        <v>154</v>
      </c>
      <c r="DU49" s="69">
        <f>SUM(BO49:BR49)</f>
        <v>198</v>
      </c>
      <c r="DV49" s="69">
        <f>SUM(BS49:BV49)</f>
        <v>189</v>
      </c>
      <c r="DW49" s="69">
        <f>SUM(BW49:BZ49)</f>
        <v>215</v>
      </c>
      <c r="DX49" s="69">
        <f>SUM(CA49:CD49)</f>
        <v>217</v>
      </c>
      <c r="DY49" s="69">
        <f>SUM(CE49:CH49)</f>
        <v>227</v>
      </c>
      <c r="DZ49" s="69">
        <f>SUM(CI49:CL49)</f>
        <v>189</v>
      </c>
      <c r="EA49" s="69">
        <f>SUM(CM49:CP49)</f>
        <v>54</v>
      </c>
      <c r="EB49" s="69"/>
      <c r="EC49" s="63"/>
    </row>
    <row r="50" spans="1:143" s="11" customFormat="1">
      <c r="A50" s="31"/>
      <c r="B50" s="98" t="s">
        <v>233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52">
        <v>9</v>
      </c>
      <c r="AL50" s="40">
        <v>2</v>
      </c>
      <c r="AM50" s="40">
        <v>4</v>
      </c>
      <c r="AN50" s="40">
        <v>14</v>
      </c>
      <c r="AO50" s="40">
        <v>19</v>
      </c>
      <c r="AP50" s="40">
        <v>32</v>
      </c>
      <c r="AQ50" s="67">
        <v>35</v>
      </c>
      <c r="AR50" s="40">
        <f>AQ50+5</f>
        <v>40</v>
      </c>
      <c r="AS50" s="40">
        <v>59</v>
      </c>
      <c r="AT50" s="40">
        <v>71</v>
      </c>
      <c r="AU50" s="40">
        <v>72</v>
      </c>
      <c r="AV50" s="40"/>
      <c r="AW50" s="40"/>
      <c r="AX50" s="40"/>
      <c r="AY50" s="40">
        <v>90</v>
      </c>
      <c r="AZ50" s="40">
        <v>102</v>
      </c>
      <c r="BA50" s="40"/>
      <c r="BB50" s="40"/>
      <c r="BC50" s="40">
        <v>162</v>
      </c>
      <c r="BD50" s="40">
        <v>238</v>
      </c>
      <c r="BE50" s="40"/>
      <c r="BF50" s="40"/>
      <c r="BG50" s="40">
        <v>183</v>
      </c>
      <c r="BH50" s="40">
        <v>208</v>
      </c>
      <c r="BI50" s="72">
        <v>203</v>
      </c>
      <c r="BJ50" s="72">
        <v>192</v>
      </c>
      <c r="BK50" s="72">
        <v>211</v>
      </c>
      <c r="BL50" s="72">
        <v>191</v>
      </c>
      <c r="BM50" s="72">
        <v>169</v>
      </c>
      <c r="BN50" s="40">
        <v>149</v>
      </c>
      <c r="BO50" s="72">
        <v>154</v>
      </c>
      <c r="BP50" s="40">
        <v>150</v>
      </c>
      <c r="BQ50" s="40">
        <v>127</v>
      </c>
      <c r="BR50" s="40">
        <v>180</v>
      </c>
      <c r="BS50" s="40">
        <v>129</v>
      </c>
      <c r="BT50" s="40">
        <v>126</v>
      </c>
      <c r="BU50" s="40">
        <v>140</v>
      </c>
      <c r="BV50" s="40">
        <v>148</v>
      </c>
      <c r="BW50" s="72">
        <v>153</v>
      </c>
      <c r="BX50" s="72">
        <v>116</v>
      </c>
      <c r="BY50" s="72">
        <v>127</v>
      </c>
      <c r="BZ50" s="72">
        <v>131</v>
      </c>
      <c r="CA50" s="72">
        <v>141</v>
      </c>
      <c r="CB50" s="72">
        <v>115</v>
      </c>
      <c r="CC50" s="72">
        <v>110</v>
      </c>
      <c r="CD50" s="72">
        <v>105</v>
      </c>
      <c r="CE50" s="72">
        <v>101</v>
      </c>
      <c r="CF50" s="72">
        <v>99</v>
      </c>
      <c r="CG50" s="72">
        <v>84</v>
      </c>
      <c r="CH50" s="72">
        <v>75</v>
      </c>
      <c r="CI50" s="72">
        <v>68</v>
      </c>
      <c r="CJ50" s="72">
        <v>71</v>
      </c>
      <c r="CK50" s="72">
        <v>66</v>
      </c>
      <c r="CL50" s="72">
        <v>52</v>
      </c>
      <c r="CM50" s="72">
        <v>63</v>
      </c>
      <c r="CN50" s="72">
        <v>65</v>
      </c>
      <c r="CO50" s="72">
        <v>53</v>
      </c>
      <c r="CP50" s="72">
        <v>47</v>
      </c>
      <c r="CQ50" s="135"/>
      <c r="CR50" s="135"/>
      <c r="CS50" s="135"/>
      <c r="CT50" s="135"/>
      <c r="CU50" s="135"/>
      <c r="CV50" s="135"/>
      <c r="CW50" s="135"/>
      <c r="CX50" s="135"/>
      <c r="CY50" s="72"/>
      <c r="CZ50" s="72"/>
      <c r="DA50" s="40"/>
      <c r="DB50" s="40"/>
      <c r="DC50" s="40"/>
      <c r="DD50" s="39"/>
      <c r="DE50" s="39"/>
      <c r="DF50" s="40"/>
      <c r="DG50" s="40"/>
      <c r="DH50" s="40"/>
      <c r="DI50" s="40"/>
      <c r="DJ50" s="40"/>
      <c r="DK50" s="40"/>
      <c r="DL50" s="40"/>
      <c r="DM50" s="40">
        <f>SUM(AI50:AL50)</f>
        <v>11</v>
      </c>
      <c r="DN50" s="40">
        <f>SUM(AM50:AP50)</f>
        <v>69</v>
      </c>
      <c r="DO50" s="40">
        <f>SUM(AQ50:AT50)</f>
        <v>205</v>
      </c>
      <c r="DP50" s="40">
        <f>SUM(AU50:AX50)</f>
        <v>72</v>
      </c>
      <c r="DQ50" s="40"/>
      <c r="DR50" s="40"/>
      <c r="DS50" s="40"/>
      <c r="DT50" s="69">
        <f>SUM(BK50:BN50)</f>
        <v>720</v>
      </c>
      <c r="DU50" s="69">
        <f>SUM(BO50:BR50)</f>
        <v>611</v>
      </c>
      <c r="DV50" s="69">
        <f>SUM(BS50:BV50)</f>
        <v>543</v>
      </c>
      <c r="DW50" s="69">
        <f>SUM(BW50:BZ50)</f>
        <v>527</v>
      </c>
      <c r="DX50" s="69">
        <f>SUM(CA50:CD50)</f>
        <v>471</v>
      </c>
      <c r="DY50" s="69">
        <f>SUM(CE50:CH50)</f>
        <v>359</v>
      </c>
      <c r="DZ50" s="69">
        <f>SUM(CI50:CL50)</f>
        <v>257</v>
      </c>
      <c r="EA50" s="69">
        <f>SUM(CM50:CP50)</f>
        <v>228</v>
      </c>
      <c r="EB50" s="69"/>
      <c r="EC50" s="40"/>
    </row>
    <row r="51" spans="1:143" s="11" customFormat="1">
      <c r="A51" s="31"/>
      <c r="B51" s="131" t="s">
        <v>619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7</v>
      </c>
      <c r="CR51" s="75">
        <v>14</v>
      </c>
      <c r="CS51" s="75">
        <v>21</v>
      </c>
      <c r="CT51" s="75">
        <v>25</v>
      </c>
      <c r="CU51" s="75">
        <v>28</v>
      </c>
      <c r="CV51" s="75">
        <f>+CU51+4</f>
        <v>32</v>
      </c>
      <c r="CW51" s="75">
        <f>+CV51+4</f>
        <v>36</v>
      </c>
      <c r="CX51" s="75">
        <f>+CW51+4</f>
        <v>40</v>
      </c>
      <c r="CY51" s="75"/>
      <c r="CZ51" s="75"/>
      <c r="DA51" s="69"/>
      <c r="DB51" s="69"/>
      <c r="DC51" s="69"/>
      <c r="DD51" s="69"/>
      <c r="DE51" s="69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6"/>
        <v>0</v>
      </c>
      <c r="DU51" s="69">
        <f t="shared" si="13"/>
        <v>0</v>
      </c>
      <c r="DV51" s="69">
        <f t="shared" si="47"/>
        <v>0</v>
      </c>
      <c r="DW51" s="69"/>
      <c r="DX51" s="69"/>
      <c r="DY51" s="69"/>
      <c r="DZ51" s="69"/>
      <c r="EA51" s="69">
        <f t="shared" si="26"/>
        <v>0</v>
      </c>
      <c r="EB51" s="69">
        <f t="shared" si="67"/>
        <v>67</v>
      </c>
      <c r="EC51" s="69">
        <f>+EB51*1.9</f>
        <v>127.3</v>
      </c>
      <c r="ED51" s="69">
        <f>+EC51*1.9</f>
        <v>241.86999999999998</v>
      </c>
      <c r="EE51" s="63">
        <f>+ED51*1.05</f>
        <v>253.96349999999998</v>
      </c>
      <c r="EF51" s="63">
        <f t="shared" ref="EF51:EM51" si="71">+EE51*1.05</f>
        <v>266.661675</v>
      </c>
      <c r="EG51" s="63">
        <f t="shared" si="71"/>
        <v>279.99475875000002</v>
      </c>
      <c r="EH51" s="63">
        <f t="shared" si="71"/>
        <v>293.99449668750003</v>
      </c>
      <c r="EI51" s="63">
        <f t="shared" si="71"/>
        <v>308.69422152187502</v>
      </c>
      <c r="EJ51" s="63">
        <f t="shared" si="71"/>
        <v>324.1289325979688</v>
      </c>
      <c r="EK51" s="63">
        <f t="shared" si="71"/>
        <v>340.33537922786724</v>
      </c>
      <c r="EL51" s="63">
        <f t="shared" si="71"/>
        <v>357.35214818926062</v>
      </c>
      <c r="EM51" s="63">
        <f t="shared" si="71"/>
        <v>375.21975559872368</v>
      </c>
    </row>
    <row r="52" spans="1:143" s="11" customFormat="1">
      <c r="A52" s="31"/>
      <c r="B52" s="97" t="s">
        <v>510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70"/>
      <c r="AL52" s="69"/>
      <c r="AM52" s="69"/>
      <c r="AN52" s="69"/>
      <c r="AO52" s="69"/>
      <c r="AP52" s="69"/>
      <c r="AQ52" s="70"/>
      <c r="AR52" s="69"/>
      <c r="AS52" s="69"/>
      <c r="AT52" s="69"/>
      <c r="AU52" s="69"/>
      <c r="AV52" s="69"/>
      <c r="AW52" s="69"/>
      <c r="AX52" s="69"/>
      <c r="AY52" s="69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69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10</v>
      </c>
      <c r="CH52" s="75">
        <v>6</v>
      </c>
      <c r="CI52" s="75">
        <v>13</v>
      </c>
      <c r="CJ52" s="75">
        <v>11</v>
      </c>
      <c r="CK52" s="75">
        <v>11</v>
      </c>
      <c r="CL52" s="75">
        <v>-1</v>
      </c>
      <c r="CM52" s="75">
        <v>8</v>
      </c>
      <c r="CN52" s="75">
        <v>13</v>
      </c>
      <c r="CO52" s="75">
        <v>12</v>
      </c>
      <c r="CP52" s="75">
        <v>11</v>
      </c>
      <c r="CQ52" s="75">
        <v>12</v>
      </c>
      <c r="CR52" s="75">
        <v>13</v>
      </c>
      <c r="CS52" s="75">
        <v>11</v>
      </c>
      <c r="CT52" s="75">
        <v>10</v>
      </c>
      <c r="CU52" s="75"/>
      <c r="CV52" s="75"/>
      <c r="CW52" s="75"/>
      <c r="CX52" s="75"/>
      <c r="CY52" s="75"/>
      <c r="CZ52" s="75"/>
      <c r="DA52" s="69"/>
      <c r="DB52" s="69"/>
      <c r="DC52" s="69"/>
      <c r="DD52" s="69"/>
      <c r="DE52" s="69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69">
        <f t="shared" si="16"/>
        <v>0</v>
      </c>
      <c r="DU52" s="69">
        <f t="shared" si="13"/>
        <v>0</v>
      </c>
      <c r="DV52" s="69">
        <f t="shared" si="47"/>
        <v>0</v>
      </c>
      <c r="DW52" s="69">
        <f t="shared" si="10"/>
        <v>0</v>
      </c>
      <c r="DX52" s="69">
        <f t="shared" si="11"/>
        <v>0</v>
      </c>
      <c r="DY52" s="69">
        <f t="shared" ref="DY52:DY63" si="72">SUM(CE52:CH52)</f>
        <v>16</v>
      </c>
      <c r="DZ52" s="69">
        <f t="shared" ref="DZ52:DZ63" si="73">SUM(CI52:CL52)</f>
        <v>34</v>
      </c>
      <c r="EA52" s="69">
        <f t="shared" ref="EA52:EA63" si="74">SUM(CM52:CP52)</f>
        <v>44</v>
      </c>
      <c r="EB52" s="69">
        <f t="shared" si="67"/>
        <v>46</v>
      </c>
      <c r="EC52" s="69">
        <f>+EB52*1.05</f>
        <v>48.300000000000004</v>
      </c>
      <c r="ED52" s="69">
        <f t="shared" ref="ED52:EM52" si="75">+EC52*1.05</f>
        <v>50.715000000000003</v>
      </c>
      <c r="EE52" s="69">
        <f t="shared" si="75"/>
        <v>53.250750000000004</v>
      </c>
      <c r="EF52" s="69">
        <f t="shared" si="75"/>
        <v>55.913287500000003</v>
      </c>
      <c r="EG52" s="69">
        <f t="shared" si="75"/>
        <v>58.708951875000004</v>
      </c>
      <c r="EH52" s="69">
        <f t="shared" si="75"/>
        <v>61.644399468750009</v>
      </c>
      <c r="EI52" s="69">
        <f t="shared" si="75"/>
        <v>64.726619442187513</v>
      </c>
      <c r="EJ52" s="69">
        <f t="shared" si="75"/>
        <v>67.962950414296898</v>
      </c>
      <c r="EK52" s="69">
        <f t="shared" si="75"/>
        <v>71.361097935011742</v>
      </c>
      <c r="EL52" s="69">
        <f t="shared" si="75"/>
        <v>74.929152831762337</v>
      </c>
      <c r="EM52" s="69">
        <f t="shared" si="75"/>
        <v>78.67561047335046</v>
      </c>
    </row>
    <row r="53" spans="1:143" s="11" customFormat="1">
      <c r="A53" s="31"/>
      <c r="B53" s="98" t="s">
        <v>238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v>0</v>
      </c>
      <c r="AD53" s="40">
        <v>53</v>
      </c>
      <c r="AE53" s="40"/>
      <c r="AF53" s="40">
        <v>0</v>
      </c>
      <c r="AG53" s="40">
        <v>71</v>
      </c>
      <c r="AH53" s="40">
        <v>33</v>
      </c>
      <c r="AI53" s="40">
        <v>2</v>
      </c>
      <c r="AJ53" s="40">
        <v>0</v>
      </c>
      <c r="AK53" s="52">
        <v>92</v>
      </c>
      <c r="AL53" s="40">
        <v>51</v>
      </c>
      <c r="AM53" s="40">
        <v>2</v>
      </c>
      <c r="AN53" s="40">
        <v>1</v>
      </c>
      <c r="AO53" s="40">
        <v>120</v>
      </c>
      <c r="AP53" s="40">
        <v>51</v>
      </c>
      <c r="AQ53" s="67">
        <v>3</v>
      </c>
      <c r="AR53" s="40">
        <f>AN53</f>
        <v>1</v>
      </c>
      <c r="AS53" s="40">
        <v>124</v>
      </c>
      <c r="AT53" s="40">
        <v>34</v>
      </c>
      <c r="AU53" s="40">
        <v>2</v>
      </c>
      <c r="AV53" s="40"/>
      <c r="AW53" s="40"/>
      <c r="AX53" s="40"/>
      <c r="AY53" s="40"/>
      <c r="AZ53" s="40"/>
      <c r="BA53" s="40"/>
      <c r="BB53" s="40"/>
      <c r="BC53" s="40">
        <v>7</v>
      </c>
      <c r="BD53" s="40">
        <v>5</v>
      </c>
      <c r="BE53" s="40"/>
      <c r="BF53" s="40"/>
      <c r="BG53" s="40">
        <v>7</v>
      </c>
      <c r="BH53" s="40">
        <v>14</v>
      </c>
      <c r="BI53" s="72">
        <v>76</v>
      </c>
      <c r="BJ53" s="72">
        <v>191</v>
      </c>
      <c r="BK53" s="72">
        <v>5</v>
      </c>
      <c r="BL53" s="72">
        <v>6</v>
      </c>
      <c r="BM53" s="72">
        <v>26</v>
      </c>
      <c r="BN53" s="40">
        <v>67</v>
      </c>
      <c r="BO53" s="72">
        <v>0</v>
      </c>
      <c r="BP53" s="40">
        <v>0</v>
      </c>
      <c r="BQ53" s="40">
        <v>20</v>
      </c>
      <c r="BR53" s="40">
        <v>58</v>
      </c>
      <c r="BS53" s="40">
        <v>0</v>
      </c>
      <c r="BT53" s="40">
        <v>0</v>
      </c>
      <c r="BU53" s="40">
        <v>35</v>
      </c>
      <c r="BV53" s="40">
        <v>75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72">
        <v>0</v>
      </c>
      <c r="CC53" s="72">
        <v>116</v>
      </c>
      <c r="CD53" s="72">
        <v>179</v>
      </c>
      <c r="CE53" s="72">
        <v>2</v>
      </c>
      <c r="CF53" s="72">
        <v>1</v>
      </c>
      <c r="CG53" s="72">
        <v>72</v>
      </c>
      <c r="CH53" s="72">
        <v>178</v>
      </c>
      <c r="CI53" s="72">
        <v>-1</v>
      </c>
      <c r="CJ53" s="72">
        <v>1</v>
      </c>
      <c r="CK53" s="72">
        <v>59</v>
      </c>
      <c r="CL53" s="72">
        <v>116</v>
      </c>
      <c r="CM53" s="72">
        <v>2</v>
      </c>
      <c r="CN53" s="72">
        <v>0</v>
      </c>
      <c r="CO53" s="72">
        <v>75</v>
      </c>
      <c r="CP53" s="72">
        <v>138</v>
      </c>
      <c r="CQ53" s="72">
        <v>7</v>
      </c>
      <c r="CR53" s="72">
        <v>2</v>
      </c>
      <c r="CS53" s="72">
        <v>100</v>
      </c>
      <c r="CT53" s="72">
        <v>149</v>
      </c>
      <c r="CU53" s="72">
        <v>0</v>
      </c>
      <c r="CV53" s="72">
        <f t="shared" ref="CV53:CX53" si="76">+CR53</f>
        <v>2</v>
      </c>
      <c r="CW53" s="72">
        <f t="shared" si="76"/>
        <v>100</v>
      </c>
      <c r="CX53" s="72">
        <f t="shared" si="76"/>
        <v>149</v>
      </c>
      <c r="CY53" s="72"/>
      <c r="CZ53" s="72"/>
      <c r="DA53" s="40"/>
      <c r="DB53" s="40"/>
      <c r="DC53" s="40"/>
      <c r="DD53" s="39"/>
      <c r="DE53" s="39"/>
      <c r="DF53" s="40"/>
      <c r="DG53" s="40"/>
      <c r="DH53" s="40"/>
      <c r="DI53" s="40"/>
      <c r="DJ53" s="40"/>
      <c r="DK53" s="40"/>
      <c r="DL53" s="40"/>
      <c r="DM53" s="40">
        <f>SUM(AI53:AL53)</f>
        <v>145</v>
      </c>
      <c r="DN53" s="40">
        <f>SUM(AM53:AP53)</f>
        <v>174</v>
      </c>
      <c r="DO53" s="40">
        <f>SUM(AQ53:AT53)</f>
        <v>162</v>
      </c>
      <c r="DP53" s="40">
        <f>SUM(AU53:AX53)</f>
        <v>2</v>
      </c>
      <c r="DQ53" s="40"/>
      <c r="DR53" s="40"/>
      <c r="DS53" s="40"/>
      <c r="DT53" s="69">
        <f t="shared" si="16"/>
        <v>104</v>
      </c>
      <c r="DU53" s="69">
        <f t="shared" si="13"/>
        <v>78</v>
      </c>
      <c r="DV53" s="69">
        <f t="shared" si="47"/>
        <v>110</v>
      </c>
      <c r="DW53" s="69">
        <f t="shared" si="10"/>
        <v>0</v>
      </c>
      <c r="DX53" s="69">
        <f t="shared" si="11"/>
        <v>295</v>
      </c>
      <c r="DY53" s="69">
        <f t="shared" si="72"/>
        <v>253</v>
      </c>
      <c r="DZ53" s="69">
        <f t="shared" si="73"/>
        <v>175</v>
      </c>
      <c r="EA53" s="69">
        <f t="shared" si="74"/>
        <v>215</v>
      </c>
      <c r="EB53" s="69">
        <f t="shared" si="67"/>
        <v>258</v>
      </c>
      <c r="EC53" s="69">
        <f t="shared" ref="EC53:EM53" si="77">+EB53*1.05</f>
        <v>270.90000000000003</v>
      </c>
      <c r="ED53" s="69">
        <f t="shared" si="77"/>
        <v>284.44500000000005</v>
      </c>
      <c r="EE53" s="69">
        <f t="shared" si="77"/>
        <v>298.66725000000008</v>
      </c>
      <c r="EF53" s="69">
        <f t="shared" si="77"/>
        <v>313.60061250000012</v>
      </c>
      <c r="EG53" s="69">
        <f t="shared" si="77"/>
        <v>329.28064312500015</v>
      </c>
      <c r="EH53" s="69">
        <f t="shared" si="77"/>
        <v>345.74467528125018</v>
      </c>
      <c r="EI53" s="69">
        <f t="shared" si="77"/>
        <v>363.03190904531272</v>
      </c>
      <c r="EJ53" s="69">
        <f t="shared" si="77"/>
        <v>381.18350449757838</v>
      </c>
      <c r="EK53" s="69">
        <f t="shared" si="77"/>
        <v>400.2426797224573</v>
      </c>
      <c r="EL53" s="69">
        <f t="shared" si="77"/>
        <v>420.25481370858017</v>
      </c>
      <c r="EM53" s="69">
        <f t="shared" si="77"/>
        <v>441.26755439400921</v>
      </c>
    </row>
    <row r="54" spans="1:143" s="11" customFormat="1">
      <c r="A54" s="31"/>
      <c r="B54" s="130" t="s">
        <v>623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>
        <v>0</v>
      </c>
      <c r="BH54" s="40">
        <v>5</v>
      </c>
      <c r="BI54" s="72">
        <v>8</v>
      </c>
      <c r="BJ54" s="72">
        <v>12</v>
      </c>
      <c r="BK54" s="72">
        <v>13</v>
      </c>
      <c r="BL54" s="72">
        <v>17</v>
      </c>
      <c r="BM54" s="72">
        <v>14</v>
      </c>
      <c r="BN54" s="40">
        <v>19</v>
      </c>
      <c r="BO54" s="72">
        <v>19</v>
      </c>
      <c r="BP54" s="40">
        <v>16</v>
      </c>
      <c r="BQ54" s="40">
        <v>21</v>
      </c>
      <c r="BR54" s="40">
        <v>23</v>
      </c>
      <c r="BS54" s="40">
        <v>28</v>
      </c>
      <c r="BT54" s="40">
        <v>22</v>
      </c>
      <c r="BU54" s="40">
        <v>23</v>
      </c>
      <c r="BV54" s="40">
        <v>22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40"/>
      <c r="DB54" s="40"/>
      <c r="DC54" s="40"/>
      <c r="DD54" s="39"/>
      <c r="DE54" s="39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6"/>
        <v>63</v>
      </c>
      <c r="DU54" s="69">
        <f t="shared" si="13"/>
        <v>79</v>
      </c>
      <c r="DV54" s="69">
        <f t="shared" si="47"/>
        <v>95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624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52"/>
      <c r="AL55" s="40"/>
      <c r="AM55" s="40"/>
      <c r="AN55" s="40"/>
      <c r="AO55" s="40"/>
      <c r="AP55" s="40"/>
      <c r="AQ55" s="67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>
        <v>0</v>
      </c>
      <c r="BD55" s="40"/>
      <c r="BE55" s="40"/>
      <c r="BF55" s="40"/>
      <c r="BG55" s="40">
        <v>30</v>
      </c>
      <c r="BH55" s="40">
        <v>55</v>
      </c>
      <c r="BI55" s="72">
        <v>58</v>
      </c>
      <c r="BJ55" s="72">
        <v>47</v>
      </c>
      <c r="BK55" s="72">
        <v>39</v>
      </c>
      <c r="BL55" s="72">
        <v>48</v>
      </c>
      <c r="BM55" s="72">
        <v>47</v>
      </c>
      <c r="BN55" s="40">
        <v>36</v>
      </c>
      <c r="BO55" s="72">
        <v>37</v>
      </c>
      <c r="BP55" s="40">
        <v>34</v>
      </c>
      <c r="BQ55" s="40">
        <v>37</v>
      </c>
      <c r="BR55" s="40">
        <v>42</v>
      </c>
      <c r="BS55" s="40">
        <v>34</v>
      </c>
      <c r="BT55" s="40">
        <v>39</v>
      </c>
      <c r="BU55" s="40">
        <v>18</v>
      </c>
      <c r="BV55" s="40">
        <v>19</v>
      </c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135"/>
      <c r="CR55" s="135"/>
      <c r="CS55" s="135"/>
      <c r="CT55" s="135"/>
      <c r="CU55" s="135"/>
      <c r="CV55" s="135"/>
      <c r="CW55" s="135"/>
      <c r="CX55" s="135"/>
      <c r="CY55" s="72"/>
      <c r="CZ55" s="72"/>
      <c r="DA55" s="40"/>
      <c r="DB55" s="40"/>
      <c r="DC55" s="40"/>
      <c r="DD55" s="39"/>
      <c r="DE55" s="39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69">
        <f t="shared" si="16"/>
        <v>170</v>
      </c>
      <c r="DU55" s="69">
        <f t="shared" si="13"/>
        <v>150</v>
      </c>
      <c r="DV55" s="69">
        <f t="shared" si="47"/>
        <v>110</v>
      </c>
      <c r="DW55" s="69"/>
      <c r="DX55" s="69"/>
      <c r="DY55" s="69"/>
      <c r="DZ55" s="69"/>
      <c r="EA55" s="69"/>
      <c r="EB55" s="69"/>
    </row>
    <row r="56" spans="1:143" s="11" customFormat="1">
      <c r="A56" s="31"/>
      <c r="B56" s="130" t="s">
        <v>626</v>
      </c>
      <c r="C56" s="40">
        <v>12</v>
      </c>
      <c r="D56" s="40">
        <v>9</v>
      </c>
      <c r="E56" s="40">
        <v>9</v>
      </c>
      <c r="F56" s="40">
        <v>14</v>
      </c>
      <c r="G56" s="40">
        <v>13</v>
      </c>
      <c r="H56" s="40">
        <v>17</v>
      </c>
      <c r="I56" s="40">
        <v>15</v>
      </c>
      <c r="J56" s="40">
        <v>18</v>
      </c>
      <c r="K56" s="40">
        <v>18</v>
      </c>
      <c r="L56" s="40">
        <v>17</v>
      </c>
      <c r="M56" s="40">
        <v>18</v>
      </c>
      <c r="N56" s="40">
        <v>23</v>
      </c>
      <c r="O56" s="40">
        <v>21</v>
      </c>
      <c r="P56" s="40">
        <v>17</v>
      </c>
      <c r="Q56" s="40">
        <v>26</v>
      </c>
      <c r="R56" s="40">
        <v>24</v>
      </c>
      <c r="S56" s="40">
        <v>17</v>
      </c>
      <c r="T56" s="40">
        <v>19</v>
      </c>
      <c r="U56" s="40">
        <v>15</v>
      </c>
      <c r="V56" s="40">
        <v>19</v>
      </c>
      <c r="W56" s="40">
        <v>18</v>
      </c>
      <c r="X56" s="40">
        <v>15</v>
      </c>
      <c r="Y56" s="40">
        <v>21</v>
      </c>
      <c r="Z56" s="40">
        <v>24</v>
      </c>
      <c r="AA56" s="40">
        <v>20</v>
      </c>
      <c r="AB56" s="40">
        <v>20</v>
      </c>
      <c r="AC56" s="40">
        <v>20</v>
      </c>
      <c r="AD56" s="40">
        <v>24</v>
      </c>
      <c r="AE56" s="40">
        <v>20</v>
      </c>
      <c r="AF56" s="40">
        <v>21</v>
      </c>
      <c r="AG56" s="40">
        <v>25</v>
      </c>
      <c r="AH56" s="40">
        <v>23</v>
      </c>
      <c r="AI56" s="40">
        <v>24</v>
      </c>
      <c r="AJ56" s="40">
        <v>23</v>
      </c>
      <c r="AK56" s="52">
        <v>34</v>
      </c>
      <c r="AL56" s="40">
        <v>25</v>
      </c>
      <c r="AM56" s="40">
        <v>32</v>
      </c>
      <c r="AN56" s="40">
        <v>38</v>
      </c>
      <c r="AO56" s="40">
        <v>37</v>
      </c>
      <c r="AP56" s="40">
        <v>26</v>
      </c>
      <c r="AQ56" s="67">
        <v>39</v>
      </c>
      <c r="AR56" s="40">
        <f>AQ56</f>
        <v>39</v>
      </c>
      <c r="AS56" s="40">
        <v>37</v>
      </c>
      <c r="AT56" s="40">
        <v>49</v>
      </c>
      <c r="AU56" s="40">
        <v>52</v>
      </c>
      <c r="AV56" s="40"/>
      <c r="AW56" s="40"/>
      <c r="AX56" s="40"/>
      <c r="AY56" s="40"/>
      <c r="AZ56" s="40"/>
      <c r="BA56" s="40"/>
      <c r="BB56" s="40"/>
      <c r="BC56" s="40">
        <v>203</v>
      </c>
      <c r="BD56" s="40">
        <v>206</v>
      </c>
      <c r="BE56" s="40"/>
      <c r="BF56" s="40"/>
      <c r="BG56" s="40">
        <v>388</v>
      </c>
      <c r="BH56" s="40">
        <v>375</v>
      </c>
      <c r="BI56" s="72">
        <v>361</v>
      </c>
      <c r="BJ56" s="72">
        <v>379</v>
      </c>
      <c r="BK56" s="72">
        <v>322</v>
      </c>
      <c r="BL56" s="72">
        <v>314</v>
      </c>
      <c r="BM56" s="72">
        <v>270</v>
      </c>
      <c r="BN56" s="40">
        <v>246</v>
      </c>
      <c r="BO56" s="72">
        <v>142</v>
      </c>
      <c r="BP56" s="40">
        <v>213</v>
      </c>
      <c r="BQ56" s="40">
        <v>191</v>
      </c>
      <c r="BR56" s="40">
        <v>168</v>
      </c>
      <c r="BS56" s="40">
        <v>107</v>
      </c>
      <c r="BT56" s="40">
        <v>103</v>
      </c>
      <c r="BU56" s="40">
        <v>72</v>
      </c>
      <c r="BV56" s="40">
        <v>35</v>
      </c>
      <c r="BW56" s="72">
        <v>47</v>
      </c>
      <c r="BX56" s="72">
        <v>52</v>
      </c>
      <c r="BY56" s="72">
        <v>56</v>
      </c>
      <c r="BZ56" s="72">
        <v>151</v>
      </c>
      <c r="CA56" s="72">
        <v>44</v>
      </c>
      <c r="CB56" s="72">
        <v>24</v>
      </c>
      <c r="CC56" s="72">
        <v>19</v>
      </c>
      <c r="CD56" s="72">
        <v>41</v>
      </c>
      <c r="CE56" s="72">
        <v>36</v>
      </c>
      <c r="CF56" s="72">
        <v>26</v>
      </c>
      <c r="CG56" s="72">
        <v>24</v>
      </c>
      <c r="CH56" s="72">
        <v>20</v>
      </c>
      <c r="CI56" s="72">
        <v>93</v>
      </c>
      <c r="CJ56" s="72">
        <v>75</v>
      </c>
      <c r="CK56" s="72">
        <v>93</v>
      </c>
      <c r="CL56" s="132">
        <v>79</v>
      </c>
      <c r="CM56" s="72">
        <v>68</v>
      </c>
      <c r="CN56" s="72">
        <v>53</v>
      </c>
      <c r="CO56" s="72">
        <v>53</v>
      </c>
      <c r="CP56" s="72">
        <v>57</v>
      </c>
      <c r="CQ56" s="72">
        <f>54+6</f>
        <v>60</v>
      </c>
      <c r="CR56" s="72">
        <v>49</v>
      </c>
      <c r="CS56" s="72">
        <v>54</v>
      </c>
      <c r="CT56" s="72">
        <f>-2+53</f>
        <v>51</v>
      </c>
      <c r="CU56" s="72">
        <v>39</v>
      </c>
      <c r="CV56" s="72">
        <f t="shared" ref="CV56:CX56" si="78">+CU56</f>
        <v>39</v>
      </c>
      <c r="CW56" s="72">
        <f t="shared" si="78"/>
        <v>39</v>
      </c>
      <c r="CX56" s="72">
        <f t="shared" si="78"/>
        <v>39</v>
      </c>
      <c r="CY56" s="72"/>
      <c r="CZ56" s="72"/>
      <c r="DA56" s="40"/>
      <c r="DB56" s="40"/>
      <c r="DC56" s="40"/>
      <c r="DD56" s="39"/>
      <c r="DE56" s="39"/>
      <c r="DF56" s="40">
        <v>63</v>
      </c>
      <c r="DG56" s="40">
        <v>76</v>
      </c>
      <c r="DH56" s="40">
        <v>88</v>
      </c>
      <c r="DI56" s="40">
        <f t="shared" ref="DI56:DI60" si="79">SUM(S56:V56)</f>
        <v>70</v>
      </c>
      <c r="DJ56" s="40">
        <f>SUM(W56:Z56)</f>
        <v>78</v>
      </c>
      <c r="DK56" s="40">
        <f t="shared" ref="DK56:DK60" si="80">SUM(AA56:AD56)</f>
        <v>84</v>
      </c>
      <c r="DL56" s="40">
        <f>DK56</f>
        <v>84</v>
      </c>
      <c r="DM56" s="40">
        <f>SUM(AI56:AL56)</f>
        <v>106</v>
      </c>
      <c r="DN56" s="40">
        <f>SUM(AM56:AP56)</f>
        <v>133</v>
      </c>
      <c r="DO56" s="40">
        <f>SUM(AQ56:AT56)</f>
        <v>164</v>
      </c>
      <c r="DP56" s="40">
        <f>SUM(AU56:AX56)</f>
        <v>52</v>
      </c>
      <c r="DQ56" s="40"/>
      <c r="DR56" s="40"/>
      <c r="DS56" s="40"/>
      <c r="DT56" s="69">
        <f t="shared" si="16"/>
        <v>1152</v>
      </c>
      <c r="DU56" s="69">
        <f t="shared" si="13"/>
        <v>714</v>
      </c>
      <c r="DV56" s="69">
        <f t="shared" si="47"/>
        <v>317</v>
      </c>
      <c r="DW56" s="69">
        <f t="shared" si="10"/>
        <v>306</v>
      </c>
      <c r="DX56" s="69">
        <f t="shared" si="11"/>
        <v>128</v>
      </c>
      <c r="DY56" s="69">
        <f t="shared" si="72"/>
        <v>106</v>
      </c>
      <c r="DZ56" s="69">
        <f t="shared" si="73"/>
        <v>340</v>
      </c>
      <c r="EA56" s="69">
        <f t="shared" si="74"/>
        <v>231</v>
      </c>
      <c r="EB56" s="69">
        <f t="shared" si="67"/>
        <v>214</v>
      </c>
      <c r="EC56" s="69">
        <f t="shared" ref="EC56:EM56" si="81">+EB56*0.9</f>
        <v>192.6</v>
      </c>
      <c r="ED56" s="69">
        <f t="shared" si="81"/>
        <v>173.34</v>
      </c>
      <c r="EE56" s="69">
        <f t="shared" si="81"/>
        <v>156.006</v>
      </c>
      <c r="EF56" s="69">
        <f t="shared" si="81"/>
        <v>140.40540000000001</v>
      </c>
      <c r="EG56" s="69">
        <f t="shared" si="81"/>
        <v>126.36486000000002</v>
      </c>
      <c r="EH56" s="69">
        <f t="shared" si="81"/>
        <v>113.72837400000002</v>
      </c>
      <c r="EI56" s="69">
        <f t="shared" si="81"/>
        <v>102.35553660000002</v>
      </c>
      <c r="EJ56" s="69">
        <f t="shared" si="81"/>
        <v>92.119982940000028</v>
      </c>
      <c r="EK56" s="69">
        <f t="shared" si="81"/>
        <v>82.907984646000031</v>
      </c>
      <c r="EL56" s="69">
        <f t="shared" si="81"/>
        <v>74.617186181400029</v>
      </c>
      <c r="EM56" s="69">
        <f t="shared" si="81"/>
        <v>67.155467563260032</v>
      </c>
    </row>
    <row r="57" spans="1:143" s="11" customFormat="1">
      <c r="A57" s="31"/>
      <c r="B57" s="98" t="s">
        <v>341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>
        <v>0</v>
      </c>
      <c r="AB57" s="40">
        <v>16</v>
      </c>
      <c r="AC57" s="40">
        <v>122</v>
      </c>
      <c r="AD57" s="40">
        <v>480</v>
      </c>
      <c r="AE57" s="40">
        <v>519</v>
      </c>
      <c r="AF57" s="40">
        <v>81</v>
      </c>
      <c r="AG57" s="40">
        <v>124</v>
      </c>
      <c r="AH57" s="40">
        <v>506</v>
      </c>
      <c r="AI57" s="40">
        <v>545</v>
      </c>
      <c r="AJ57" s="40">
        <v>54</v>
      </c>
      <c r="AK57" s="52">
        <v>82</v>
      </c>
      <c r="AL57" s="40">
        <v>401</v>
      </c>
      <c r="AM57" s="40">
        <v>459</v>
      </c>
      <c r="AN57" s="40">
        <v>43</v>
      </c>
      <c r="AO57" s="40">
        <v>139</v>
      </c>
      <c r="AP57" s="40">
        <v>397</v>
      </c>
      <c r="AQ57" s="67">
        <v>408</v>
      </c>
      <c r="AR57" s="40">
        <f>AN57</f>
        <v>43</v>
      </c>
      <c r="AS57" s="40">
        <v>108</v>
      </c>
      <c r="AT57" s="40">
        <v>411</v>
      </c>
      <c r="AU57" s="40">
        <v>384</v>
      </c>
      <c r="AV57" s="40"/>
      <c r="AW57" s="40"/>
      <c r="AX57" s="40"/>
      <c r="AY57" s="40">
        <v>404</v>
      </c>
      <c r="AZ57" s="40"/>
      <c r="BA57" s="40"/>
      <c r="BB57" s="40"/>
      <c r="BC57" s="40">
        <v>328</v>
      </c>
      <c r="BD57" s="40">
        <v>47</v>
      </c>
      <c r="BE57" s="40"/>
      <c r="BF57" s="40"/>
      <c r="BG57" s="40">
        <v>204</v>
      </c>
      <c r="BH57" s="40">
        <v>66</v>
      </c>
      <c r="BI57" s="72">
        <v>117</v>
      </c>
      <c r="BJ57" s="72">
        <v>275</v>
      </c>
      <c r="BK57" s="72">
        <v>244</v>
      </c>
      <c r="BL57" s="72">
        <v>27</v>
      </c>
      <c r="BM57" s="72">
        <v>104</v>
      </c>
      <c r="BN57" s="40">
        <v>302</v>
      </c>
      <c r="BO57" s="72">
        <v>230</v>
      </c>
      <c r="BP57" s="40">
        <v>70</v>
      </c>
      <c r="BQ57" s="40">
        <v>153</v>
      </c>
      <c r="BR57" s="40">
        <v>234</v>
      </c>
      <c r="BS57" s="40">
        <v>224</v>
      </c>
      <c r="BT57" s="40">
        <v>26</v>
      </c>
      <c r="BU57" s="40">
        <v>164</v>
      </c>
      <c r="BV57" s="40">
        <v>251</v>
      </c>
      <c r="BW57" s="72">
        <v>53</v>
      </c>
      <c r="BX57" s="72">
        <v>96</v>
      </c>
      <c r="BY57" s="72">
        <v>146</v>
      </c>
      <c r="BZ57" s="72">
        <v>63</v>
      </c>
      <c r="CA57" s="72">
        <v>85</v>
      </c>
      <c r="CB57" s="72">
        <v>90</v>
      </c>
      <c r="CC57" s="72">
        <v>118</v>
      </c>
      <c r="CD57" s="72">
        <v>78</v>
      </c>
      <c r="CE57" s="72">
        <v>24</v>
      </c>
      <c r="CF57" s="72">
        <v>24</v>
      </c>
      <c r="CG57" s="72">
        <v>122</v>
      </c>
      <c r="CH57" s="72">
        <v>239</v>
      </c>
      <c r="CI57" s="72">
        <v>200</v>
      </c>
      <c r="CJ57" s="72">
        <v>80</v>
      </c>
      <c r="CK57" s="72">
        <v>104</v>
      </c>
      <c r="CL57" s="72">
        <v>194</v>
      </c>
      <c r="CM57" s="72">
        <v>198</v>
      </c>
      <c r="CN57" s="72">
        <v>87</v>
      </c>
      <c r="CO57" s="72">
        <v>99</v>
      </c>
      <c r="CP57" s="72">
        <v>164</v>
      </c>
      <c r="CQ57" s="72">
        <v>171</v>
      </c>
      <c r="CR57" s="72">
        <v>81</v>
      </c>
      <c r="CS57" s="72">
        <v>93</v>
      </c>
      <c r="CT57" s="72">
        <v>101</v>
      </c>
      <c r="CU57" s="72">
        <v>112</v>
      </c>
      <c r="CV57" s="72">
        <f t="shared" ref="CV57" si="82">+CR57</f>
        <v>81</v>
      </c>
      <c r="CW57" s="72">
        <f t="shared" ref="CW57" si="83">+CS57</f>
        <v>93</v>
      </c>
      <c r="CX57" s="72">
        <f t="shared" ref="CX57" si="84">+CT57</f>
        <v>101</v>
      </c>
      <c r="CY57" s="72"/>
      <c r="CZ57" s="72"/>
      <c r="DA57" s="40"/>
      <c r="DB57" s="40"/>
      <c r="DC57" s="40"/>
      <c r="DD57" s="39"/>
      <c r="DE57" s="39"/>
      <c r="DF57" s="40"/>
      <c r="DG57" s="40"/>
      <c r="DH57" s="40"/>
      <c r="DI57" s="40"/>
      <c r="DJ57" s="40"/>
      <c r="DK57" s="40">
        <f>SUM(AA57:AD57)</f>
        <v>618</v>
      </c>
      <c r="DL57" s="40">
        <f>SUM(AE57:AH57)</f>
        <v>1230</v>
      </c>
      <c r="DM57" s="40">
        <f>SUM(AI57:AL57)</f>
        <v>1082</v>
      </c>
      <c r="DN57" s="40">
        <f>SUM(AM57:AP57)</f>
        <v>1038</v>
      </c>
      <c r="DO57" s="40">
        <f>SUM(AQ57:AT57)</f>
        <v>970</v>
      </c>
      <c r="DP57" s="40">
        <f>SUM(AU57:AX57)</f>
        <v>384</v>
      </c>
      <c r="DQ57" s="40"/>
      <c r="DR57" s="40"/>
      <c r="DS57" s="40"/>
      <c r="DT57" s="69">
        <f t="shared" si="16"/>
        <v>677</v>
      </c>
      <c r="DU57" s="69">
        <f t="shared" si="13"/>
        <v>687</v>
      </c>
      <c r="DV57" s="69">
        <f t="shared" si="47"/>
        <v>665</v>
      </c>
      <c r="DW57" s="69">
        <f t="shared" si="10"/>
        <v>358</v>
      </c>
      <c r="DX57" s="69">
        <f t="shared" si="11"/>
        <v>371</v>
      </c>
      <c r="DY57" s="69">
        <f t="shared" si="72"/>
        <v>409</v>
      </c>
      <c r="DZ57" s="69">
        <f t="shared" si="73"/>
        <v>578</v>
      </c>
      <c r="EA57" s="69">
        <f t="shared" si="74"/>
        <v>548</v>
      </c>
      <c r="EB57" s="69">
        <f t="shared" si="67"/>
        <v>446</v>
      </c>
      <c r="EC57" s="69">
        <f>+EB57*0.9</f>
        <v>401.40000000000003</v>
      </c>
      <c r="ED57" s="69">
        <f t="shared" ref="ED57:EM57" si="85">+EC57*0.9</f>
        <v>361.26000000000005</v>
      </c>
      <c r="EE57" s="69">
        <f t="shared" si="85"/>
        <v>325.13400000000007</v>
      </c>
      <c r="EF57" s="69">
        <f t="shared" si="85"/>
        <v>292.62060000000008</v>
      </c>
      <c r="EG57" s="69">
        <f t="shared" si="85"/>
        <v>263.35854000000006</v>
      </c>
      <c r="EH57" s="69">
        <f t="shared" si="85"/>
        <v>237.02268600000005</v>
      </c>
      <c r="EI57" s="69">
        <f t="shared" si="85"/>
        <v>213.32041740000005</v>
      </c>
      <c r="EJ57" s="69">
        <f t="shared" si="85"/>
        <v>191.98837566000006</v>
      </c>
      <c r="EK57" s="69">
        <f t="shared" si="85"/>
        <v>172.78953809400005</v>
      </c>
      <c r="EL57" s="69">
        <f t="shared" si="85"/>
        <v>155.51058428460004</v>
      </c>
      <c r="EM57" s="69">
        <f t="shared" si="85"/>
        <v>139.95952585614003</v>
      </c>
    </row>
    <row r="58" spans="1:143" s="11" customFormat="1">
      <c r="A58" s="31"/>
      <c r="B58" s="98" t="s">
        <v>38</v>
      </c>
      <c r="C58" s="40">
        <v>41</v>
      </c>
      <c r="D58" s="40">
        <v>40</v>
      </c>
      <c r="E58" s="40">
        <v>34</v>
      </c>
      <c r="F58" s="40">
        <v>40</v>
      </c>
      <c r="G58" s="40">
        <v>35</v>
      </c>
      <c r="H58" s="40">
        <v>37</v>
      </c>
      <c r="I58" s="40">
        <v>34</v>
      </c>
      <c r="J58" s="40">
        <v>38</v>
      </c>
      <c r="K58" s="40">
        <v>38</v>
      </c>
      <c r="L58" s="40">
        <v>36</v>
      </c>
      <c r="M58" s="40">
        <v>36</v>
      </c>
      <c r="N58" s="40">
        <v>43</v>
      </c>
      <c r="O58" s="40">
        <v>42</v>
      </c>
      <c r="P58" s="40">
        <v>41</v>
      </c>
      <c r="Q58" s="40">
        <v>35</v>
      </c>
      <c r="R58" s="40">
        <v>40</v>
      </c>
      <c r="S58" s="40">
        <v>42</v>
      </c>
      <c r="T58" s="40">
        <v>39</v>
      </c>
      <c r="U58" s="40">
        <v>34</v>
      </c>
      <c r="V58" s="40">
        <v>40</v>
      </c>
      <c r="W58" s="40">
        <v>35</v>
      </c>
      <c r="X58" s="40">
        <v>37</v>
      </c>
      <c r="Y58" s="40">
        <v>33</v>
      </c>
      <c r="Z58" s="40">
        <v>41</v>
      </c>
      <c r="AA58" s="40">
        <v>42</v>
      </c>
      <c r="AB58" s="40">
        <v>40</v>
      </c>
      <c r="AC58" s="40">
        <v>39</v>
      </c>
      <c r="AD58" s="40">
        <v>45</v>
      </c>
      <c r="AE58" s="40">
        <v>43</v>
      </c>
      <c r="AF58" s="40">
        <v>45</v>
      </c>
      <c r="AG58" s="40">
        <v>38</v>
      </c>
      <c r="AH58" s="40">
        <v>37</v>
      </c>
      <c r="AI58" s="40">
        <v>36</v>
      </c>
      <c r="AJ58" s="40">
        <v>31</v>
      </c>
      <c r="AK58" s="52">
        <v>31</v>
      </c>
      <c r="AL58" s="40">
        <v>37</v>
      </c>
      <c r="AM58" s="40">
        <v>69</v>
      </c>
      <c r="AN58" s="40">
        <v>64</v>
      </c>
      <c r="AO58" s="40">
        <v>61</v>
      </c>
      <c r="AP58" s="40">
        <v>60</v>
      </c>
      <c r="AQ58" s="67">
        <v>55</v>
      </c>
      <c r="AR58" s="40">
        <f>AQ58</f>
        <v>55</v>
      </c>
      <c r="AS58" s="40">
        <v>52</v>
      </c>
      <c r="AT58" s="40">
        <v>54</v>
      </c>
      <c r="AU58" s="40">
        <v>48</v>
      </c>
      <c r="AV58" s="40"/>
      <c r="AW58" s="40"/>
      <c r="AX58" s="40"/>
      <c r="AY58" s="40"/>
      <c r="AZ58" s="40"/>
      <c r="BA58" s="40"/>
      <c r="BB58" s="40"/>
      <c r="BC58" s="40">
        <v>80</v>
      </c>
      <c r="BD58" s="40">
        <v>75</v>
      </c>
      <c r="BE58" s="40"/>
      <c r="BF58" s="40"/>
      <c r="BG58" s="40">
        <v>82</v>
      </c>
      <c r="BH58" s="40">
        <f>91-BH49</f>
        <v>59</v>
      </c>
      <c r="BI58" s="72">
        <v>61</v>
      </c>
      <c r="BJ58" s="72">
        <v>65</v>
      </c>
      <c r="BK58" s="72">
        <v>65</v>
      </c>
      <c r="BL58" s="72">
        <v>79</v>
      </c>
      <c r="BM58" s="72">
        <v>86</v>
      </c>
      <c r="BN58" s="40">
        <v>86</v>
      </c>
      <c r="BO58" s="72">
        <v>67</v>
      </c>
      <c r="BP58" s="40">
        <v>66</v>
      </c>
      <c r="BQ58" s="40">
        <v>67</v>
      </c>
      <c r="BR58" s="40">
        <v>85</v>
      </c>
      <c r="BS58" s="40">
        <v>75</v>
      </c>
      <c r="BT58" s="40">
        <v>88</v>
      </c>
      <c r="BU58" s="40">
        <v>70</v>
      </c>
      <c r="BV58" s="40">
        <v>107</v>
      </c>
      <c r="BW58" s="72">
        <v>128</v>
      </c>
      <c r="BX58" s="72">
        <v>101</v>
      </c>
      <c r="BY58" s="72">
        <v>102</v>
      </c>
      <c r="BZ58" s="72">
        <v>135</v>
      </c>
      <c r="CA58" s="72">
        <v>113</v>
      </c>
      <c r="CB58" s="72">
        <v>70</v>
      </c>
      <c r="CC58" s="72">
        <v>90</v>
      </c>
      <c r="CD58" s="72">
        <v>125</v>
      </c>
      <c r="CE58" s="72">
        <v>160</v>
      </c>
      <c r="CF58" s="72">
        <v>130</v>
      </c>
      <c r="CG58" s="72">
        <v>153</v>
      </c>
      <c r="CH58" s="72">
        <v>150</v>
      </c>
      <c r="CI58" s="72">
        <v>146</v>
      </c>
      <c r="CJ58" s="72">
        <v>107</v>
      </c>
      <c r="CK58" s="72">
        <v>97</v>
      </c>
      <c r="CL58" s="72">
        <v>70</v>
      </c>
      <c r="CM58" s="72">
        <v>106</v>
      </c>
      <c r="CN58" s="72">
        <v>71</v>
      </c>
      <c r="CO58" s="72">
        <v>67</v>
      </c>
      <c r="CP58" s="72">
        <v>80</v>
      </c>
      <c r="CQ58" s="72">
        <v>98</v>
      </c>
      <c r="CR58" s="72">
        <v>83</v>
      </c>
      <c r="CS58" s="72">
        <v>78</v>
      </c>
      <c r="CT58" s="72">
        <v>166</v>
      </c>
      <c r="CU58" s="72">
        <v>104</v>
      </c>
      <c r="CV58" s="72">
        <f t="shared" ref="CV58:CX58" si="86">+CU58</f>
        <v>104</v>
      </c>
      <c r="CW58" s="72">
        <f t="shared" si="86"/>
        <v>104</v>
      </c>
      <c r="CX58" s="72">
        <f t="shared" si="86"/>
        <v>104</v>
      </c>
      <c r="CY58" s="72"/>
      <c r="CZ58" s="72"/>
      <c r="DA58" s="40"/>
      <c r="DB58" s="40"/>
      <c r="DC58" s="40"/>
      <c r="DD58" s="39"/>
      <c r="DE58" s="39"/>
      <c r="DF58" s="40">
        <v>144</v>
      </c>
      <c r="DG58" s="40">
        <v>153</v>
      </c>
      <c r="DH58" s="40">
        <v>158</v>
      </c>
      <c r="DI58" s="40">
        <f>SUM(S58:V58)</f>
        <v>155</v>
      </c>
      <c r="DJ58" s="40">
        <f>SUM(W58:Z58)</f>
        <v>146</v>
      </c>
      <c r="DK58" s="40">
        <f>SUM(AA58:AD58)</f>
        <v>166</v>
      </c>
      <c r="DL58" s="40">
        <f>DK58</f>
        <v>166</v>
      </c>
      <c r="DM58" s="40">
        <f>SUM(AI58:AL58)</f>
        <v>135</v>
      </c>
      <c r="DN58" s="40">
        <f>SUM(AM58:AP58)</f>
        <v>254</v>
      </c>
      <c r="DO58" s="40">
        <f>SUM(AQ58:AT58)</f>
        <v>216</v>
      </c>
      <c r="DP58" s="40">
        <f>SUM(AU58:AX58)</f>
        <v>48</v>
      </c>
      <c r="DQ58" s="40"/>
      <c r="DR58" s="40"/>
      <c r="DS58" s="40"/>
      <c r="DT58" s="69">
        <f t="shared" si="16"/>
        <v>316</v>
      </c>
      <c r="DU58" s="69">
        <f t="shared" si="13"/>
        <v>285</v>
      </c>
      <c r="DV58" s="69">
        <f t="shared" si="47"/>
        <v>340</v>
      </c>
      <c r="DW58" s="69">
        <f t="shared" si="10"/>
        <v>466</v>
      </c>
      <c r="DX58" s="69">
        <f t="shared" si="11"/>
        <v>398</v>
      </c>
      <c r="DY58" s="69">
        <f t="shared" si="72"/>
        <v>593</v>
      </c>
      <c r="DZ58" s="69">
        <f t="shared" si="73"/>
        <v>420</v>
      </c>
      <c r="EA58" s="69">
        <f t="shared" si="74"/>
        <v>324</v>
      </c>
      <c r="EB58" s="69">
        <f t="shared" si="67"/>
        <v>425</v>
      </c>
      <c r="EC58" s="69">
        <f t="shared" ref="EC58:EM58" si="87">+EB58*0.9</f>
        <v>382.5</v>
      </c>
      <c r="ED58" s="69">
        <f t="shared" si="87"/>
        <v>344.25</v>
      </c>
      <c r="EE58" s="69">
        <f t="shared" si="87"/>
        <v>309.82499999999999</v>
      </c>
      <c r="EF58" s="69">
        <f t="shared" si="87"/>
        <v>278.84249999999997</v>
      </c>
      <c r="EG58" s="69">
        <f t="shared" si="87"/>
        <v>250.95824999999999</v>
      </c>
      <c r="EH58" s="69">
        <f t="shared" si="87"/>
        <v>225.862425</v>
      </c>
      <c r="EI58" s="69">
        <f t="shared" si="87"/>
        <v>203.2761825</v>
      </c>
      <c r="EJ58" s="69">
        <f t="shared" si="87"/>
        <v>182.94856425</v>
      </c>
      <c r="EK58" s="69">
        <f t="shared" si="87"/>
        <v>164.653707825</v>
      </c>
      <c r="EL58" s="69">
        <f t="shared" si="87"/>
        <v>148.1883370425</v>
      </c>
      <c r="EM58" s="69">
        <f t="shared" si="87"/>
        <v>133.36950333825001</v>
      </c>
    </row>
    <row r="59" spans="1:143" s="11" customFormat="1">
      <c r="A59" s="31"/>
      <c r="B59" s="98" t="s">
        <v>527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52"/>
      <c r="AL59" s="40"/>
      <c r="AM59" s="40"/>
      <c r="AN59" s="40"/>
      <c r="AO59" s="40"/>
      <c r="AP59" s="40"/>
      <c r="AQ59" s="67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72"/>
      <c r="BP59" s="40"/>
      <c r="BQ59" s="40"/>
      <c r="BR59" s="40"/>
      <c r="BS59" s="40"/>
      <c r="BT59" s="40"/>
      <c r="BU59" s="40"/>
      <c r="BV59" s="40"/>
      <c r="BW59" s="72"/>
      <c r="BX59" s="72"/>
      <c r="BY59" s="72"/>
      <c r="BZ59" s="72">
        <v>414</v>
      </c>
      <c r="CA59" s="72">
        <v>43</v>
      </c>
      <c r="CB59" s="72">
        <v>227</v>
      </c>
      <c r="CC59" s="72">
        <v>58</v>
      </c>
      <c r="CD59" s="72">
        <v>399</v>
      </c>
      <c r="CE59" s="72">
        <v>63</v>
      </c>
      <c r="CF59" s="72">
        <v>175</v>
      </c>
      <c r="CG59" s="72">
        <v>125</v>
      </c>
      <c r="CH59" s="72">
        <v>513</v>
      </c>
      <c r="CI59" s="72">
        <v>410</v>
      </c>
      <c r="CJ59" s="72">
        <v>141</v>
      </c>
      <c r="CK59" s="72">
        <v>392</v>
      </c>
      <c r="CL59" s="72">
        <v>409</v>
      </c>
      <c r="CM59" s="72">
        <f>27+286</f>
        <v>313</v>
      </c>
      <c r="CN59" s="72">
        <f>341+193</f>
        <v>534</v>
      </c>
      <c r="CO59" s="72">
        <f>377+97</f>
        <v>474</v>
      </c>
      <c r="CP59" s="72">
        <f>277+424</f>
        <v>701</v>
      </c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40"/>
      <c r="DB59" s="40"/>
      <c r="DC59" s="40"/>
      <c r="DD59" s="39"/>
      <c r="DE59" s="39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69">
        <f t="shared" si="16"/>
        <v>0</v>
      </c>
      <c r="DU59" s="69">
        <f t="shared" si="13"/>
        <v>0</v>
      </c>
      <c r="DV59" s="69">
        <f t="shared" si="47"/>
        <v>0</v>
      </c>
      <c r="DW59" s="69">
        <f t="shared" si="10"/>
        <v>414</v>
      </c>
      <c r="DX59" s="69">
        <f t="shared" si="11"/>
        <v>727</v>
      </c>
      <c r="DY59" s="69">
        <f t="shared" si="72"/>
        <v>876</v>
      </c>
      <c r="DZ59" s="69">
        <f t="shared" si="73"/>
        <v>1352</v>
      </c>
      <c r="EA59" s="69">
        <f t="shared" si="74"/>
        <v>2022</v>
      </c>
      <c r="EB59" s="69"/>
      <c r="EC59" s="40"/>
    </row>
    <row r="60" spans="1:143" s="11" customFormat="1">
      <c r="A60" s="31"/>
      <c r="B60" s="98" t="s">
        <v>292</v>
      </c>
      <c r="C60" s="40">
        <v>1467</v>
      </c>
      <c r="D60" s="40">
        <v>1345</v>
      </c>
      <c r="E60" s="40">
        <v>1394</v>
      </c>
      <c r="F60" s="40">
        <v>1372</v>
      </c>
      <c r="G60" s="40">
        <v>1192</v>
      </c>
      <c r="H60" s="40">
        <v>1116</v>
      </c>
      <c r="I60" s="40">
        <v>1200</v>
      </c>
      <c r="J60" s="40">
        <v>1115</v>
      </c>
      <c r="K60" s="40">
        <v>692</v>
      </c>
      <c r="L60" s="40">
        <v>742</v>
      </c>
      <c r="M60" s="40">
        <v>631</v>
      </c>
      <c r="N60" s="40">
        <v>500</v>
      </c>
      <c r="O60" s="40">
        <v>540</v>
      </c>
      <c r="P60" s="40">
        <v>531</v>
      </c>
      <c r="Q60" s="40">
        <v>430</v>
      </c>
      <c r="R60" s="40">
        <v>446</v>
      </c>
      <c r="S60" s="40">
        <v>427</v>
      </c>
      <c r="T60" s="40">
        <v>438</v>
      </c>
      <c r="U60" s="40">
        <v>376</v>
      </c>
      <c r="V60" s="40">
        <v>411</v>
      </c>
      <c r="W60" s="40">
        <f>700-X60</f>
        <v>344</v>
      </c>
      <c r="X60" s="40">
        <v>356</v>
      </c>
      <c r="Y60" s="40">
        <v>324</v>
      </c>
      <c r="Z60" s="40">
        <v>347</v>
      </c>
      <c r="AA60" s="40">
        <f>577-AB60</f>
        <v>279</v>
      </c>
      <c r="AB60" s="40">
        <v>298</v>
      </c>
      <c r="AC60" s="40">
        <v>268</v>
      </c>
      <c r="AD60" s="40">
        <v>298</v>
      </c>
      <c r="AE60" s="40">
        <v>252</v>
      </c>
      <c r="AF60" s="40">
        <v>290</v>
      </c>
      <c r="AG60" s="40">
        <v>249</v>
      </c>
      <c r="AH60" s="40">
        <v>264</v>
      </c>
      <c r="AI60" s="40">
        <v>211</v>
      </c>
      <c r="AJ60" s="40">
        <v>245</v>
      </c>
      <c r="AK60" s="52">
        <v>240</v>
      </c>
      <c r="AL60" s="40">
        <v>250</v>
      </c>
      <c r="AM60" s="40">
        <f>18+67+99+65</f>
        <v>249</v>
      </c>
      <c r="AN60" s="40">
        <v>261</v>
      </c>
      <c r="AO60" s="40">
        <v>233</v>
      </c>
      <c r="AP60" s="40">
        <v>243</v>
      </c>
      <c r="AQ60" s="67">
        <v>235</v>
      </c>
      <c r="AR60" s="40">
        <f t="shared" ref="AR60" si="88">AQ60-5</f>
        <v>230</v>
      </c>
      <c r="AS60" s="40">
        <v>224</v>
      </c>
      <c r="AT60" s="40">
        <v>248</v>
      </c>
      <c r="AU60" s="40">
        <v>170</v>
      </c>
      <c r="AV60" s="40"/>
      <c r="AW60" s="40"/>
      <c r="AX60" s="40"/>
      <c r="AY60" s="40">
        <v>125</v>
      </c>
      <c r="AZ60" s="40"/>
      <c r="BA60" s="40"/>
      <c r="BB60" s="40"/>
      <c r="BC60" s="40">
        <v>110</v>
      </c>
      <c r="BD60" s="40">
        <v>105</v>
      </c>
      <c r="BE60" s="40"/>
      <c r="BF60" s="40"/>
      <c r="BG60" s="40">
        <v>96</v>
      </c>
      <c r="BH60" s="40">
        <v>85</v>
      </c>
      <c r="BI60" s="72">
        <v>82</v>
      </c>
      <c r="BJ60" s="72">
        <v>77</v>
      </c>
      <c r="BK60" s="72">
        <v>75</v>
      </c>
      <c r="BL60" s="72">
        <v>70</v>
      </c>
      <c r="BM60" s="72">
        <v>72</v>
      </c>
      <c r="BN60" s="40">
        <v>59</v>
      </c>
      <c r="BO60" s="72">
        <v>68</v>
      </c>
      <c r="BP60" s="40">
        <v>68</v>
      </c>
      <c r="BQ60" s="40">
        <v>66</v>
      </c>
      <c r="BR60" s="40">
        <v>69</v>
      </c>
      <c r="BS60" s="40">
        <v>69</v>
      </c>
      <c r="BT60" s="40">
        <v>76</v>
      </c>
      <c r="BU60" s="40">
        <v>67</v>
      </c>
      <c r="BV60" s="40">
        <v>60</v>
      </c>
      <c r="BW60" s="72">
        <v>76</v>
      </c>
      <c r="BX60" s="72">
        <v>68</v>
      </c>
      <c r="BY60" s="72">
        <v>73</v>
      </c>
      <c r="BZ60" s="72">
        <v>46</v>
      </c>
      <c r="CA60" s="72">
        <v>54</v>
      </c>
      <c r="CB60" s="72">
        <v>45</v>
      </c>
      <c r="CC60" s="72">
        <v>45</v>
      </c>
      <c r="CD60" s="72">
        <v>39</v>
      </c>
      <c r="CE60" s="72">
        <v>54</v>
      </c>
      <c r="CF60" s="72">
        <v>46</v>
      </c>
      <c r="CG60" s="72">
        <v>38</v>
      </c>
      <c r="CH60" s="72">
        <v>41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40"/>
      <c r="DB60" s="40"/>
      <c r="DC60" s="40"/>
      <c r="DD60" s="39"/>
      <c r="DE60" s="39"/>
      <c r="DF60" s="40">
        <v>4623</v>
      </c>
      <c r="DG60" s="40">
        <v>2565</v>
      </c>
      <c r="DH60" s="40">
        <v>1947</v>
      </c>
      <c r="DI60" s="40">
        <f t="shared" si="79"/>
        <v>1652</v>
      </c>
      <c r="DJ60" s="40">
        <f t="shared" ref="DJ60:DJ72" si="89">SUM(W60:Z60)</f>
        <v>1371</v>
      </c>
      <c r="DK60" s="40">
        <f t="shared" si="80"/>
        <v>1143</v>
      </c>
      <c r="DL60" s="40">
        <f>SUM(AE60:AH60)</f>
        <v>1055</v>
      </c>
      <c r="DM60" s="40">
        <f>SUM(AI60:AL60)</f>
        <v>946</v>
      </c>
      <c r="DN60" s="40">
        <f t="shared" ref="DN60:DN77" si="90">SUM(AM60:AP60)</f>
        <v>986</v>
      </c>
      <c r="DO60" s="40">
        <f t="shared" ref="DO60:DO78" si="91">SUM(AQ60:AT60)</f>
        <v>937</v>
      </c>
      <c r="DP60" s="40">
        <f t="shared" ref="DP60:DP70" si="92">SUM(AU60:AX60)</f>
        <v>170</v>
      </c>
      <c r="DQ60" s="40"/>
      <c r="DR60" s="40"/>
      <c r="DS60" s="40"/>
      <c r="DT60" s="69">
        <f t="shared" si="16"/>
        <v>276</v>
      </c>
      <c r="DU60" s="69">
        <f t="shared" si="13"/>
        <v>271</v>
      </c>
      <c r="DV60" s="69">
        <f t="shared" si="47"/>
        <v>272</v>
      </c>
      <c r="DW60" s="69">
        <f t="shared" si="10"/>
        <v>263</v>
      </c>
      <c r="DX60" s="69">
        <f t="shared" si="11"/>
        <v>183</v>
      </c>
      <c r="DY60" s="69">
        <f t="shared" si="72"/>
        <v>179</v>
      </c>
      <c r="DZ60" s="69">
        <f t="shared" si="73"/>
        <v>0</v>
      </c>
      <c r="EA60" s="69">
        <f t="shared" si="74"/>
        <v>0</v>
      </c>
      <c r="EB60" s="69"/>
      <c r="EC60" s="40"/>
    </row>
    <row r="61" spans="1:143" s="11" customFormat="1">
      <c r="A61" s="31"/>
      <c r="B61" s="98" t="s">
        <v>458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52"/>
      <c r="AL61" s="40"/>
      <c r="AM61" s="40"/>
      <c r="AN61" s="40"/>
      <c r="AO61" s="40"/>
      <c r="AP61" s="40"/>
      <c r="AQ61" s="67"/>
      <c r="AR61" s="40"/>
      <c r="AS61" s="40"/>
      <c r="AT61" s="40"/>
      <c r="AU61" s="40"/>
      <c r="AV61" s="40"/>
      <c r="AW61" s="40"/>
      <c r="AX61" s="40"/>
      <c r="AY61" s="40">
        <v>42</v>
      </c>
      <c r="AZ61" s="40">
        <v>53</v>
      </c>
      <c r="BA61" s="40"/>
      <c r="BB61" s="40"/>
      <c r="BC61" s="40">
        <v>78</v>
      </c>
      <c r="BD61" s="40">
        <v>88</v>
      </c>
      <c r="BE61" s="40"/>
      <c r="BF61" s="40"/>
      <c r="BG61" s="40">
        <v>90</v>
      </c>
      <c r="BH61" s="40">
        <v>82</v>
      </c>
      <c r="BI61" s="72">
        <v>72</v>
      </c>
      <c r="BJ61" s="72">
        <v>72</v>
      </c>
      <c r="BK61" s="72">
        <v>62</v>
      </c>
      <c r="BL61" s="72">
        <v>76</v>
      </c>
      <c r="BM61" s="72">
        <v>61</v>
      </c>
      <c r="BN61" s="40">
        <v>55</v>
      </c>
      <c r="BO61" s="72">
        <v>46</v>
      </c>
      <c r="BP61" s="40">
        <v>43</v>
      </c>
      <c r="BQ61" s="40">
        <v>39</v>
      </c>
      <c r="BR61" s="40">
        <v>48</v>
      </c>
      <c r="BS61" s="40">
        <v>31</v>
      </c>
      <c r="BT61" s="40">
        <v>29</v>
      </c>
      <c r="BU61" s="40">
        <v>34</v>
      </c>
      <c r="BV61" s="40">
        <v>32</v>
      </c>
      <c r="BW61" s="72">
        <v>30</v>
      </c>
      <c r="BX61" s="72">
        <v>25</v>
      </c>
      <c r="BY61" s="72">
        <v>28</v>
      </c>
      <c r="BZ61" s="72">
        <v>27</v>
      </c>
      <c r="CA61" s="72">
        <v>20</v>
      </c>
      <c r="CB61" s="72">
        <v>15</v>
      </c>
      <c r="CC61" s="72">
        <v>15</v>
      </c>
      <c r="CD61" s="72">
        <v>19</v>
      </c>
      <c r="CE61" s="72">
        <v>16</v>
      </c>
      <c r="CF61" s="72">
        <v>16</v>
      </c>
      <c r="CG61" s="72">
        <v>13</v>
      </c>
      <c r="CH61" s="72">
        <v>10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40"/>
      <c r="DB61" s="40"/>
      <c r="DC61" s="40"/>
      <c r="DD61" s="39"/>
      <c r="DE61" s="39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>
        <v>400</v>
      </c>
      <c r="DQ61" s="40"/>
      <c r="DR61" s="40"/>
      <c r="DS61" s="40"/>
      <c r="DT61" s="69">
        <f t="shared" si="16"/>
        <v>254</v>
      </c>
      <c r="DU61" s="69">
        <f t="shared" si="13"/>
        <v>176</v>
      </c>
      <c r="DV61" s="69">
        <f t="shared" si="47"/>
        <v>126</v>
      </c>
      <c r="DW61" s="69">
        <f t="shared" si="10"/>
        <v>110</v>
      </c>
      <c r="DX61" s="69">
        <f t="shared" si="11"/>
        <v>69</v>
      </c>
      <c r="DY61" s="69">
        <f t="shared" si="72"/>
        <v>55</v>
      </c>
      <c r="DZ61" s="69">
        <f t="shared" si="73"/>
        <v>0</v>
      </c>
      <c r="EA61" s="69">
        <f t="shared" si="74"/>
        <v>0</v>
      </c>
      <c r="EB61" s="69"/>
      <c r="EC61" s="40"/>
    </row>
    <row r="62" spans="1:143" s="11" customFormat="1">
      <c r="A62" s="31"/>
      <c r="B62" s="98" t="s">
        <v>426</v>
      </c>
      <c r="C62" s="40">
        <v>82</v>
      </c>
      <c r="D62" s="40">
        <v>112</v>
      </c>
      <c r="E62" s="40">
        <v>92</v>
      </c>
      <c r="F62" s="40">
        <v>124</v>
      </c>
      <c r="G62" s="40">
        <v>149</v>
      </c>
      <c r="H62" s="40">
        <v>129</v>
      </c>
      <c r="I62" s="40">
        <v>131</v>
      </c>
      <c r="J62" s="40">
        <v>160</v>
      </c>
      <c r="K62" s="40">
        <v>206</v>
      </c>
      <c r="L62" s="40">
        <v>152</v>
      </c>
      <c r="M62" s="40">
        <v>185</v>
      </c>
      <c r="N62" s="40">
        <v>207</v>
      </c>
      <c r="O62" s="40">
        <v>209</v>
      </c>
      <c r="P62" s="40">
        <v>216</v>
      </c>
      <c r="Q62" s="40">
        <v>214</v>
      </c>
      <c r="R62" s="40">
        <v>240</v>
      </c>
      <c r="S62" s="40">
        <v>235</v>
      </c>
      <c r="T62" s="40">
        <v>254</v>
      </c>
      <c r="U62" s="40">
        <v>238</v>
      </c>
      <c r="V62" s="40">
        <v>247</v>
      </c>
      <c r="W62" s="40">
        <f>530-X62</f>
        <v>254</v>
      </c>
      <c r="X62" s="40">
        <v>276</v>
      </c>
      <c r="Y62" s="40">
        <v>279</v>
      </c>
      <c r="Z62" s="40">
        <v>301</v>
      </c>
      <c r="AA62" s="40">
        <f>614-AB62</f>
        <v>296</v>
      </c>
      <c r="AB62" s="40">
        <v>318</v>
      </c>
      <c r="AC62" s="40">
        <v>320</v>
      </c>
      <c r="AD62" s="40">
        <v>353</v>
      </c>
      <c r="AE62" s="40">
        <v>346</v>
      </c>
      <c r="AF62" s="40">
        <v>388</v>
      </c>
      <c r="AG62" s="40">
        <v>386</v>
      </c>
      <c r="AH62" s="40">
        <v>351</v>
      </c>
      <c r="AI62" s="40">
        <v>323</v>
      </c>
      <c r="AJ62" s="40">
        <v>356</v>
      </c>
      <c r="AK62" s="52">
        <v>370</v>
      </c>
      <c r="AL62" s="40">
        <v>387</v>
      </c>
      <c r="AM62" s="40">
        <f>56+195+53+69</f>
        <v>373</v>
      </c>
      <c r="AN62" s="40">
        <v>376</v>
      </c>
      <c r="AO62" s="40">
        <v>359</v>
      </c>
      <c r="AP62" s="40">
        <v>375</v>
      </c>
      <c r="AQ62" s="67">
        <v>355</v>
      </c>
      <c r="AR62" s="40">
        <f>AQ62-5</f>
        <v>350</v>
      </c>
      <c r="AS62" s="40">
        <v>364</v>
      </c>
      <c r="AT62" s="40">
        <v>346</v>
      </c>
      <c r="AU62" s="40">
        <v>317</v>
      </c>
      <c r="AV62" s="40"/>
      <c r="AW62" s="40"/>
      <c r="AX62" s="40"/>
      <c r="AY62" s="40">
        <v>168</v>
      </c>
      <c r="AZ62" s="40">
        <v>166</v>
      </c>
      <c r="BA62" s="40"/>
      <c r="BB62" s="40"/>
      <c r="BC62" s="40">
        <v>122</v>
      </c>
      <c r="BD62" s="40">
        <v>139</v>
      </c>
      <c r="BE62" s="40"/>
      <c r="BF62" s="40"/>
      <c r="BG62" s="40">
        <v>95</v>
      </c>
      <c r="BH62" s="40">
        <v>99</v>
      </c>
      <c r="BI62" s="72">
        <v>78</v>
      </c>
      <c r="BJ62" s="72">
        <v>86</v>
      </c>
      <c r="BK62" s="72">
        <v>71</v>
      </c>
      <c r="BL62" s="72">
        <v>89</v>
      </c>
      <c r="BM62" s="72">
        <v>74</v>
      </c>
      <c r="BN62" s="40">
        <v>81</v>
      </c>
      <c r="BO62" s="72">
        <v>75</v>
      </c>
      <c r="BP62" s="40">
        <v>72</v>
      </c>
      <c r="BQ62" s="40">
        <v>80</v>
      </c>
      <c r="BR62" s="40">
        <v>73</v>
      </c>
      <c r="BS62" s="40">
        <v>71</v>
      </c>
      <c r="BT62" s="40">
        <v>66</v>
      </c>
      <c r="BU62" s="40">
        <v>65</v>
      </c>
      <c r="BV62" s="40">
        <v>58</v>
      </c>
      <c r="BW62" s="72">
        <v>50</v>
      </c>
      <c r="BX62" s="72">
        <v>56</v>
      </c>
      <c r="BY62" s="72">
        <v>55</v>
      </c>
      <c r="BZ62" s="72">
        <v>60</v>
      </c>
      <c r="CA62" s="72">
        <v>66</v>
      </c>
      <c r="CB62" s="72">
        <v>59</v>
      </c>
      <c r="CC62" s="72">
        <v>54</v>
      </c>
      <c r="CD62" s="72">
        <v>63</v>
      </c>
      <c r="CE62" s="72">
        <v>34</v>
      </c>
      <c r="CF62" s="72">
        <v>23</v>
      </c>
      <c r="CG62" s="72">
        <v>19</v>
      </c>
      <c r="CH62" s="72">
        <v>21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40"/>
      <c r="DB62" s="40"/>
      <c r="DC62" s="40"/>
      <c r="DD62" s="39"/>
      <c r="DE62" s="39"/>
      <c r="DF62" s="40">
        <v>569</v>
      </c>
      <c r="DG62" s="40">
        <v>750</v>
      </c>
      <c r="DH62" s="40">
        <v>879</v>
      </c>
      <c r="DI62" s="40">
        <f>SUM(S62:V62)</f>
        <v>974</v>
      </c>
      <c r="DJ62" s="40">
        <f>SUM(W62:Z62)</f>
        <v>1110</v>
      </c>
      <c r="DK62" s="40">
        <f>SUM(AA62:AD62)</f>
        <v>1287</v>
      </c>
      <c r="DL62" s="40">
        <f>SUM(AE62:AH62)</f>
        <v>1471</v>
      </c>
      <c r="DM62" s="40">
        <f>SUM(AI62:AL62)</f>
        <v>1436</v>
      </c>
      <c r="DN62" s="40">
        <f>SUM(AM62:AP62)</f>
        <v>1483</v>
      </c>
      <c r="DO62" s="40">
        <f>SUM(AQ62:AT62)</f>
        <v>1415</v>
      </c>
      <c r="DP62" s="40">
        <f>SUM(AU62:AX62)</f>
        <v>317</v>
      </c>
      <c r="DQ62" s="40"/>
      <c r="DR62" s="40"/>
      <c r="DS62" s="40"/>
      <c r="DT62" s="69">
        <f t="shared" si="16"/>
        <v>315</v>
      </c>
      <c r="DU62" s="69">
        <f t="shared" si="13"/>
        <v>300</v>
      </c>
      <c r="DV62" s="69">
        <f t="shared" si="47"/>
        <v>260</v>
      </c>
      <c r="DW62" s="69">
        <f t="shared" si="10"/>
        <v>221</v>
      </c>
      <c r="DX62" s="69">
        <f t="shared" si="11"/>
        <v>242</v>
      </c>
      <c r="DY62" s="69">
        <f t="shared" si="72"/>
        <v>97</v>
      </c>
      <c r="DZ62" s="69">
        <f t="shared" si="73"/>
        <v>0</v>
      </c>
      <c r="EA62" s="69">
        <f t="shared" si="74"/>
        <v>0</v>
      </c>
      <c r="EB62" s="69"/>
      <c r="EC62" s="40"/>
    </row>
    <row r="63" spans="1:143" s="11" customFormat="1">
      <c r="A63" s="31"/>
      <c r="B63" s="98" t="s">
        <v>438</v>
      </c>
      <c r="C63" s="40">
        <v>185</v>
      </c>
      <c r="D63" s="40">
        <v>165</v>
      </c>
      <c r="E63" s="40">
        <v>165</v>
      </c>
      <c r="F63" s="40">
        <v>170</v>
      </c>
      <c r="G63" s="40">
        <v>329</v>
      </c>
      <c r="H63" s="40">
        <v>263</v>
      </c>
      <c r="I63" s="40">
        <v>196</v>
      </c>
      <c r="J63" s="40">
        <v>357</v>
      </c>
      <c r="K63" s="40">
        <v>444</v>
      </c>
      <c r="L63" s="40">
        <v>270</v>
      </c>
      <c r="M63" s="40">
        <v>345</v>
      </c>
      <c r="N63" s="40">
        <v>428</v>
      </c>
      <c r="O63" s="40">
        <v>448</v>
      </c>
      <c r="P63" s="40">
        <v>488</v>
      </c>
      <c r="Q63" s="40">
        <v>529</v>
      </c>
      <c r="R63" s="40">
        <v>562</v>
      </c>
      <c r="S63" s="40">
        <v>633</v>
      </c>
      <c r="T63" s="40">
        <v>667</v>
      </c>
      <c r="U63" s="40">
        <v>706</v>
      </c>
      <c r="V63" s="40">
        <v>755</v>
      </c>
      <c r="W63" s="40">
        <v>807</v>
      </c>
      <c r="X63" s="40">
        <v>849</v>
      </c>
      <c r="Y63" s="40">
        <v>848</v>
      </c>
      <c r="Z63" s="40">
        <v>912</v>
      </c>
      <c r="AA63" s="40">
        <v>923</v>
      </c>
      <c r="AB63" s="40">
        <v>963</v>
      </c>
      <c r="AC63" s="40">
        <v>1055</v>
      </c>
      <c r="AD63" s="40">
        <v>1086</v>
      </c>
      <c r="AE63" s="40">
        <v>1050</v>
      </c>
      <c r="AF63" s="40">
        <v>1112</v>
      </c>
      <c r="AG63" s="40">
        <v>1130</v>
      </c>
      <c r="AH63" s="40">
        <v>1160</v>
      </c>
      <c r="AI63" s="40">
        <v>1125</v>
      </c>
      <c r="AJ63" s="40">
        <v>1249</v>
      </c>
      <c r="AK63" s="52">
        <v>1231</v>
      </c>
      <c r="AL63" s="40">
        <v>1261</v>
      </c>
      <c r="AM63" s="40">
        <v>1307</v>
      </c>
      <c r="AN63" s="40">
        <f>1049+303</f>
        <v>1352</v>
      </c>
      <c r="AO63" s="40">
        <f>1024+279</f>
        <v>1303</v>
      </c>
      <c r="AP63" s="40">
        <f>1024+316</f>
        <v>1340</v>
      </c>
      <c r="AQ63" s="67">
        <v>1345</v>
      </c>
      <c r="AR63" s="40">
        <f>+AN63*1.03</f>
        <v>1392.56</v>
      </c>
      <c r="AS63" s="40">
        <f>1034+366</f>
        <v>1400</v>
      </c>
      <c r="AT63" s="40">
        <f>1148+398</f>
        <v>1546</v>
      </c>
      <c r="AU63" s="40">
        <f>384+754</f>
        <v>1138</v>
      </c>
      <c r="AV63" s="40"/>
      <c r="AW63" s="40"/>
      <c r="AX63" s="40"/>
      <c r="AY63" s="40">
        <f>322+127</f>
        <v>449</v>
      </c>
      <c r="AZ63" s="40">
        <f>99+339</f>
        <v>438</v>
      </c>
      <c r="BA63" s="40"/>
      <c r="BB63" s="40"/>
      <c r="BC63" s="40">
        <f>66+292</f>
        <v>358</v>
      </c>
      <c r="BD63" s="40">
        <f>304+89</f>
        <v>393</v>
      </c>
      <c r="BE63" s="40"/>
      <c r="BF63" s="40"/>
      <c r="BG63" s="40">
        <v>262</v>
      </c>
      <c r="BH63" s="40">
        <v>264</v>
      </c>
      <c r="BI63" s="72">
        <v>258</v>
      </c>
      <c r="BJ63" s="72">
        <v>241</v>
      </c>
      <c r="BK63" s="72">
        <v>202</v>
      </c>
      <c r="BL63" s="72">
        <v>225</v>
      </c>
      <c r="BM63" s="72">
        <v>190</v>
      </c>
      <c r="BN63" s="40">
        <v>118</v>
      </c>
      <c r="BO63" s="72">
        <v>67</v>
      </c>
      <c r="BP63" s="40">
        <v>95</v>
      </c>
      <c r="BQ63" s="40">
        <v>62</v>
      </c>
      <c r="BR63" s="40">
        <v>108</v>
      </c>
      <c r="BS63" s="40">
        <v>53</v>
      </c>
      <c r="BT63" s="40">
        <v>76</v>
      </c>
      <c r="BU63" s="40">
        <v>40</v>
      </c>
      <c r="BV63" s="40">
        <v>56</v>
      </c>
      <c r="BW63" s="72">
        <v>37</v>
      </c>
      <c r="BX63" s="72">
        <v>32</v>
      </c>
      <c r="BY63" s="72">
        <v>82</v>
      </c>
      <c r="BZ63" s="72">
        <v>40</v>
      </c>
      <c r="CA63" s="72">
        <v>36</v>
      </c>
      <c r="CB63" s="72">
        <v>27</v>
      </c>
      <c r="CC63" s="72">
        <v>35</v>
      </c>
      <c r="CD63" s="72">
        <v>19</v>
      </c>
      <c r="CE63" s="72">
        <v>29</v>
      </c>
      <c r="CF63" s="72">
        <v>21</v>
      </c>
      <c r="CG63" s="72">
        <v>24</v>
      </c>
      <c r="CH63" s="72">
        <v>19</v>
      </c>
      <c r="CI63" s="72">
        <v>0</v>
      </c>
      <c r="CJ63" s="72">
        <v>0</v>
      </c>
      <c r="CK63" s="72">
        <v>0</v>
      </c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40"/>
      <c r="DB63" s="40"/>
      <c r="DC63" s="40"/>
      <c r="DD63" s="39"/>
      <c r="DE63" s="39"/>
      <c r="DF63" s="40">
        <v>1145</v>
      </c>
      <c r="DG63" s="40">
        <v>1487</v>
      </c>
      <c r="DH63" s="40">
        <v>2027</v>
      </c>
      <c r="DI63" s="40">
        <f>SUM(S63:V63)</f>
        <v>2761</v>
      </c>
      <c r="DJ63" s="40">
        <f>SUM(W63:Z63)</f>
        <v>3416</v>
      </c>
      <c r="DK63" s="40">
        <f>SUM(AA63:AD63)</f>
        <v>4027</v>
      </c>
      <c r="DL63" s="40">
        <f>SUM(AE63:AH63)</f>
        <v>4452</v>
      </c>
      <c r="DM63" s="40">
        <f>SUM(AI63:AL63)</f>
        <v>4866</v>
      </c>
      <c r="DN63" s="40">
        <f>SUM(AM63:AP63)</f>
        <v>5302</v>
      </c>
      <c r="DO63" s="40">
        <f>SUM(AQ63:AT63)</f>
        <v>5683.5599999999995</v>
      </c>
      <c r="DP63" s="40">
        <f>SUM(AU63:AX63)</f>
        <v>1138</v>
      </c>
      <c r="DQ63" s="40"/>
      <c r="DR63" s="40"/>
      <c r="DS63" s="40"/>
      <c r="DT63" s="69">
        <f t="shared" si="16"/>
        <v>735</v>
      </c>
      <c r="DU63" s="40"/>
      <c r="DV63" s="69">
        <f t="shared" si="47"/>
        <v>225</v>
      </c>
      <c r="DW63" s="69">
        <f t="shared" si="10"/>
        <v>191</v>
      </c>
      <c r="DX63" s="69">
        <f t="shared" si="11"/>
        <v>117</v>
      </c>
      <c r="DY63" s="69">
        <f t="shared" si="72"/>
        <v>93</v>
      </c>
      <c r="DZ63" s="69">
        <f t="shared" si="73"/>
        <v>0</v>
      </c>
      <c r="EA63" s="69">
        <f t="shared" si="74"/>
        <v>0</v>
      </c>
      <c r="EB63" s="69"/>
      <c r="EC63" s="40"/>
    </row>
    <row r="64" spans="1:143" s="11" customFormat="1">
      <c r="A64" s="31"/>
      <c r="B64" s="130" t="s">
        <v>621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9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40">
        <v>0</v>
      </c>
      <c r="BH64" s="40">
        <v>1</v>
      </c>
      <c r="BI64" s="72">
        <v>10</v>
      </c>
      <c r="BJ64" s="72">
        <v>15</v>
      </c>
      <c r="BK64" s="72">
        <v>17</v>
      </c>
      <c r="BL64" s="72">
        <v>23</v>
      </c>
      <c r="BM64" s="72">
        <v>25</v>
      </c>
      <c r="BN64" s="40">
        <v>26</v>
      </c>
      <c r="BO64" s="72">
        <v>30</v>
      </c>
      <c r="BP64" s="40">
        <v>32</v>
      </c>
      <c r="BQ64" s="40">
        <v>30</v>
      </c>
      <c r="BR64" s="40">
        <v>30</v>
      </c>
      <c r="BS64" s="40">
        <v>28</v>
      </c>
      <c r="BT64" s="40">
        <v>24</v>
      </c>
      <c r="BU64" s="40">
        <v>32</v>
      </c>
      <c r="BV64" s="40">
        <v>25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40"/>
      <c r="DB64" s="40"/>
      <c r="DC64" s="40"/>
      <c r="DD64" s="39"/>
      <c r="DE64" s="39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6"/>
        <v>91</v>
      </c>
      <c r="DU64" s="69">
        <f t="shared" si="13"/>
        <v>122</v>
      </c>
      <c r="DV64" s="69">
        <f t="shared" si="47"/>
        <v>109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622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>
        <v>11</v>
      </c>
      <c r="BQ65" s="40">
        <v>10</v>
      </c>
      <c r="BR65" s="40">
        <v>13</v>
      </c>
      <c r="BS65" s="40">
        <v>9</v>
      </c>
      <c r="BT65" s="40">
        <v>7</v>
      </c>
      <c r="BU65" s="40">
        <v>8</v>
      </c>
      <c r="BV65" s="40">
        <v>10</v>
      </c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40"/>
      <c r="DB65" s="40"/>
      <c r="DC65" s="40"/>
      <c r="DD65" s="39"/>
      <c r="DE65" s="39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6"/>
        <v>0</v>
      </c>
      <c r="DU65" s="69">
        <f t="shared" si="13"/>
        <v>34</v>
      </c>
      <c r="DV65" s="69">
        <f t="shared" si="47"/>
        <v>34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130" t="s">
        <v>625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52"/>
      <c r="AL66" s="40"/>
      <c r="AM66" s="40"/>
      <c r="AN66" s="40"/>
      <c r="AO66" s="40"/>
      <c r="AP66" s="40"/>
      <c r="AQ66" s="67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>
        <v>0</v>
      </c>
      <c r="BP66" s="40"/>
      <c r="BQ66" s="40"/>
      <c r="BR66" s="40">
        <v>5</v>
      </c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40"/>
      <c r="DB66" s="40"/>
      <c r="DC66" s="40"/>
      <c r="DD66" s="39"/>
      <c r="DE66" s="39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69">
        <f t="shared" si="16"/>
        <v>0</v>
      </c>
      <c r="DU66" s="69">
        <f t="shared" si="13"/>
        <v>5</v>
      </c>
      <c r="DV66" s="69">
        <f t="shared" si="47"/>
        <v>0</v>
      </c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98" t="s">
        <v>45</v>
      </c>
      <c r="C67" s="40">
        <v>66</v>
      </c>
      <c r="D67" s="40">
        <v>86</v>
      </c>
      <c r="E67" s="40">
        <v>54</v>
      </c>
      <c r="F67" s="40">
        <v>67</v>
      </c>
      <c r="G67" s="40">
        <v>92</v>
      </c>
      <c r="H67" s="40">
        <v>74</v>
      </c>
      <c r="I67" s="40">
        <v>68</v>
      </c>
      <c r="J67" s="40">
        <v>94</v>
      </c>
      <c r="K67" s="40">
        <v>108</v>
      </c>
      <c r="L67" s="40">
        <v>54</v>
      </c>
      <c r="M67" s="40">
        <v>83</v>
      </c>
      <c r="N67" s="40">
        <v>104</v>
      </c>
      <c r="O67" s="40">
        <v>95</v>
      </c>
      <c r="P67" s="40">
        <v>91</v>
      </c>
      <c r="Q67" s="40">
        <v>81</v>
      </c>
      <c r="R67" s="40">
        <v>89</v>
      </c>
      <c r="S67" s="40">
        <v>68</v>
      </c>
      <c r="T67" s="40">
        <v>104</v>
      </c>
      <c r="U67" s="40">
        <v>86</v>
      </c>
      <c r="V67" s="40">
        <v>94</v>
      </c>
      <c r="W67" s="40">
        <f>196-X67</f>
        <v>93</v>
      </c>
      <c r="X67" s="40">
        <v>103</v>
      </c>
      <c r="Y67" s="40">
        <v>99</v>
      </c>
      <c r="Z67" s="40">
        <v>103</v>
      </c>
      <c r="AA67" s="40">
        <f>213-AB67</f>
        <v>107</v>
      </c>
      <c r="AB67" s="40">
        <v>106</v>
      </c>
      <c r="AC67" s="40">
        <v>107</v>
      </c>
      <c r="AD67" s="40">
        <v>114</v>
      </c>
      <c r="AE67" s="40">
        <v>107</v>
      </c>
      <c r="AF67" s="40">
        <v>114</v>
      </c>
      <c r="AG67" s="40">
        <v>115</v>
      </c>
      <c r="AH67" s="40">
        <v>112</v>
      </c>
      <c r="AI67" s="40">
        <v>101</v>
      </c>
      <c r="AJ67" s="40">
        <v>107</v>
      </c>
      <c r="AK67" s="52">
        <v>111</v>
      </c>
      <c r="AL67" s="40">
        <v>115</v>
      </c>
      <c r="AM67" s="40">
        <v>106</v>
      </c>
      <c r="AN67" s="40">
        <v>109</v>
      </c>
      <c r="AO67" s="40">
        <v>103</v>
      </c>
      <c r="AP67" s="40">
        <v>110</v>
      </c>
      <c r="AQ67" s="67">
        <v>101</v>
      </c>
      <c r="AR67" s="40">
        <f t="shared" ref="AR67:AR72" si="93">AQ67</f>
        <v>101</v>
      </c>
      <c r="AS67" s="40">
        <v>108</v>
      </c>
      <c r="AT67" s="40">
        <v>101</v>
      </c>
      <c r="AU67" s="40">
        <v>54</v>
      </c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40"/>
      <c r="DB67" s="40"/>
      <c r="DC67" s="40"/>
      <c r="DD67" s="39"/>
      <c r="DE67" s="39"/>
      <c r="DF67" s="40">
        <v>328</v>
      </c>
      <c r="DG67" s="40">
        <v>349</v>
      </c>
      <c r="DH67" s="40">
        <v>356</v>
      </c>
      <c r="DI67" s="40">
        <f t="shared" ref="DI67:DI76" si="94">SUM(S67:V67)</f>
        <v>352</v>
      </c>
      <c r="DJ67" s="40">
        <f t="shared" si="89"/>
        <v>398</v>
      </c>
      <c r="DK67" s="40">
        <f t="shared" ref="DK67:DK76" si="95">SUM(AA67:AD67)</f>
        <v>434</v>
      </c>
      <c r="DL67" s="40">
        <f t="shared" ref="DL67:DL72" si="96">DK67</f>
        <v>434</v>
      </c>
      <c r="DM67" s="40">
        <f t="shared" ref="DM67:DM72" si="97">SUM(AI67:AL67)</f>
        <v>434</v>
      </c>
      <c r="DN67" s="40">
        <f t="shared" si="90"/>
        <v>428</v>
      </c>
      <c r="DO67" s="40">
        <f t="shared" si="91"/>
        <v>411</v>
      </c>
      <c r="DP67" s="40">
        <f t="shared" si="92"/>
        <v>54</v>
      </c>
      <c r="DQ67" s="40"/>
      <c r="DR67" s="40"/>
      <c r="DS67" s="40"/>
      <c r="DT67" s="69">
        <f t="shared" si="16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31" t="s">
        <v>47</v>
      </c>
      <c r="C68" s="40">
        <v>49</v>
      </c>
      <c r="D68" s="40">
        <v>57</v>
      </c>
      <c r="E68" s="40">
        <v>56</v>
      </c>
      <c r="F68" s="40">
        <v>65.499999999999005</v>
      </c>
      <c r="G68" s="40">
        <v>67</v>
      </c>
      <c r="H68" s="40">
        <v>74</v>
      </c>
      <c r="I68" s="40">
        <v>75</v>
      </c>
      <c r="J68" s="40">
        <v>69</v>
      </c>
      <c r="K68" s="40">
        <v>74</v>
      </c>
      <c r="L68" s="40">
        <v>80</v>
      </c>
      <c r="M68" s="40">
        <v>88</v>
      </c>
      <c r="N68" s="40">
        <v>104</v>
      </c>
      <c r="O68" s="40">
        <v>97</v>
      </c>
      <c r="P68" s="40">
        <v>112</v>
      </c>
      <c r="Q68" s="40">
        <v>101</v>
      </c>
      <c r="R68" s="40">
        <v>113</v>
      </c>
      <c r="S68" s="40">
        <v>131</v>
      </c>
      <c r="T68" s="40">
        <v>127</v>
      </c>
      <c r="U68" s="40">
        <v>117</v>
      </c>
      <c r="V68" s="40">
        <v>130</v>
      </c>
      <c r="W68" s="40">
        <v>141</v>
      </c>
      <c r="X68" s="40">
        <v>143</v>
      </c>
      <c r="Y68" s="40">
        <v>153</v>
      </c>
      <c r="Z68" s="40">
        <v>167</v>
      </c>
      <c r="AA68" s="40">
        <v>178</v>
      </c>
      <c r="AB68" s="40">
        <v>194</v>
      </c>
      <c r="AC68" s="40">
        <v>186</v>
      </c>
      <c r="AD68" s="40">
        <v>215</v>
      </c>
      <c r="AE68" s="40">
        <v>213</v>
      </c>
      <c r="AF68" s="40">
        <v>226</v>
      </c>
      <c r="AG68" s="40">
        <v>241</v>
      </c>
      <c r="AH68" s="40">
        <v>217</v>
      </c>
      <c r="AI68" s="40">
        <v>202</v>
      </c>
      <c r="AJ68" s="40">
        <v>213</v>
      </c>
      <c r="AK68" s="52">
        <v>221</v>
      </c>
      <c r="AL68" s="40">
        <v>236</v>
      </c>
      <c r="AM68" s="40">
        <v>233</v>
      </c>
      <c r="AN68" s="40">
        <v>197</v>
      </c>
      <c r="AO68" s="40">
        <v>204</v>
      </c>
      <c r="AP68" s="40">
        <v>183</v>
      </c>
      <c r="AQ68" s="67">
        <v>172</v>
      </c>
      <c r="AR68" s="40">
        <f>AQ68-5</f>
        <v>167</v>
      </c>
      <c r="AS68" s="40">
        <v>139</v>
      </c>
      <c r="AT68" s="40">
        <v>114</v>
      </c>
      <c r="AU68" s="40">
        <v>100</v>
      </c>
      <c r="AV68" s="40"/>
      <c r="AW68" s="40"/>
      <c r="AX68" s="40"/>
      <c r="AY68" s="40"/>
      <c r="AZ68" s="40"/>
      <c r="BA68" s="40"/>
      <c r="BB68" s="40"/>
      <c r="BC68" s="40">
        <v>65</v>
      </c>
      <c r="BD68" s="40">
        <v>65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40"/>
      <c r="DB68" s="40"/>
      <c r="DC68" s="40"/>
      <c r="DD68" s="39"/>
      <c r="DE68" s="39"/>
      <c r="DF68" s="40">
        <v>285</v>
      </c>
      <c r="DG68" s="40">
        <v>346</v>
      </c>
      <c r="DH68" s="40">
        <v>423</v>
      </c>
      <c r="DI68" s="40">
        <f>SUM(S68:V68)</f>
        <v>505</v>
      </c>
      <c r="DJ68" s="40">
        <f>SUM(W68:Z68)</f>
        <v>604</v>
      </c>
      <c r="DK68" s="40">
        <f>SUM(AA68:AD68)</f>
        <v>773</v>
      </c>
      <c r="DL68" s="40">
        <f>SUM(AE68:AH68)</f>
        <v>897</v>
      </c>
      <c r="DM68" s="40">
        <f>SUM(AI68:AL68)</f>
        <v>872</v>
      </c>
      <c r="DN68" s="40">
        <f>SUM(AM68:AP68)</f>
        <v>817</v>
      </c>
      <c r="DO68" s="40">
        <f>SUM(AQ68:AT68)</f>
        <v>592</v>
      </c>
      <c r="DP68" s="40">
        <f>SUM(AU68:AX68)</f>
        <v>100</v>
      </c>
      <c r="DQ68" s="40"/>
      <c r="DR68" s="40"/>
      <c r="DS68" s="40"/>
      <c r="DT68" s="69">
        <f t="shared" si="16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46</v>
      </c>
      <c r="C69" s="40"/>
      <c r="D69" s="40"/>
      <c r="E69" s="40"/>
      <c r="F69" s="40"/>
      <c r="G69" s="40"/>
      <c r="H69" s="40"/>
      <c r="I69" s="40"/>
      <c r="J69" s="40"/>
      <c r="K69" s="40">
        <v>17</v>
      </c>
      <c r="L69" s="40">
        <v>18</v>
      </c>
      <c r="M69" s="40">
        <v>19</v>
      </c>
      <c r="N69" s="40">
        <v>19</v>
      </c>
      <c r="O69" s="40">
        <v>17</v>
      </c>
      <c r="P69" s="40">
        <v>21</v>
      </c>
      <c r="Q69" s="40">
        <v>16</v>
      </c>
      <c r="R69" s="40">
        <v>17</v>
      </c>
      <c r="S69" s="40">
        <v>17</v>
      </c>
      <c r="T69" s="40">
        <v>18</v>
      </c>
      <c r="U69" s="40">
        <v>15</v>
      </c>
      <c r="V69" s="40">
        <v>16</v>
      </c>
      <c r="W69" s="40">
        <v>15</v>
      </c>
      <c r="X69" s="40">
        <v>14</v>
      </c>
      <c r="Y69" s="40">
        <v>15</v>
      </c>
      <c r="Z69" s="40">
        <v>13</v>
      </c>
      <c r="AA69" s="40">
        <v>12</v>
      </c>
      <c r="AB69" s="40">
        <v>15</v>
      </c>
      <c r="AC69" s="40">
        <v>16</v>
      </c>
      <c r="AD69" s="40">
        <v>249</v>
      </c>
      <c r="AE69" s="40">
        <v>221</v>
      </c>
      <c r="AF69" s="40">
        <v>15</v>
      </c>
      <c r="AG69" s="40">
        <v>13</v>
      </c>
      <c r="AH69" s="40">
        <v>11</v>
      </c>
      <c r="AI69" s="40">
        <v>10</v>
      </c>
      <c r="AJ69" s="40">
        <v>12</v>
      </c>
      <c r="AK69" s="52">
        <v>11</v>
      </c>
      <c r="AL69" s="40">
        <v>15</v>
      </c>
      <c r="AM69" s="40">
        <v>10</v>
      </c>
      <c r="AN69" s="40">
        <v>10</v>
      </c>
      <c r="AO69" s="40">
        <v>9</v>
      </c>
      <c r="AP69" s="40">
        <v>13</v>
      </c>
      <c r="AQ69" s="67">
        <v>10</v>
      </c>
      <c r="AR69" s="40">
        <f>AQ69</f>
        <v>10</v>
      </c>
      <c r="AS69" s="40">
        <v>7</v>
      </c>
      <c r="AT69" s="40">
        <v>7</v>
      </c>
      <c r="AU69" s="40">
        <v>6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40"/>
      <c r="DB69" s="40"/>
      <c r="DC69" s="40"/>
      <c r="DD69" s="39"/>
      <c r="DE69" s="39"/>
      <c r="DF69" s="40"/>
      <c r="DG69" s="40">
        <v>73</v>
      </c>
      <c r="DH69" s="40">
        <v>71</v>
      </c>
      <c r="DI69" s="40">
        <f>SUM(S69:V69)</f>
        <v>66</v>
      </c>
      <c r="DJ69" s="40">
        <f>SUM(W69:Z69)</f>
        <v>57</v>
      </c>
      <c r="DK69" s="40">
        <f>SUM(AA69:AD69)</f>
        <v>292</v>
      </c>
      <c r="DL69" s="40">
        <f>DK69</f>
        <v>292</v>
      </c>
      <c r="DM69" s="40">
        <f>SUM(AI69:AL69)</f>
        <v>48</v>
      </c>
      <c r="DN69" s="40">
        <f>SUM(AM69:AP69)</f>
        <v>42</v>
      </c>
      <c r="DO69" s="40">
        <f>SUM(AQ69:AT69)</f>
        <v>34</v>
      </c>
      <c r="DP69" s="40">
        <f>SUM(AU69:AX69)</f>
        <v>6</v>
      </c>
      <c r="DQ69" s="40"/>
      <c r="DR69" s="40"/>
      <c r="DS69" s="40"/>
      <c r="DT69" s="69">
        <f t="shared" si="16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35</v>
      </c>
      <c r="C70" s="40">
        <v>55</v>
      </c>
      <c r="D70" s="40">
        <v>73</v>
      </c>
      <c r="E70" s="40">
        <v>63</v>
      </c>
      <c r="F70" s="40">
        <v>74</v>
      </c>
      <c r="G70" s="40">
        <v>63</v>
      </c>
      <c r="H70" s="40">
        <v>81</v>
      </c>
      <c r="I70" s="40">
        <v>79</v>
      </c>
      <c r="J70" s="40">
        <v>76</v>
      </c>
      <c r="K70" s="40">
        <v>90</v>
      </c>
      <c r="L70" s="40">
        <v>96</v>
      </c>
      <c r="M70" s="40">
        <v>86</v>
      </c>
      <c r="N70" s="40">
        <v>92</v>
      </c>
      <c r="O70" s="40">
        <v>81</v>
      </c>
      <c r="P70" s="40">
        <v>100</v>
      </c>
      <c r="Q70" s="40">
        <v>87</v>
      </c>
      <c r="R70" s="40">
        <v>93</v>
      </c>
      <c r="S70" s="40">
        <v>92</v>
      </c>
      <c r="T70" s="40">
        <v>112</v>
      </c>
      <c r="U70" s="40">
        <v>91</v>
      </c>
      <c r="V70" s="40">
        <v>92</v>
      </c>
      <c r="W70" s="40">
        <f>187-X70</f>
        <v>85</v>
      </c>
      <c r="X70" s="40">
        <v>102</v>
      </c>
      <c r="Y70" s="40">
        <v>83</v>
      </c>
      <c r="Z70" s="40">
        <v>90</v>
      </c>
      <c r="AA70" s="40">
        <f>187-AB70</f>
        <v>92</v>
      </c>
      <c r="AB70" s="40">
        <v>95</v>
      </c>
      <c r="AC70" s="40">
        <v>80</v>
      </c>
      <c r="AD70" s="40">
        <v>87</v>
      </c>
      <c r="AE70" s="40">
        <v>80</v>
      </c>
      <c r="AF70" s="40">
        <v>92</v>
      </c>
      <c r="AG70" s="40">
        <v>72</v>
      </c>
      <c r="AH70" s="40">
        <v>78</v>
      </c>
      <c r="AI70" s="40">
        <v>64</v>
      </c>
      <c r="AJ70" s="40">
        <v>72</v>
      </c>
      <c r="AK70" s="52">
        <v>63</v>
      </c>
      <c r="AL70" s="40">
        <v>65</v>
      </c>
      <c r="AM70" s="40">
        <v>55</v>
      </c>
      <c r="AN70" s="40">
        <v>65</v>
      </c>
      <c r="AO70" s="40">
        <v>55</v>
      </c>
      <c r="AP70" s="40">
        <v>52</v>
      </c>
      <c r="AQ70" s="67">
        <v>55</v>
      </c>
      <c r="AR70" s="40">
        <f t="shared" si="93"/>
        <v>55</v>
      </c>
      <c r="AS70" s="40">
        <v>52</v>
      </c>
      <c r="AT70" s="40">
        <v>50</v>
      </c>
      <c r="AU70" s="40">
        <v>44</v>
      </c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40"/>
      <c r="DB70" s="40"/>
      <c r="DC70" s="40"/>
      <c r="DD70" s="39"/>
      <c r="DE70" s="39"/>
      <c r="DF70" s="40">
        <v>299</v>
      </c>
      <c r="DG70" s="40">
        <v>364</v>
      </c>
      <c r="DH70" s="40">
        <v>361</v>
      </c>
      <c r="DI70" s="40">
        <f t="shared" si="94"/>
        <v>387</v>
      </c>
      <c r="DJ70" s="40">
        <f t="shared" si="89"/>
        <v>360</v>
      </c>
      <c r="DK70" s="40">
        <f t="shared" si="95"/>
        <v>354</v>
      </c>
      <c r="DL70" s="40">
        <f t="shared" si="96"/>
        <v>354</v>
      </c>
      <c r="DM70" s="40">
        <f t="shared" si="97"/>
        <v>264</v>
      </c>
      <c r="DN70" s="40">
        <f t="shared" si="90"/>
        <v>227</v>
      </c>
      <c r="DO70" s="40">
        <f t="shared" si="91"/>
        <v>212</v>
      </c>
      <c r="DP70" s="40">
        <f t="shared" si="92"/>
        <v>44</v>
      </c>
      <c r="DQ70" s="40"/>
      <c r="DR70" s="40"/>
      <c r="DS70" s="40"/>
      <c r="DT70" s="69">
        <f t="shared" si="16"/>
        <v>0</v>
      </c>
      <c r="DU70" s="69"/>
      <c r="DV70" s="69"/>
      <c r="DW70" s="69"/>
      <c r="DX70" s="69"/>
      <c r="DY70" s="69"/>
      <c r="DZ70" s="69"/>
      <c r="EA70" s="69"/>
      <c r="EB70" s="69"/>
      <c r="EC70" s="40"/>
    </row>
    <row r="71" spans="1:133" s="11" customFormat="1">
      <c r="A71" s="31"/>
      <c r="B71" s="98" t="s">
        <v>33</v>
      </c>
      <c r="C71" s="40">
        <v>287</v>
      </c>
      <c r="D71" s="40">
        <v>341</v>
      </c>
      <c r="E71" s="40">
        <v>183</v>
      </c>
      <c r="F71" s="40">
        <v>256</v>
      </c>
      <c r="G71" s="40">
        <v>277</v>
      </c>
      <c r="H71" s="40">
        <v>269</v>
      </c>
      <c r="I71" s="40">
        <v>187</v>
      </c>
      <c r="J71" s="40">
        <v>144</v>
      </c>
      <c r="K71" s="40">
        <v>108</v>
      </c>
      <c r="L71" s="40">
        <v>118</v>
      </c>
      <c r="M71" s="40">
        <v>116</v>
      </c>
      <c r="N71" s="40">
        <v>136</v>
      </c>
      <c r="O71" s="40">
        <v>105</v>
      </c>
      <c r="P71" s="40">
        <v>117</v>
      </c>
      <c r="Q71" s="40">
        <v>105</v>
      </c>
      <c r="R71" s="40">
        <v>113</v>
      </c>
      <c r="S71" s="40">
        <v>87</v>
      </c>
      <c r="T71" s="40">
        <v>78</v>
      </c>
      <c r="U71" s="40">
        <v>83</v>
      </c>
      <c r="V71" s="40">
        <v>84</v>
      </c>
      <c r="W71" s="40">
        <f>153-X71</f>
        <v>75</v>
      </c>
      <c r="X71" s="40">
        <v>78</v>
      </c>
      <c r="Y71" s="40">
        <v>76</v>
      </c>
      <c r="Z71" s="40">
        <v>78</v>
      </c>
      <c r="AA71" s="40">
        <f>156-AB71</f>
        <v>80</v>
      </c>
      <c r="AB71" s="40">
        <v>76</v>
      </c>
      <c r="AC71" s="40">
        <v>72</v>
      </c>
      <c r="AD71" s="40">
        <v>67</v>
      </c>
      <c r="AE71" s="40">
        <v>59</v>
      </c>
      <c r="AF71" s="40">
        <v>65</v>
      </c>
      <c r="AG71" s="40">
        <v>60</v>
      </c>
      <c r="AH71" s="40">
        <v>52</v>
      </c>
      <c r="AI71" s="40">
        <v>47</v>
      </c>
      <c r="AJ71" s="40">
        <v>47</v>
      </c>
      <c r="AK71" s="52">
        <v>47</v>
      </c>
      <c r="AL71" s="40">
        <v>43</v>
      </c>
      <c r="AM71" s="40">
        <v>42</v>
      </c>
      <c r="AN71" s="40">
        <v>40</v>
      </c>
      <c r="AO71" s="40">
        <v>35</v>
      </c>
      <c r="AP71" s="40">
        <v>40</v>
      </c>
      <c r="AQ71" s="67">
        <v>33</v>
      </c>
      <c r="AR71" s="40">
        <f t="shared" si="93"/>
        <v>33</v>
      </c>
      <c r="AS71" s="40">
        <v>37</v>
      </c>
      <c r="AT71" s="40">
        <v>35</v>
      </c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40"/>
      <c r="DB71" s="40"/>
      <c r="DC71" s="40"/>
      <c r="DD71" s="39"/>
      <c r="DE71" s="39"/>
      <c r="DF71" s="40">
        <v>877</v>
      </c>
      <c r="DG71" s="40">
        <v>478</v>
      </c>
      <c r="DH71" s="40">
        <v>440</v>
      </c>
      <c r="DI71" s="40">
        <f t="shared" si="94"/>
        <v>332</v>
      </c>
      <c r="DJ71" s="40">
        <f t="shared" si="89"/>
        <v>307</v>
      </c>
      <c r="DK71" s="40">
        <f t="shared" si="95"/>
        <v>295</v>
      </c>
      <c r="DL71" s="40">
        <f t="shared" si="96"/>
        <v>295</v>
      </c>
      <c r="DM71" s="40">
        <f t="shared" si="97"/>
        <v>184</v>
      </c>
      <c r="DN71" s="40">
        <f t="shared" si="90"/>
        <v>157</v>
      </c>
      <c r="DO71" s="40">
        <f t="shared" si="91"/>
        <v>138</v>
      </c>
      <c r="DP71" s="40"/>
      <c r="DQ71" s="40"/>
      <c r="DR71" s="40"/>
      <c r="DS71" s="40"/>
      <c r="DT71" s="69">
        <f t="shared" si="16"/>
        <v>0</v>
      </c>
      <c r="DU71" s="69"/>
      <c r="DV71" s="69"/>
      <c r="DW71" s="69"/>
      <c r="DX71" s="69"/>
      <c r="DY71" s="69"/>
      <c r="DZ71" s="69"/>
      <c r="EA71" s="69"/>
      <c r="EB71" s="69"/>
    </row>
    <row r="72" spans="1:133" s="11" customFormat="1">
      <c r="A72" s="31"/>
      <c r="B72" s="98" t="s">
        <v>456</v>
      </c>
      <c r="C72" s="40">
        <v>105</v>
      </c>
      <c r="D72" s="40">
        <v>104</v>
      </c>
      <c r="E72" s="40">
        <v>118</v>
      </c>
      <c r="F72" s="40">
        <v>136</v>
      </c>
      <c r="G72" s="40">
        <v>106</v>
      </c>
      <c r="H72" s="40">
        <v>97</v>
      </c>
      <c r="I72" s="40">
        <v>147</v>
      </c>
      <c r="J72" s="40">
        <v>139</v>
      </c>
      <c r="K72" s="40">
        <v>110</v>
      </c>
      <c r="L72" s="40">
        <v>129</v>
      </c>
      <c r="M72" s="40">
        <v>144</v>
      </c>
      <c r="N72" s="40">
        <v>157</v>
      </c>
      <c r="O72" s="40">
        <v>111</v>
      </c>
      <c r="P72" s="40">
        <v>148</v>
      </c>
      <c r="Q72" s="40">
        <v>102</v>
      </c>
      <c r="R72" s="40">
        <v>94</v>
      </c>
      <c r="S72" s="40">
        <v>93</v>
      </c>
      <c r="T72" s="40">
        <v>112.25</v>
      </c>
      <c r="U72" s="40">
        <v>82</v>
      </c>
      <c r="V72" s="40">
        <v>73</v>
      </c>
      <c r="W72" s="40">
        <f>142-X72</f>
        <v>72</v>
      </c>
      <c r="X72" s="40">
        <v>70</v>
      </c>
      <c r="Y72" s="40">
        <v>68</v>
      </c>
      <c r="Z72" s="40">
        <v>65</v>
      </c>
      <c r="AA72" s="40">
        <f>139-AB72</f>
        <v>65</v>
      </c>
      <c r="AB72" s="40">
        <v>74</v>
      </c>
      <c r="AC72" s="40">
        <v>66</v>
      </c>
      <c r="AD72" s="40">
        <v>66</v>
      </c>
      <c r="AE72" s="40">
        <v>66</v>
      </c>
      <c r="AF72" s="40">
        <v>70</v>
      </c>
      <c r="AG72" s="40">
        <v>65</v>
      </c>
      <c r="AH72" s="40">
        <v>67</v>
      </c>
      <c r="AI72" s="40">
        <v>61</v>
      </c>
      <c r="AJ72" s="40">
        <v>60</v>
      </c>
      <c r="AK72" s="52">
        <v>60</v>
      </c>
      <c r="AL72" s="40">
        <v>60</v>
      </c>
      <c r="AM72" s="40">
        <v>66</v>
      </c>
      <c r="AN72" s="40">
        <v>63</v>
      </c>
      <c r="AO72" s="40">
        <v>63</v>
      </c>
      <c r="AP72" s="40">
        <v>63</v>
      </c>
      <c r="AQ72" s="67">
        <v>68</v>
      </c>
      <c r="AR72" s="40">
        <f t="shared" si="93"/>
        <v>68</v>
      </c>
      <c r="AS72" s="40">
        <v>66</v>
      </c>
      <c r="AT72" s="40">
        <v>60</v>
      </c>
      <c r="AU72" s="40">
        <v>73</v>
      </c>
      <c r="AV72" s="40"/>
      <c r="AW72" s="40"/>
      <c r="AX72" s="40"/>
      <c r="AY72" s="40"/>
      <c r="AZ72" s="40"/>
      <c r="BA72" s="40"/>
      <c r="BB72" s="40"/>
      <c r="BC72" s="40">
        <v>69</v>
      </c>
      <c r="BD72" s="40">
        <v>53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40"/>
      <c r="DB72" s="40"/>
      <c r="DC72" s="40"/>
      <c r="DD72" s="39"/>
      <c r="DE72" s="39"/>
      <c r="DF72" s="40">
        <v>489</v>
      </c>
      <c r="DG72" s="40">
        <v>540</v>
      </c>
      <c r="DH72" s="40">
        <v>455</v>
      </c>
      <c r="DI72" s="40">
        <f t="shared" si="94"/>
        <v>360.25</v>
      </c>
      <c r="DJ72" s="40">
        <f t="shared" si="89"/>
        <v>275</v>
      </c>
      <c r="DK72" s="40">
        <f t="shared" si="95"/>
        <v>271</v>
      </c>
      <c r="DL72" s="40">
        <f t="shared" si="96"/>
        <v>271</v>
      </c>
      <c r="DM72" s="40">
        <f t="shared" si="97"/>
        <v>241</v>
      </c>
      <c r="DN72" s="40">
        <f t="shared" si="90"/>
        <v>255</v>
      </c>
      <c r="DO72" s="40">
        <f t="shared" si="91"/>
        <v>262</v>
      </c>
      <c r="DP72" s="40">
        <f t="shared" ref="DP72:DP76" si="98">SUM(AU72:AX72)</f>
        <v>73</v>
      </c>
      <c r="DQ72" s="40"/>
      <c r="DR72" s="40"/>
      <c r="DS72" s="40"/>
      <c r="DT72" s="69">
        <f t="shared" si="16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31" t="s">
        <v>455</v>
      </c>
      <c r="C73" s="40">
        <v>98</v>
      </c>
      <c r="D73" s="40">
        <v>115</v>
      </c>
      <c r="E73" s="40">
        <v>87</v>
      </c>
      <c r="F73" s="40">
        <v>104</v>
      </c>
      <c r="G73" s="40">
        <v>94</v>
      </c>
      <c r="H73" s="40">
        <v>96</v>
      </c>
      <c r="I73" s="40">
        <v>85</v>
      </c>
      <c r="J73" s="40">
        <v>95</v>
      </c>
      <c r="K73" s="40">
        <v>84</v>
      </c>
      <c r="L73" s="40">
        <v>81</v>
      </c>
      <c r="M73" s="40">
        <v>81</v>
      </c>
      <c r="N73" s="40">
        <v>96</v>
      </c>
      <c r="O73" s="40">
        <v>85</v>
      </c>
      <c r="P73" s="40">
        <v>93</v>
      </c>
      <c r="Q73" s="40">
        <v>93</v>
      </c>
      <c r="R73" s="40">
        <v>97</v>
      </c>
      <c r="S73" s="40">
        <v>83</v>
      </c>
      <c r="T73" s="40">
        <v>92</v>
      </c>
      <c r="U73" s="40">
        <v>87</v>
      </c>
      <c r="V73" s="40">
        <v>90</v>
      </c>
      <c r="W73" s="40">
        <v>76</v>
      </c>
      <c r="X73" s="40">
        <v>85</v>
      </c>
      <c r="Y73" s="40">
        <v>77</v>
      </c>
      <c r="Z73" s="40">
        <v>82</v>
      </c>
      <c r="AA73" s="40">
        <v>71</v>
      </c>
      <c r="AB73" s="40">
        <v>80</v>
      </c>
      <c r="AC73" s="40">
        <v>73</v>
      </c>
      <c r="AD73" s="40"/>
      <c r="AE73" s="40"/>
      <c r="AF73" s="40">
        <v>87</v>
      </c>
      <c r="AG73" s="40">
        <v>79</v>
      </c>
      <c r="AH73" s="40">
        <v>77</v>
      </c>
      <c r="AI73" s="40">
        <v>66</v>
      </c>
      <c r="AJ73" s="40">
        <v>77</v>
      </c>
      <c r="AK73" s="52">
        <v>74</v>
      </c>
      <c r="AL73" s="40">
        <v>79</v>
      </c>
      <c r="AM73" s="40">
        <v>67</v>
      </c>
      <c r="AN73" s="40">
        <v>72</v>
      </c>
      <c r="AO73" s="40">
        <v>0</v>
      </c>
      <c r="AP73" s="40">
        <v>0</v>
      </c>
      <c r="AQ73" s="67">
        <v>63</v>
      </c>
      <c r="AR73" s="40">
        <f t="shared" ref="AR73:AR76" si="99">AQ73</f>
        <v>63</v>
      </c>
      <c r="AS73" s="40">
        <v>68</v>
      </c>
      <c r="AT73" s="40">
        <v>68</v>
      </c>
      <c r="AU73" s="40">
        <v>57</v>
      </c>
      <c r="AV73" s="40"/>
      <c r="AW73" s="40"/>
      <c r="AX73" s="40"/>
      <c r="AY73" s="40"/>
      <c r="AZ73" s="40"/>
      <c r="BA73" s="40"/>
      <c r="BB73" s="40"/>
      <c r="BC73" s="40">
        <v>39</v>
      </c>
      <c r="BD73" s="40">
        <v>42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40"/>
      <c r="DB73" s="40"/>
      <c r="DC73" s="40"/>
      <c r="DD73" s="39"/>
      <c r="DE73" s="39"/>
      <c r="DF73" s="40">
        <v>370</v>
      </c>
      <c r="DG73" s="40">
        <v>342</v>
      </c>
      <c r="DH73" s="40">
        <v>368</v>
      </c>
      <c r="DI73" s="40">
        <f t="shared" si="94"/>
        <v>352</v>
      </c>
      <c r="DJ73" s="40">
        <f>SUM(W73:Z73)</f>
        <v>320</v>
      </c>
      <c r="DK73" s="40">
        <f t="shared" si="95"/>
        <v>224</v>
      </c>
      <c r="DL73" s="40">
        <f t="shared" ref="DL73:DL76" si="100">DK73</f>
        <v>224</v>
      </c>
      <c r="DM73" s="40">
        <f t="shared" ref="DM73:DM77" si="101">SUM(AI73:AL73)</f>
        <v>296</v>
      </c>
      <c r="DN73" s="40">
        <f t="shared" si="90"/>
        <v>139</v>
      </c>
      <c r="DO73" s="40">
        <f t="shared" si="91"/>
        <v>262</v>
      </c>
      <c r="DP73" s="40">
        <f t="shared" si="98"/>
        <v>57</v>
      </c>
      <c r="DQ73" s="40"/>
      <c r="DR73" s="40"/>
      <c r="DS73" s="40"/>
      <c r="DT73" s="69">
        <f t="shared" si="16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98" t="s">
        <v>44</v>
      </c>
      <c r="C74" s="40"/>
      <c r="D74" s="40"/>
      <c r="E74" s="40"/>
      <c r="F74" s="40"/>
      <c r="G74" s="40"/>
      <c r="H74" s="40"/>
      <c r="I74" s="40"/>
      <c r="J74" s="40"/>
      <c r="K74" s="40">
        <v>136</v>
      </c>
      <c r="L74" s="40">
        <v>98</v>
      </c>
      <c r="M74" s="40">
        <v>105</v>
      </c>
      <c r="N74" s="40">
        <v>119</v>
      </c>
      <c r="O74" s="40">
        <v>122</v>
      </c>
      <c r="P74" s="40">
        <v>126</v>
      </c>
      <c r="Q74" s="40">
        <v>126</v>
      </c>
      <c r="R74" s="40">
        <v>126</v>
      </c>
      <c r="S74" s="40">
        <v>107</v>
      </c>
      <c r="T74" s="40">
        <v>98</v>
      </c>
      <c r="U74" s="40">
        <v>76</v>
      </c>
      <c r="V74" s="40">
        <v>88</v>
      </c>
      <c r="W74" s="40">
        <v>89</v>
      </c>
      <c r="X74" s="40">
        <v>72</v>
      </c>
      <c r="Y74" s="40">
        <v>64</v>
      </c>
      <c r="Z74" s="40">
        <v>79</v>
      </c>
      <c r="AA74" s="40">
        <v>59</v>
      </c>
      <c r="AB74" s="40">
        <v>66</v>
      </c>
      <c r="AC74" s="40">
        <v>64</v>
      </c>
      <c r="AD74" s="40"/>
      <c r="AE74" s="40"/>
      <c r="AF74" s="40">
        <v>76</v>
      </c>
      <c r="AG74" s="40">
        <v>69</v>
      </c>
      <c r="AH74" s="40">
        <v>65</v>
      </c>
      <c r="AI74" s="40">
        <v>64</v>
      </c>
      <c r="AJ74" s="40">
        <v>70</v>
      </c>
      <c r="AK74" s="52">
        <v>77</v>
      </c>
      <c r="AL74" s="40">
        <v>79</v>
      </c>
      <c r="AM74" s="40">
        <v>75</v>
      </c>
      <c r="AN74" s="40">
        <v>81</v>
      </c>
      <c r="AO74" s="40">
        <v>85</v>
      </c>
      <c r="AP74" s="40">
        <v>81</v>
      </c>
      <c r="AQ74" s="67">
        <v>70</v>
      </c>
      <c r="AR74" s="40">
        <f t="shared" si="99"/>
        <v>70</v>
      </c>
      <c r="AS74" s="40">
        <v>71</v>
      </c>
      <c r="AT74" s="40">
        <v>67</v>
      </c>
      <c r="AU74" s="40">
        <v>66</v>
      </c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40"/>
      <c r="DB74" s="40"/>
      <c r="DC74" s="40"/>
      <c r="DD74" s="39"/>
      <c r="DE74" s="39"/>
      <c r="DF74" s="40"/>
      <c r="DG74" s="40">
        <v>458</v>
      </c>
      <c r="DH74" s="40">
        <v>500</v>
      </c>
      <c r="DI74" s="40">
        <f t="shared" si="94"/>
        <v>369</v>
      </c>
      <c r="DJ74" s="40">
        <f>SUM(W74:Z74)</f>
        <v>304</v>
      </c>
      <c r="DK74" s="40">
        <f t="shared" si="95"/>
        <v>189</v>
      </c>
      <c r="DL74" s="40">
        <f t="shared" si="100"/>
        <v>189</v>
      </c>
      <c r="DM74" s="40">
        <f t="shared" si="101"/>
        <v>290</v>
      </c>
      <c r="DN74" s="40">
        <f t="shared" si="90"/>
        <v>322</v>
      </c>
      <c r="DO74" s="40">
        <f t="shared" si="91"/>
        <v>278</v>
      </c>
      <c r="DP74" s="40">
        <f t="shared" si="98"/>
        <v>66</v>
      </c>
      <c r="DQ74" s="40"/>
      <c r="DR74" s="40"/>
      <c r="DS74" s="40"/>
      <c r="DT74" s="69">
        <f t="shared" si="16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31" t="s">
        <v>222</v>
      </c>
      <c r="C75" s="40"/>
      <c r="D75" s="40"/>
      <c r="E75" s="40"/>
      <c r="F75" s="40"/>
      <c r="G75" s="40"/>
      <c r="H75" s="40"/>
      <c r="I75" s="40"/>
      <c r="J75" s="40"/>
      <c r="K75" s="40">
        <v>101</v>
      </c>
      <c r="L75" s="40">
        <v>122</v>
      </c>
      <c r="M75" s="40">
        <v>121</v>
      </c>
      <c r="N75" s="40">
        <v>122</v>
      </c>
      <c r="O75" s="40">
        <v>130</v>
      </c>
      <c r="P75" s="40">
        <v>140</v>
      </c>
      <c r="Q75" s="40">
        <v>128</v>
      </c>
      <c r="R75" s="40">
        <v>144</v>
      </c>
      <c r="S75" s="40">
        <v>127</v>
      </c>
      <c r="T75" s="40">
        <v>135</v>
      </c>
      <c r="U75" s="40">
        <v>118</v>
      </c>
      <c r="V75" s="40">
        <v>131</v>
      </c>
      <c r="W75" s="40">
        <v>132</v>
      </c>
      <c r="X75" s="40">
        <v>140</v>
      </c>
      <c r="Y75" s="40">
        <v>124</v>
      </c>
      <c r="Z75" s="40">
        <v>133</v>
      </c>
      <c r="AA75" s="40">
        <v>126</v>
      </c>
      <c r="AB75" s="40">
        <v>143</v>
      </c>
      <c r="AC75" s="40">
        <v>129</v>
      </c>
      <c r="AD75" s="40"/>
      <c r="AE75" s="40">
        <v>138</v>
      </c>
      <c r="AF75" s="40">
        <v>171</v>
      </c>
      <c r="AG75" s="40">
        <v>149</v>
      </c>
      <c r="AH75" s="40">
        <v>147</v>
      </c>
      <c r="AI75" s="40">
        <v>132</v>
      </c>
      <c r="AJ75" s="40">
        <v>153</v>
      </c>
      <c r="AK75" s="52">
        <v>148</v>
      </c>
      <c r="AL75" s="40">
        <v>166</v>
      </c>
      <c r="AM75" s="40">
        <v>149</v>
      </c>
      <c r="AN75" s="40">
        <v>155</v>
      </c>
      <c r="AO75" s="40">
        <v>139</v>
      </c>
      <c r="AP75" s="40">
        <v>162</v>
      </c>
      <c r="AQ75" s="67">
        <v>149</v>
      </c>
      <c r="AR75" s="40">
        <f t="shared" si="99"/>
        <v>149</v>
      </c>
      <c r="AS75" s="40">
        <v>149</v>
      </c>
      <c r="AT75" s="40">
        <v>148</v>
      </c>
      <c r="AU75" s="40">
        <v>132</v>
      </c>
      <c r="AV75" s="40"/>
      <c r="AW75" s="40"/>
      <c r="AX75" s="40"/>
      <c r="AY75" s="40"/>
      <c r="AZ75" s="40"/>
      <c r="BA75" s="40"/>
      <c r="BB75" s="40"/>
      <c r="BC75" s="40">
        <v>122</v>
      </c>
      <c r="BD75" s="40">
        <v>127</v>
      </c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40"/>
      <c r="DB75" s="40"/>
      <c r="DC75" s="40"/>
      <c r="DD75" s="39"/>
      <c r="DE75" s="39"/>
      <c r="DF75" s="40"/>
      <c r="DG75" s="40">
        <v>466</v>
      </c>
      <c r="DH75" s="40">
        <v>542</v>
      </c>
      <c r="DI75" s="40">
        <f t="shared" si="94"/>
        <v>511</v>
      </c>
      <c r="DJ75" s="40">
        <f>SUM(W75:Z75)</f>
        <v>529</v>
      </c>
      <c r="DK75" s="40">
        <f t="shared" si="95"/>
        <v>398</v>
      </c>
      <c r="DL75" s="40">
        <f t="shared" si="100"/>
        <v>398</v>
      </c>
      <c r="DM75" s="40">
        <f t="shared" si="101"/>
        <v>599</v>
      </c>
      <c r="DN75" s="40">
        <f t="shared" si="90"/>
        <v>605</v>
      </c>
      <c r="DO75" s="40">
        <f t="shared" si="91"/>
        <v>595</v>
      </c>
      <c r="DP75" s="40">
        <f t="shared" si="98"/>
        <v>132</v>
      </c>
      <c r="DQ75" s="40"/>
      <c r="DR75" s="40"/>
      <c r="DS75" s="40"/>
      <c r="DT75" s="69">
        <f t="shared" si="16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215</v>
      </c>
      <c r="C76" s="40">
        <v>207</v>
      </c>
      <c r="D76" s="40">
        <v>210</v>
      </c>
      <c r="E76" s="40">
        <v>190</v>
      </c>
      <c r="F76" s="40">
        <v>206</v>
      </c>
      <c r="G76" s="40">
        <v>164</v>
      </c>
      <c r="H76" s="40">
        <v>172</v>
      </c>
      <c r="I76" s="40">
        <v>165</v>
      </c>
      <c r="J76" s="40">
        <v>189</v>
      </c>
      <c r="K76" s="40">
        <v>66</v>
      </c>
      <c r="L76" s="40">
        <v>69</v>
      </c>
      <c r="M76" s="40">
        <v>100</v>
      </c>
      <c r="N76" s="40">
        <v>47</v>
      </c>
      <c r="O76" s="40">
        <v>72</v>
      </c>
      <c r="P76" s="40">
        <v>64</v>
      </c>
      <c r="Q76" s="40">
        <v>71</v>
      </c>
      <c r="R76" s="40">
        <v>86</v>
      </c>
      <c r="S76" s="40">
        <v>97</v>
      </c>
      <c r="T76" s="40">
        <v>92</v>
      </c>
      <c r="U76" s="40">
        <v>73</v>
      </c>
      <c r="V76" s="40">
        <v>72</v>
      </c>
      <c r="W76" s="40">
        <v>68</v>
      </c>
      <c r="X76" s="40">
        <v>65</v>
      </c>
      <c r="Y76" s="40">
        <v>57</v>
      </c>
      <c r="Z76" s="40">
        <v>81</v>
      </c>
      <c r="AA76" s="40">
        <v>74</v>
      </c>
      <c r="AB76" s="40">
        <v>66</v>
      </c>
      <c r="AC76" s="40">
        <v>63</v>
      </c>
      <c r="AD76" s="40">
        <v>68</v>
      </c>
      <c r="AE76" s="40">
        <f>787-519-213</f>
        <v>55</v>
      </c>
      <c r="AF76" s="40">
        <v>58</v>
      </c>
      <c r="AG76" s="40">
        <v>58</v>
      </c>
      <c r="AH76" s="40">
        <v>49</v>
      </c>
      <c r="AI76" s="40">
        <v>43</v>
      </c>
      <c r="AJ76" s="40">
        <v>35</v>
      </c>
      <c r="AK76" s="52">
        <v>35</v>
      </c>
      <c r="AL76" s="40">
        <v>30</v>
      </c>
      <c r="AM76" s="40">
        <v>28</v>
      </c>
      <c r="AN76" s="40">
        <v>25</v>
      </c>
      <c r="AO76" s="40">
        <v>30</v>
      </c>
      <c r="AP76" s="40">
        <v>25</v>
      </c>
      <c r="AQ76" s="67">
        <f>40-AQ77</f>
        <v>33</v>
      </c>
      <c r="AR76" s="40">
        <f t="shared" si="99"/>
        <v>33</v>
      </c>
      <c r="AS76" s="40">
        <v>29</v>
      </c>
      <c r="AT76" s="40">
        <v>36</v>
      </c>
      <c r="AU76" s="40">
        <v>16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40"/>
      <c r="DB76" s="40"/>
      <c r="DC76" s="40"/>
      <c r="DD76" s="39"/>
      <c r="DE76" s="39"/>
      <c r="DF76" s="40">
        <v>690</v>
      </c>
      <c r="DG76" s="40">
        <v>282</v>
      </c>
      <c r="DH76" s="40">
        <v>293</v>
      </c>
      <c r="DI76" s="40">
        <f t="shared" si="94"/>
        <v>334</v>
      </c>
      <c r="DJ76" s="40">
        <f>SUM(W76:Z76)</f>
        <v>271</v>
      </c>
      <c r="DK76" s="40">
        <f t="shared" si="95"/>
        <v>271</v>
      </c>
      <c r="DL76" s="40">
        <f t="shared" si="100"/>
        <v>271</v>
      </c>
      <c r="DM76" s="40">
        <f t="shared" si="101"/>
        <v>143</v>
      </c>
      <c r="DN76" s="40">
        <f t="shared" si="90"/>
        <v>108</v>
      </c>
      <c r="DO76" s="40">
        <f t="shared" si="91"/>
        <v>131</v>
      </c>
      <c r="DP76" s="40">
        <f t="shared" si="98"/>
        <v>16</v>
      </c>
      <c r="DQ76" s="40"/>
      <c r="DR76" s="40"/>
      <c r="DS76" s="40"/>
      <c r="DT76" s="69">
        <f t="shared" si="16"/>
        <v>0</v>
      </c>
      <c r="DU76" s="69"/>
      <c r="DV76" s="69"/>
      <c r="DW76" s="69"/>
      <c r="DX76" s="69"/>
      <c r="DY76" s="69"/>
      <c r="DZ76" s="69"/>
      <c r="EA76" s="69"/>
      <c r="EB76" s="69"/>
      <c r="EC76" s="40"/>
    </row>
    <row r="77" spans="1:133" s="11" customFormat="1">
      <c r="A77" s="31"/>
      <c r="B77" s="98" t="s">
        <v>330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>
        <v>0</v>
      </c>
      <c r="AH77" s="40"/>
      <c r="AI77" s="40"/>
      <c r="AJ77" s="40"/>
      <c r="AK77" s="52">
        <v>152</v>
      </c>
      <c r="AL77" s="40">
        <v>237</v>
      </c>
      <c r="AM77" s="40">
        <v>39</v>
      </c>
      <c r="AN77" s="40">
        <v>0</v>
      </c>
      <c r="AO77" s="40">
        <v>0</v>
      </c>
      <c r="AP77" s="40">
        <v>0</v>
      </c>
      <c r="AQ77" s="67">
        <v>7</v>
      </c>
      <c r="AR77" s="40">
        <v>0</v>
      </c>
      <c r="AS77" s="40">
        <v>0</v>
      </c>
      <c r="AT77" s="40">
        <v>0</v>
      </c>
      <c r="AU77" s="40">
        <v>0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40"/>
      <c r="DB77" s="40"/>
      <c r="DC77" s="40"/>
      <c r="DD77" s="39"/>
      <c r="DE77" s="39"/>
      <c r="DF77" s="40"/>
      <c r="DG77" s="40"/>
      <c r="DH77" s="40"/>
      <c r="DI77" s="40"/>
      <c r="DJ77" s="40"/>
      <c r="DK77" s="40"/>
      <c r="DL77" s="40"/>
      <c r="DM77" s="40">
        <f t="shared" si="101"/>
        <v>389</v>
      </c>
      <c r="DN77" s="40">
        <f t="shared" si="90"/>
        <v>39</v>
      </c>
      <c r="DO77" s="40">
        <f t="shared" si="91"/>
        <v>7</v>
      </c>
      <c r="DP77" s="40"/>
      <c r="DQ77" s="40"/>
      <c r="DR77" s="40"/>
      <c r="DS77" s="40"/>
      <c r="DT77" s="69">
        <f t="shared" ref="DT77:DT87" si="102">SUM(BK77:BN77)</f>
        <v>0</v>
      </c>
      <c r="DU77" s="69"/>
      <c r="DV77" s="69"/>
      <c r="DW77" s="69"/>
      <c r="DX77" s="69"/>
      <c r="DY77" s="69"/>
      <c r="DZ77" s="69"/>
      <c r="EA77" s="69"/>
      <c r="EB77" s="69"/>
    </row>
    <row r="78" spans="1:133" s="11" customFormat="1">
      <c r="A78" s="31"/>
      <c r="B78" s="98" t="s">
        <v>430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52"/>
      <c r="AL78" s="40"/>
      <c r="AM78" s="40"/>
      <c r="AN78" s="40"/>
      <c r="AO78" s="40">
        <v>5</v>
      </c>
      <c r="AP78" s="40">
        <v>0</v>
      </c>
      <c r="AQ78" s="67">
        <v>4</v>
      </c>
      <c r="AR78" s="40">
        <f>AQ78</f>
        <v>4</v>
      </c>
      <c r="AS78" s="40">
        <v>10</v>
      </c>
      <c r="AT78" s="40">
        <v>14</v>
      </c>
      <c r="AU78" s="40">
        <v>16</v>
      </c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40"/>
      <c r="DB78" s="40"/>
      <c r="DC78" s="40"/>
      <c r="DD78" s="39"/>
      <c r="DE78" s="39"/>
      <c r="DF78" s="40"/>
      <c r="DG78" s="40"/>
      <c r="DH78" s="40"/>
      <c r="DI78" s="40"/>
      <c r="DJ78" s="40"/>
      <c r="DK78" s="40"/>
      <c r="DL78" s="40"/>
      <c r="DM78" s="40"/>
      <c r="DN78" s="40"/>
      <c r="DO78" s="40">
        <f t="shared" si="91"/>
        <v>32</v>
      </c>
      <c r="DP78" s="40">
        <f>SUM(AU78:AX78)</f>
        <v>16</v>
      </c>
      <c r="DQ78" s="40"/>
      <c r="DR78" s="40"/>
      <c r="DS78" s="40"/>
      <c r="DT78" s="69">
        <f t="shared" si="102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36</v>
      </c>
      <c r="C79" s="40">
        <v>48</v>
      </c>
      <c r="D79" s="40">
        <v>45</v>
      </c>
      <c r="E79" s="40">
        <v>20</v>
      </c>
      <c r="F79" s="40">
        <v>30</v>
      </c>
      <c r="G79" s="40">
        <v>32</v>
      </c>
      <c r="H79" s="40">
        <v>33</v>
      </c>
      <c r="I79" s="40">
        <v>27</v>
      </c>
      <c r="J79" s="40">
        <v>52</v>
      </c>
      <c r="K79" s="40">
        <v>31</v>
      </c>
      <c r="L79" s="40">
        <v>25</v>
      </c>
      <c r="M79" s="40">
        <v>20</v>
      </c>
      <c r="N79" s="40">
        <v>31</v>
      </c>
      <c r="O79" s="40">
        <v>30</v>
      </c>
      <c r="P79" s="40">
        <v>23</v>
      </c>
      <c r="Q79" s="40">
        <v>31</v>
      </c>
      <c r="R79" s="40">
        <v>32</v>
      </c>
      <c r="S79" s="40">
        <v>28</v>
      </c>
      <c r="T79" s="40">
        <v>13</v>
      </c>
      <c r="U79" s="40">
        <v>14</v>
      </c>
      <c r="V79" s="40">
        <v>17</v>
      </c>
      <c r="W79" s="40">
        <f>39-X79</f>
        <v>18</v>
      </c>
      <c r="X79" s="40">
        <v>21</v>
      </c>
      <c r="Y79" s="40">
        <v>20</v>
      </c>
      <c r="Z79" s="40">
        <v>22</v>
      </c>
      <c r="AA79" s="40">
        <f>38-AB79</f>
        <v>19</v>
      </c>
      <c r="AB79" s="40">
        <v>19</v>
      </c>
      <c r="AC79" s="40">
        <v>19</v>
      </c>
      <c r="AD79" s="40">
        <v>19</v>
      </c>
      <c r="AE79" s="40">
        <v>18</v>
      </c>
      <c r="AF79" s="40">
        <v>19</v>
      </c>
      <c r="AG79" s="40">
        <v>18</v>
      </c>
      <c r="AH79" s="40">
        <v>18</v>
      </c>
      <c r="AI79" s="40">
        <v>16</v>
      </c>
      <c r="AJ79" s="40">
        <v>16</v>
      </c>
      <c r="AK79" s="52">
        <v>17</v>
      </c>
      <c r="AL79" s="40">
        <v>17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40"/>
      <c r="DB79" s="40"/>
      <c r="DC79" s="40"/>
      <c r="DD79" s="39"/>
      <c r="DE79" s="39"/>
      <c r="DF79" s="40">
        <v>144</v>
      </c>
      <c r="DG79" s="40">
        <v>107</v>
      </c>
      <c r="DH79" s="40">
        <v>116</v>
      </c>
      <c r="DI79" s="40">
        <f>SUM(S79:V79)</f>
        <v>72</v>
      </c>
      <c r="DJ79" s="40">
        <f>SUM(W79:Z79)</f>
        <v>81</v>
      </c>
      <c r="DK79" s="40">
        <f>SUM(AA79:AD79)</f>
        <v>76</v>
      </c>
      <c r="DL79" s="40">
        <f>DK79</f>
        <v>76</v>
      </c>
      <c r="DM79" s="40">
        <f>SUM(AI79:AL79)</f>
        <v>66</v>
      </c>
      <c r="DN79" s="40"/>
      <c r="DO79" s="40"/>
      <c r="DP79" s="40"/>
      <c r="DQ79" s="40"/>
      <c r="DR79" s="40"/>
      <c r="DS79" s="40"/>
      <c r="DT79" s="69">
        <f t="shared" si="102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37</v>
      </c>
      <c r="C80" s="40">
        <v>32</v>
      </c>
      <c r="D80" s="40">
        <v>33</v>
      </c>
      <c r="E80" s="40">
        <v>29</v>
      </c>
      <c r="F80" s="40">
        <v>33</v>
      </c>
      <c r="G80" s="40">
        <v>31</v>
      </c>
      <c r="H80" s="40">
        <v>30</v>
      </c>
      <c r="I80" s="40">
        <v>30</v>
      </c>
      <c r="J80" s="40">
        <v>29</v>
      </c>
      <c r="K80" s="40">
        <v>31</v>
      </c>
      <c r="L80" s="40">
        <v>29</v>
      </c>
      <c r="M80" s="40">
        <v>31</v>
      </c>
      <c r="N80" s="40">
        <v>29</v>
      </c>
      <c r="O80" s="40">
        <v>25</v>
      </c>
      <c r="P80" s="40">
        <v>26</v>
      </c>
      <c r="Q80" s="40">
        <v>25</v>
      </c>
      <c r="R80" s="40">
        <v>25</v>
      </c>
      <c r="S80" s="40">
        <v>23</v>
      </c>
      <c r="T80" s="40">
        <v>23</v>
      </c>
      <c r="U80" s="40">
        <v>23</v>
      </c>
      <c r="V80" s="40">
        <v>22</v>
      </c>
      <c r="W80" s="40">
        <f>44-X80</f>
        <v>22</v>
      </c>
      <c r="X80" s="40">
        <v>22</v>
      </c>
      <c r="Y80" s="40">
        <v>21</v>
      </c>
      <c r="Z80" s="40">
        <v>23</v>
      </c>
      <c r="AA80" s="40">
        <f>46-AB80</f>
        <v>23</v>
      </c>
      <c r="AB80" s="40">
        <v>23</v>
      </c>
      <c r="AC80" s="40">
        <v>18</v>
      </c>
      <c r="AD80" s="40">
        <v>22</v>
      </c>
      <c r="AE80" s="40">
        <v>17</v>
      </c>
      <c r="AF80" s="40">
        <v>21</v>
      </c>
      <c r="AG80" s="40">
        <v>18</v>
      </c>
      <c r="AH80" s="40">
        <v>15</v>
      </c>
      <c r="AI80" s="40">
        <v>12</v>
      </c>
      <c r="AJ80" s="40">
        <v>16</v>
      </c>
      <c r="AK80" s="52">
        <v>16</v>
      </c>
      <c r="AL80" s="40">
        <v>19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40"/>
      <c r="DB80" s="40"/>
      <c r="DC80" s="40"/>
      <c r="DD80" s="39"/>
      <c r="DE80" s="39"/>
      <c r="DF80" s="40">
        <v>120</v>
      </c>
      <c r="DG80" s="40">
        <v>120</v>
      </c>
      <c r="DH80" s="40">
        <v>101</v>
      </c>
      <c r="DI80" s="40">
        <f>SUM(S80:V80)</f>
        <v>91</v>
      </c>
      <c r="DJ80" s="40">
        <f>SUM(W80:Z80)</f>
        <v>88</v>
      </c>
      <c r="DK80" s="40">
        <f>SUM(AA80:AD80)</f>
        <v>86</v>
      </c>
      <c r="DL80" s="40">
        <f>DK80</f>
        <v>86</v>
      </c>
      <c r="DM80" s="40">
        <f>SUM(AI80:AL80)</f>
        <v>63</v>
      </c>
      <c r="DN80" s="40"/>
      <c r="DO80" s="40"/>
      <c r="DP80" s="40"/>
      <c r="DQ80" s="40"/>
      <c r="DR80" s="40"/>
      <c r="DS80" s="40"/>
      <c r="DT80" s="69">
        <f t="shared" si="102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187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>
        <v>0</v>
      </c>
      <c r="AB81" s="40">
        <v>8</v>
      </c>
      <c r="AC81" s="40">
        <v>19</v>
      </c>
      <c r="AD81" s="40">
        <v>16</v>
      </c>
      <c r="AE81" s="40">
        <v>14</v>
      </c>
      <c r="AF81" s="40">
        <v>6</v>
      </c>
      <c r="AG81" s="40">
        <v>3</v>
      </c>
      <c r="AH81" s="40">
        <v>5</v>
      </c>
      <c r="AI81" s="40">
        <v>4</v>
      </c>
      <c r="AJ81" s="40">
        <v>5</v>
      </c>
      <c r="AK81" s="52">
        <v>2</v>
      </c>
      <c r="AL81" s="40">
        <v>4</v>
      </c>
      <c r="AM81" s="40"/>
      <c r="AN81" s="40"/>
      <c r="AO81" s="40"/>
      <c r="AP81" s="40"/>
      <c r="AQ81" s="52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40"/>
      <c r="DB81" s="40"/>
      <c r="DC81" s="40"/>
      <c r="DD81" s="39"/>
      <c r="DE81" s="39"/>
      <c r="DF81" s="40"/>
      <c r="DG81" s="40"/>
      <c r="DH81" s="40"/>
      <c r="DI81" s="40"/>
      <c r="DJ81" s="40"/>
      <c r="DK81" s="40">
        <f>SUM(AA81:AG81)</f>
        <v>66</v>
      </c>
      <c r="DL81" s="40">
        <f>DK81</f>
        <v>66</v>
      </c>
      <c r="DM81" s="40">
        <f>SUM(AI81:AL81)</f>
        <v>15</v>
      </c>
      <c r="DN81" s="40"/>
      <c r="DO81" s="40"/>
      <c r="DP81" s="40"/>
      <c r="DQ81" s="40"/>
      <c r="DR81" s="40"/>
      <c r="DS81" s="40"/>
      <c r="DT81" s="69">
        <f t="shared" si="102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41</v>
      </c>
      <c r="C82" s="40">
        <v>136</v>
      </c>
      <c r="D82" s="40">
        <v>144</v>
      </c>
      <c r="E82" s="40">
        <v>157</v>
      </c>
      <c r="F82" s="40">
        <v>181</v>
      </c>
      <c r="G82" s="40">
        <v>140</v>
      </c>
      <c r="H82" s="40">
        <v>117</v>
      </c>
      <c r="I82" s="40">
        <v>85</v>
      </c>
      <c r="J82" s="40">
        <v>138</v>
      </c>
      <c r="K82" s="40">
        <v>61</v>
      </c>
      <c r="L82" s="40">
        <v>39</v>
      </c>
      <c r="M82" s="40">
        <v>38</v>
      </c>
      <c r="N82" s="40">
        <v>40</v>
      </c>
      <c r="O82" s="40">
        <v>31</v>
      </c>
      <c r="P82" s="40">
        <v>38</v>
      </c>
      <c r="Q82" s="40">
        <v>30</v>
      </c>
      <c r="R82" s="40">
        <v>35</v>
      </c>
      <c r="S82" s="40">
        <v>28</v>
      </c>
      <c r="T82" s="40">
        <v>32</v>
      </c>
      <c r="U82" s="40">
        <v>26</v>
      </c>
      <c r="V82" s="40">
        <v>28</v>
      </c>
      <c r="W82" s="40">
        <f>45-X82</f>
        <v>21</v>
      </c>
      <c r="X82" s="40">
        <v>24</v>
      </c>
      <c r="Y82" s="40"/>
      <c r="Z82" s="40">
        <v>23</v>
      </c>
      <c r="AA82" s="40">
        <f>39-AB82</f>
        <v>19</v>
      </c>
      <c r="AB82" s="40">
        <v>20</v>
      </c>
      <c r="AC82" s="40"/>
      <c r="AD82" s="40">
        <v>24</v>
      </c>
      <c r="AE82" s="40">
        <v>18</v>
      </c>
      <c r="AF82" s="40"/>
      <c r="AG82" s="53" t="s">
        <v>332</v>
      </c>
      <c r="AH82" s="40"/>
      <c r="AI82" s="40"/>
      <c r="AJ82" s="40"/>
      <c r="AK82" s="52"/>
      <c r="AL82" s="40"/>
      <c r="AM82" s="40"/>
      <c r="AN82" s="40"/>
      <c r="AO82" s="40"/>
      <c r="AP82" s="40"/>
      <c r="AQ82" s="67">
        <v>23</v>
      </c>
      <c r="AR82" s="40">
        <f>AQ82</f>
        <v>23</v>
      </c>
      <c r="AS82" s="40">
        <v>0</v>
      </c>
      <c r="AT82" s="40">
        <v>0</v>
      </c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40"/>
      <c r="DB82" s="40"/>
      <c r="DC82" s="40"/>
      <c r="DD82" s="39"/>
      <c r="DE82" s="39"/>
      <c r="DF82" s="40">
        <v>480</v>
      </c>
      <c r="DG82" s="40">
        <v>178</v>
      </c>
      <c r="DH82" s="40">
        <v>134</v>
      </c>
      <c r="DI82" s="40">
        <f>SUM(S82:V82)</f>
        <v>114</v>
      </c>
      <c r="DJ82" s="40">
        <f>SUM(W82:Z82)</f>
        <v>68</v>
      </c>
      <c r="DK82" s="40">
        <f>SUM(AA82:AD82)</f>
        <v>63</v>
      </c>
      <c r="DL82" s="40">
        <f>DK82</f>
        <v>63</v>
      </c>
      <c r="DM82" s="40">
        <f>SUM(AI82:AL82)</f>
        <v>0</v>
      </c>
      <c r="DN82" s="40"/>
      <c r="DO82" s="40">
        <f>SUM(AQ82:AT82)</f>
        <v>46</v>
      </c>
      <c r="DP82" s="40"/>
      <c r="DQ82" s="39"/>
      <c r="DR82" s="39"/>
      <c r="DS82" s="39"/>
      <c r="DT82" s="69">
        <f t="shared" si="102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319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40"/>
      <c r="DB83" s="40"/>
      <c r="DC83" s="40"/>
      <c r="DD83" s="39"/>
      <c r="DE83" s="39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69">
        <f t="shared" si="102"/>
        <v>0</v>
      </c>
      <c r="DU83" s="69"/>
      <c r="DV83" s="69"/>
      <c r="DW83" s="69"/>
      <c r="DX83" s="69"/>
      <c r="DY83" s="69"/>
      <c r="DZ83" s="69"/>
      <c r="EA83" s="69"/>
      <c r="EB83" s="69"/>
      <c r="EC83" s="63"/>
    </row>
    <row r="84" spans="1:143" s="11" customFormat="1">
      <c r="A84" s="31"/>
      <c r="B84" s="98" t="s">
        <v>453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>
        <v>0</v>
      </c>
      <c r="AT84" s="40">
        <v>0</v>
      </c>
      <c r="AU84" s="40">
        <v>5</v>
      </c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40"/>
      <c r="DB84" s="40"/>
      <c r="DC84" s="40"/>
      <c r="DD84" s="39"/>
      <c r="DE84" s="39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>
        <f>SUM(AU84:AX84)</f>
        <v>5</v>
      </c>
      <c r="DQ84" s="40"/>
      <c r="DR84" s="40"/>
      <c r="DS84" s="40"/>
      <c r="DT84" s="69">
        <f t="shared" si="102"/>
        <v>0</v>
      </c>
      <c r="DU84" s="69"/>
      <c r="DV84" s="69"/>
      <c r="DW84" s="69"/>
      <c r="DX84" s="69"/>
      <c r="DY84" s="40"/>
      <c r="DZ84" s="40"/>
      <c r="EA84" s="40"/>
      <c r="EB84" s="69"/>
      <c r="EC84" s="63"/>
    </row>
    <row r="85" spans="1:143" s="11" customFormat="1">
      <c r="A85" s="31"/>
      <c r="B85" s="98">
        <v>6140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40"/>
      <c r="DB85" s="40"/>
      <c r="DC85" s="40"/>
      <c r="DD85" s="39"/>
      <c r="DE85" s="39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102"/>
        <v>0</v>
      </c>
      <c r="DU85" s="69"/>
      <c r="DV85" s="69"/>
      <c r="DW85" s="69"/>
      <c r="DX85" s="69"/>
      <c r="EB85" s="69"/>
    </row>
    <row r="86" spans="1:143" s="11" customFormat="1">
      <c r="A86" s="31"/>
      <c r="B86" s="98" t="s">
        <v>237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52"/>
      <c r="AL86" s="40"/>
      <c r="AM86" s="40"/>
      <c r="AN86" s="40"/>
      <c r="AO86" s="40"/>
      <c r="AP86" s="40"/>
      <c r="AQ86" s="52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/>
      <c r="BQ86" s="40"/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40"/>
      <c r="DB86" s="40"/>
      <c r="DC86" s="40"/>
      <c r="DD86" s="39"/>
      <c r="DE86" s="39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69">
        <f t="shared" si="102"/>
        <v>0</v>
      </c>
      <c r="DU86" s="69"/>
      <c r="DV86" s="69"/>
      <c r="DW86" s="69"/>
      <c r="DX86" s="69"/>
      <c r="EB86" s="71"/>
    </row>
    <row r="87" spans="1:143" s="11" customFormat="1">
      <c r="A87" s="31"/>
      <c r="B87" s="98" t="s">
        <v>48</v>
      </c>
      <c r="C87" s="40"/>
      <c r="D87" s="40"/>
      <c r="E87" s="40"/>
      <c r="F87" s="40"/>
      <c r="G87" s="40">
        <v>116</v>
      </c>
      <c r="H87" s="40">
        <v>123</v>
      </c>
      <c r="I87" s="40">
        <v>124</v>
      </c>
      <c r="J87" s="40">
        <v>135</v>
      </c>
      <c r="K87" s="40">
        <v>140</v>
      </c>
      <c r="L87" s="40">
        <v>137</v>
      </c>
      <c r="M87" s="40">
        <v>116</v>
      </c>
      <c r="N87" s="40">
        <v>138</v>
      </c>
      <c r="O87" s="40">
        <v>132</v>
      </c>
      <c r="P87" s="40">
        <v>141</v>
      </c>
      <c r="Q87" s="40">
        <v>139</v>
      </c>
      <c r="R87" s="40">
        <v>148</v>
      </c>
      <c r="S87" s="40">
        <v>156</v>
      </c>
      <c r="T87" s="40">
        <v>166</v>
      </c>
      <c r="U87" s="40">
        <v>154</v>
      </c>
      <c r="V87" s="40">
        <v>171</v>
      </c>
      <c r="W87" s="40">
        <f>88+83</f>
        <v>171</v>
      </c>
      <c r="X87" s="40">
        <f>93+90</f>
        <v>183</v>
      </c>
      <c r="Y87" s="40">
        <f>95+85</f>
        <v>180</v>
      </c>
      <c r="Z87" s="40">
        <f>98+102</f>
        <v>200</v>
      </c>
      <c r="AA87" s="40">
        <f>98+102</f>
        <v>200</v>
      </c>
      <c r="AB87" s="40">
        <f>111+102</f>
        <v>213</v>
      </c>
      <c r="AC87" s="40">
        <v>204</v>
      </c>
      <c r="AD87" s="40">
        <f>8170-SUM(AD12:AD76)</f>
        <v>746</v>
      </c>
      <c r="AE87" s="40">
        <f>7677-SUM(AE12:AE76)</f>
        <v>626</v>
      </c>
      <c r="AF87" s="40">
        <f>148+98</f>
        <v>246</v>
      </c>
      <c r="AG87" s="40">
        <f>129+98</f>
        <v>227</v>
      </c>
      <c r="AH87" s="40">
        <f>101+124</f>
        <v>225</v>
      </c>
      <c r="AI87" s="40">
        <f>105+117</f>
        <v>222</v>
      </c>
      <c r="AJ87" s="40">
        <f>112+127</f>
        <v>239</v>
      </c>
      <c r="AK87" s="40">
        <f>104+120</f>
        <v>224</v>
      </c>
      <c r="AL87" s="40">
        <f>72+142</f>
        <v>214</v>
      </c>
      <c r="AM87" s="40">
        <f>64+132</f>
        <v>196</v>
      </c>
      <c r="AN87" s="40">
        <f>59+134</f>
        <v>193</v>
      </c>
      <c r="AO87" s="40">
        <f>42+123</f>
        <v>165</v>
      </c>
      <c r="AP87" s="40">
        <f>146+54</f>
        <v>200</v>
      </c>
      <c r="AQ87" s="67">
        <f>53+141</f>
        <v>194</v>
      </c>
      <c r="AR87" s="40">
        <f>AQ87</f>
        <v>194</v>
      </c>
      <c r="AS87" s="40">
        <f>56+88</f>
        <v>144</v>
      </c>
      <c r="AT87" s="40">
        <v>55</v>
      </c>
      <c r="AU87" s="40">
        <v>29</v>
      </c>
      <c r="AV87" s="40">
        <v>0</v>
      </c>
      <c r="AW87" s="40">
        <v>0</v>
      </c>
      <c r="AX87" s="40">
        <v>0</v>
      </c>
      <c r="AY87" s="40">
        <v>0</v>
      </c>
      <c r="AZ87" s="40">
        <v>0</v>
      </c>
      <c r="BA87" s="40">
        <v>0</v>
      </c>
      <c r="BB87" s="40">
        <v>0</v>
      </c>
      <c r="BC87" s="40">
        <v>0</v>
      </c>
      <c r="BD87" s="40">
        <v>0</v>
      </c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72"/>
      <c r="BP87" s="40">
        <v>111</v>
      </c>
      <c r="BQ87" s="40">
        <v>1350</v>
      </c>
      <c r="BR87" s="40"/>
      <c r="BS87" s="40"/>
      <c r="BT87" s="40"/>
      <c r="BU87" s="40"/>
      <c r="BV87" s="40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40"/>
      <c r="DB87" s="40"/>
      <c r="DC87" s="40"/>
      <c r="DD87" s="39"/>
      <c r="DE87" s="39"/>
      <c r="DF87" s="40">
        <v>498</v>
      </c>
      <c r="DG87" s="40">
        <v>531</v>
      </c>
      <c r="DH87" s="40">
        <v>560</v>
      </c>
      <c r="DI87" s="40">
        <f>SUM(S87:V87)</f>
        <v>647</v>
      </c>
      <c r="DJ87" s="40">
        <f>SUM(W87:Z87)</f>
        <v>734</v>
      </c>
      <c r="DK87" s="40">
        <f>SUM(AA87:AD87)</f>
        <v>1363</v>
      </c>
      <c r="DL87" s="40">
        <f>DK87</f>
        <v>1363</v>
      </c>
      <c r="DM87" s="40">
        <f>SUM(AI87:AL87)</f>
        <v>899</v>
      </c>
      <c r="DN87" s="40">
        <f>SUM(AM87:AP87)</f>
        <v>754</v>
      </c>
      <c r="DO87" s="40">
        <f>SUM(AQ87:AT87)</f>
        <v>587</v>
      </c>
      <c r="DP87" s="40">
        <f>SUM(AU87:AX87)</f>
        <v>29</v>
      </c>
      <c r="DQ87" s="40"/>
      <c r="DR87" s="40">
        <f t="shared" ref="DR87:DS87" si="103">DQ87</f>
        <v>0</v>
      </c>
      <c r="DS87" s="40">
        <f t="shared" si="103"/>
        <v>0</v>
      </c>
      <c r="DT87" s="69">
        <f t="shared" si="102"/>
        <v>0</v>
      </c>
      <c r="DU87" s="69">
        <f t="shared" ref="DU87" si="104">SUM(BO87:BR87)</f>
        <v>1461</v>
      </c>
      <c r="DV87" s="69"/>
      <c r="DW87" s="69"/>
      <c r="DX87" s="69"/>
      <c r="DY87" s="40"/>
      <c r="DZ87" s="40"/>
      <c r="EA87" s="40"/>
      <c r="EB87" s="40"/>
      <c r="EC87" s="40"/>
    </row>
    <row r="88" spans="1:143" s="10" customFormat="1">
      <c r="A88" s="95"/>
      <c r="B88" s="99" t="s">
        <v>536</v>
      </c>
      <c r="C88" s="68">
        <v>3933</v>
      </c>
      <c r="D88" s="68">
        <v>4035</v>
      </c>
      <c r="E88" s="68">
        <v>3888</v>
      </c>
      <c r="F88" s="68">
        <v>4366.5</v>
      </c>
      <c r="G88" s="68">
        <v>4346.3</v>
      </c>
      <c r="H88" s="68">
        <v>4312</v>
      </c>
      <c r="I88" s="68">
        <v>4282</v>
      </c>
      <c r="J88" s="68">
        <v>4901</v>
      </c>
      <c r="K88" s="68">
        <v>4744</v>
      </c>
      <c r="L88" s="68">
        <v>4447</v>
      </c>
      <c r="M88" s="68">
        <v>4817</v>
      </c>
      <c r="N88" s="68">
        <v>4841.3999999999996</v>
      </c>
      <c r="O88" s="68">
        <v>5074</v>
      </c>
      <c r="P88" s="68">
        <v>5288</v>
      </c>
      <c r="Q88" s="68">
        <v>5265</v>
      </c>
      <c r="R88" s="68">
        <v>5799</v>
      </c>
      <c r="S88" s="68">
        <v>5743</v>
      </c>
      <c r="T88" s="68">
        <v>6132.25</v>
      </c>
      <c r="U88" s="68">
        <v>5789</v>
      </c>
      <c r="V88" s="68">
        <f t="shared" ref="V88:BF88" si="105">SUM(V12:V87)</f>
        <v>6022</v>
      </c>
      <c r="W88" s="68">
        <f t="shared" si="105"/>
        <v>5903</v>
      </c>
      <c r="X88" s="68">
        <f t="shared" si="105"/>
        <v>6317</v>
      </c>
      <c r="Y88" s="68">
        <f t="shared" si="105"/>
        <v>6240</v>
      </c>
      <c r="Z88" s="68">
        <f t="shared" si="105"/>
        <v>6902</v>
      </c>
      <c r="AA88" s="68">
        <f t="shared" si="105"/>
        <v>6612</v>
      </c>
      <c r="AB88" s="68">
        <f t="shared" si="105"/>
        <v>6859</v>
      </c>
      <c r="AC88" s="68">
        <f t="shared" si="105"/>
        <v>6779</v>
      </c>
      <c r="AD88" s="68">
        <f t="shared" si="105"/>
        <v>8251</v>
      </c>
      <c r="AE88" s="68">
        <f t="shared" si="105"/>
        <v>7744</v>
      </c>
      <c r="AF88" s="68">
        <f t="shared" si="105"/>
        <v>7438</v>
      </c>
      <c r="AG88" s="68">
        <f t="shared" si="105"/>
        <v>7274</v>
      </c>
      <c r="AH88" s="68">
        <f t="shared" si="105"/>
        <v>7679</v>
      </c>
      <c r="AI88" s="68">
        <f t="shared" si="105"/>
        <v>7186</v>
      </c>
      <c r="AJ88" s="68">
        <f t="shared" si="105"/>
        <v>7407</v>
      </c>
      <c r="AK88" s="68">
        <f t="shared" si="105"/>
        <v>7638</v>
      </c>
      <c r="AL88" s="68">
        <f t="shared" si="105"/>
        <v>8279</v>
      </c>
      <c r="AM88" s="68">
        <f t="shared" si="105"/>
        <v>7875</v>
      </c>
      <c r="AN88" s="68">
        <f t="shared" si="105"/>
        <v>7514</v>
      </c>
      <c r="AO88" s="68">
        <f t="shared" si="105"/>
        <v>7258</v>
      </c>
      <c r="AP88" s="68">
        <f t="shared" si="105"/>
        <v>7876</v>
      </c>
      <c r="AQ88" s="88">
        <f t="shared" si="105"/>
        <v>7540</v>
      </c>
      <c r="AR88" s="68">
        <f t="shared" si="105"/>
        <v>7082.16</v>
      </c>
      <c r="AS88" s="68">
        <f t="shared" si="105"/>
        <v>7458</v>
      </c>
      <c r="AT88" s="68">
        <f t="shared" si="105"/>
        <v>7817</v>
      </c>
      <c r="AU88" s="68">
        <f t="shared" si="105"/>
        <v>6626</v>
      </c>
      <c r="AV88" s="68">
        <f t="shared" si="105"/>
        <v>0</v>
      </c>
      <c r="AW88" s="68">
        <f t="shared" si="105"/>
        <v>0</v>
      </c>
      <c r="AX88" s="68">
        <f t="shared" si="105"/>
        <v>0</v>
      </c>
      <c r="AY88" s="68">
        <f t="shared" si="105"/>
        <v>4825</v>
      </c>
      <c r="AZ88" s="68">
        <f t="shared" si="105"/>
        <v>4461</v>
      </c>
      <c r="BA88" s="68">
        <f t="shared" si="105"/>
        <v>0</v>
      </c>
      <c r="BB88" s="68">
        <f t="shared" si="105"/>
        <v>0</v>
      </c>
      <c r="BC88" s="68">
        <f t="shared" si="105"/>
        <v>5488</v>
      </c>
      <c r="BD88" s="68">
        <f t="shared" si="105"/>
        <v>5526</v>
      </c>
      <c r="BE88" s="68">
        <f t="shared" si="105"/>
        <v>0</v>
      </c>
      <c r="BF88" s="68">
        <f t="shared" si="105"/>
        <v>0</v>
      </c>
      <c r="BG88" s="68">
        <f t="shared" ref="BG88:CS88" si="106">SUM(BG3:BG87)</f>
        <v>5748</v>
      </c>
      <c r="BH88" s="68">
        <f t="shared" si="106"/>
        <v>5836</v>
      </c>
      <c r="BI88" s="68">
        <f t="shared" si="106"/>
        <v>5850</v>
      </c>
      <c r="BJ88" s="68">
        <f t="shared" si="106"/>
        <v>6207</v>
      </c>
      <c r="BK88" s="68">
        <f t="shared" si="106"/>
        <v>5565</v>
      </c>
      <c r="BL88" s="68">
        <f t="shared" si="106"/>
        <v>5469</v>
      </c>
      <c r="BM88" s="68">
        <f t="shared" si="106"/>
        <v>5025</v>
      </c>
      <c r="BN88" s="68">
        <f t="shared" si="106"/>
        <v>5260</v>
      </c>
      <c r="BO88" s="89">
        <f t="shared" si="106"/>
        <v>4843</v>
      </c>
      <c r="BP88" s="68">
        <f t="shared" si="106"/>
        <v>5051</v>
      </c>
      <c r="BQ88" s="68">
        <f t="shared" si="106"/>
        <v>6232</v>
      </c>
      <c r="BR88" s="68">
        <f t="shared" si="106"/>
        <v>5487</v>
      </c>
      <c r="BS88" s="68">
        <f t="shared" si="106"/>
        <v>4985</v>
      </c>
      <c r="BT88" s="68">
        <f t="shared" si="106"/>
        <v>5030</v>
      </c>
      <c r="BU88" s="68">
        <f t="shared" si="106"/>
        <v>5266</v>
      </c>
      <c r="BV88" s="68">
        <f t="shared" si="106"/>
        <v>5768</v>
      </c>
      <c r="BW88" s="89">
        <f t="shared" si="106"/>
        <v>5465</v>
      </c>
      <c r="BX88" s="89">
        <f t="shared" si="106"/>
        <v>5718</v>
      </c>
      <c r="BY88" s="89">
        <f t="shared" si="106"/>
        <v>6128</v>
      </c>
      <c r="BZ88" s="89">
        <f t="shared" si="106"/>
        <v>6667</v>
      </c>
      <c r="CA88" s="89">
        <f t="shared" si="106"/>
        <v>6354</v>
      </c>
      <c r="CB88" s="89">
        <f t="shared" si="106"/>
        <v>6275</v>
      </c>
      <c r="CC88" s="89">
        <f t="shared" si="106"/>
        <v>6578</v>
      </c>
      <c r="CD88" s="89">
        <f t="shared" si="106"/>
        <v>7410</v>
      </c>
      <c r="CE88" s="89">
        <f t="shared" si="106"/>
        <v>7320</v>
      </c>
      <c r="CF88" s="89">
        <f t="shared" si="106"/>
        <v>8220</v>
      </c>
      <c r="CG88" s="89">
        <f t="shared" si="106"/>
        <v>9866</v>
      </c>
      <c r="CH88" s="89">
        <f t="shared" si="106"/>
        <v>12011</v>
      </c>
      <c r="CI88" s="89">
        <f t="shared" si="106"/>
        <v>11390</v>
      </c>
      <c r="CJ88" s="89">
        <f t="shared" si="106"/>
        <v>10771</v>
      </c>
      <c r="CK88" s="89">
        <f t="shared" si="106"/>
        <v>10982</v>
      </c>
      <c r="CL88" s="89">
        <f t="shared" si="106"/>
        <v>11207</v>
      </c>
      <c r="CM88" s="89">
        <f t="shared" si="106"/>
        <v>10879</v>
      </c>
      <c r="CN88" s="89">
        <f t="shared" si="106"/>
        <v>11417</v>
      </c>
      <c r="CO88" s="89">
        <f t="shared" si="106"/>
        <v>11492</v>
      </c>
      <c r="CP88" s="89">
        <f t="shared" si="106"/>
        <v>12024</v>
      </c>
      <c r="CQ88" s="89">
        <f t="shared" si="106"/>
        <v>12680</v>
      </c>
      <c r="CR88" s="89">
        <f t="shared" si="106"/>
        <v>12938</v>
      </c>
      <c r="CS88" s="89">
        <f t="shared" si="106"/>
        <v>13538</v>
      </c>
      <c r="CT88" s="89">
        <f t="shared" ref="CT88:CX88" si="107">SUM(CT3:CT87)</f>
        <v>14291</v>
      </c>
      <c r="CU88" s="89">
        <f>SUM(CU3:CU87)</f>
        <v>13475</v>
      </c>
      <c r="CV88" s="89">
        <f t="shared" si="107"/>
        <v>13022.7</v>
      </c>
      <c r="CW88" s="89">
        <f t="shared" si="107"/>
        <v>13754.509999999997</v>
      </c>
      <c r="CX88" s="89">
        <f t="shared" si="107"/>
        <v>14269.02</v>
      </c>
      <c r="CY88" s="89"/>
      <c r="CZ88" s="89"/>
      <c r="DA88" s="68"/>
      <c r="DB88" s="68"/>
      <c r="DC88" s="68"/>
      <c r="DD88" s="47"/>
      <c r="DE88" s="47"/>
      <c r="DF88" s="90">
        <v>17841.3</v>
      </c>
      <c r="DG88" s="90">
        <v>18849.400000000001</v>
      </c>
      <c r="DH88" s="90">
        <v>21426</v>
      </c>
      <c r="DI88" s="90">
        <f t="shared" ref="DI88:DP88" si="108">SUM(DI12:DI87)</f>
        <v>22944.25</v>
      </c>
      <c r="DJ88" s="90">
        <f t="shared" si="108"/>
        <v>25362</v>
      </c>
      <c r="DK88" s="90">
        <f t="shared" si="108"/>
        <v>28311</v>
      </c>
      <c r="DL88" s="90">
        <f t="shared" si="108"/>
        <v>29874</v>
      </c>
      <c r="DM88" s="90">
        <f t="shared" si="108"/>
        <v>30510</v>
      </c>
      <c r="DN88" s="90">
        <f t="shared" si="108"/>
        <v>30518</v>
      </c>
      <c r="DO88" s="90">
        <f t="shared" si="108"/>
        <v>29897.159999999996</v>
      </c>
      <c r="DP88" s="90">
        <f t="shared" si="108"/>
        <v>7026</v>
      </c>
      <c r="DQ88" s="90">
        <f t="shared" ref="DQ88:EM88" si="109">SUM(DQ3:DQ87)</f>
        <v>0</v>
      </c>
      <c r="DR88" s="90">
        <f t="shared" si="109"/>
        <v>0</v>
      </c>
      <c r="DS88" s="90">
        <f t="shared" si="109"/>
        <v>0</v>
      </c>
      <c r="DT88" s="90">
        <f t="shared" si="109"/>
        <v>17918</v>
      </c>
      <c r="DU88" s="90">
        <f t="shared" si="109"/>
        <v>21281</v>
      </c>
      <c r="DV88" s="90">
        <f t="shared" si="109"/>
        <v>21049</v>
      </c>
      <c r="DW88" s="90">
        <f t="shared" si="109"/>
        <v>23978</v>
      </c>
      <c r="DX88" s="90">
        <f t="shared" si="109"/>
        <v>26617</v>
      </c>
      <c r="DY88" s="90">
        <f t="shared" si="109"/>
        <v>37417</v>
      </c>
      <c r="DZ88" s="90">
        <f t="shared" si="109"/>
        <v>44346</v>
      </c>
      <c r="EA88" s="90">
        <f t="shared" si="109"/>
        <v>45812</v>
      </c>
      <c r="EB88" s="90">
        <f t="shared" si="109"/>
        <v>53447</v>
      </c>
      <c r="EC88" s="90">
        <f t="shared" si="109"/>
        <v>53920.830000000016</v>
      </c>
      <c r="ED88" s="90">
        <f t="shared" si="109"/>
        <v>48772.113899999997</v>
      </c>
      <c r="EE88" s="90">
        <f t="shared" si="109"/>
        <v>50195.671826999976</v>
      </c>
      <c r="EF88" s="90">
        <f t="shared" si="109"/>
        <v>52187.43660891</v>
      </c>
      <c r="EG88" s="90">
        <f t="shared" si="109"/>
        <v>53157.430393275296</v>
      </c>
      <c r="EH88" s="90">
        <f t="shared" si="109"/>
        <v>53427.137138876373</v>
      </c>
      <c r="EI88" s="90">
        <f t="shared" si="109"/>
        <v>49707.339532816251</v>
      </c>
      <c r="EJ88" s="90">
        <f t="shared" si="109"/>
        <v>46442.535344522155</v>
      </c>
      <c r="EK88" s="90">
        <f t="shared" si="109"/>
        <v>44200.412167238253</v>
      </c>
      <c r="EL88" s="90">
        <f t="shared" si="109"/>
        <v>44002.355101095673</v>
      </c>
      <c r="EM88" s="90">
        <f t="shared" si="109"/>
        <v>44313.815665845636</v>
      </c>
    </row>
    <row r="89" spans="1:143">
      <c r="B89" s="31" t="s">
        <v>537</v>
      </c>
      <c r="C89" s="34"/>
      <c r="D89" s="34"/>
      <c r="E89" s="34"/>
      <c r="F89" s="34"/>
      <c r="G89" s="34"/>
      <c r="H89" s="34"/>
      <c r="I89" s="34"/>
      <c r="J89" s="34"/>
      <c r="K89" s="34">
        <v>-1184</v>
      </c>
      <c r="L89" s="34">
        <v>-1073</v>
      </c>
      <c r="M89" s="34">
        <v>-1177</v>
      </c>
      <c r="N89" s="34">
        <v>-1029</v>
      </c>
      <c r="O89" s="34">
        <v>-1158</v>
      </c>
      <c r="P89" s="34">
        <v>-1251</v>
      </c>
      <c r="Q89" s="34">
        <v>-1286</v>
      </c>
      <c r="R89" s="34">
        <v>-1498</v>
      </c>
      <c r="S89" s="34">
        <v>-1410</v>
      </c>
      <c r="T89" s="34">
        <v>-1313</v>
      </c>
      <c r="U89" s="34">
        <v>-1245</v>
      </c>
      <c r="V89" s="34">
        <v>-1388</v>
      </c>
      <c r="W89" s="34">
        <f>1251+54</f>
        <v>1305</v>
      </c>
      <c r="X89" s="34">
        <f>1391+58</f>
        <v>1449</v>
      </c>
      <c r="Y89" s="34">
        <f>1339+53</f>
        <v>1392</v>
      </c>
      <c r="Z89" s="34">
        <f>1578+61</f>
        <v>1639</v>
      </c>
      <c r="AA89" s="34">
        <f>1486+61</f>
        <v>1547</v>
      </c>
      <c r="AB89" s="34">
        <f>1668+61</f>
        <v>1729</v>
      </c>
      <c r="AC89" s="34">
        <f>1444+59</f>
        <v>1503</v>
      </c>
      <c r="AD89" s="34">
        <f>1821+67</f>
        <v>1888</v>
      </c>
      <c r="AE89" s="34">
        <f>1502+66</f>
        <v>1568</v>
      </c>
      <c r="AF89" s="34">
        <f>1455+75</f>
        <v>1530</v>
      </c>
      <c r="AG89" s="34">
        <f>1529+79</f>
        <v>1608</v>
      </c>
      <c r="AH89" s="34">
        <f>2112+71</f>
        <v>2183</v>
      </c>
      <c r="AI89" s="34">
        <f>1383+64</f>
        <v>1447</v>
      </c>
      <c r="AJ89" s="34">
        <f>1464+70</f>
        <v>1534</v>
      </c>
      <c r="AK89" s="34">
        <f>1263+73</f>
        <v>1336</v>
      </c>
      <c r="AL89" s="34">
        <f>1665+91</f>
        <v>1756</v>
      </c>
      <c r="AM89" s="34">
        <f>1654+78</f>
        <v>1732</v>
      </c>
      <c r="AN89" s="34">
        <f>1452+88</f>
        <v>1540</v>
      </c>
      <c r="AO89" s="34">
        <f>1524+82</f>
        <v>1606</v>
      </c>
      <c r="AP89" s="34">
        <v>1759</v>
      </c>
      <c r="AQ89" s="34">
        <f>1339+80</f>
        <v>1419</v>
      </c>
      <c r="AR89" s="34">
        <f>AR88-AR90</f>
        <v>1203.9672</v>
      </c>
      <c r="AS89" s="34">
        <f>1593+93</f>
        <v>1686</v>
      </c>
      <c r="AT89" s="34">
        <f>1612+85</f>
        <v>1697</v>
      </c>
      <c r="AU89" s="34">
        <f>1375+76</f>
        <v>1451</v>
      </c>
      <c r="AV89" s="34">
        <f t="shared" ref="AV89:BB89" si="110">+AV88-AV90</f>
        <v>0</v>
      </c>
      <c r="AW89" s="34">
        <f t="shared" si="110"/>
        <v>0</v>
      </c>
      <c r="AX89" s="34">
        <f t="shared" si="110"/>
        <v>0</v>
      </c>
      <c r="AY89" s="34"/>
      <c r="AZ89" s="34"/>
      <c r="BA89" s="34">
        <f t="shared" si="110"/>
        <v>0</v>
      </c>
      <c r="BB89" s="34">
        <f t="shared" si="110"/>
        <v>0</v>
      </c>
      <c r="BC89" s="34"/>
      <c r="BD89" s="34">
        <f>1307+77</f>
        <v>1384</v>
      </c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76"/>
      <c r="BP89" s="34">
        <f>950+72</f>
        <v>1022</v>
      </c>
      <c r="BQ89" s="34">
        <f>1249+76</f>
        <v>1325</v>
      </c>
      <c r="BR89" s="34"/>
      <c r="BS89" s="34"/>
      <c r="BT89" s="34"/>
      <c r="BU89" s="34"/>
      <c r="BV89" s="34"/>
      <c r="BW89" s="76"/>
      <c r="BX89" s="76"/>
      <c r="BY89" s="76"/>
      <c r="BZ89" s="76">
        <f>1378+92</f>
        <v>1470</v>
      </c>
      <c r="CA89" s="76">
        <f>1420+87</f>
        <v>1507</v>
      </c>
      <c r="CB89" s="76">
        <f>984+104</f>
        <v>1088</v>
      </c>
      <c r="CC89" s="76">
        <f>1370+99</f>
        <v>1469</v>
      </c>
      <c r="CD89" s="76">
        <f>1525+109-9-16-1</f>
        <v>1608</v>
      </c>
      <c r="CE89" s="76">
        <f>1864-99-7-17</f>
        <v>1741</v>
      </c>
      <c r="CF89" s="76">
        <f>2191+103-6-16</f>
        <v>2272</v>
      </c>
      <c r="CG89" s="76">
        <f>3757+120-208-14-1049-2</f>
        <v>2604</v>
      </c>
      <c r="CH89" s="76">
        <f>4625+124-1157-501-16</f>
        <v>3075</v>
      </c>
      <c r="CI89" s="76">
        <f>3511+124-51-8-1181</f>
        <v>2395</v>
      </c>
      <c r="CJ89" s="76">
        <f>2998+129-30-8-1139</f>
        <v>1950</v>
      </c>
      <c r="CK89" s="76"/>
      <c r="CL89" s="76">
        <f>2900+156</f>
        <v>3056</v>
      </c>
      <c r="CM89" s="76">
        <f>1905+134</f>
        <v>2039</v>
      </c>
      <c r="CN89" s="76">
        <f>1960+131</f>
        <v>2091</v>
      </c>
      <c r="CO89" s="76"/>
      <c r="CP89" s="76">
        <f>2308+145</f>
        <v>2453</v>
      </c>
      <c r="CQ89" s="76">
        <f>2218+135</f>
        <v>2353</v>
      </c>
      <c r="CR89" s="76">
        <f>2183+132-25</f>
        <v>2290</v>
      </c>
      <c r="CS89" s="76"/>
      <c r="CT89" s="76">
        <f>2725+143</f>
        <v>2868</v>
      </c>
      <c r="CU89" s="76">
        <f t="shared" ref="CU89:CX89" si="111">+CU88*0.17</f>
        <v>2290.75</v>
      </c>
      <c r="CV89" s="76">
        <f t="shared" si="111"/>
        <v>2213.8590000000004</v>
      </c>
      <c r="CW89" s="76">
        <f t="shared" si="111"/>
        <v>2338.2666999999997</v>
      </c>
      <c r="CX89" s="76">
        <f t="shared" si="111"/>
        <v>2425.7334000000001</v>
      </c>
      <c r="CY89" s="76"/>
      <c r="CZ89" s="76"/>
      <c r="DA89" s="34"/>
      <c r="DB89" s="34"/>
      <c r="DC89" s="34"/>
      <c r="DG89" s="34">
        <v>-4463</v>
      </c>
      <c r="DH89" s="34">
        <v>-5193</v>
      </c>
      <c r="DI89" s="34">
        <v>-5356</v>
      </c>
      <c r="DJ89" s="40">
        <f>SUM(W89:Z89)</f>
        <v>5785</v>
      </c>
      <c r="DK89" s="34">
        <f>DK88-DK90</f>
        <v>6143.487000000001</v>
      </c>
      <c r="DL89" s="34">
        <f t="shared" ref="DL89:DS89" si="112">DL88-DL90</f>
        <v>6452.7839999999997</v>
      </c>
      <c r="DM89" s="34">
        <f>5775+298</f>
        <v>6073</v>
      </c>
      <c r="DN89" s="34">
        <f>DN88-DN90</f>
        <v>6632</v>
      </c>
      <c r="DO89" s="40">
        <f>SUM(AQ89:AT89)</f>
        <v>6005.9672</v>
      </c>
      <c r="DP89" s="34">
        <f t="shared" si="112"/>
        <v>1597.1107765908646</v>
      </c>
      <c r="DQ89" s="34">
        <f t="shared" si="112"/>
        <v>0</v>
      </c>
      <c r="DR89" s="34">
        <f t="shared" si="112"/>
        <v>0</v>
      </c>
      <c r="DS89" s="34">
        <f t="shared" si="112"/>
        <v>0</v>
      </c>
      <c r="DT89" s="34">
        <f t="shared" ref="DT89:EC89" si="113">DT88-DT90</f>
        <v>4431.3789147388434</v>
      </c>
      <c r="DU89" s="34">
        <f t="shared" si="113"/>
        <v>5369.5021472573571</v>
      </c>
      <c r="DV89" s="34">
        <f t="shared" si="113"/>
        <v>5416.2102129890554</v>
      </c>
      <c r="DW89" s="34">
        <f t="shared" si="113"/>
        <v>4795.5999999999985</v>
      </c>
      <c r="DX89" s="34">
        <f t="shared" si="113"/>
        <v>5323.3999999999978</v>
      </c>
      <c r="DY89" s="34">
        <f t="shared" si="113"/>
        <v>7483.3999999999978</v>
      </c>
      <c r="DZ89" s="34">
        <f>12391+536</f>
        <v>12927</v>
      </c>
      <c r="EA89" s="34">
        <f>8268+539</f>
        <v>8807</v>
      </c>
      <c r="EB89" s="69">
        <f>SUM(CQ89:CT89)</f>
        <v>7511</v>
      </c>
      <c r="EC89" s="34">
        <f t="shared" si="113"/>
        <v>10784.165999999997</v>
      </c>
      <c r="ED89" s="34">
        <f t="shared" ref="ED89:EM89" si="114">ED88-ED90</f>
        <v>9754.4227800000008</v>
      </c>
      <c r="EE89" s="34">
        <f t="shared" si="114"/>
        <v>10039.134365399994</v>
      </c>
      <c r="EF89" s="34">
        <f t="shared" si="114"/>
        <v>10437.487321781999</v>
      </c>
      <c r="EG89" s="34">
        <f t="shared" si="114"/>
        <v>10631.486078655056</v>
      </c>
      <c r="EH89" s="34">
        <f t="shared" si="114"/>
        <v>10685.42742777527</v>
      </c>
      <c r="EI89" s="34">
        <f t="shared" si="114"/>
        <v>9941.4679065632445</v>
      </c>
      <c r="EJ89" s="34">
        <f t="shared" si="114"/>
        <v>9288.5070689044296</v>
      </c>
      <c r="EK89" s="34">
        <f t="shared" si="114"/>
        <v>8840.0824334476492</v>
      </c>
      <c r="EL89" s="34">
        <f t="shared" si="114"/>
        <v>8800.4710202191345</v>
      </c>
      <c r="EM89" s="34">
        <f t="shared" si="114"/>
        <v>8862.7631331691227</v>
      </c>
    </row>
    <row r="90" spans="1:143" s="11" customFormat="1">
      <c r="A90" s="31"/>
      <c r="B90" s="31" t="s">
        <v>538</v>
      </c>
      <c r="C90" s="42"/>
      <c r="D90" s="42"/>
      <c r="E90" s="42"/>
      <c r="F90" s="42"/>
      <c r="G90" s="42"/>
      <c r="H90" s="42"/>
      <c r="I90" s="42"/>
      <c r="J90" s="42"/>
      <c r="K90" s="42">
        <v>3551</v>
      </c>
      <c r="L90" s="42">
        <v>3363</v>
      </c>
      <c r="M90" s="42">
        <v>3626</v>
      </c>
      <c r="N90" s="42">
        <v>3846</v>
      </c>
      <c r="O90" s="42">
        <v>3916</v>
      </c>
      <c r="P90" s="42">
        <v>4037</v>
      </c>
      <c r="Q90" s="42">
        <v>3979</v>
      </c>
      <c r="R90" s="42">
        <v>4301</v>
      </c>
      <c r="S90" s="42">
        <v>4333</v>
      </c>
      <c r="T90" s="42">
        <v>4819.25</v>
      </c>
      <c r="U90" s="42">
        <v>4544</v>
      </c>
      <c r="V90" s="42">
        <v>4898</v>
      </c>
      <c r="W90" s="42">
        <f t="shared" ref="W90:AD90" si="115">W88-W89</f>
        <v>4598</v>
      </c>
      <c r="X90" s="42">
        <f t="shared" si="115"/>
        <v>4868</v>
      </c>
      <c r="Y90" s="42">
        <f t="shared" si="115"/>
        <v>4848</v>
      </c>
      <c r="Z90" s="42">
        <f t="shared" si="115"/>
        <v>5263</v>
      </c>
      <c r="AA90" s="42">
        <f t="shared" si="115"/>
        <v>5065</v>
      </c>
      <c r="AB90" s="42">
        <f t="shared" si="115"/>
        <v>5130</v>
      </c>
      <c r="AC90" s="42">
        <f t="shared" si="115"/>
        <v>5276</v>
      </c>
      <c r="AD90" s="42">
        <f t="shared" si="115"/>
        <v>6363</v>
      </c>
      <c r="AE90" s="42">
        <f>AE88-AE89</f>
        <v>6176</v>
      </c>
      <c r="AF90" s="42">
        <f>AF88-AF89</f>
        <v>5908</v>
      </c>
      <c r="AG90" s="42">
        <f>AG88-AG89</f>
        <v>5666</v>
      </c>
      <c r="AH90" s="42">
        <f>AH88-AH89</f>
        <v>5496</v>
      </c>
      <c r="AI90" s="42">
        <f>+AI88-AI89</f>
        <v>5739</v>
      </c>
      <c r="AJ90" s="42">
        <f>+AJ88-AJ89</f>
        <v>5873</v>
      </c>
      <c r="AK90" s="42">
        <f>+AK88-AK89</f>
        <v>6302</v>
      </c>
      <c r="AL90" s="42">
        <f>AL88-AL89</f>
        <v>6523</v>
      </c>
      <c r="AM90" s="42">
        <f>AM88-AM89</f>
        <v>6143</v>
      </c>
      <c r="AN90" s="42">
        <f>+AN88-AN89</f>
        <v>5974</v>
      </c>
      <c r="AO90" s="42">
        <f>+AO88-AO89</f>
        <v>5652</v>
      </c>
      <c r="AP90" s="42">
        <f>+AP88-AP89</f>
        <v>6117</v>
      </c>
      <c r="AQ90" s="42">
        <f>AQ88-AQ89</f>
        <v>6121</v>
      </c>
      <c r="AR90" s="42">
        <f>AR88*0.83</f>
        <v>5878.1927999999998</v>
      </c>
      <c r="AS90" s="42">
        <f>+AS88-AS89</f>
        <v>5772</v>
      </c>
      <c r="AT90" s="42">
        <f>+AT88-AT89</f>
        <v>6120</v>
      </c>
      <c r="AU90" s="42">
        <f>+AU88-AU89</f>
        <v>5175</v>
      </c>
      <c r="AV90" s="42">
        <f>+AV88*0.79</f>
        <v>0</v>
      </c>
      <c r="AW90" s="42">
        <f>+AW88*0.79</f>
        <v>0</v>
      </c>
      <c r="AX90" s="42">
        <f>+AX88*0.79</f>
        <v>0</v>
      </c>
      <c r="AY90" s="42"/>
      <c r="AZ90" s="42"/>
      <c r="BA90" s="42"/>
      <c r="BB90" s="42"/>
      <c r="BC90" s="42"/>
      <c r="BD90" s="42">
        <f>+BD88-BD89</f>
        <v>4142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f>+BP88-BP89</f>
        <v>4029</v>
      </c>
      <c r="BQ90" s="42">
        <f>+BQ88-BQ89</f>
        <v>4907</v>
      </c>
      <c r="BR90" s="42"/>
      <c r="BS90" s="42"/>
      <c r="BT90" s="42"/>
      <c r="BU90" s="42"/>
      <c r="BV90" s="42"/>
      <c r="BW90" s="77"/>
      <c r="BX90" s="77"/>
      <c r="BY90" s="77"/>
      <c r="BZ90" s="77">
        <f t="shared" ref="BZ90:CD90" si="116">BZ88-BZ89</f>
        <v>5197</v>
      </c>
      <c r="CA90" s="77">
        <f t="shared" si="116"/>
        <v>4847</v>
      </c>
      <c r="CB90" s="77">
        <f t="shared" si="116"/>
        <v>5187</v>
      </c>
      <c r="CC90" s="77">
        <f>CC88-CC89</f>
        <v>5109</v>
      </c>
      <c r="CD90" s="77">
        <f t="shared" si="116"/>
        <v>5802</v>
      </c>
      <c r="CE90" s="77">
        <f>CE88-CE89</f>
        <v>5579</v>
      </c>
      <c r="CF90" s="77">
        <f>CF88-CF89</f>
        <v>5948</v>
      </c>
      <c r="CG90" s="77">
        <f>+CG88-CG89</f>
        <v>7262</v>
      </c>
      <c r="CH90" s="77">
        <f>CH88-CH89</f>
        <v>8936</v>
      </c>
      <c r="CI90" s="77">
        <f>CI88-CI89</f>
        <v>8995</v>
      </c>
      <c r="CJ90" s="77">
        <f>CJ88-CJ89</f>
        <v>8821</v>
      </c>
      <c r="CK90" s="77"/>
      <c r="CL90" s="77">
        <f>+CL88-CL89</f>
        <v>8151</v>
      </c>
      <c r="CM90" s="77">
        <f>+CM88-CM89</f>
        <v>8840</v>
      </c>
      <c r="CN90" s="77">
        <f>+CN88-CN89</f>
        <v>9326</v>
      </c>
      <c r="CO90" s="77"/>
      <c r="CP90" s="77">
        <f>+CP88-CP89</f>
        <v>9571</v>
      </c>
      <c r="CQ90" s="77">
        <f>+CQ88-CQ89</f>
        <v>10327</v>
      </c>
      <c r="CR90" s="77">
        <f>+CR88-CR89</f>
        <v>10648</v>
      </c>
      <c r="CS90" s="77">
        <f>+CS88-CS89</f>
        <v>13538</v>
      </c>
      <c r="CT90" s="77">
        <f t="shared" ref="CT90:CX90" si="117">+CT88-CT89</f>
        <v>11423</v>
      </c>
      <c r="CU90" s="77">
        <f t="shared" si="117"/>
        <v>11184.25</v>
      </c>
      <c r="CV90" s="77">
        <f t="shared" si="117"/>
        <v>10808.841</v>
      </c>
      <c r="CW90" s="77">
        <f t="shared" si="117"/>
        <v>11416.243299999996</v>
      </c>
      <c r="CX90" s="77">
        <f t="shared" si="117"/>
        <v>11843.286599999999</v>
      </c>
      <c r="CY90" s="77"/>
      <c r="CZ90" s="77"/>
      <c r="DA90" s="42"/>
      <c r="DB90" s="42"/>
      <c r="DC90" s="42"/>
      <c r="DD90" s="39"/>
      <c r="DE90" s="39"/>
      <c r="DF90" s="39"/>
      <c r="DG90" s="42">
        <v>14386</v>
      </c>
      <c r="DH90" s="42">
        <v>16233</v>
      </c>
      <c r="DI90" s="42">
        <v>18594.25</v>
      </c>
      <c r="DJ90" s="42">
        <f>DJ88-DJ89</f>
        <v>19577</v>
      </c>
      <c r="DK90" s="42">
        <f>DK88*DK104</f>
        <v>22167.512999999999</v>
      </c>
      <c r="DL90" s="42">
        <f t="shared" ref="DL90:DS90" si="118">DL88*DL104</f>
        <v>23421.216</v>
      </c>
      <c r="DM90" s="42">
        <f>DM88-DM89</f>
        <v>24437</v>
      </c>
      <c r="DN90" s="42">
        <f>SUM(AM90:AP90)</f>
        <v>23886</v>
      </c>
      <c r="DO90" s="40">
        <f>SUM(AQ90:AT90)</f>
        <v>23891.192800000001</v>
      </c>
      <c r="DP90" s="42">
        <f>DP88*DP104</f>
        <v>5428.8892234091354</v>
      </c>
      <c r="DQ90" s="42">
        <f t="shared" si="118"/>
        <v>0</v>
      </c>
      <c r="DR90" s="42">
        <f t="shared" si="118"/>
        <v>0</v>
      </c>
      <c r="DS90" s="42">
        <f t="shared" si="118"/>
        <v>0</v>
      </c>
      <c r="DT90" s="42">
        <f t="shared" ref="DT90:EC90" si="119">DT88*DT104</f>
        <v>13486.621085261157</v>
      </c>
      <c r="DU90" s="42">
        <f t="shared" si="119"/>
        <v>15911.497852742643</v>
      </c>
      <c r="DV90" s="42">
        <f t="shared" si="119"/>
        <v>15632.789787010945</v>
      </c>
      <c r="DW90" s="42">
        <f t="shared" si="119"/>
        <v>19182.400000000001</v>
      </c>
      <c r="DX90" s="42">
        <f t="shared" si="119"/>
        <v>21293.600000000002</v>
      </c>
      <c r="DY90" s="42">
        <f t="shared" si="119"/>
        <v>29933.600000000002</v>
      </c>
      <c r="DZ90" s="42">
        <f>+DZ88-DZ89</f>
        <v>31419</v>
      </c>
      <c r="EA90" s="42">
        <f>+EA88-EA89</f>
        <v>37005</v>
      </c>
      <c r="EB90" s="42">
        <f>+EB88-EB89</f>
        <v>45936</v>
      </c>
      <c r="EC90" s="42">
        <f t="shared" si="119"/>
        <v>43136.664000000019</v>
      </c>
      <c r="ED90" s="42">
        <f t="shared" ref="ED90:EM90" si="120">ED88*ED104</f>
        <v>39017.691119999996</v>
      </c>
      <c r="EE90" s="42">
        <f t="shared" si="120"/>
        <v>40156.537461599983</v>
      </c>
      <c r="EF90" s="42">
        <f t="shared" si="120"/>
        <v>41749.949287128002</v>
      </c>
      <c r="EG90" s="42">
        <f t="shared" si="120"/>
        <v>42525.944314620239</v>
      </c>
      <c r="EH90" s="42">
        <f t="shared" si="120"/>
        <v>42741.709711101103</v>
      </c>
      <c r="EI90" s="42">
        <f t="shared" si="120"/>
        <v>39765.871626253007</v>
      </c>
      <c r="EJ90" s="42">
        <f t="shared" si="120"/>
        <v>37154.028275617726</v>
      </c>
      <c r="EK90" s="42">
        <f t="shared" si="120"/>
        <v>35360.329733790604</v>
      </c>
      <c r="EL90" s="42">
        <f t="shared" si="120"/>
        <v>35201.884080876538</v>
      </c>
      <c r="EM90" s="42">
        <f t="shared" si="120"/>
        <v>35451.052532676513</v>
      </c>
    </row>
    <row r="91" spans="1:143" s="11" customFormat="1">
      <c r="A91" s="31"/>
      <c r="B91" s="31" t="s">
        <v>13</v>
      </c>
      <c r="C91" s="42"/>
      <c r="D91" s="42"/>
      <c r="E91" s="42"/>
      <c r="F91" s="42"/>
      <c r="G91" s="42"/>
      <c r="H91" s="42"/>
      <c r="I91" s="42"/>
      <c r="J91" s="42"/>
      <c r="K91" s="42">
        <v>-708</v>
      </c>
      <c r="L91" s="42">
        <v>-700</v>
      </c>
      <c r="M91" s="42">
        <v>-725</v>
      </c>
      <c r="N91" s="42">
        <v>-879</v>
      </c>
      <c r="O91" s="42">
        <v>-857</v>
      </c>
      <c r="P91" s="42">
        <v>-888</v>
      </c>
      <c r="Q91" s="42">
        <v>-823</v>
      </c>
      <c r="R91" s="42">
        <v>-899</v>
      </c>
      <c r="S91" s="42">
        <v>-865</v>
      </c>
      <c r="T91" s="42">
        <v>-860</v>
      </c>
      <c r="U91" s="42">
        <v>-781</v>
      </c>
      <c r="V91" s="42">
        <v>-873</v>
      </c>
      <c r="W91" s="42">
        <v>861</v>
      </c>
      <c r="X91" s="42">
        <v>955</v>
      </c>
      <c r="Y91" s="42">
        <v>962</v>
      </c>
      <c r="Z91" s="42">
        <v>1124</v>
      </c>
      <c r="AA91" s="42">
        <v>1170</v>
      </c>
      <c r="AB91" s="42">
        <v>1225</v>
      </c>
      <c r="AC91" s="42">
        <v>1335</v>
      </c>
      <c r="AD91" s="42">
        <v>1432</v>
      </c>
      <c r="AE91" s="42">
        <v>1236</v>
      </c>
      <c r="AF91" s="42">
        <v>1297</v>
      </c>
      <c r="AG91" s="42">
        <v>1291</v>
      </c>
      <c r="AH91" s="42">
        <v>1355</v>
      </c>
      <c r="AI91" s="42">
        <v>980</v>
      </c>
      <c r="AJ91" s="42">
        <v>1059</v>
      </c>
      <c r="AK91" s="42">
        <v>1056</v>
      </c>
      <c r="AL91" s="42">
        <v>1314</v>
      </c>
      <c r="AM91" s="42">
        <v>991</v>
      </c>
      <c r="AN91" s="42">
        <v>1320</v>
      </c>
      <c r="AO91" s="42">
        <v>1077</v>
      </c>
      <c r="AP91" s="42">
        <v>1930</v>
      </c>
      <c r="AQ91" s="42">
        <v>1162</v>
      </c>
      <c r="AR91" s="42">
        <f>AQ91</f>
        <v>1162</v>
      </c>
      <c r="AS91" s="42">
        <v>1296</v>
      </c>
      <c r="AT91" s="42">
        <v>1867</v>
      </c>
      <c r="AU91" s="42">
        <v>1530</v>
      </c>
      <c r="AV91" s="42"/>
      <c r="AW91" s="42"/>
      <c r="AX91" s="42"/>
      <c r="AY91" s="42"/>
      <c r="AZ91" s="42"/>
      <c r="BA91" s="42"/>
      <c r="BB91" s="42"/>
      <c r="BC91" s="42"/>
      <c r="BD91" s="42">
        <v>1328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1349</v>
      </c>
      <c r="BQ91" s="42">
        <v>1404</v>
      </c>
      <c r="BR91" s="42"/>
      <c r="BS91" s="42"/>
      <c r="BT91" s="42"/>
      <c r="BU91" s="42"/>
      <c r="BV91" s="42"/>
      <c r="BW91" s="77"/>
      <c r="BX91" s="77"/>
      <c r="BY91" s="77"/>
      <c r="BZ91" s="77">
        <v>2091</v>
      </c>
      <c r="CA91" s="77">
        <v>1388</v>
      </c>
      <c r="CB91" s="77">
        <v>1389</v>
      </c>
      <c r="CC91" s="77">
        <v>1495</v>
      </c>
      <c r="CD91" s="77">
        <v>1707</v>
      </c>
      <c r="CE91" s="77">
        <v>1638</v>
      </c>
      <c r="CF91" s="77">
        <v>1801</v>
      </c>
      <c r="CG91" s="77">
        <v>2152</v>
      </c>
      <c r="CH91" s="77">
        <v>2396</v>
      </c>
      <c r="CI91" s="77">
        <v>2186</v>
      </c>
      <c r="CJ91" s="77">
        <v>2431</v>
      </c>
      <c r="CK91" s="77"/>
      <c r="CL91" s="77">
        <v>2625</v>
      </c>
      <c r="CM91" s="77">
        <v>2611</v>
      </c>
      <c r="CN91" s="77">
        <v>2667</v>
      </c>
      <c r="CO91" s="77"/>
      <c r="CP91" s="77">
        <v>3073</v>
      </c>
      <c r="CQ91" s="77">
        <v>2783</v>
      </c>
      <c r="CR91" s="77">
        <v>2872</v>
      </c>
      <c r="CS91" s="77">
        <f>+CR91</f>
        <v>2872</v>
      </c>
      <c r="CT91" s="77">
        <v>3573</v>
      </c>
      <c r="CU91" s="77">
        <f t="shared" ref="CU91:CX91" si="121">+CT91</f>
        <v>3573</v>
      </c>
      <c r="CV91" s="77">
        <f t="shared" si="121"/>
        <v>3573</v>
      </c>
      <c r="CW91" s="77">
        <f t="shared" si="121"/>
        <v>3573</v>
      </c>
      <c r="CX91" s="77">
        <f t="shared" si="121"/>
        <v>3573</v>
      </c>
      <c r="CY91" s="77"/>
      <c r="CZ91" s="77"/>
      <c r="DA91" s="42"/>
      <c r="DB91" s="42"/>
      <c r="DC91" s="42"/>
      <c r="DD91" s="39"/>
      <c r="DE91" s="39"/>
      <c r="DF91" s="39"/>
      <c r="DG91" s="42">
        <v>-3012</v>
      </c>
      <c r="DH91" s="42">
        <v>-3467</v>
      </c>
      <c r="DI91" s="42">
        <v>-3379</v>
      </c>
      <c r="DJ91" s="40">
        <f>SUM(W91:Z91)</f>
        <v>3902</v>
      </c>
      <c r="DK91" s="42">
        <f>DJ91</f>
        <v>3902</v>
      </c>
      <c r="DL91" s="42">
        <f>DK91</f>
        <v>3902</v>
      </c>
      <c r="DM91" s="40">
        <f>SUM(AI91:AL91)</f>
        <v>4409</v>
      </c>
      <c r="DN91" s="42">
        <f>SUM(AM91:AP91)</f>
        <v>5318</v>
      </c>
      <c r="DO91" s="40">
        <f>SUM(AQ91:AT91)</f>
        <v>5487</v>
      </c>
      <c r="DP91" s="42"/>
      <c r="DQ91" s="42"/>
      <c r="DR91" s="42"/>
      <c r="DS91" s="42"/>
      <c r="DT91" s="42"/>
      <c r="DU91" s="42"/>
      <c r="DV91" s="42"/>
      <c r="DW91" s="42"/>
      <c r="DX91" s="42"/>
      <c r="DZ91" s="63">
        <v>9762</v>
      </c>
      <c r="EA91" s="63">
        <v>10935</v>
      </c>
      <c r="EB91" s="69">
        <f>SUM(CQ91:CT91)</f>
        <v>12100</v>
      </c>
    </row>
    <row r="92" spans="1:143" s="11" customFormat="1">
      <c r="A92" s="31"/>
      <c r="B92" s="31" t="s">
        <v>12</v>
      </c>
      <c r="C92" s="42"/>
      <c r="D92" s="42"/>
      <c r="E92" s="42"/>
      <c r="F92" s="42"/>
      <c r="G92" s="42"/>
      <c r="H92" s="42"/>
      <c r="I92" s="42"/>
      <c r="J92" s="42"/>
      <c r="K92" s="42">
        <v>-1677</v>
      </c>
      <c r="L92" s="42">
        <v>-1821</v>
      </c>
      <c r="M92" s="42">
        <v>-1898</v>
      </c>
      <c r="N92" s="42">
        <v>-2159</v>
      </c>
      <c r="O92" s="42">
        <v>-2045</v>
      </c>
      <c r="P92" s="42">
        <v>-2206</v>
      </c>
      <c r="Q92" s="42">
        <v>-2011</v>
      </c>
      <c r="R92" s="42">
        <v>-2183</v>
      </c>
      <c r="S92" s="42">
        <v>-2057</v>
      </c>
      <c r="T92" s="42">
        <v>-2283</v>
      </c>
      <c r="U92" s="42">
        <v>-2107</v>
      </c>
      <c r="V92" s="42">
        <v>-2459</v>
      </c>
      <c r="W92" s="42">
        <v>2115</v>
      </c>
      <c r="X92" s="42">
        <v>2290</v>
      </c>
      <c r="Y92" s="42">
        <v>2180</v>
      </c>
      <c r="Z92" s="42">
        <v>2511</v>
      </c>
      <c r="AA92" s="42">
        <v>2217</v>
      </c>
      <c r="AB92" s="42">
        <v>2605</v>
      </c>
      <c r="AC92" s="42">
        <v>2487</v>
      </c>
      <c r="AD92" s="42">
        <v>3055</v>
      </c>
      <c r="AE92" s="42">
        <v>2737</v>
      </c>
      <c r="AF92" s="42">
        <v>2834</v>
      </c>
      <c r="AG92" s="42">
        <v>2486</v>
      </c>
      <c r="AH92" s="42">
        <v>2856</v>
      </c>
      <c r="AI92" s="42">
        <v>2376</v>
      </c>
      <c r="AJ92" s="42">
        <v>2828</v>
      </c>
      <c r="AK92" s="42">
        <v>2663</v>
      </c>
      <c r="AL92" s="42">
        <v>3465</v>
      </c>
      <c r="AM92" s="42">
        <v>2462</v>
      </c>
      <c r="AN92" s="42">
        <v>2450</v>
      </c>
      <c r="AO92" s="42">
        <v>3011</v>
      </c>
      <c r="AP92" s="42">
        <v>2522</v>
      </c>
      <c r="AQ92" s="42">
        <v>2508</v>
      </c>
      <c r="AR92" s="42">
        <f>AQ92</f>
        <v>2508</v>
      </c>
      <c r="AS92" s="42">
        <v>2644</v>
      </c>
      <c r="AT92" s="42">
        <v>3141</v>
      </c>
      <c r="AU92" s="42">
        <v>2461</v>
      </c>
      <c r="AV92" s="42">
        <f>+AR92-100</f>
        <v>2408</v>
      </c>
      <c r="AW92" s="42">
        <f>+AS92-100</f>
        <v>2544</v>
      </c>
      <c r="AX92" s="42">
        <f>+AT92-100</f>
        <v>3041</v>
      </c>
      <c r="AY92" s="42"/>
      <c r="AZ92" s="42"/>
      <c r="BA92" s="42"/>
      <c r="BB92" s="42"/>
      <c r="BC92" s="42"/>
      <c r="BD92" s="42">
        <v>3058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>
        <v>2358</v>
      </c>
      <c r="BQ92" s="42">
        <v>2497</v>
      </c>
      <c r="BR92" s="42"/>
      <c r="BS92" s="42"/>
      <c r="BT92" s="42"/>
      <c r="BU92" s="42"/>
      <c r="BV92" s="42"/>
      <c r="BW92" s="77"/>
      <c r="BX92" s="77"/>
      <c r="BY92" s="77"/>
      <c r="BZ92" s="77">
        <v>3026</v>
      </c>
      <c r="CA92" s="77">
        <v>2719</v>
      </c>
      <c r="CB92" s="77">
        <v>2635</v>
      </c>
      <c r="CC92" s="77">
        <v>2730</v>
      </c>
      <c r="CD92" s="77">
        <v>2838</v>
      </c>
      <c r="CE92" s="77">
        <v>2399</v>
      </c>
      <c r="CF92" s="77">
        <v>2471</v>
      </c>
      <c r="CG92" s="77">
        <v>2866</v>
      </c>
      <c r="CH92" s="77">
        <v>3368</v>
      </c>
      <c r="CI92" s="77">
        <v>2946</v>
      </c>
      <c r="CJ92" s="77">
        <v>3137</v>
      </c>
      <c r="CK92" s="77"/>
      <c r="CL92" s="77">
        <v>4621</v>
      </c>
      <c r="CM92" s="77">
        <v>4059</v>
      </c>
      <c r="CN92" s="77">
        <v>4986</v>
      </c>
      <c r="CO92" s="77"/>
      <c r="CP92" s="77">
        <v>5371</v>
      </c>
      <c r="CQ92" s="77">
        <v>4495</v>
      </c>
      <c r="CR92" s="77">
        <v>3735</v>
      </c>
      <c r="CS92" s="77">
        <f>+CR92</f>
        <v>3735</v>
      </c>
      <c r="CT92" s="77">
        <v>4275</v>
      </c>
      <c r="CU92" s="77">
        <f t="shared" ref="CU92:CX92" si="122">+CT92</f>
        <v>4275</v>
      </c>
      <c r="CV92" s="77">
        <f t="shared" si="122"/>
        <v>4275</v>
      </c>
      <c r="CW92" s="77">
        <f t="shared" si="122"/>
        <v>4275</v>
      </c>
      <c r="CX92" s="77">
        <f t="shared" si="122"/>
        <v>4275</v>
      </c>
      <c r="CY92" s="77"/>
      <c r="CZ92" s="77"/>
      <c r="DA92" s="42"/>
      <c r="DB92" s="42"/>
      <c r="DC92" s="42"/>
      <c r="DD92" s="39"/>
      <c r="DE92" s="39"/>
      <c r="DF92" s="39"/>
      <c r="DG92" s="42">
        <v>-7555</v>
      </c>
      <c r="DH92" s="42">
        <v>-8445</v>
      </c>
      <c r="DI92" s="42">
        <v>-8906</v>
      </c>
      <c r="DJ92" s="40">
        <f>SUM(W92:Z92)</f>
        <v>9096</v>
      </c>
      <c r="DK92" s="42">
        <f>DJ92*1.01</f>
        <v>9186.9600000000009</v>
      </c>
      <c r="DL92" s="42">
        <f>DK92*1.01</f>
        <v>9278.8296000000009</v>
      </c>
      <c r="DM92" s="40">
        <f>SUM(AI92:AL92)</f>
        <v>11332</v>
      </c>
      <c r="DN92" s="42">
        <f>SUM(AM92:AP92)</f>
        <v>10445</v>
      </c>
      <c r="DO92" s="40">
        <f>SUM(AQ92:AT92)</f>
        <v>10801</v>
      </c>
      <c r="DP92" s="42">
        <f>+DP88*DP106</f>
        <v>2178.06</v>
      </c>
      <c r="DQ92" s="42">
        <f t="shared" ref="DQ92:DW92" si="123">+DQ88*DQ106</f>
        <v>0</v>
      </c>
      <c r="DR92" s="42">
        <f t="shared" si="123"/>
        <v>0</v>
      </c>
      <c r="DS92" s="42">
        <f t="shared" si="123"/>
        <v>0</v>
      </c>
      <c r="DT92" s="42">
        <f t="shared" si="123"/>
        <v>5733.76</v>
      </c>
      <c r="DU92" s="42">
        <f t="shared" si="123"/>
        <v>7022.7300000000005</v>
      </c>
      <c r="DV92" s="42">
        <f t="shared" si="123"/>
        <v>7156.6600000000008</v>
      </c>
      <c r="DW92" s="42">
        <f t="shared" si="123"/>
        <v>8392.2999999999993</v>
      </c>
      <c r="DX92" s="42">
        <f t="shared" ref="DX92:EM92" si="124">+DX88*DX106</f>
        <v>9582.119999999999</v>
      </c>
      <c r="DY92" s="42">
        <f t="shared" si="124"/>
        <v>13470.119999999999</v>
      </c>
      <c r="DZ92" s="42">
        <v>18419</v>
      </c>
      <c r="EA92" s="42">
        <v>19216</v>
      </c>
      <c r="EB92" s="69">
        <f>SUM(CQ92:CT92)</f>
        <v>16240</v>
      </c>
      <c r="EC92" s="42">
        <f t="shared" si="124"/>
        <v>19411.498800000005</v>
      </c>
      <c r="ED92" s="42">
        <f t="shared" si="124"/>
        <v>17557.961003999997</v>
      </c>
      <c r="EE92" s="42">
        <f t="shared" si="124"/>
        <v>18070.44185771999</v>
      </c>
      <c r="EF92" s="42">
        <f t="shared" si="124"/>
        <v>18787.477179207599</v>
      </c>
      <c r="EG92" s="42">
        <f t="shared" si="124"/>
        <v>19136.674941579106</v>
      </c>
      <c r="EH92" s="42">
        <f t="shared" si="124"/>
        <v>19233.769369995494</v>
      </c>
      <c r="EI92" s="42">
        <f t="shared" si="124"/>
        <v>17894.64223181385</v>
      </c>
      <c r="EJ92" s="42">
        <f t="shared" si="124"/>
        <v>16719.312724027975</v>
      </c>
      <c r="EK92" s="42">
        <f t="shared" si="124"/>
        <v>15912.14838020577</v>
      </c>
      <c r="EL92" s="42">
        <f t="shared" si="124"/>
        <v>15840.847836394441</v>
      </c>
      <c r="EM92" s="42">
        <f t="shared" si="124"/>
        <v>15952.973639704429</v>
      </c>
    </row>
    <row r="93" spans="1:143" s="11" customFormat="1">
      <c r="A93" s="31"/>
      <c r="B93" s="31" t="s">
        <v>14</v>
      </c>
      <c r="C93" s="42"/>
      <c r="D93" s="42"/>
      <c r="E93" s="42"/>
      <c r="F93" s="42"/>
      <c r="G93" s="42"/>
      <c r="H93" s="42"/>
      <c r="I93" s="42"/>
      <c r="J93" s="42"/>
      <c r="K93" s="42">
        <v>18</v>
      </c>
      <c r="L93" s="42">
        <v>40</v>
      </c>
      <c r="M93" s="42">
        <v>70</v>
      </c>
      <c r="N93" s="42">
        <v>60</v>
      </c>
      <c r="O93" s="42">
        <v>38</v>
      </c>
      <c r="P93" s="42">
        <v>109</v>
      </c>
      <c r="Q93" s="42">
        <v>27</v>
      </c>
      <c r="R93" s="42">
        <v>52</v>
      </c>
      <c r="S93" s="42">
        <v>42</v>
      </c>
      <c r="T93" s="42">
        <v>42</v>
      </c>
      <c r="U93" s="42">
        <v>39</v>
      </c>
      <c r="V93" s="42">
        <v>70</v>
      </c>
      <c r="W93" s="42">
        <v>77</v>
      </c>
      <c r="X93" s="42">
        <v>200</v>
      </c>
      <c r="Y93" s="42">
        <v>124</v>
      </c>
      <c r="Z93" s="42">
        <v>123</v>
      </c>
      <c r="AA93" s="42">
        <v>138</v>
      </c>
      <c r="AB93" s="42">
        <v>259</v>
      </c>
      <c r="AC93" s="42">
        <v>197</v>
      </c>
      <c r="AD93" s="42">
        <v>134</v>
      </c>
      <c r="AE93" s="42">
        <v>121</v>
      </c>
      <c r="AF93" s="42">
        <v>178</v>
      </c>
      <c r="AG93" s="42">
        <v>132</v>
      </c>
      <c r="AH93" s="42">
        <v>93</v>
      </c>
      <c r="AI93" s="42">
        <v>265</v>
      </c>
      <c r="AJ93" s="42">
        <v>314</v>
      </c>
      <c r="AK93" s="42">
        <v>59</v>
      </c>
      <c r="AL93" s="42">
        <v>-85</v>
      </c>
      <c r="AM93" s="42">
        <v>252</v>
      </c>
      <c r="AN93" s="42">
        <v>166</v>
      </c>
      <c r="AO93" s="42">
        <v>202</v>
      </c>
      <c r="AP93" s="42">
        <v>92</v>
      </c>
      <c r="AQ93" s="42">
        <v>198</v>
      </c>
      <c r="AR93" s="42">
        <f>AQ93</f>
        <v>198</v>
      </c>
      <c r="AS93" s="42"/>
      <c r="AT93" s="42">
        <v>216</v>
      </c>
      <c r="AU93" s="42">
        <v>253</v>
      </c>
      <c r="AV93" s="42"/>
      <c r="AW93" s="42"/>
      <c r="AX93" s="42"/>
      <c r="AY93" s="42"/>
      <c r="AZ93" s="42"/>
      <c r="BA93" s="42"/>
      <c r="BB93" s="42"/>
      <c r="BC93" s="42"/>
      <c r="BD93" s="42">
        <v>425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/>
      <c r="BR93" s="42"/>
      <c r="BS93" s="42"/>
      <c r="BT93" s="42"/>
      <c r="BU93" s="42"/>
      <c r="BV93" s="42"/>
      <c r="BW93" s="77"/>
      <c r="BX93" s="77"/>
      <c r="BY93" s="77"/>
      <c r="BZ93" s="77">
        <v>500</v>
      </c>
      <c r="CA93" s="77">
        <v>480</v>
      </c>
      <c r="CB93" s="77">
        <v>121</v>
      </c>
      <c r="CC93" s="77">
        <v>287</v>
      </c>
      <c r="CD93" s="77">
        <v>642</v>
      </c>
      <c r="CE93" s="77">
        <v>1180</v>
      </c>
      <c r="CF93" s="77">
        <v>129</v>
      </c>
      <c r="CG93" s="77">
        <v>37</v>
      </c>
      <c r="CH93" s="77"/>
      <c r="CI93" s="77">
        <v>98</v>
      </c>
      <c r="CJ93" s="77">
        <v>112</v>
      </c>
      <c r="CK93" s="77"/>
      <c r="CL93" s="77">
        <v>189</v>
      </c>
      <c r="CM93" s="77">
        <v>379</v>
      </c>
      <c r="CN93" s="77">
        <v>784</v>
      </c>
      <c r="CO93" s="77"/>
      <c r="CP93" s="77">
        <v>107</v>
      </c>
      <c r="CQ93" s="77">
        <v>67</v>
      </c>
      <c r="CR93" s="77">
        <v>60</v>
      </c>
      <c r="CS93" s="77">
        <f>+CR93</f>
        <v>60</v>
      </c>
      <c r="CT93" s="77">
        <v>101</v>
      </c>
      <c r="CU93" s="77">
        <f t="shared" ref="CU93:CX93" si="125">+CT93</f>
        <v>101</v>
      </c>
      <c r="CV93" s="77">
        <f t="shared" si="125"/>
        <v>101</v>
      </c>
      <c r="CW93" s="77">
        <f t="shared" si="125"/>
        <v>101</v>
      </c>
      <c r="CX93" s="77">
        <f t="shared" si="125"/>
        <v>101</v>
      </c>
      <c r="CY93" s="77"/>
      <c r="CZ93" s="77"/>
      <c r="DA93" s="42"/>
      <c r="DB93" s="42"/>
      <c r="DC93" s="42"/>
      <c r="DD93" s="39"/>
      <c r="DE93" s="39"/>
      <c r="DF93" s="39"/>
      <c r="DG93" s="42">
        <v>188</v>
      </c>
      <c r="DH93" s="42">
        <v>226</v>
      </c>
      <c r="DI93" s="42">
        <v>193</v>
      </c>
      <c r="DJ93" s="40">
        <f>SUM(W93:Z93)</f>
        <v>524</v>
      </c>
      <c r="DK93" s="42">
        <f>DJ93</f>
        <v>524</v>
      </c>
      <c r="DL93" s="42">
        <f>DK93</f>
        <v>524</v>
      </c>
      <c r="DM93" s="40">
        <f>SUM(AI93:AL93)</f>
        <v>553</v>
      </c>
      <c r="DN93" s="42">
        <f>SUM(AM93:AP93)</f>
        <v>712</v>
      </c>
      <c r="DO93" s="40">
        <f>SUM(AQ93:AT93)</f>
        <v>612</v>
      </c>
      <c r="DP93" s="42"/>
      <c r="DQ93" s="42"/>
      <c r="DR93" s="42"/>
      <c r="DS93" s="42"/>
      <c r="DT93" s="42"/>
      <c r="DU93" s="42"/>
      <c r="DV93" s="42"/>
      <c r="DW93" s="42"/>
      <c r="DX93" s="42"/>
      <c r="DZ93" s="63">
        <v>514</v>
      </c>
      <c r="EA93" s="63">
        <v>1340</v>
      </c>
      <c r="EB93" s="69">
        <f>SUM(CQ93:CT93)</f>
        <v>288</v>
      </c>
    </row>
    <row r="94" spans="1:143" s="11" customFormat="1">
      <c r="A94" s="31"/>
      <c r="B94" s="31" t="s">
        <v>15</v>
      </c>
      <c r="C94" s="42"/>
      <c r="D94" s="42"/>
      <c r="E94" s="42"/>
      <c r="F94" s="42"/>
      <c r="G94" s="42"/>
      <c r="H94" s="42"/>
      <c r="I94" s="42"/>
      <c r="J94" s="42"/>
      <c r="K94" s="42">
        <v>1184</v>
      </c>
      <c r="L94" s="42">
        <v>882</v>
      </c>
      <c r="M94" s="42">
        <v>1073</v>
      </c>
      <c r="N94" s="42">
        <v>868</v>
      </c>
      <c r="O94" s="42">
        <v>1052</v>
      </c>
      <c r="P94" s="42">
        <v>1052</v>
      </c>
      <c r="Q94" s="42">
        <v>1172</v>
      </c>
      <c r="R94" s="42">
        <v>1271</v>
      </c>
      <c r="S94" s="42">
        <v>1453</v>
      </c>
      <c r="T94" s="42">
        <v>1718.25</v>
      </c>
      <c r="U94" s="42">
        <v>1695</v>
      </c>
      <c r="V94" s="42">
        <v>1636</v>
      </c>
      <c r="W94" s="42">
        <f t="shared" ref="W94:AD94" si="126">W90-W91-W92+W93</f>
        <v>1699</v>
      </c>
      <c r="X94" s="42">
        <f t="shared" si="126"/>
        <v>1823</v>
      </c>
      <c r="Y94" s="42">
        <f t="shared" si="126"/>
        <v>1830</v>
      </c>
      <c r="Z94" s="42">
        <f t="shared" si="126"/>
        <v>1751</v>
      </c>
      <c r="AA94" s="42">
        <f t="shared" si="126"/>
        <v>1816</v>
      </c>
      <c r="AB94" s="42">
        <f t="shared" si="126"/>
        <v>1559</v>
      </c>
      <c r="AC94" s="42">
        <f t="shared" si="126"/>
        <v>1651</v>
      </c>
      <c r="AD94" s="42">
        <f t="shared" si="126"/>
        <v>2010</v>
      </c>
      <c r="AE94" s="42">
        <f t="shared" ref="AE94:AL94" si="127">AE90-AE91-AE92+AE93</f>
        <v>2324</v>
      </c>
      <c r="AF94" s="42">
        <f t="shared" si="127"/>
        <v>1955</v>
      </c>
      <c r="AG94" s="42">
        <f t="shared" si="127"/>
        <v>2021</v>
      </c>
      <c r="AH94" s="42">
        <f t="shared" si="127"/>
        <v>1378</v>
      </c>
      <c r="AI94" s="42">
        <f t="shared" si="127"/>
        <v>2648</v>
      </c>
      <c r="AJ94" s="42">
        <f t="shared" si="127"/>
        <v>2300</v>
      </c>
      <c r="AK94" s="42">
        <f t="shared" si="127"/>
        <v>2642</v>
      </c>
      <c r="AL94" s="42">
        <f t="shared" si="127"/>
        <v>1659</v>
      </c>
      <c r="AM94" s="42">
        <f t="shared" ref="AM94:AT94" si="128">AM90-AM91-AM92+AM93</f>
        <v>2942</v>
      </c>
      <c r="AN94" s="42">
        <f t="shared" si="128"/>
        <v>2370</v>
      </c>
      <c r="AO94" s="42">
        <f t="shared" si="128"/>
        <v>1766</v>
      </c>
      <c r="AP94" s="42">
        <f t="shared" si="128"/>
        <v>1757</v>
      </c>
      <c r="AQ94" s="42">
        <f t="shared" si="128"/>
        <v>2649</v>
      </c>
      <c r="AR94" s="42">
        <f t="shared" si="128"/>
        <v>2406.1927999999998</v>
      </c>
      <c r="AS94" s="42">
        <f t="shared" si="128"/>
        <v>1832</v>
      </c>
      <c r="AT94" s="42">
        <f t="shared" si="128"/>
        <v>1328</v>
      </c>
      <c r="AU94" s="42">
        <f>AU90-AU91-AU92+AU93</f>
        <v>1437</v>
      </c>
      <c r="AV94" s="42">
        <f>AV90-AV91-AV92+AV93</f>
        <v>-2408</v>
      </c>
      <c r="AW94" s="42">
        <f>AW90-AW91-AW92+AW93</f>
        <v>-2544</v>
      </c>
      <c r="AX94" s="42">
        <f>AX90-AX91-AX92+AX93</f>
        <v>-3041</v>
      </c>
      <c r="AY94" s="42"/>
      <c r="AZ94" s="42"/>
      <c r="BA94" s="42"/>
      <c r="BB94" s="42"/>
      <c r="BC94" s="42"/>
      <c r="BD94" s="42">
        <f>BD90-BD91-BD92+BD93</f>
        <v>181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+BP90-BP91-BP92</f>
        <v>322</v>
      </c>
      <c r="BQ94" s="42">
        <f>+BQ90-BQ91-BQ92</f>
        <v>1006</v>
      </c>
      <c r="BR94" s="42"/>
      <c r="BS94" s="42"/>
      <c r="BT94" s="42"/>
      <c r="BU94" s="42"/>
      <c r="BV94" s="42"/>
      <c r="BW94" s="77"/>
      <c r="BX94" s="77"/>
      <c r="BY94" s="77"/>
      <c r="BZ94" s="77">
        <f t="shared" ref="BZ94:CJ94" si="129">BZ90-BZ91-BZ92+BZ93</f>
        <v>580</v>
      </c>
      <c r="CA94" s="77">
        <f t="shared" si="129"/>
        <v>1220</v>
      </c>
      <c r="CB94" s="77">
        <f t="shared" ref="CB94" si="130">CB90-CB91-CB92+CB93</f>
        <v>1284</v>
      </c>
      <c r="CC94" s="77">
        <f t="shared" si="129"/>
        <v>1171</v>
      </c>
      <c r="CD94" s="77">
        <f t="shared" si="129"/>
        <v>1899</v>
      </c>
      <c r="CE94" s="77">
        <f t="shared" si="129"/>
        <v>2722</v>
      </c>
      <c r="CF94" s="77">
        <f t="shared" si="129"/>
        <v>1805</v>
      </c>
      <c r="CG94" s="77">
        <f t="shared" si="129"/>
        <v>2281</v>
      </c>
      <c r="CH94" s="77">
        <f t="shared" si="129"/>
        <v>3172</v>
      </c>
      <c r="CI94" s="77">
        <f t="shared" si="129"/>
        <v>3961</v>
      </c>
      <c r="CJ94" s="77">
        <f t="shared" si="129"/>
        <v>3365</v>
      </c>
      <c r="CK94" s="77"/>
      <c r="CL94" s="77">
        <f t="shared" ref="CL94:CM94" si="131">CL90-CL91-CL92+CL93</f>
        <v>1094</v>
      </c>
      <c r="CM94" s="77">
        <f t="shared" si="131"/>
        <v>2549</v>
      </c>
      <c r="CN94" s="77">
        <f t="shared" ref="CN94" si="132">CN90-CN91-CN92+CN93</f>
        <v>2457</v>
      </c>
      <c r="CO94" s="77"/>
      <c r="CP94" s="77">
        <f t="shared" ref="CP94:CS94" si="133">CP90-CP91-CP92+CP93</f>
        <v>1234</v>
      </c>
      <c r="CQ94" s="77">
        <f t="shared" si="133"/>
        <v>3116</v>
      </c>
      <c r="CR94" s="77">
        <f t="shared" si="133"/>
        <v>4101</v>
      </c>
      <c r="CS94" s="77">
        <f t="shared" si="133"/>
        <v>6991</v>
      </c>
      <c r="CT94" s="77">
        <f t="shared" ref="CT94:CX94" si="134">CT90-CT91-CT92+CT93</f>
        <v>3676</v>
      </c>
      <c r="CU94" s="77">
        <f t="shared" si="134"/>
        <v>3437.25</v>
      </c>
      <c r="CV94" s="77">
        <f t="shared" si="134"/>
        <v>3061.8410000000003</v>
      </c>
      <c r="CW94" s="77">
        <f t="shared" si="134"/>
        <v>3669.2432999999965</v>
      </c>
      <c r="CX94" s="77">
        <f t="shared" si="134"/>
        <v>4096.2865999999995</v>
      </c>
      <c r="CY94" s="77"/>
      <c r="CZ94" s="77"/>
      <c r="DA94" s="42"/>
      <c r="DB94" s="42"/>
      <c r="DC94" s="42"/>
      <c r="DD94" s="39"/>
      <c r="DE94" s="39"/>
      <c r="DF94" s="39"/>
      <c r="DG94" s="42">
        <v>4007</v>
      </c>
      <c r="DH94" s="42">
        <v>4547</v>
      </c>
      <c r="DI94" s="42">
        <v>6502.25</v>
      </c>
      <c r="DJ94" s="42">
        <f>DJ90-DJ91-DJ92+DJ93</f>
        <v>7103</v>
      </c>
      <c r="DK94" s="42">
        <f>DK90-DK91-DK92+DK93</f>
        <v>9602.5529999999981</v>
      </c>
      <c r="DL94" s="42">
        <f t="shared" ref="DL94:DZ94" si="135">DL90-DL91-DL92+DL93</f>
        <v>10764.386399999999</v>
      </c>
      <c r="DM94" s="42">
        <f>DM90-DM91-DM92+DM93</f>
        <v>9249</v>
      </c>
      <c r="DN94" s="42">
        <f>DN90-DN91-DN92+DN93</f>
        <v>8835</v>
      </c>
      <c r="DO94" s="42">
        <f t="shared" si="135"/>
        <v>8215.1928000000007</v>
      </c>
      <c r="DP94" s="42">
        <f t="shared" si="135"/>
        <v>3250.8292234091355</v>
      </c>
      <c r="DQ94" s="42">
        <f t="shared" si="135"/>
        <v>0</v>
      </c>
      <c r="DR94" s="42">
        <f t="shared" si="135"/>
        <v>0</v>
      </c>
      <c r="DS94" s="42">
        <f t="shared" si="135"/>
        <v>0</v>
      </c>
      <c r="DT94" s="42">
        <f t="shared" si="135"/>
        <v>7752.8610852611564</v>
      </c>
      <c r="DU94" s="42">
        <f t="shared" si="135"/>
        <v>8888.7678527426433</v>
      </c>
      <c r="DV94" s="42">
        <f t="shared" si="135"/>
        <v>8476.1297870109447</v>
      </c>
      <c r="DW94" s="42">
        <f t="shared" si="135"/>
        <v>10790.100000000002</v>
      </c>
      <c r="DX94" s="42">
        <f>DX90-DX91-DX92+DX93</f>
        <v>11711.480000000003</v>
      </c>
      <c r="DY94" s="42">
        <f t="shared" si="135"/>
        <v>16463.480000000003</v>
      </c>
      <c r="DZ94" s="42">
        <f t="shared" si="135"/>
        <v>3752</v>
      </c>
      <c r="EA94" s="42">
        <f>EA90-EA91-EA92+EA93</f>
        <v>8194</v>
      </c>
      <c r="EB94" s="42">
        <f>EB90-EB91-EB92+EB93</f>
        <v>17884</v>
      </c>
      <c r="EC94" s="42">
        <f>EC90-EC91-EC92+EC93</f>
        <v>23725.165200000014</v>
      </c>
      <c r="ED94" s="42">
        <f t="shared" ref="ED94:EM94" si="136">ED90-ED91-ED92+ED93</f>
        <v>21459.730115999999</v>
      </c>
      <c r="EE94" s="42">
        <f t="shared" si="136"/>
        <v>22086.095603879992</v>
      </c>
      <c r="EF94" s="42">
        <f t="shared" si="136"/>
        <v>22962.472107920403</v>
      </c>
      <c r="EG94" s="42">
        <f t="shared" si="136"/>
        <v>23389.269373041134</v>
      </c>
      <c r="EH94" s="42">
        <f t="shared" si="136"/>
        <v>23507.940341105608</v>
      </c>
      <c r="EI94" s="42">
        <f t="shared" si="136"/>
        <v>21871.229394439157</v>
      </c>
      <c r="EJ94" s="42">
        <f t="shared" si="136"/>
        <v>20434.71555158975</v>
      </c>
      <c r="EK94" s="42">
        <f t="shared" si="136"/>
        <v>19448.181353584834</v>
      </c>
      <c r="EL94" s="42">
        <f t="shared" si="136"/>
        <v>19361.036244482097</v>
      </c>
      <c r="EM94" s="42">
        <f t="shared" si="136"/>
        <v>19498.078892972084</v>
      </c>
    </row>
    <row r="95" spans="1:143" s="11" customFormat="1">
      <c r="A95" s="31"/>
      <c r="B95" s="31" t="s">
        <v>22</v>
      </c>
      <c r="C95" s="42"/>
      <c r="D95" s="42"/>
      <c r="E95" s="42"/>
      <c r="F95" s="42"/>
      <c r="G95" s="42"/>
      <c r="H95" s="42"/>
      <c r="I95" s="42"/>
      <c r="J95" s="42"/>
      <c r="K95" s="42">
        <v>11</v>
      </c>
      <c r="L95" s="42">
        <v>31</v>
      </c>
      <c r="M95" s="42">
        <v>4</v>
      </c>
      <c r="N95" s="42">
        <v>10</v>
      </c>
      <c r="O95" s="42">
        <v>30</v>
      </c>
      <c r="P95" s="42">
        <v>-13</v>
      </c>
      <c r="Q95" s="42">
        <v>13</v>
      </c>
      <c r="R95" s="42">
        <v>48</v>
      </c>
      <c r="S95" s="42">
        <v>33</v>
      </c>
      <c r="T95" s="42">
        <v>31</v>
      </c>
      <c r="U95" s="42">
        <v>48</v>
      </c>
      <c r="V95" s="42">
        <v>53</v>
      </c>
      <c r="W95" s="42">
        <f>200-132</f>
        <v>68</v>
      </c>
      <c r="X95" s="42">
        <f>199-121</f>
        <v>78</v>
      </c>
      <c r="Y95" s="42">
        <f>221-140</f>
        <v>81</v>
      </c>
      <c r="Z95" s="42">
        <f>267-167</f>
        <v>100</v>
      </c>
      <c r="AA95" s="42">
        <f>247-150</f>
        <v>97</v>
      </c>
      <c r="AB95" s="42">
        <f>239-221</f>
        <v>18</v>
      </c>
      <c r="AC95" s="42">
        <f>217-351</f>
        <v>-134</v>
      </c>
      <c r="AD95" s="42">
        <f>256-348</f>
        <v>-92</v>
      </c>
      <c r="AE95" s="42">
        <v>-114</v>
      </c>
      <c r="AF95" s="42">
        <f>144-338</f>
        <v>-194</v>
      </c>
      <c r="AG95" s="42">
        <f>235-314</f>
        <v>-79</v>
      </c>
      <c r="AH95" s="42">
        <f>217-293</f>
        <v>-76</v>
      </c>
      <c r="AI95" s="42">
        <f>113-273</f>
        <v>-160</v>
      </c>
      <c r="AJ95" s="42">
        <f>94-337</f>
        <v>-243</v>
      </c>
      <c r="AK95" s="42">
        <f>125-297</f>
        <v>-172</v>
      </c>
      <c r="AL95" s="42">
        <f>130-291</f>
        <v>-161</v>
      </c>
      <c r="AM95" s="42">
        <f>133-257</f>
        <v>-124</v>
      </c>
      <c r="AN95" s="42">
        <f>126-243</f>
        <v>-117</v>
      </c>
      <c r="AO95" s="42">
        <f>123-271</f>
        <v>-148</v>
      </c>
      <c r="AP95" s="42">
        <f>140-268</f>
        <v>-128</v>
      </c>
      <c r="AQ95" s="42">
        <f>137-250</f>
        <v>-113</v>
      </c>
      <c r="AR95" s="42">
        <f>137-250</f>
        <v>-113</v>
      </c>
      <c r="AS95" s="42">
        <f>153-246</f>
        <v>-93</v>
      </c>
      <c r="AT95" s="42">
        <f>126-241</f>
        <v>-115</v>
      </c>
      <c r="AU95" s="42">
        <f>132-239</f>
        <v>-107</v>
      </c>
      <c r="AV95" s="42"/>
      <c r="AW95" s="42"/>
      <c r="AX95" s="42"/>
      <c r="AY95" s="42"/>
      <c r="AZ95" s="42"/>
      <c r="BA95" s="42"/>
      <c r="BB95" s="42"/>
      <c r="BC95" s="42"/>
      <c r="BD95" s="42">
        <f>10-253</f>
        <v>-243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603-420-13</f>
        <v>170</v>
      </c>
      <c r="BQ95" s="42">
        <f>-386-17+143</f>
        <v>-260</v>
      </c>
      <c r="BR95" s="42"/>
      <c r="BS95" s="42"/>
      <c r="BT95" s="42"/>
      <c r="BU95" s="42"/>
      <c r="BV95" s="42"/>
      <c r="BW95" s="77"/>
      <c r="BX95" s="77"/>
      <c r="BY95" s="77"/>
      <c r="BZ95" s="77">
        <f>312+25</f>
        <v>337</v>
      </c>
      <c r="CA95" s="77">
        <f>281+4</f>
        <v>285</v>
      </c>
      <c r="CB95" s="77">
        <f>307+16</f>
        <v>323</v>
      </c>
      <c r="CC95" s="77">
        <f>324+1-7</f>
        <v>318</v>
      </c>
      <c r="CD95" s="77">
        <f>314+6-54-55</f>
        <v>211</v>
      </c>
      <c r="CE95" s="77">
        <f>-20+303+4-49-47</f>
        <v>191</v>
      </c>
      <c r="CF95" s="77">
        <f>319+44-50-47</f>
        <v>266</v>
      </c>
      <c r="CG95" s="77">
        <f>335+7-15-101</f>
        <v>226</v>
      </c>
      <c r="CH95" s="77">
        <f>-146+233</f>
        <v>87</v>
      </c>
      <c r="CI95" s="77">
        <v>252</v>
      </c>
      <c r="CJ95" s="77">
        <f>223-1</f>
        <v>222</v>
      </c>
      <c r="CK95" s="77"/>
      <c r="CL95" s="77">
        <v>316</v>
      </c>
      <c r="CM95" s="77">
        <f>365-78</f>
        <v>287</v>
      </c>
      <c r="CN95" s="77">
        <f>367+1</f>
        <v>368</v>
      </c>
      <c r="CO95" s="77"/>
      <c r="CP95" s="77">
        <v>337</v>
      </c>
      <c r="CQ95" s="77">
        <f>413+13-111</f>
        <v>315</v>
      </c>
      <c r="CR95" s="77">
        <f>285+6</f>
        <v>291</v>
      </c>
      <c r="CS95" s="77">
        <f>+CR95</f>
        <v>291</v>
      </c>
      <c r="CT95" s="77">
        <v>310</v>
      </c>
      <c r="CU95" s="77">
        <f t="shared" ref="CU95:CX95" si="137">+CT95</f>
        <v>310</v>
      </c>
      <c r="CV95" s="77">
        <f t="shared" si="137"/>
        <v>310</v>
      </c>
      <c r="CW95" s="77">
        <f t="shared" si="137"/>
        <v>310</v>
      </c>
      <c r="CX95" s="77">
        <f t="shared" si="137"/>
        <v>310</v>
      </c>
      <c r="CY95" s="77"/>
      <c r="CZ95" s="77"/>
      <c r="DA95" s="42"/>
      <c r="DB95" s="42"/>
      <c r="DC95" s="42"/>
      <c r="DD95" s="39"/>
      <c r="DE95" s="39"/>
      <c r="DF95" s="39"/>
      <c r="DG95" s="42">
        <v>56</v>
      </c>
      <c r="DH95" s="42">
        <v>78</v>
      </c>
      <c r="DI95" s="42">
        <v>165</v>
      </c>
      <c r="DJ95" s="40">
        <f>SUM(W95:Z95)</f>
        <v>327</v>
      </c>
      <c r="DK95" s="39"/>
      <c r="DL95" s="42" t="e">
        <f>#REF!*0.07</f>
        <v>#REF!</v>
      </c>
      <c r="DM95" s="40">
        <f>SUM(AI95:AL95)</f>
        <v>-736</v>
      </c>
      <c r="DN95" s="42">
        <f>SUM(AM95:AP95)</f>
        <v>-517</v>
      </c>
      <c r="DO95" s="40">
        <f>SUM(AQ95:AT95)</f>
        <v>-434</v>
      </c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>
        <v>-1251</v>
      </c>
      <c r="EA95" s="42">
        <v>-1282</v>
      </c>
      <c r="EB95" s="69">
        <f>SUM(CQ95:CT95)</f>
        <v>1207</v>
      </c>
      <c r="EC95" s="42"/>
    </row>
    <row r="96" spans="1:143" s="11" customFormat="1">
      <c r="A96" s="31"/>
      <c r="B96" s="31" t="s">
        <v>23</v>
      </c>
      <c r="C96" s="42"/>
      <c r="D96" s="42"/>
      <c r="E96" s="42"/>
      <c r="F96" s="42"/>
      <c r="G96" s="42"/>
      <c r="H96" s="42"/>
      <c r="I96" s="42"/>
      <c r="J96" s="42"/>
      <c r="K96" s="42">
        <v>1195</v>
      </c>
      <c r="L96" s="42">
        <v>914</v>
      </c>
      <c r="M96" s="42">
        <v>1077</v>
      </c>
      <c r="N96" s="42">
        <v>879</v>
      </c>
      <c r="O96" s="42">
        <v>1082</v>
      </c>
      <c r="P96" s="42">
        <v>1039</v>
      </c>
      <c r="Q96" s="42">
        <v>1185</v>
      </c>
      <c r="R96" s="42">
        <v>1319</v>
      </c>
      <c r="S96" s="42">
        <v>1486</v>
      </c>
      <c r="T96" s="42">
        <v>1749.25</v>
      </c>
      <c r="U96" s="42">
        <v>1743</v>
      </c>
      <c r="V96" s="42">
        <v>1689</v>
      </c>
      <c r="W96" s="42">
        <f t="shared" ref="W96:AB96" si="138">W94+W95</f>
        <v>1767</v>
      </c>
      <c r="X96" s="42">
        <f t="shared" si="138"/>
        <v>1901</v>
      </c>
      <c r="Y96" s="42">
        <f t="shared" si="138"/>
        <v>1911</v>
      </c>
      <c r="Z96" s="42">
        <f t="shared" si="138"/>
        <v>1851</v>
      </c>
      <c r="AA96" s="42">
        <f t="shared" si="138"/>
        <v>1913</v>
      </c>
      <c r="AB96" s="42">
        <f t="shared" si="138"/>
        <v>1577</v>
      </c>
      <c r="AC96" s="42">
        <f t="shared" ref="AC96:AH96" si="139">AC94+AC95</f>
        <v>1517</v>
      </c>
      <c r="AD96" s="42">
        <f t="shared" si="139"/>
        <v>1918</v>
      </c>
      <c r="AE96" s="42">
        <f t="shared" si="139"/>
        <v>2210</v>
      </c>
      <c r="AF96" s="42">
        <f t="shared" si="139"/>
        <v>1761</v>
      </c>
      <c r="AG96" s="42">
        <f t="shared" si="139"/>
        <v>1942</v>
      </c>
      <c r="AH96" s="42">
        <f t="shared" si="139"/>
        <v>1302</v>
      </c>
      <c r="AI96" s="42">
        <f t="shared" ref="AI96:AQ96" si="140">AI94+AI95</f>
        <v>2488</v>
      </c>
      <c r="AJ96" s="42">
        <f t="shared" si="140"/>
        <v>2057</v>
      </c>
      <c r="AK96" s="42">
        <f t="shared" si="140"/>
        <v>2470</v>
      </c>
      <c r="AL96" s="42">
        <f t="shared" si="140"/>
        <v>1498</v>
      </c>
      <c r="AM96" s="42">
        <f t="shared" si="140"/>
        <v>2818</v>
      </c>
      <c r="AN96" s="42">
        <f t="shared" si="140"/>
        <v>2253</v>
      </c>
      <c r="AO96" s="42">
        <f t="shared" si="140"/>
        <v>1618</v>
      </c>
      <c r="AP96" s="42">
        <f t="shared" si="140"/>
        <v>1629</v>
      </c>
      <c r="AQ96" s="42">
        <f t="shared" si="140"/>
        <v>2536</v>
      </c>
      <c r="AR96" s="42">
        <f t="shared" ref="AR96:AX96" si="141">AR94+AR95</f>
        <v>2293.1927999999998</v>
      </c>
      <c r="AS96" s="42">
        <f t="shared" si="141"/>
        <v>1739</v>
      </c>
      <c r="AT96" s="42">
        <f t="shared" si="141"/>
        <v>1213</v>
      </c>
      <c r="AU96" s="42">
        <f t="shared" si="141"/>
        <v>1330</v>
      </c>
      <c r="AV96" s="42">
        <f t="shared" si="141"/>
        <v>-2408</v>
      </c>
      <c r="AW96" s="42">
        <f t="shared" si="141"/>
        <v>-2544</v>
      </c>
      <c r="AX96" s="42">
        <f t="shared" si="141"/>
        <v>-3041</v>
      </c>
      <c r="AY96" s="42"/>
      <c r="AZ96" s="42"/>
      <c r="BA96" s="42"/>
      <c r="BB96" s="42"/>
      <c r="BC96" s="42"/>
      <c r="BD96" s="42">
        <f>+BD95+BD94</f>
        <v>-62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f>+BP94+BP95</f>
        <v>492</v>
      </c>
      <c r="BQ96" s="42">
        <f>+BQ94+BQ95</f>
        <v>746</v>
      </c>
      <c r="BR96" s="42"/>
      <c r="BS96" s="42"/>
      <c r="BT96" s="42"/>
      <c r="BU96" s="42"/>
      <c r="BV96" s="42"/>
      <c r="BW96" s="77"/>
      <c r="BX96" s="77"/>
      <c r="BY96" s="77"/>
      <c r="BZ96" s="77">
        <f t="shared" ref="BZ96:CB96" si="142">BZ94-BZ95</f>
        <v>243</v>
      </c>
      <c r="CA96" s="77">
        <f t="shared" si="142"/>
        <v>935</v>
      </c>
      <c r="CB96" s="77">
        <f t="shared" si="142"/>
        <v>961</v>
      </c>
      <c r="CC96" s="77">
        <f t="shared" ref="CC96:CJ96" si="143">CC94-CC95</f>
        <v>853</v>
      </c>
      <c r="CD96" s="77">
        <f t="shared" si="143"/>
        <v>1688</v>
      </c>
      <c r="CE96" s="77">
        <f t="shared" si="143"/>
        <v>2531</v>
      </c>
      <c r="CF96" s="77">
        <f t="shared" si="143"/>
        <v>1539</v>
      </c>
      <c r="CG96" s="77">
        <f t="shared" si="143"/>
        <v>2055</v>
      </c>
      <c r="CH96" s="77">
        <f t="shared" si="143"/>
        <v>3085</v>
      </c>
      <c r="CI96" s="77">
        <f t="shared" si="143"/>
        <v>3709</v>
      </c>
      <c r="CJ96" s="77">
        <f t="shared" si="143"/>
        <v>3143</v>
      </c>
      <c r="CK96" s="77"/>
      <c r="CL96" s="77">
        <f t="shared" ref="CL96:CM96" si="144">CL94-CL95</f>
        <v>778</v>
      </c>
      <c r="CM96" s="77">
        <f t="shared" si="144"/>
        <v>2262</v>
      </c>
      <c r="CN96" s="77">
        <f t="shared" ref="CN96" si="145">CN94-CN95</f>
        <v>2089</v>
      </c>
      <c r="CO96" s="77"/>
      <c r="CP96" s="77">
        <f t="shared" ref="CP96:CS96" si="146">CP94-CP95</f>
        <v>897</v>
      </c>
      <c r="CQ96" s="77">
        <f t="shared" si="146"/>
        <v>2801</v>
      </c>
      <c r="CR96" s="77">
        <f t="shared" si="146"/>
        <v>3810</v>
      </c>
      <c r="CS96" s="77">
        <f t="shared" si="146"/>
        <v>6700</v>
      </c>
      <c r="CT96" s="77">
        <f t="shared" ref="CT96:CX96" si="147">CT94-CT95</f>
        <v>3366</v>
      </c>
      <c r="CU96" s="77">
        <f t="shared" si="147"/>
        <v>3127.25</v>
      </c>
      <c r="CV96" s="77">
        <f t="shared" si="147"/>
        <v>2751.8410000000003</v>
      </c>
      <c r="CW96" s="77">
        <f t="shared" si="147"/>
        <v>3359.2432999999965</v>
      </c>
      <c r="CX96" s="77">
        <f t="shared" si="147"/>
        <v>3786.2865999999995</v>
      </c>
      <c r="CY96" s="77"/>
      <c r="CZ96" s="77"/>
      <c r="DA96" s="42"/>
      <c r="DB96" s="42"/>
      <c r="DC96" s="42"/>
      <c r="DD96" s="39"/>
      <c r="DE96" s="39"/>
      <c r="DF96" s="39"/>
      <c r="DG96" s="42">
        <v>4065</v>
      </c>
      <c r="DH96" s="42">
        <v>4625</v>
      </c>
      <c r="DI96" s="42">
        <v>6667.25</v>
      </c>
      <c r="DJ96" s="42">
        <f>DJ94+DJ95</f>
        <v>7430</v>
      </c>
      <c r="DK96" s="42">
        <f t="shared" ref="DK96:EB96" si="148">DK94+DK95</f>
        <v>9602.5529999999981</v>
      </c>
      <c r="DL96" s="42" t="e">
        <f t="shared" si="148"/>
        <v>#REF!</v>
      </c>
      <c r="DM96" s="42">
        <f>DM94+DM95</f>
        <v>8513</v>
      </c>
      <c r="DN96" s="42">
        <f>DN94+DN95</f>
        <v>8318</v>
      </c>
      <c r="DO96" s="42">
        <f t="shared" si="148"/>
        <v>7781.1928000000007</v>
      </c>
      <c r="DP96" s="42">
        <f t="shared" si="148"/>
        <v>3250.8292234091355</v>
      </c>
      <c r="DQ96" s="42">
        <f t="shared" si="148"/>
        <v>0</v>
      </c>
      <c r="DR96" s="42">
        <f t="shared" si="148"/>
        <v>0</v>
      </c>
      <c r="DS96" s="42">
        <f t="shared" si="148"/>
        <v>0</v>
      </c>
      <c r="DT96" s="42">
        <f t="shared" si="148"/>
        <v>7752.8610852611564</v>
      </c>
      <c r="DU96" s="42">
        <f t="shared" si="148"/>
        <v>8888.7678527426433</v>
      </c>
      <c r="DV96" s="42">
        <f t="shared" si="148"/>
        <v>8476.1297870109447</v>
      </c>
      <c r="DW96" s="42">
        <f t="shared" si="148"/>
        <v>10790.100000000002</v>
      </c>
      <c r="DX96" s="42">
        <f t="shared" si="148"/>
        <v>11711.480000000003</v>
      </c>
      <c r="DY96" s="42">
        <f t="shared" si="148"/>
        <v>16463.480000000003</v>
      </c>
      <c r="DZ96" s="42">
        <f t="shared" si="148"/>
        <v>2501</v>
      </c>
      <c r="EA96" s="42">
        <f t="shared" si="148"/>
        <v>6912</v>
      </c>
      <c r="EB96" s="42">
        <f t="shared" si="148"/>
        <v>19091</v>
      </c>
      <c r="EC96" s="42">
        <f>EC94+EC95</f>
        <v>23725.165200000014</v>
      </c>
      <c r="ED96" s="42">
        <f t="shared" ref="ED96:EM96" si="149">ED94+ED95</f>
        <v>21459.730115999999</v>
      </c>
      <c r="EE96" s="42">
        <f t="shared" si="149"/>
        <v>22086.095603879992</v>
      </c>
      <c r="EF96" s="42">
        <f t="shared" si="149"/>
        <v>22962.472107920403</v>
      </c>
      <c r="EG96" s="42">
        <f t="shared" si="149"/>
        <v>23389.269373041134</v>
      </c>
      <c r="EH96" s="42">
        <f t="shared" si="149"/>
        <v>23507.940341105608</v>
      </c>
      <c r="EI96" s="42">
        <f t="shared" si="149"/>
        <v>21871.229394439157</v>
      </c>
      <c r="EJ96" s="42">
        <f t="shared" si="149"/>
        <v>20434.71555158975</v>
      </c>
      <c r="EK96" s="42">
        <f t="shared" si="149"/>
        <v>19448.181353584834</v>
      </c>
      <c r="EL96" s="42">
        <f t="shared" si="149"/>
        <v>19361.036244482097</v>
      </c>
      <c r="EM96" s="42">
        <f t="shared" si="149"/>
        <v>19498.078892972084</v>
      </c>
    </row>
    <row r="97" spans="1:200" s="11" customFormat="1">
      <c r="A97" s="31"/>
      <c r="B97" s="31" t="s">
        <v>16</v>
      </c>
      <c r="C97" s="42"/>
      <c r="D97" s="42"/>
      <c r="E97" s="42"/>
      <c r="F97" s="42"/>
      <c r="G97" s="42"/>
      <c r="H97" s="42"/>
      <c r="I97" s="42"/>
      <c r="J97" s="42"/>
      <c r="K97" s="42">
        <v>-247</v>
      </c>
      <c r="L97" s="42">
        <v>-253</v>
      </c>
      <c r="M97" s="42">
        <v>-311</v>
      </c>
      <c r="N97" s="42">
        <v>-218</v>
      </c>
      <c r="O97" s="42">
        <v>-285</v>
      </c>
      <c r="P97" s="42">
        <v>-230</v>
      </c>
      <c r="Q97" s="42">
        <v>-341</v>
      </c>
      <c r="R97" s="42">
        <v>-366</v>
      </c>
      <c r="S97" s="42">
        <v>-443</v>
      </c>
      <c r="T97" s="42">
        <v>-525</v>
      </c>
      <c r="U97" s="42">
        <v>-513</v>
      </c>
      <c r="V97" s="42">
        <v>-462</v>
      </c>
      <c r="W97" s="42">
        <v>620</v>
      </c>
      <c r="X97" s="42">
        <v>607</v>
      </c>
      <c r="Y97" s="42">
        <v>595</v>
      </c>
      <c r="Z97" s="42">
        <v>658</v>
      </c>
      <c r="AA97" s="42">
        <v>703</v>
      </c>
      <c r="AB97" s="42">
        <v>554</v>
      </c>
      <c r="AC97" s="42">
        <v>537</v>
      </c>
      <c r="AD97" s="42">
        <v>562</v>
      </c>
      <c r="AE97" s="42">
        <v>638</v>
      </c>
      <c r="AF97" s="42">
        <v>651</v>
      </c>
      <c r="AG97" s="42">
        <v>705</v>
      </c>
      <c r="AH97" s="42">
        <v>557</v>
      </c>
      <c r="AI97" s="42">
        <v>859</v>
      </c>
      <c r="AJ97" s="42">
        <v>891</v>
      </c>
      <c r="AK97" s="42">
        <v>911</v>
      </c>
      <c r="AL97" s="42">
        <v>602</v>
      </c>
      <c r="AM97" s="42">
        <v>740</v>
      </c>
      <c r="AN97" s="42">
        <v>801</v>
      </c>
      <c r="AO97" s="42">
        <v>704</v>
      </c>
      <c r="AP97" s="42">
        <v>651</v>
      </c>
      <c r="AQ97" s="42">
        <v>373</v>
      </c>
      <c r="AR97" s="42">
        <f>AR96*0.2</f>
        <v>458.63855999999998</v>
      </c>
      <c r="AS97" s="42">
        <v>684</v>
      </c>
      <c r="AT97" s="42">
        <v>559</v>
      </c>
      <c r="AU97" s="42">
        <v>411</v>
      </c>
      <c r="AV97" s="42">
        <f>+AV96*0.2</f>
        <v>-481.6</v>
      </c>
      <c r="AW97" s="42">
        <f>+AW96*0.2</f>
        <v>-508.8</v>
      </c>
      <c r="AX97" s="42">
        <f>+AX96*0.2</f>
        <v>-608.20000000000005</v>
      </c>
      <c r="AY97" s="42"/>
      <c r="AZ97" s="42"/>
      <c r="BA97" s="42"/>
      <c r="BB97" s="42"/>
      <c r="BC97" s="42"/>
      <c r="BD97" s="42">
        <v>69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>
        <v>46</v>
      </c>
      <c r="BQ97" s="42">
        <v>97</v>
      </c>
      <c r="BR97" s="42"/>
      <c r="BS97" s="42"/>
      <c r="BT97" s="42"/>
      <c r="BU97" s="42"/>
      <c r="BV97" s="42"/>
      <c r="BW97" s="77"/>
      <c r="BX97" s="77"/>
      <c r="BY97" s="77"/>
      <c r="BZ97" s="77">
        <v>-37</v>
      </c>
      <c r="CA97" s="77">
        <v>185</v>
      </c>
      <c r="CB97" s="77">
        <v>202</v>
      </c>
      <c r="CC97" s="77">
        <v>202</v>
      </c>
      <c r="CD97" s="77">
        <v>297</v>
      </c>
      <c r="CE97" s="77">
        <v>190</v>
      </c>
      <c r="CF97" s="77">
        <v>364</v>
      </c>
      <c r="CG97" s="77">
        <v>443</v>
      </c>
      <c r="CH97" s="77">
        <v>497</v>
      </c>
      <c r="CI97" s="77">
        <v>772</v>
      </c>
      <c r="CJ97" s="77">
        <v>481</v>
      </c>
      <c r="CK97" s="77"/>
      <c r="CL97" s="77">
        <v>-124</v>
      </c>
      <c r="CM97" s="77">
        <v>458</v>
      </c>
      <c r="CN97" s="77">
        <v>268</v>
      </c>
      <c r="CO97" s="77"/>
      <c r="CP97" s="77">
        <v>-62</v>
      </c>
      <c r="CQ97" s="77">
        <v>620</v>
      </c>
      <c r="CR97" s="77">
        <v>741</v>
      </c>
      <c r="CS97" s="77">
        <f>+CS96*0.2</f>
        <v>1340</v>
      </c>
      <c r="CT97" s="77">
        <v>166</v>
      </c>
      <c r="CU97" s="77">
        <f t="shared" ref="CU97:CX97" si="150">+CU96*0.2</f>
        <v>625.45000000000005</v>
      </c>
      <c r="CV97" s="77">
        <f t="shared" si="150"/>
        <v>550.36820000000012</v>
      </c>
      <c r="CW97" s="77">
        <f t="shared" si="150"/>
        <v>671.84865999999931</v>
      </c>
      <c r="CX97" s="77">
        <f t="shared" si="150"/>
        <v>757.25731999999994</v>
      </c>
      <c r="CY97" s="77"/>
      <c r="CZ97" s="77"/>
      <c r="DA97" s="42"/>
      <c r="DB97" s="42"/>
      <c r="DC97" s="42"/>
      <c r="DD97" s="39"/>
      <c r="DE97" s="39"/>
      <c r="DF97" s="39"/>
      <c r="DG97" s="42">
        <v>-1029</v>
      </c>
      <c r="DH97" s="42">
        <v>-1222</v>
      </c>
      <c r="DI97" s="42">
        <v>-1943</v>
      </c>
      <c r="DJ97" s="40">
        <f>SUM(W97:Z97)</f>
        <v>2480</v>
      </c>
      <c r="DK97" s="42">
        <f>DK96*0.25</f>
        <v>2400.6382499999995</v>
      </c>
      <c r="DL97" s="42" t="e">
        <f t="shared" ref="DL97:DY97" si="151">DL96*0.25</f>
        <v>#REF!</v>
      </c>
      <c r="DM97" s="40">
        <f>SUM(AI97:AL97)</f>
        <v>3263</v>
      </c>
      <c r="DN97" s="42">
        <f>SUM(AM97:AP97)</f>
        <v>2896</v>
      </c>
      <c r="DO97" s="40">
        <f>SUM(AQ97:AT97)</f>
        <v>2074.6385599999999</v>
      </c>
      <c r="DP97" s="42">
        <f t="shared" si="151"/>
        <v>812.70730585228387</v>
      </c>
      <c r="DQ97" s="42">
        <f t="shared" si="151"/>
        <v>0</v>
      </c>
      <c r="DR97" s="42">
        <f t="shared" si="151"/>
        <v>0</v>
      </c>
      <c r="DS97" s="42">
        <f t="shared" si="151"/>
        <v>0</v>
      </c>
      <c r="DT97" s="42">
        <f t="shared" si="151"/>
        <v>1938.2152713152891</v>
      </c>
      <c r="DU97" s="42">
        <f t="shared" si="151"/>
        <v>2222.1919631856608</v>
      </c>
      <c r="DV97" s="42">
        <f t="shared" si="151"/>
        <v>2119.0324467527362</v>
      </c>
      <c r="DW97" s="42">
        <f t="shared" si="151"/>
        <v>2697.5250000000005</v>
      </c>
      <c r="DX97" s="42">
        <f t="shared" si="151"/>
        <v>2927.8700000000008</v>
      </c>
      <c r="DY97" s="42">
        <f t="shared" si="151"/>
        <v>4115.8700000000008</v>
      </c>
      <c r="DZ97" s="42">
        <v>-792</v>
      </c>
      <c r="EA97" s="42">
        <v>938</v>
      </c>
      <c r="EB97" s="69">
        <f>SUM(CQ97:CT97)</f>
        <v>2867</v>
      </c>
      <c r="EC97" s="42">
        <f>+EC96*0.2</f>
        <v>4745.033040000003</v>
      </c>
      <c r="ED97" s="42">
        <f t="shared" ref="ED97:EM97" si="152">+ED96*0.2</f>
        <v>4291.9460232000001</v>
      </c>
      <c r="EE97" s="42">
        <f t="shared" si="152"/>
        <v>4417.2191207759988</v>
      </c>
      <c r="EF97" s="42">
        <f t="shared" si="152"/>
        <v>4592.4944215840806</v>
      </c>
      <c r="EG97" s="42">
        <f t="shared" si="152"/>
        <v>4677.8538746082268</v>
      </c>
      <c r="EH97" s="42">
        <f t="shared" si="152"/>
        <v>4701.5880682211218</v>
      </c>
      <c r="EI97" s="42">
        <f t="shared" si="152"/>
        <v>4374.2458788878312</v>
      </c>
      <c r="EJ97" s="42">
        <f t="shared" si="152"/>
        <v>4086.9431103179504</v>
      </c>
      <c r="EK97" s="42">
        <f t="shared" si="152"/>
        <v>3889.6362707169669</v>
      </c>
      <c r="EL97" s="42">
        <f t="shared" si="152"/>
        <v>3872.2072488964195</v>
      </c>
      <c r="EM97" s="42">
        <f t="shared" si="152"/>
        <v>3899.615778594417</v>
      </c>
    </row>
    <row r="98" spans="1:200" s="11" customFormat="1">
      <c r="A98" s="31"/>
      <c r="B98" s="31" t="s">
        <v>24</v>
      </c>
      <c r="C98" s="42"/>
      <c r="D98" s="42"/>
      <c r="E98" s="42"/>
      <c r="F98" s="42"/>
      <c r="G98" s="42"/>
      <c r="H98" s="42"/>
      <c r="I98" s="42"/>
      <c r="J98" s="42"/>
      <c r="K98" s="42">
        <v>-5</v>
      </c>
      <c r="L98" s="42">
        <v>-2</v>
      </c>
      <c r="M98" s="42">
        <v>-7</v>
      </c>
      <c r="N98" s="42">
        <v>-8</v>
      </c>
      <c r="O98" s="42">
        <v>-2</v>
      </c>
      <c r="P98" s="42">
        <v>-5</v>
      </c>
      <c r="Q98" s="42">
        <v>-6</v>
      </c>
      <c r="R98" s="42">
        <v>-6</v>
      </c>
      <c r="S98" s="42">
        <v>-3</v>
      </c>
      <c r="T98" s="42">
        <v>-5</v>
      </c>
      <c r="U98" s="42">
        <v>-7</v>
      </c>
      <c r="V98" s="42">
        <v>-3</v>
      </c>
      <c r="W98" s="42">
        <v>-1</v>
      </c>
      <c r="X98" s="42">
        <v>3</v>
      </c>
      <c r="Y98" s="42">
        <v>5</v>
      </c>
      <c r="Z98" s="42">
        <v>13</v>
      </c>
      <c r="AA98" s="42">
        <v>4</v>
      </c>
      <c r="AB98" s="42">
        <v>0</v>
      </c>
      <c r="AC98" s="42">
        <v>8</v>
      </c>
      <c r="AD98" s="42">
        <v>9</v>
      </c>
      <c r="AE98" s="42">
        <v>2</v>
      </c>
      <c r="AF98" s="42">
        <v>8</v>
      </c>
      <c r="AG98" s="42">
        <v>8</v>
      </c>
      <c r="AH98" s="42">
        <v>11</v>
      </c>
      <c r="AI98" s="42">
        <v>2</v>
      </c>
      <c r="AJ98" s="42">
        <v>10</v>
      </c>
      <c r="AK98" s="42">
        <v>6</v>
      </c>
      <c r="AL98" s="42">
        <v>9</v>
      </c>
      <c r="AM98" s="42">
        <v>2</v>
      </c>
      <c r="AN98" s="42">
        <v>0</v>
      </c>
      <c r="AO98" s="42">
        <v>0</v>
      </c>
      <c r="AP98" s="42">
        <v>11</v>
      </c>
      <c r="AQ98" s="42">
        <v>8</v>
      </c>
      <c r="AR98" s="42"/>
      <c r="AS98" s="42">
        <v>358</v>
      </c>
      <c r="AT98" s="42">
        <v>490</v>
      </c>
      <c r="AU98" s="42">
        <f>-117</f>
        <v>-117</v>
      </c>
      <c r="AV98" s="42"/>
      <c r="AW98" s="42"/>
      <c r="AX98" s="42"/>
      <c r="AY98" s="42"/>
      <c r="AZ98" s="42"/>
      <c r="BA98" s="42"/>
      <c r="BB98" s="42"/>
      <c r="BC98" s="42"/>
      <c r="BD98" s="42">
        <v>1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/>
      <c r="BQ98" s="42"/>
      <c r="BR98" s="42"/>
      <c r="BS98" s="42"/>
      <c r="BT98" s="42"/>
      <c r="BU98" s="42"/>
      <c r="BV98" s="42"/>
      <c r="BW98" s="77"/>
      <c r="BX98" s="77"/>
      <c r="BY98" s="77"/>
      <c r="BZ98" s="77">
        <v>0</v>
      </c>
      <c r="CA98" s="77">
        <v>0</v>
      </c>
      <c r="CB98" s="77">
        <v>0</v>
      </c>
      <c r="CC98" s="77">
        <v>0</v>
      </c>
      <c r="CD98" s="77">
        <v>0</v>
      </c>
      <c r="CE98" s="77">
        <v>0</v>
      </c>
      <c r="CF98" s="77">
        <v>0</v>
      </c>
      <c r="CG98" s="77">
        <v>0</v>
      </c>
      <c r="CH98" s="77">
        <v>0</v>
      </c>
      <c r="CI98" s="77">
        <v>0</v>
      </c>
      <c r="CJ98" s="77">
        <v>0</v>
      </c>
      <c r="CK98" s="77"/>
      <c r="CL98" s="77"/>
      <c r="CM98" s="77"/>
      <c r="CN98" s="77">
        <v>0</v>
      </c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42"/>
      <c r="DB98" s="42"/>
      <c r="DC98" s="42"/>
      <c r="DD98" s="39"/>
      <c r="DE98" s="39"/>
      <c r="DF98" s="39"/>
      <c r="DG98" s="42">
        <v>0</v>
      </c>
      <c r="DH98" s="42">
        <v>3670</v>
      </c>
      <c r="DI98" s="42">
        <v>4706.25</v>
      </c>
      <c r="DJ98" s="39"/>
      <c r="DK98" s="39"/>
      <c r="DL98" s="39"/>
      <c r="DM98" s="40">
        <f>SUM(AI98:AL98)</f>
        <v>27</v>
      </c>
      <c r="DN98" s="42">
        <f>SUM(AM98:AP98)</f>
        <v>13</v>
      </c>
      <c r="DO98" s="40">
        <f>SUM(AQ98:AT98)</f>
        <v>856</v>
      </c>
      <c r="DP98" s="39"/>
      <c r="DQ98" s="39"/>
      <c r="DR98" s="39"/>
      <c r="DS98" s="39"/>
      <c r="DT98" s="39"/>
      <c r="DU98" s="39"/>
      <c r="DV98" s="39"/>
      <c r="DW98" s="39"/>
      <c r="DX98" s="39"/>
    </row>
    <row r="99" spans="1:200" s="11" customFormat="1">
      <c r="A99" s="31"/>
      <c r="B99" s="31" t="s">
        <v>420</v>
      </c>
      <c r="C99" s="42"/>
      <c r="D99" s="42"/>
      <c r="E99" s="42"/>
      <c r="F99" s="42"/>
      <c r="G99" s="42"/>
      <c r="H99" s="42"/>
      <c r="I99" s="42"/>
      <c r="J99" s="42"/>
      <c r="K99" s="42">
        <v>943</v>
      </c>
      <c r="L99" s="42">
        <v>659</v>
      </c>
      <c r="M99" s="42">
        <v>759</v>
      </c>
      <c r="N99" s="42">
        <v>653</v>
      </c>
      <c r="O99" s="42">
        <v>795</v>
      </c>
      <c r="P99" s="42">
        <v>804</v>
      </c>
      <c r="Q99" s="42">
        <v>838</v>
      </c>
      <c r="R99" s="42">
        <v>947</v>
      </c>
      <c r="S99" s="42">
        <v>1040</v>
      </c>
      <c r="T99" s="42">
        <v>1219.25</v>
      </c>
      <c r="U99" s="42">
        <v>1223</v>
      </c>
      <c r="V99" s="42">
        <v>1224</v>
      </c>
      <c r="W99" s="42">
        <f t="shared" ref="W99:AE99" si="153">W96-W97-W98</f>
        <v>1148</v>
      </c>
      <c r="X99" s="42">
        <f t="shared" si="153"/>
        <v>1291</v>
      </c>
      <c r="Y99" s="42">
        <f t="shared" si="153"/>
        <v>1311</v>
      </c>
      <c r="Z99" s="42">
        <f t="shared" si="153"/>
        <v>1180</v>
      </c>
      <c r="AA99" s="42">
        <f t="shared" si="153"/>
        <v>1206</v>
      </c>
      <c r="AB99" s="42">
        <f t="shared" si="153"/>
        <v>1023</v>
      </c>
      <c r="AC99" s="42">
        <f t="shared" si="153"/>
        <v>972</v>
      </c>
      <c r="AD99" s="42">
        <f t="shared" si="153"/>
        <v>1347</v>
      </c>
      <c r="AE99" s="42">
        <f t="shared" si="153"/>
        <v>1570</v>
      </c>
      <c r="AF99" s="42">
        <f t="shared" ref="AF99:AL99" si="154">AF96-AF97-AF98</f>
        <v>1102</v>
      </c>
      <c r="AG99" s="42">
        <f t="shared" si="154"/>
        <v>1229</v>
      </c>
      <c r="AH99" s="42">
        <f>AH96-AH97-AH98</f>
        <v>734</v>
      </c>
      <c r="AI99" s="42">
        <f t="shared" si="154"/>
        <v>1627</v>
      </c>
      <c r="AJ99" s="42">
        <f t="shared" si="154"/>
        <v>1156</v>
      </c>
      <c r="AK99" s="42">
        <f t="shared" si="154"/>
        <v>1553</v>
      </c>
      <c r="AL99" s="42">
        <f t="shared" si="154"/>
        <v>887</v>
      </c>
      <c r="AM99" s="42">
        <f t="shared" ref="AM99:AT99" si="155">AM96-AM97-AM98</f>
        <v>2076</v>
      </c>
      <c r="AN99" s="42">
        <f t="shared" si="155"/>
        <v>1452</v>
      </c>
      <c r="AO99" s="42">
        <f t="shared" si="155"/>
        <v>914</v>
      </c>
      <c r="AP99" s="42">
        <f t="shared" si="155"/>
        <v>967</v>
      </c>
      <c r="AQ99" s="42">
        <f t="shared" si="155"/>
        <v>2155</v>
      </c>
      <c r="AR99" s="42">
        <f t="shared" si="155"/>
        <v>1834.5542399999999</v>
      </c>
      <c r="AS99" s="42">
        <f>AS96-AS97-AS98</f>
        <v>697</v>
      </c>
      <c r="AT99" s="42">
        <f t="shared" si="155"/>
        <v>164</v>
      </c>
      <c r="AU99" s="42">
        <f>AU96-AU97-AU98</f>
        <v>1036</v>
      </c>
      <c r="AV99" s="42">
        <f>AV96-AV97-AV98</f>
        <v>-1926.4</v>
      </c>
      <c r="AW99" s="42">
        <f>AW96-AW97-AW98</f>
        <v>-2035.2</v>
      </c>
      <c r="AX99" s="42">
        <f>AX96-AX97-AX98</f>
        <v>-2432.8000000000002</v>
      </c>
      <c r="AY99" s="42"/>
      <c r="AZ99" s="42"/>
      <c r="BA99" s="42"/>
      <c r="BB99" s="42"/>
      <c r="BC99" s="42"/>
      <c r="BD99" s="42">
        <f>BD96-BD97-BD98</f>
        <v>-132</v>
      </c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77"/>
      <c r="BP99" s="42">
        <f>+BP96-BP97</f>
        <v>446</v>
      </c>
      <c r="BQ99" s="42">
        <f>+BQ96-BQ97</f>
        <v>649</v>
      </c>
      <c r="BR99" s="42"/>
      <c r="BS99" s="42"/>
      <c r="BT99" s="42"/>
      <c r="BU99" s="42"/>
      <c r="BV99" s="42"/>
      <c r="BW99" s="77"/>
      <c r="BX99" s="77"/>
      <c r="BY99" s="77"/>
      <c r="BZ99" s="77">
        <f t="shared" ref="BZ99:CX99" si="156">BZ96-BZ97-BZ98</f>
        <v>280</v>
      </c>
      <c r="CA99" s="77">
        <f t="shared" si="156"/>
        <v>750</v>
      </c>
      <c r="CB99" s="77">
        <f t="shared" ref="CB99" si="157">CB96-CB97-CB98</f>
        <v>759</v>
      </c>
      <c r="CC99" s="77">
        <f t="shared" si="156"/>
        <v>651</v>
      </c>
      <c r="CD99" s="77">
        <f t="shared" si="156"/>
        <v>1391</v>
      </c>
      <c r="CE99" s="77">
        <f t="shared" si="156"/>
        <v>2341</v>
      </c>
      <c r="CF99" s="77">
        <f t="shared" si="156"/>
        <v>1175</v>
      </c>
      <c r="CG99" s="77">
        <f t="shared" si="156"/>
        <v>1612</v>
      </c>
      <c r="CH99" s="77">
        <f t="shared" si="156"/>
        <v>2588</v>
      </c>
      <c r="CI99" s="77">
        <f t="shared" si="156"/>
        <v>2937</v>
      </c>
      <c r="CJ99" s="77">
        <f t="shared" si="156"/>
        <v>2662</v>
      </c>
      <c r="CK99" s="77">
        <f t="shared" si="156"/>
        <v>0</v>
      </c>
      <c r="CL99" s="77">
        <f t="shared" si="156"/>
        <v>902</v>
      </c>
      <c r="CM99" s="77">
        <f t="shared" si="156"/>
        <v>1804</v>
      </c>
      <c r="CN99" s="77">
        <f t="shared" si="156"/>
        <v>1821</v>
      </c>
      <c r="CO99" s="77">
        <f t="shared" si="156"/>
        <v>0</v>
      </c>
      <c r="CP99" s="77">
        <f t="shared" si="156"/>
        <v>959</v>
      </c>
      <c r="CQ99" s="77">
        <f t="shared" si="156"/>
        <v>2181</v>
      </c>
      <c r="CR99" s="77">
        <f t="shared" si="156"/>
        <v>3069</v>
      </c>
      <c r="CS99" s="77">
        <f t="shared" si="156"/>
        <v>5360</v>
      </c>
      <c r="CT99" s="77">
        <f t="shared" si="156"/>
        <v>3200</v>
      </c>
      <c r="CU99" s="77">
        <f t="shared" si="156"/>
        <v>2501.8000000000002</v>
      </c>
      <c r="CV99" s="77">
        <f t="shared" si="156"/>
        <v>2201.4728000000005</v>
      </c>
      <c r="CW99" s="77">
        <f t="shared" si="156"/>
        <v>2687.3946399999973</v>
      </c>
      <c r="CX99" s="77">
        <f t="shared" si="156"/>
        <v>3029.0292799999997</v>
      </c>
      <c r="CY99" s="77"/>
      <c r="CZ99" s="77"/>
      <c r="DA99" s="42"/>
      <c r="DB99" s="42"/>
      <c r="DC99" s="42"/>
      <c r="DD99" s="39"/>
      <c r="DE99" s="39"/>
      <c r="DF99" s="39"/>
      <c r="DG99" s="43"/>
      <c r="DH99" s="43"/>
      <c r="DI99" s="43"/>
      <c r="DJ99" s="42">
        <f t="shared" ref="DJ99:DO99" si="158">DJ96-DJ97</f>
        <v>4950</v>
      </c>
      <c r="DK99" s="42">
        <f t="shared" si="158"/>
        <v>7201.9147499999981</v>
      </c>
      <c r="DL99" s="42" t="e">
        <f t="shared" si="158"/>
        <v>#REF!</v>
      </c>
      <c r="DM99" s="42">
        <f>DM96-DM97-DM98</f>
        <v>5223</v>
      </c>
      <c r="DN99" s="42">
        <f>DN96-DN97</f>
        <v>5422</v>
      </c>
      <c r="DO99" s="42">
        <f t="shared" si="158"/>
        <v>5706.5542400000013</v>
      </c>
      <c r="DP99" s="42">
        <f t="shared" ref="DP99:DU99" si="159">DP96-DP97</f>
        <v>2438.1219175568517</v>
      </c>
      <c r="DQ99" s="42">
        <f t="shared" si="159"/>
        <v>0</v>
      </c>
      <c r="DR99" s="42">
        <f t="shared" si="159"/>
        <v>0</v>
      </c>
      <c r="DS99" s="42">
        <f t="shared" si="159"/>
        <v>0</v>
      </c>
      <c r="DT99" s="42">
        <f t="shared" si="159"/>
        <v>5814.6458139458673</v>
      </c>
      <c r="DU99" s="42">
        <f t="shared" si="159"/>
        <v>6666.5758895569825</v>
      </c>
      <c r="DV99" s="42">
        <f>DV96-DV97</f>
        <v>6357.0973402582085</v>
      </c>
      <c r="DW99" s="42">
        <f t="shared" ref="DW99:EB99" si="160">DW96-DW97</f>
        <v>8092.5750000000016</v>
      </c>
      <c r="DX99" s="42">
        <f t="shared" si="160"/>
        <v>8783.6100000000024</v>
      </c>
      <c r="DY99" s="42">
        <f t="shared" si="160"/>
        <v>12347.610000000002</v>
      </c>
      <c r="DZ99" s="42">
        <f t="shared" si="160"/>
        <v>3293</v>
      </c>
      <c r="EA99" s="42">
        <f t="shared" si="160"/>
        <v>5974</v>
      </c>
      <c r="EB99" s="42">
        <f t="shared" si="160"/>
        <v>16224</v>
      </c>
      <c r="EC99" s="42">
        <f>EC96-EC97</f>
        <v>18980.132160000012</v>
      </c>
      <c r="ED99" s="42">
        <f t="shared" ref="ED99:EM99" si="161">ED96-ED97</f>
        <v>17167.784092800001</v>
      </c>
      <c r="EE99" s="42">
        <f t="shared" si="161"/>
        <v>17668.876483103995</v>
      </c>
      <c r="EF99" s="42">
        <f t="shared" si="161"/>
        <v>18369.977686336322</v>
      </c>
      <c r="EG99" s="42">
        <f t="shared" si="161"/>
        <v>18711.415498432907</v>
      </c>
      <c r="EH99" s="42">
        <f t="shared" si="161"/>
        <v>18806.352272884487</v>
      </c>
      <c r="EI99" s="42">
        <f t="shared" si="161"/>
        <v>17496.983515551325</v>
      </c>
      <c r="EJ99" s="42">
        <f t="shared" si="161"/>
        <v>16347.7724412718</v>
      </c>
      <c r="EK99" s="42">
        <f t="shared" si="161"/>
        <v>15558.545082867868</v>
      </c>
      <c r="EL99" s="42">
        <f t="shared" si="161"/>
        <v>15488.828995585678</v>
      </c>
      <c r="EM99" s="42">
        <f t="shared" si="161"/>
        <v>15598.463114377668</v>
      </c>
      <c r="EN99" s="29">
        <f t="shared" ref="EN99:FS99" si="162">EM99*(1+$EP$104)</f>
        <v>14818.539958658785</v>
      </c>
      <c r="EO99" s="29">
        <f t="shared" si="162"/>
        <v>14077.612960725844</v>
      </c>
      <c r="EP99" s="29">
        <f t="shared" si="162"/>
        <v>13373.732312689552</v>
      </c>
      <c r="EQ99" s="29">
        <f t="shared" si="162"/>
        <v>12705.045697055073</v>
      </c>
      <c r="ER99" s="29">
        <f t="shared" si="162"/>
        <v>12069.793412202318</v>
      </c>
      <c r="ES99" s="29">
        <f t="shared" si="162"/>
        <v>11466.303741592201</v>
      </c>
      <c r="ET99" s="29">
        <f t="shared" si="162"/>
        <v>10892.988554512591</v>
      </c>
      <c r="EU99" s="29">
        <f t="shared" si="162"/>
        <v>10348.339126786961</v>
      </c>
      <c r="EV99" s="29">
        <f t="shared" si="162"/>
        <v>9830.9221704476131</v>
      </c>
      <c r="EW99" s="29">
        <f t="shared" si="162"/>
        <v>9339.3760619252316</v>
      </c>
      <c r="EX99" s="29">
        <f t="shared" si="162"/>
        <v>8872.4072588289691</v>
      </c>
      <c r="EY99" s="29">
        <f t="shared" si="162"/>
        <v>8428.7868958875206</v>
      </c>
      <c r="EZ99" s="29">
        <f t="shared" si="162"/>
        <v>8007.3475510931439</v>
      </c>
      <c r="FA99" s="29">
        <f t="shared" si="162"/>
        <v>7606.9801735384863</v>
      </c>
      <c r="FB99" s="29">
        <f t="shared" si="162"/>
        <v>7226.631164861562</v>
      </c>
      <c r="FC99" s="29">
        <f t="shared" si="162"/>
        <v>6865.2996066184833</v>
      </c>
      <c r="FD99" s="29">
        <f t="shared" si="162"/>
        <v>6522.0346262875591</v>
      </c>
      <c r="FE99" s="29">
        <f t="shared" si="162"/>
        <v>6195.9328949731807</v>
      </c>
      <c r="FF99" s="29">
        <f t="shared" si="162"/>
        <v>5886.1362502245211</v>
      </c>
      <c r="FG99" s="29">
        <f t="shared" si="162"/>
        <v>5591.8294377132952</v>
      </c>
      <c r="FH99" s="29">
        <f t="shared" si="162"/>
        <v>5312.2379658276304</v>
      </c>
      <c r="FI99" s="29">
        <f t="shared" si="162"/>
        <v>5046.6260675362482</v>
      </c>
      <c r="FJ99" s="29">
        <f t="shared" si="162"/>
        <v>4794.2947641594355</v>
      </c>
      <c r="FK99" s="29">
        <f t="shared" si="162"/>
        <v>4554.5800259514635</v>
      </c>
      <c r="FL99" s="29">
        <f t="shared" si="162"/>
        <v>4326.8510246538899</v>
      </c>
      <c r="FM99" s="29">
        <f t="shared" si="162"/>
        <v>4110.508473421195</v>
      </c>
      <c r="FN99" s="29">
        <f t="shared" si="162"/>
        <v>3904.9830497501353</v>
      </c>
      <c r="FO99" s="29">
        <f t="shared" si="162"/>
        <v>3709.7338972626285</v>
      </c>
      <c r="FP99" s="29">
        <f t="shared" si="162"/>
        <v>3524.2472023994969</v>
      </c>
      <c r="FQ99" s="29">
        <f t="shared" si="162"/>
        <v>3348.0348422795219</v>
      </c>
      <c r="FR99" s="29">
        <f t="shared" si="162"/>
        <v>3180.6331001655458</v>
      </c>
      <c r="FS99" s="29">
        <f t="shared" si="162"/>
        <v>3021.6014451572682</v>
      </c>
      <c r="FT99" s="29">
        <f t="shared" ref="FT99:GR99" si="163">FS99*(1+$EP$104)</f>
        <v>2870.5213728994049</v>
      </c>
      <c r="FU99" s="29">
        <f t="shared" si="163"/>
        <v>2726.9953042544344</v>
      </c>
      <c r="FV99" s="29">
        <f t="shared" si="163"/>
        <v>2590.6455390417127</v>
      </c>
      <c r="FW99" s="29">
        <f t="shared" si="163"/>
        <v>2461.1132620896269</v>
      </c>
      <c r="FX99" s="29">
        <f t="shared" si="163"/>
        <v>2338.0575989851454</v>
      </c>
      <c r="FY99" s="29">
        <f t="shared" si="163"/>
        <v>2221.1547190358879</v>
      </c>
      <c r="FZ99" s="29">
        <f t="shared" si="163"/>
        <v>2110.0969830840932</v>
      </c>
      <c r="GA99" s="29">
        <f t="shared" si="163"/>
        <v>2004.5921339298884</v>
      </c>
      <c r="GB99" s="29">
        <f t="shared" si="163"/>
        <v>1904.3625272333938</v>
      </c>
      <c r="GC99" s="29">
        <f t="shared" si="163"/>
        <v>1809.144400871724</v>
      </c>
      <c r="GD99" s="29">
        <f t="shared" si="163"/>
        <v>1718.6871808281378</v>
      </c>
      <c r="GE99" s="29">
        <f t="shared" si="163"/>
        <v>1632.7528217867309</v>
      </c>
      <c r="GF99" s="29">
        <f t="shared" si="163"/>
        <v>1551.1151806973944</v>
      </c>
      <c r="GG99" s="29">
        <f t="shared" si="163"/>
        <v>1473.5594216625245</v>
      </c>
      <c r="GH99" s="29">
        <f t="shared" si="163"/>
        <v>1399.8814505793982</v>
      </c>
      <c r="GI99" s="29">
        <f t="shared" si="163"/>
        <v>1329.8873780504282</v>
      </c>
      <c r="GJ99" s="29">
        <f t="shared" si="163"/>
        <v>1263.3930091479067</v>
      </c>
      <c r="GK99" s="29">
        <f t="shared" si="163"/>
        <v>1200.2233586905113</v>
      </c>
      <c r="GL99" s="29">
        <f t="shared" si="163"/>
        <v>1140.2121907559856</v>
      </c>
      <c r="GM99" s="29">
        <f t="shared" si="163"/>
        <v>1083.2015812181862</v>
      </c>
      <c r="GN99" s="29">
        <f t="shared" si="163"/>
        <v>1029.0415021572769</v>
      </c>
      <c r="GO99" s="29">
        <f t="shared" si="163"/>
        <v>977.58942704941296</v>
      </c>
      <c r="GP99" s="29">
        <f t="shared" si="163"/>
        <v>928.7099556969423</v>
      </c>
      <c r="GQ99" s="29">
        <f t="shared" si="163"/>
        <v>882.27445791209516</v>
      </c>
      <c r="GR99" s="29">
        <f t="shared" si="163"/>
        <v>838.16073501649032</v>
      </c>
    </row>
    <row r="100" spans="1:200">
      <c r="B100" s="95" t="s">
        <v>421</v>
      </c>
      <c r="C100" s="45"/>
      <c r="D100" s="45"/>
      <c r="E100" s="45"/>
      <c r="F100" s="45"/>
      <c r="G100" s="45"/>
      <c r="H100" s="45"/>
      <c r="I100" s="45"/>
      <c r="J100" s="45"/>
      <c r="K100" s="45">
        <v>0.54921374490390218</v>
      </c>
      <c r="L100" s="45">
        <v>0.38492990654205606</v>
      </c>
      <c r="M100" s="45">
        <v>0.44385964912280701</v>
      </c>
      <c r="N100" s="45">
        <v>0.38547815820543091</v>
      </c>
      <c r="O100" s="45">
        <v>0.47041420118343197</v>
      </c>
      <c r="P100" s="45">
        <v>0.47885646217986899</v>
      </c>
      <c r="Q100" s="45">
        <v>0.50149611011370432</v>
      </c>
      <c r="R100" s="45">
        <v>0.57255139056831927</v>
      </c>
      <c r="S100" s="45">
        <v>0.63414634146341464</v>
      </c>
      <c r="T100" s="45">
        <v>0.74892506142506143</v>
      </c>
      <c r="U100" s="45">
        <v>0.75821450712957228</v>
      </c>
      <c r="V100" s="45">
        <v>0.76739811912225708</v>
      </c>
      <c r="W100" s="45">
        <f t="shared" ref="W100:AE100" si="164">W99/W101</f>
        <v>0.72566371681415931</v>
      </c>
      <c r="X100" s="45">
        <f t="shared" si="164"/>
        <v>0.81708860759493673</v>
      </c>
      <c r="Y100" s="45">
        <f t="shared" si="164"/>
        <v>0.83556405353728491</v>
      </c>
      <c r="Z100" s="45">
        <f t="shared" si="164"/>
        <v>0.7637540453074434</v>
      </c>
      <c r="AA100" s="45">
        <f t="shared" si="164"/>
        <v>0.78772044415414766</v>
      </c>
      <c r="AB100" s="45">
        <f t="shared" si="164"/>
        <v>0.67928286852589637</v>
      </c>
      <c r="AC100" s="45">
        <f t="shared" si="164"/>
        <v>0.65278710543989249</v>
      </c>
      <c r="AD100" s="45">
        <f t="shared" si="164"/>
        <v>0.90463398253861649</v>
      </c>
      <c r="AE100" s="45">
        <f t="shared" si="164"/>
        <v>1.0775566231983529</v>
      </c>
      <c r="AF100" s="45">
        <f t="shared" ref="AF100:AM100" si="165">AF99/AF101</f>
        <v>0.75634866163349346</v>
      </c>
      <c r="AG100" s="45">
        <f t="shared" si="165"/>
        <v>0.84467353951890034</v>
      </c>
      <c r="AH100" s="45">
        <f>AH99/AH101</f>
        <v>0.50725639253628196</v>
      </c>
      <c r="AI100" s="45">
        <f t="shared" si="165"/>
        <v>1.1236187845303867</v>
      </c>
      <c r="AJ100" s="45">
        <f t="shared" si="165"/>
        <v>0.7983425414364641</v>
      </c>
      <c r="AK100" s="45">
        <f t="shared" si="165"/>
        <v>1.0688231245698554</v>
      </c>
      <c r="AL100" s="45">
        <f t="shared" si="165"/>
        <v>0.60962199312714782</v>
      </c>
      <c r="AM100" s="45">
        <f t="shared" si="165"/>
        <v>1.4238683127572016</v>
      </c>
      <c r="AN100" s="45">
        <f t="shared" ref="AN100:AX100" si="166">AN99/AN101</f>
        <v>1.0013793103448276</v>
      </c>
      <c r="AO100" s="45">
        <f t="shared" si="166"/>
        <v>0.63208852005532501</v>
      </c>
      <c r="AP100" s="45">
        <f t="shared" si="166"/>
        <v>0.67812061711079941</v>
      </c>
      <c r="AQ100" s="45">
        <f t="shared" si="166"/>
        <v>1.5349002849002849</v>
      </c>
      <c r="AR100" s="45">
        <f t="shared" si="166"/>
        <v>1.306662564102564</v>
      </c>
      <c r="AS100" s="45">
        <f t="shared" si="166"/>
        <v>0.51287711552612214</v>
      </c>
      <c r="AT100" s="45">
        <f t="shared" si="166"/>
        <v>0.12452543659832954</v>
      </c>
      <c r="AU100" s="45">
        <f t="shared" si="166"/>
        <v>0.80622568093385216</v>
      </c>
      <c r="AV100" s="45">
        <f t="shared" si="166"/>
        <v>-1.4991439688715955</v>
      </c>
      <c r="AW100" s="45">
        <f t="shared" si="166"/>
        <v>-1.5838132295719844</v>
      </c>
      <c r="AX100" s="45">
        <f t="shared" si="166"/>
        <v>-1.8932295719844359</v>
      </c>
      <c r="AY100" s="45"/>
      <c r="AZ100" s="45"/>
      <c r="BA100" s="45"/>
      <c r="BB100" s="45"/>
      <c r="BC100" s="45"/>
      <c r="BD100" s="45">
        <f>BD99/BD101</f>
        <v>-0.10443037974683544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78"/>
      <c r="BP100" s="45"/>
      <c r="BQ100" s="45"/>
      <c r="BR100" s="45"/>
      <c r="BS100" s="45"/>
      <c r="BT100" s="45"/>
      <c r="BU100" s="45"/>
      <c r="BV100" s="45"/>
      <c r="BW100" s="78"/>
      <c r="BX100" s="78"/>
      <c r="BY100" s="78"/>
      <c r="BZ100" s="78">
        <f t="shared" ref="BZ100:CD100" si="167">BZ99/BZ101</f>
        <v>0.21341463414634146</v>
      </c>
      <c r="CA100" s="78">
        <f t="shared" si="167"/>
        <v>0.57121096725057119</v>
      </c>
      <c r="CB100" s="78">
        <f t="shared" si="167"/>
        <v>0.57806549885757808</v>
      </c>
      <c r="CC100" s="78">
        <f t="shared" si="167"/>
        <v>0.49581111957349583</v>
      </c>
      <c r="CD100" s="78">
        <f t="shared" si="167"/>
        <v>1.0545868081880212</v>
      </c>
      <c r="CE100" s="78">
        <f t="shared" ref="CE100:CI100" si="168">CE99/CE101</f>
        <v>1.7748294162244125</v>
      </c>
      <c r="CF100" s="78">
        <f t="shared" si="168"/>
        <v>0.89150227617602429</v>
      </c>
      <c r="CG100" s="78">
        <f t="shared" si="168"/>
        <v>1.0775401069518717</v>
      </c>
      <c r="CH100" s="78">
        <f>CH99/CH101</f>
        <v>1.6729153199741436</v>
      </c>
      <c r="CI100" s="78">
        <f t="shared" si="168"/>
        <v>1.8814862267777066</v>
      </c>
      <c r="CJ100" s="78">
        <f>CJ99/CJ101</f>
        <v>1.7053171044202435</v>
      </c>
      <c r="CK100" s="78" t="e">
        <f>CK99/CK101</f>
        <v>#DIV/0!</v>
      </c>
      <c r="CL100" s="78">
        <f>+CL99/CL101</f>
        <v>0.5785760102629891</v>
      </c>
      <c r="CM100" s="78">
        <f>+CM99/CM101</f>
        <v>1.1564102564102565</v>
      </c>
      <c r="CN100" s="78">
        <f>+CN99/CN101</f>
        <v>1.1673076923076924</v>
      </c>
      <c r="CO100" s="78"/>
      <c r="CP100" s="78">
        <f t="shared" ref="CP100:CX100" si="169">+CP99/CP101</f>
        <v>0.61434977578475336</v>
      </c>
      <c r="CQ100" s="78">
        <f t="shared" si="169"/>
        <v>1.398076923076923</v>
      </c>
      <c r="CR100" s="78">
        <f t="shared" si="169"/>
        <v>1.9673076923076922</v>
      </c>
      <c r="CS100" s="78">
        <f t="shared" si="169"/>
        <v>3.4358974358974357</v>
      </c>
      <c r="CT100" s="78">
        <f t="shared" si="169"/>
        <v>2.0512820512820511</v>
      </c>
      <c r="CU100" s="78">
        <f t="shared" si="169"/>
        <v>1.6037179487179489</v>
      </c>
      <c r="CV100" s="78">
        <f t="shared" si="169"/>
        <v>1.4112005128205132</v>
      </c>
      <c r="CW100" s="78">
        <f t="shared" si="169"/>
        <v>1.7226888717948701</v>
      </c>
      <c r="CX100" s="78">
        <f t="shared" si="169"/>
        <v>1.9416854358974358</v>
      </c>
      <c r="CY100" s="78"/>
      <c r="CZ100" s="78"/>
      <c r="DA100" s="45"/>
      <c r="DB100" s="45"/>
      <c r="DC100" s="45"/>
      <c r="DG100" s="44">
        <v>1.7636044470450556</v>
      </c>
      <c r="DH100" s="44">
        <v>2.0227136879856547</v>
      </c>
      <c r="DI100" s="44">
        <v>2.9086840291403053</v>
      </c>
      <c r="DJ100" s="44"/>
      <c r="DL100" s="45" t="e">
        <f>DL99/DL101</f>
        <v>#REF!</v>
      </c>
      <c r="DM100" s="45">
        <f>DM99/DM101</f>
        <v>3.5995864920744314</v>
      </c>
      <c r="DN100" s="45">
        <f>DN99/DN101</f>
        <v>3.7522491349480971</v>
      </c>
      <c r="DO100" s="45">
        <f t="shared" ref="DO100:DX100" si="170">DO99/DO101</f>
        <v>4.1623298614150261</v>
      </c>
      <c r="DP100" s="45">
        <f t="shared" si="170"/>
        <v>1.8973711420675889</v>
      </c>
      <c r="DQ100" s="45">
        <f t="shared" si="170"/>
        <v>0</v>
      </c>
      <c r="DR100" s="45">
        <f t="shared" si="170"/>
        <v>0</v>
      </c>
      <c r="DS100" s="45">
        <f t="shared" si="170"/>
        <v>0</v>
      </c>
      <c r="DT100" s="45">
        <f t="shared" si="170"/>
        <v>4.525016197623243</v>
      </c>
      <c r="DU100" s="45">
        <f t="shared" si="170"/>
        <v>5.1879968012116597</v>
      </c>
      <c r="DV100" s="45">
        <f t="shared" si="170"/>
        <v>4.9471574632359596</v>
      </c>
      <c r="DW100" s="45">
        <f t="shared" si="170"/>
        <v>6.297723735408562</v>
      </c>
      <c r="DX100" s="45">
        <f t="shared" si="170"/>
        <v>6.8354941634241264</v>
      </c>
      <c r="DY100" s="45">
        <f>DY99/DY101</f>
        <v>9.6090350194552556</v>
      </c>
      <c r="DZ100" s="45">
        <f>DZ99/DZ101</f>
        <v>2.1108974358974359</v>
      </c>
      <c r="EA100" s="45">
        <f>EA99/EA101</f>
        <v>3.8245838668373882</v>
      </c>
      <c r="EB100" s="45">
        <f>EB99/EB101</f>
        <v>10.4</v>
      </c>
      <c r="EC100" s="45">
        <f>EC99/EC101</f>
        <v>12.166751384615392</v>
      </c>
      <c r="ED100" s="45">
        <f t="shared" ref="ED100:EM100" si="171">ED99/ED101</f>
        <v>11.004989803076924</v>
      </c>
      <c r="EE100" s="45">
        <f t="shared" si="171"/>
        <v>11.326202873784613</v>
      </c>
      <c r="EF100" s="45">
        <f t="shared" si="171"/>
        <v>11.775626722010463</v>
      </c>
      <c r="EG100" s="45">
        <f t="shared" si="171"/>
        <v>11.994497114380069</v>
      </c>
      <c r="EH100" s="45">
        <f t="shared" si="171"/>
        <v>12.055354021079799</v>
      </c>
      <c r="EI100" s="45">
        <f t="shared" si="171"/>
        <v>11.216015074071361</v>
      </c>
      <c r="EJ100" s="45">
        <f t="shared" si="171"/>
        <v>10.479341308507564</v>
      </c>
      <c r="EK100" s="45">
        <f t="shared" si="171"/>
        <v>9.9734263351717107</v>
      </c>
      <c r="EL100" s="45">
        <f t="shared" si="171"/>
        <v>9.9287365356318453</v>
      </c>
      <c r="EM100" s="45">
        <f t="shared" si="171"/>
        <v>9.9990148169087618</v>
      </c>
    </row>
    <row r="101" spans="1:200">
      <c r="B101" s="100" t="s">
        <v>180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>
        <v>1582</v>
      </c>
      <c r="X101" s="34">
        <v>1580</v>
      </c>
      <c r="Y101" s="34">
        <v>1569</v>
      </c>
      <c r="Z101" s="34">
        <v>1545</v>
      </c>
      <c r="AA101" s="34">
        <v>1531</v>
      </c>
      <c r="AB101" s="34">
        <v>1506</v>
      </c>
      <c r="AC101" s="34">
        <v>1489</v>
      </c>
      <c r="AD101" s="34">
        <f>AC101</f>
        <v>1489</v>
      </c>
      <c r="AE101" s="34">
        <v>1457</v>
      </c>
      <c r="AF101" s="34">
        <v>1457</v>
      </c>
      <c r="AG101" s="34">
        <v>1455</v>
      </c>
      <c r="AH101" s="34">
        <v>1447</v>
      </c>
      <c r="AI101" s="34">
        <v>1448</v>
      </c>
      <c r="AJ101" s="34">
        <v>1448</v>
      </c>
      <c r="AK101" s="34">
        <v>1453</v>
      </c>
      <c r="AL101" s="34">
        <v>1455</v>
      </c>
      <c r="AM101" s="34">
        <v>1458</v>
      </c>
      <c r="AN101" s="34">
        <v>1450</v>
      </c>
      <c r="AO101" s="34">
        <v>1446</v>
      </c>
      <c r="AP101" s="34">
        <v>1426</v>
      </c>
      <c r="AQ101" s="34">
        <v>1404</v>
      </c>
      <c r="AR101" s="34">
        <f>AQ101</f>
        <v>1404</v>
      </c>
      <c r="AS101" s="34">
        <v>1359</v>
      </c>
      <c r="AT101" s="34">
        <v>1317</v>
      </c>
      <c r="AU101" s="34">
        <v>1285</v>
      </c>
      <c r="AV101" s="34">
        <f>+AU101</f>
        <v>1285</v>
      </c>
      <c r="AW101" s="34">
        <f>+AV101</f>
        <v>1285</v>
      </c>
      <c r="AX101" s="34">
        <f>+AW101</f>
        <v>1285</v>
      </c>
      <c r="AY101" s="34"/>
      <c r="AZ101" s="34"/>
      <c r="BA101" s="34"/>
      <c r="BB101" s="34"/>
      <c r="BC101" s="34"/>
      <c r="BD101" s="34">
        <v>1264</v>
      </c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76"/>
      <c r="BP101" s="34"/>
      <c r="BQ101" s="34"/>
      <c r="BR101" s="34"/>
      <c r="BS101" s="34"/>
      <c r="BT101" s="34"/>
      <c r="BU101" s="34"/>
      <c r="BV101" s="34"/>
      <c r="BW101" s="76"/>
      <c r="BX101" s="76"/>
      <c r="BY101" s="76"/>
      <c r="BZ101" s="76">
        <v>1312</v>
      </c>
      <c r="CA101" s="76">
        <v>1313</v>
      </c>
      <c r="CB101" s="76">
        <v>1313</v>
      </c>
      <c r="CC101" s="76">
        <v>1313</v>
      </c>
      <c r="CD101" s="76">
        <v>1319</v>
      </c>
      <c r="CE101" s="76">
        <v>1319</v>
      </c>
      <c r="CF101" s="76">
        <v>1318</v>
      </c>
      <c r="CG101" s="76">
        <v>1496</v>
      </c>
      <c r="CH101" s="76">
        <v>1547</v>
      </c>
      <c r="CI101" s="76">
        <v>1561</v>
      </c>
      <c r="CJ101" s="76">
        <v>1561</v>
      </c>
      <c r="CK101" s="76"/>
      <c r="CL101" s="76">
        <v>1559</v>
      </c>
      <c r="CM101" s="76">
        <v>1560</v>
      </c>
      <c r="CN101" s="76">
        <v>1560</v>
      </c>
      <c r="CO101" s="76"/>
      <c r="CP101" s="76">
        <v>1561</v>
      </c>
      <c r="CQ101" s="76">
        <v>1560</v>
      </c>
      <c r="CR101" s="76">
        <v>1560</v>
      </c>
      <c r="CS101" s="76">
        <f>+CR101</f>
        <v>1560</v>
      </c>
      <c r="CT101" s="76">
        <f t="shared" ref="CT101:CX101" si="172">+CS101</f>
        <v>1560</v>
      </c>
      <c r="CU101" s="76">
        <f t="shared" si="172"/>
        <v>1560</v>
      </c>
      <c r="CV101" s="76">
        <f t="shared" si="172"/>
        <v>1560</v>
      </c>
      <c r="CW101" s="76">
        <f t="shared" si="172"/>
        <v>1560</v>
      </c>
      <c r="CX101" s="76">
        <f t="shared" si="172"/>
        <v>1560</v>
      </c>
      <c r="CY101" s="76"/>
      <c r="CZ101" s="76"/>
      <c r="DA101" s="34"/>
      <c r="DB101" s="34"/>
      <c r="DC101" s="34"/>
      <c r="DG101" s="46"/>
      <c r="DH101" s="46"/>
      <c r="DL101" s="34">
        <f>AVERAGE(AE101:AH101)</f>
        <v>1454</v>
      </c>
      <c r="DM101" s="34">
        <f>AVERAGE(AI101:AL101)</f>
        <v>1451</v>
      </c>
      <c r="DN101" s="34">
        <f>AVERAGE(AM101:AP101)</f>
        <v>1445</v>
      </c>
      <c r="DO101" s="34">
        <f>AVERAGE(AQ101:AT101)</f>
        <v>1371</v>
      </c>
      <c r="DP101" s="34">
        <f>AVERAGE(AU101:AX101)</f>
        <v>1285</v>
      </c>
      <c r="DQ101" s="34">
        <f>DP101</f>
        <v>1285</v>
      </c>
      <c r="DR101" s="34">
        <f>DQ101</f>
        <v>1285</v>
      </c>
      <c r="DS101" s="34">
        <f>DR101</f>
        <v>1285</v>
      </c>
      <c r="DT101" s="34">
        <f t="shared" ref="DT101:EC101" si="173">+DS101</f>
        <v>1285</v>
      </c>
      <c r="DU101" s="34">
        <f t="shared" si="173"/>
        <v>1285</v>
      </c>
      <c r="DV101" s="34">
        <f t="shared" si="173"/>
        <v>1285</v>
      </c>
      <c r="DW101" s="34">
        <f t="shared" si="173"/>
        <v>1285</v>
      </c>
      <c r="DX101" s="34">
        <f t="shared" si="173"/>
        <v>1285</v>
      </c>
      <c r="DY101" s="34">
        <f t="shared" si="173"/>
        <v>1285</v>
      </c>
      <c r="DZ101" s="34">
        <v>1560</v>
      </c>
      <c r="EA101" s="34">
        <v>1562</v>
      </c>
      <c r="EB101" s="34">
        <f>AVERAGE(CQ101:CT101)</f>
        <v>1560</v>
      </c>
      <c r="EC101" s="34">
        <f t="shared" si="173"/>
        <v>1560</v>
      </c>
      <c r="ED101" s="34">
        <f t="shared" ref="ED101" si="174">+EC101</f>
        <v>1560</v>
      </c>
      <c r="EE101" s="34">
        <f t="shared" ref="EE101" si="175">+ED101</f>
        <v>1560</v>
      </c>
      <c r="EF101" s="34">
        <f t="shared" ref="EF101" si="176">+EE101</f>
        <v>1560</v>
      </c>
      <c r="EG101" s="34">
        <f t="shared" ref="EG101" si="177">+EF101</f>
        <v>1560</v>
      </c>
      <c r="EH101" s="34">
        <f t="shared" ref="EH101" si="178">+EG101</f>
        <v>1560</v>
      </c>
      <c r="EI101" s="34">
        <f t="shared" ref="EI101" si="179">+EH101</f>
        <v>1560</v>
      </c>
      <c r="EJ101" s="34">
        <f t="shared" ref="EJ101" si="180">+EI101</f>
        <v>1560</v>
      </c>
      <c r="EK101" s="34">
        <f t="shared" ref="EK101" si="181">+EJ101</f>
        <v>1560</v>
      </c>
      <c r="EL101" s="34">
        <f t="shared" ref="EL101" si="182">+EK101</f>
        <v>1560</v>
      </c>
      <c r="EM101" s="34">
        <f t="shared" ref="EM101" si="183">+EL101</f>
        <v>1560</v>
      </c>
    </row>
    <row r="102" spans="1:200" s="85" customFormat="1">
      <c r="A102" s="100"/>
      <c r="B102" s="3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76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2"/>
      <c r="DE102" s="82"/>
      <c r="DF102" s="82"/>
      <c r="DG102" s="83"/>
      <c r="DH102" s="83"/>
      <c r="DI102" s="82"/>
      <c r="DJ102" s="82"/>
      <c r="DK102" s="82"/>
      <c r="DL102" s="81"/>
      <c r="DM102" s="81"/>
      <c r="DN102" s="84">
        <v>6.35</v>
      </c>
      <c r="DO102" s="84">
        <v>6.16</v>
      </c>
      <c r="DP102" s="84">
        <v>4.95</v>
      </c>
      <c r="DQ102" s="84">
        <v>4.5599999999999996</v>
      </c>
      <c r="DR102" s="84">
        <v>4.28</v>
      </c>
      <c r="DS102" s="84">
        <v>3.96</v>
      </c>
      <c r="DT102" s="84">
        <v>3.61</v>
      </c>
      <c r="DU102" s="81"/>
      <c r="DV102" s="81"/>
      <c r="DW102" s="81"/>
      <c r="DX102" s="81"/>
    </row>
    <row r="103" spans="1:200" s="85" customFormat="1">
      <c r="A103" s="100"/>
      <c r="B103" s="9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137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2"/>
      <c r="DE103" s="82"/>
      <c r="DF103" s="82"/>
      <c r="DG103" s="86"/>
      <c r="DH103" s="86"/>
      <c r="DI103" s="83"/>
      <c r="DJ103" s="86"/>
      <c r="DK103" s="87"/>
      <c r="DL103" s="82"/>
      <c r="DM103" s="86"/>
      <c r="DN103" s="86"/>
      <c r="DO103" s="86"/>
      <c r="DP103" s="86"/>
      <c r="DQ103" s="82"/>
      <c r="DR103" s="82"/>
      <c r="DS103" s="82"/>
      <c r="DT103" s="82"/>
      <c r="DU103" s="82"/>
      <c r="DV103" s="82"/>
      <c r="DW103" s="82"/>
      <c r="DX103" s="82"/>
    </row>
    <row r="104" spans="1:200">
      <c r="B104" s="31" t="s">
        <v>532</v>
      </c>
      <c r="C104" s="48"/>
      <c r="D104" s="48"/>
      <c r="E104" s="48"/>
      <c r="F104" s="48"/>
      <c r="G104" s="48"/>
      <c r="H104" s="48"/>
      <c r="I104" s="48"/>
      <c r="J104" s="48"/>
      <c r="K104" s="48">
        <v>0.74994720168954598</v>
      </c>
      <c r="L104" s="48">
        <v>0.75811541929666371</v>
      </c>
      <c r="M104" s="48">
        <v>0.75494482615032277</v>
      </c>
      <c r="N104" s="48">
        <v>0.78892307692307695</v>
      </c>
      <c r="O104" s="48">
        <v>0.77177769018525821</v>
      </c>
      <c r="P104" s="48">
        <v>0.76342662632375191</v>
      </c>
      <c r="Q104" s="48">
        <v>0.75574548907882244</v>
      </c>
      <c r="R104" s="48">
        <f t="shared" ref="R104:AD104" si="184">R90/R88</f>
        <v>0.74167959993102262</v>
      </c>
      <c r="S104" s="48">
        <f t="shared" si="184"/>
        <v>0.75448371931046487</v>
      </c>
      <c r="T104" s="48">
        <f t="shared" si="184"/>
        <v>0.78588609401117049</v>
      </c>
      <c r="U104" s="48">
        <f t="shared" si="184"/>
        <v>0.78493694938676806</v>
      </c>
      <c r="V104" s="48">
        <f t="shared" si="184"/>
        <v>0.81335104616406506</v>
      </c>
      <c r="W104" s="48">
        <f t="shared" si="184"/>
        <v>0.77892596984584106</v>
      </c>
      <c r="X104" s="48">
        <f t="shared" si="184"/>
        <v>0.77061896469843283</v>
      </c>
      <c r="Y104" s="48">
        <f t="shared" si="184"/>
        <v>0.77692307692307694</v>
      </c>
      <c r="Z104" s="48">
        <f t="shared" si="184"/>
        <v>0.76253259924659522</v>
      </c>
      <c r="AA104" s="48">
        <f t="shared" si="184"/>
        <v>0.76603145795523286</v>
      </c>
      <c r="AB104" s="48">
        <f t="shared" si="184"/>
        <v>0.74792243767313016</v>
      </c>
      <c r="AC104" s="48">
        <f t="shared" si="184"/>
        <v>0.77828588287358014</v>
      </c>
      <c r="AD104" s="48">
        <f t="shared" si="184"/>
        <v>0.77117925099987883</v>
      </c>
      <c r="AE104" s="48">
        <f t="shared" ref="AE104:AN104" si="185">AE90/AE88</f>
        <v>0.7975206611570248</v>
      </c>
      <c r="AF104" s="48">
        <f t="shared" si="185"/>
        <v>0.79429954288787308</v>
      </c>
      <c r="AG104" s="48">
        <f t="shared" si="185"/>
        <v>0.77893868572999725</v>
      </c>
      <c r="AH104" s="48">
        <f t="shared" si="185"/>
        <v>0.7157181924729783</v>
      </c>
      <c r="AI104" s="48">
        <f t="shared" si="185"/>
        <v>0.79863623712774845</v>
      </c>
      <c r="AJ104" s="48">
        <f t="shared" si="185"/>
        <v>0.79289860942351831</v>
      </c>
      <c r="AK104" s="48">
        <f t="shared" si="185"/>
        <v>0.82508510081173081</v>
      </c>
      <c r="AL104" s="48">
        <f t="shared" si="185"/>
        <v>0.78789708902041311</v>
      </c>
      <c r="AM104" s="48">
        <f t="shared" si="185"/>
        <v>0.78006349206349201</v>
      </c>
      <c r="AN104" s="48">
        <f t="shared" si="185"/>
        <v>0.7950492414160234</v>
      </c>
      <c r="AO104" s="48">
        <f t="shared" ref="AO104:AX104" si="186">AO90/AO88</f>
        <v>0.7787269220170846</v>
      </c>
      <c r="AP104" s="48">
        <f t="shared" si="186"/>
        <v>0.776663280853225</v>
      </c>
      <c r="AQ104" s="48">
        <f t="shared" si="186"/>
        <v>0.81180371352785141</v>
      </c>
      <c r="AR104" s="48">
        <f t="shared" si="186"/>
        <v>0.83</v>
      </c>
      <c r="AS104" s="48">
        <f t="shared" si="186"/>
        <v>0.77393403057119869</v>
      </c>
      <c r="AT104" s="48">
        <f t="shared" si="186"/>
        <v>0.78290904439043107</v>
      </c>
      <c r="AU104" s="48">
        <f t="shared" si="186"/>
        <v>0.78101418653788113</v>
      </c>
      <c r="AV104" s="48" t="e">
        <f t="shared" si="186"/>
        <v>#DIV/0!</v>
      </c>
      <c r="AW104" s="48" t="e">
        <f t="shared" si="186"/>
        <v>#DIV/0!</v>
      </c>
      <c r="AX104" s="48" t="e">
        <f t="shared" si="186"/>
        <v>#DIV/0!</v>
      </c>
      <c r="AY104" s="48"/>
      <c r="AZ104" s="48"/>
      <c r="BA104" s="48"/>
      <c r="BB104" s="48"/>
      <c r="BC104" s="48"/>
      <c r="BD104" s="48">
        <f>BD90/BD88</f>
        <v>0.74954759319580166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187">+BZ90/BZ88</f>
        <v>0.77951102444877751</v>
      </c>
      <c r="CA104" s="73">
        <f t="shared" si="187"/>
        <v>0.76282656594271325</v>
      </c>
      <c r="CB104" s="73">
        <f t="shared" ref="CB104" si="188">+CB90/CB88</f>
        <v>0.82661354581673308</v>
      </c>
      <c r="CC104" s="73">
        <f t="shared" ref="CC104:CE104" si="189">+CC90/CC88</f>
        <v>0.77667984189723316</v>
      </c>
      <c r="CD104" s="73">
        <f t="shared" ref="CD104" si="190">+CD90/CD88</f>
        <v>0.78299595141700407</v>
      </c>
      <c r="CE104" s="73">
        <f t="shared" si="189"/>
        <v>0.76215846994535519</v>
      </c>
      <c r="CF104" s="73">
        <f>+CF90/CF88</f>
        <v>0.72360097323600969</v>
      </c>
      <c r="CG104" s="73">
        <f t="shared" ref="CG104:CP104" si="191">+CG90/CG88</f>
        <v>0.73606324751672414</v>
      </c>
      <c r="CH104" s="73">
        <f t="shared" si="191"/>
        <v>0.74398468070934975</v>
      </c>
      <c r="CI104" s="73">
        <f t="shared" si="191"/>
        <v>0.78972783143107994</v>
      </c>
      <c r="CJ104" s="73">
        <f t="shared" si="191"/>
        <v>0.81895831399127283</v>
      </c>
      <c r="CK104" s="73">
        <f t="shared" si="191"/>
        <v>0</v>
      </c>
      <c r="CL104" s="73">
        <f t="shared" si="191"/>
        <v>0.72731328633889536</v>
      </c>
      <c r="CM104" s="73">
        <f t="shared" si="191"/>
        <v>0.81257468517326958</v>
      </c>
      <c r="CN104" s="73">
        <f t="shared" si="191"/>
        <v>0.81685206271349742</v>
      </c>
      <c r="CO104" s="73">
        <f t="shared" si="191"/>
        <v>0</v>
      </c>
      <c r="CP104" s="73">
        <f t="shared" si="191"/>
        <v>0.79599135063206916</v>
      </c>
      <c r="CQ104" s="73">
        <f t="shared" ref="CQ104" si="192">+CQ90/CQ88</f>
        <v>0.81443217665615142</v>
      </c>
      <c r="CR104" s="73">
        <f>+CR90/CR88</f>
        <v>0.82300200958417069</v>
      </c>
      <c r="CS104" s="73">
        <f>+CS90/CS88</f>
        <v>1</v>
      </c>
      <c r="CT104" s="73">
        <f t="shared" ref="CT104:CX104" si="193">+CT90/CT88</f>
        <v>0.7993142537261213</v>
      </c>
      <c r="CU104" s="73">
        <f t="shared" si="193"/>
        <v>0.83</v>
      </c>
      <c r="CV104" s="73">
        <f t="shared" si="193"/>
        <v>0.83</v>
      </c>
      <c r="CW104" s="73">
        <f t="shared" si="193"/>
        <v>0.83</v>
      </c>
      <c r="CX104" s="73">
        <f t="shared" si="193"/>
        <v>0.83</v>
      </c>
      <c r="CY104" s="73"/>
      <c r="CZ104" s="73"/>
      <c r="DA104" s="48"/>
      <c r="DB104" s="48"/>
      <c r="DC104" s="48"/>
      <c r="DG104" s="48">
        <v>0.76322351318372328</v>
      </c>
      <c r="DH104" s="48">
        <v>0.75763091570988517</v>
      </c>
      <c r="DI104" s="48">
        <v>0.77636976649513056</v>
      </c>
      <c r="DJ104" s="48">
        <f>DJ90/DJ88</f>
        <v>0.77190284677864518</v>
      </c>
      <c r="DK104" s="48">
        <v>0.78300000000000003</v>
      </c>
      <c r="DL104" s="48">
        <f>+DK104+0.1%</f>
        <v>0.78400000000000003</v>
      </c>
      <c r="DM104" s="48">
        <f>DM90/DM88</f>
        <v>0.800950508030154</v>
      </c>
      <c r="DN104" s="48">
        <f>DN90/DN88</f>
        <v>0.78268562815387643</v>
      </c>
      <c r="DO104" s="48">
        <f>+DN104-0.5%</f>
        <v>0.77768562815387643</v>
      </c>
      <c r="DP104" s="48">
        <f t="shared" ref="DP104:DV104" si="194">+DO104-0.5%</f>
        <v>0.77268562815387642</v>
      </c>
      <c r="DQ104" s="48">
        <f t="shared" si="194"/>
        <v>0.76768562815387642</v>
      </c>
      <c r="DR104" s="48">
        <f t="shared" si="194"/>
        <v>0.76268562815387642</v>
      </c>
      <c r="DS104" s="48">
        <f t="shared" si="194"/>
        <v>0.75768562815387641</v>
      </c>
      <c r="DT104" s="48">
        <f t="shared" si="194"/>
        <v>0.75268562815387641</v>
      </c>
      <c r="DU104" s="48">
        <f t="shared" si="194"/>
        <v>0.7476856281538764</v>
      </c>
      <c r="DV104" s="48">
        <f t="shared" si="194"/>
        <v>0.7426856281538764</v>
      </c>
      <c r="DW104" s="48">
        <v>0.8</v>
      </c>
      <c r="DX104" s="48">
        <v>0.8</v>
      </c>
      <c r="DY104" s="48">
        <v>0.8</v>
      </c>
      <c r="DZ104" s="48">
        <v>0.8</v>
      </c>
      <c r="EA104" s="48">
        <v>0.8</v>
      </c>
      <c r="EB104" s="48">
        <v>0.8</v>
      </c>
      <c r="EC104" s="48">
        <v>0.8</v>
      </c>
      <c r="ED104" s="48">
        <v>0.8</v>
      </c>
      <c r="EE104" s="48">
        <v>0.8</v>
      </c>
      <c r="EF104" s="48">
        <v>0.8</v>
      </c>
      <c r="EG104" s="48">
        <v>0.8</v>
      </c>
      <c r="EH104" s="48">
        <v>0.8</v>
      </c>
      <c r="EI104" s="48">
        <v>0.8</v>
      </c>
      <c r="EJ104" s="48">
        <v>0.8</v>
      </c>
      <c r="EK104" s="48">
        <v>0.8</v>
      </c>
      <c r="EL104" s="48">
        <v>0.8</v>
      </c>
      <c r="EM104" s="48">
        <v>0.8</v>
      </c>
      <c r="EO104" s="45" t="s">
        <v>257</v>
      </c>
      <c r="EP104" s="32">
        <v>-0.05</v>
      </c>
    </row>
    <row r="105" spans="1:200">
      <c r="B105" s="31" t="s">
        <v>533</v>
      </c>
      <c r="C105" s="48"/>
      <c r="D105" s="48"/>
      <c r="E105" s="48"/>
      <c r="F105" s="48"/>
      <c r="G105" s="48"/>
      <c r="H105" s="48"/>
      <c r="I105" s="48"/>
      <c r="J105" s="48"/>
      <c r="K105" s="48">
        <v>0.1495248152059134</v>
      </c>
      <c r="L105" s="48">
        <v>0.15779981965734896</v>
      </c>
      <c r="M105" s="48">
        <v>0.15094732458879867</v>
      </c>
      <c r="N105" s="48">
        <v>0.18030769230769231</v>
      </c>
      <c r="O105" s="48">
        <v>0.16890027591643675</v>
      </c>
      <c r="P105" s="48">
        <v>0.16792738275340394</v>
      </c>
      <c r="Q105" s="48">
        <v>0.15631528964862298</v>
      </c>
      <c r="R105" s="48">
        <v>0.15502672874633558</v>
      </c>
      <c r="S105" s="48"/>
      <c r="T105" s="48"/>
      <c r="U105" s="48"/>
      <c r="V105" s="48"/>
      <c r="W105" s="48">
        <f t="shared" ref="W105:AD105" si="195">W91/W88</f>
        <v>0.14585803828561747</v>
      </c>
      <c r="X105" s="48">
        <f t="shared" si="195"/>
        <v>0.15117935728985277</v>
      </c>
      <c r="Y105" s="48">
        <f t="shared" si="195"/>
        <v>0.15416666666666667</v>
      </c>
      <c r="Z105" s="48">
        <f t="shared" si="195"/>
        <v>0.16285134743552593</v>
      </c>
      <c r="AA105" s="48">
        <f t="shared" si="195"/>
        <v>0.17695099818511797</v>
      </c>
      <c r="AB105" s="48">
        <f t="shared" si="195"/>
        <v>0.1785974631870535</v>
      </c>
      <c r="AC105" s="48">
        <f t="shared" si="195"/>
        <v>0.19693170084083197</v>
      </c>
      <c r="AD105" s="48">
        <f t="shared" si="195"/>
        <v>0.17355472063992244</v>
      </c>
      <c r="AE105" s="48">
        <f t="shared" ref="AE105:AM105" si="196">AE91/AE88</f>
        <v>0.15960743801652894</v>
      </c>
      <c r="AF105" s="48">
        <f t="shared" si="196"/>
        <v>0.174374831944071</v>
      </c>
      <c r="AG105" s="48">
        <f t="shared" si="196"/>
        <v>0.17748144074786912</v>
      </c>
      <c r="AH105" s="48">
        <f t="shared" si="196"/>
        <v>0.17645526761297045</v>
      </c>
      <c r="AI105" s="48">
        <f t="shared" si="196"/>
        <v>0.13637628722516004</v>
      </c>
      <c r="AJ105" s="48">
        <f t="shared" si="196"/>
        <v>0.14297286350749291</v>
      </c>
      <c r="AK105" s="48">
        <f t="shared" si="196"/>
        <v>0.13825608798114689</v>
      </c>
      <c r="AL105" s="48">
        <f t="shared" si="196"/>
        <v>0.15871482063051093</v>
      </c>
      <c r="AM105" s="48">
        <f t="shared" si="196"/>
        <v>0.12584126984126984</v>
      </c>
      <c r="AN105" s="48">
        <f t="shared" ref="AN105:AS105" si="197">AN91/AN88</f>
        <v>0.17567207878626565</v>
      </c>
      <c r="AO105" s="48">
        <f t="shared" si="197"/>
        <v>0.14838798567098374</v>
      </c>
      <c r="AP105" s="48">
        <f t="shared" si="197"/>
        <v>0.24504824784154394</v>
      </c>
      <c r="AQ105" s="48">
        <f t="shared" si="197"/>
        <v>0.15411140583554378</v>
      </c>
      <c r="AR105" s="48">
        <f t="shared" si="197"/>
        <v>0.16407423723835665</v>
      </c>
      <c r="AS105" s="48">
        <f t="shared" si="197"/>
        <v>0.17377312952534191</v>
      </c>
      <c r="AT105" s="48">
        <f>AT91/AT88</f>
        <v>0.23883842906485864</v>
      </c>
      <c r="AU105" s="48">
        <f>AU91/AU88</f>
        <v>0.2309085421068518</v>
      </c>
      <c r="AV105" s="48" t="e">
        <f>AV91/AV88</f>
        <v>#DIV/0!</v>
      </c>
      <c r="AW105" s="48" t="e">
        <f>AW91/AW88</f>
        <v>#DIV/0!</v>
      </c>
      <c r="AX105" s="48" t="e">
        <f>AX91/AX88</f>
        <v>#DIV/0!</v>
      </c>
      <c r="AY105" s="48"/>
      <c r="AZ105" s="48"/>
      <c r="BA105" s="48"/>
      <c r="BB105" s="48"/>
      <c r="BC105" s="48"/>
      <c r="BD105" s="48">
        <f>BD91/BD88</f>
        <v>0.24031849439015562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198">+BZ91/BZ88</f>
        <v>0.31363431828408578</v>
      </c>
      <c r="CA105" s="73">
        <f t="shared" si="198"/>
        <v>0.2184450739691533</v>
      </c>
      <c r="CB105" s="73">
        <f t="shared" ref="CB105" si="199">+CB91/CB88</f>
        <v>0.22135458167330677</v>
      </c>
      <c r="CC105" s="73">
        <f t="shared" ref="CC105:CE105" si="200">+CC91/CC88</f>
        <v>0.22727272727272727</v>
      </c>
      <c r="CD105" s="73">
        <f t="shared" ref="CD105" si="201">+CD91/CD88</f>
        <v>0.23036437246963562</v>
      </c>
      <c r="CE105" s="73">
        <f t="shared" si="200"/>
        <v>0.22377049180327868</v>
      </c>
      <c r="CF105" s="73">
        <f>+CF91/CF88</f>
        <v>0.21909975669099757</v>
      </c>
      <c r="CG105" s="73">
        <f t="shared" ref="CG105:CJ105" si="202">+CG91/CG88</f>
        <v>0.21812284613825259</v>
      </c>
      <c r="CH105" s="73">
        <f t="shared" si="202"/>
        <v>0.19948380651069852</v>
      </c>
      <c r="CI105" s="73">
        <f t="shared" si="202"/>
        <v>0.19192273924495171</v>
      </c>
      <c r="CJ105" s="73">
        <f t="shared" si="202"/>
        <v>0.22569863522421316</v>
      </c>
      <c r="CK105" s="73">
        <f t="shared" ref="CK105:CP105" si="203">+CK91/CK88</f>
        <v>0</v>
      </c>
      <c r="CL105" s="73">
        <f t="shared" si="203"/>
        <v>0.23422860712054966</v>
      </c>
      <c r="CM105" s="73">
        <f t="shared" si="203"/>
        <v>0.24000367680853019</v>
      </c>
      <c r="CN105" s="73">
        <f t="shared" si="203"/>
        <v>0.23359901900674432</v>
      </c>
      <c r="CO105" s="73">
        <f t="shared" si="203"/>
        <v>0</v>
      </c>
      <c r="CP105" s="73">
        <f t="shared" si="203"/>
        <v>0.2555721889554225</v>
      </c>
      <c r="CQ105" s="73">
        <f t="shared" ref="CQ105:CR105" si="204">+CQ91/CQ88</f>
        <v>0.21947949526813881</v>
      </c>
      <c r="CR105" s="73">
        <f t="shared" si="204"/>
        <v>0.22198175915906632</v>
      </c>
      <c r="CS105" s="73">
        <f t="shared" ref="CS105:CX105" si="205">+CS91/CS88</f>
        <v>0.21214359580440242</v>
      </c>
      <c r="CT105" s="73">
        <f t="shared" si="205"/>
        <v>0.25001749352739489</v>
      </c>
      <c r="CU105" s="73">
        <f t="shared" si="205"/>
        <v>0.26515769944341372</v>
      </c>
      <c r="CV105" s="73">
        <f t="shared" si="205"/>
        <v>0.27436706673731254</v>
      </c>
      <c r="CW105" s="73">
        <f t="shared" si="205"/>
        <v>0.25976934111066124</v>
      </c>
      <c r="CX105" s="73">
        <f t="shared" si="205"/>
        <v>0.25040262050231898</v>
      </c>
      <c r="CY105" s="73"/>
      <c r="CZ105" s="73"/>
      <c r="DA105" s="48"/>
      <c r="DB105" s="48"/>
      <c r="DC105" s="48"/>
      <c r="DG105" s="48">
        <v>0.15979627566449148</v>
      </c>
      <c r="DH105" s="48">
        <v>0.16181275086343694</v>
      </c>
      <c r="DI105" s="48">
        <v>0.14108412229517436</v>
      </c>
      <c r="DJ105" s="48">
        <f>DJ91/DJ88</f>
        <v>0.15385221985647821</v>
      </c>
      <c r="DM105" s="48"/>
      <c r="DN105" s="48">
        <f>DN91/DN88</f>
        <v>0.1742578150599646</v>
      </c>
      <c r="DO105" s="48">
        <f t="shared" ref="DO105:DX105" si="206">DO91/DO88</f>
        <v>0.18352913788466868</v>
      </c>
      <c r="DP105" s="48">
        <f t="shared" si="206"/>
        <v>0</v>
      </c>
      <c r="DQ105" s="48" t="e">
        <f t="shared" si="206"/>
        <v>#DIV/0!</v>
      </c>
      <c r="DR105" s="48" t="e">
        <f t="shared" si="206"/>
        <v>#DIV/0!</v>
      </c>
      <c r="DS105" s="48" t="e">
        <f t="shared" si="206"/>
        <v>#DIV/0!</v>
      </c>
      <c r="DT105" s="48">
        <f t="shared" si="206"/>
        <v>0</v>
      </c>
      <c r="DU105" s="48">
        <f t="shared" si="206"/>
        <v>0</v>
      </c>
      <c r="DV105" s="48">
        <f t="shared" si="206"/>
        <v>0</v>
      </c>
      <c r="DW105" s="48">
        <f t="shared" si="206"/>
        <v>0</v>
      </c>
      <c r="DX105" s="48">
        <f t="shared" si="206"/>
        <v>0</v>
      </c>
      <c r="DY105" s="48">
        <f>DY91/DY88</f>
        <v>0</v>
      </c>
      <c r="DZ105" s="48">
        <f>DZ91/DZ88</f>
        <v>0.22013259369503449</v>
      </c>
      <c r="EA105" s="48">
        <f>EA91/EA88</f>
        <v>0.23869291888588143</v>
      </c>
      <c r="EB105" s="48">
        <f>EB91/EB88</f>
        <v>0.2263925009822815</v>
      </c>
      <c r="EC105" s="48">
        <f>EC91/EC88</f>
        <v>0</v>
      </c>
      <c r="ED105" s="48">
        <f t="shared" ref="ED105:EM105" si="207">ED91/ED88</f>
        <v>0</v>
      </c>
      <c r="EE105" s="48">
        <f t="shared" si="207"/>
        <v>0</v>
      </c>
      <c r="EF105" s="48">
        <f t="shared" si="207"/>
        <v>0</v>
      </c>
      <c r="EG105" s="48">
        <f t="shared" si="207"/>
        <v>0</v>
      </c>
      <c r="EH105" s="48">
        <f t="shared" si="207"/>
        <v>0</v>
      </c>
      <c r="EI105" s="48">
        <f t="shared" si="207"/>
        <v>0</v>
      </c>
      <c r="EJ105" s="48">
        <f t="shared" si="207"/>
        <v>0</v>
      </c>
      <c r="EK105" s="48">
        <f t="shared" si="207"/>
        <v>0</v>
      </c>
      <c r="EL105" s="48">
        <f t="shared" si="207"/>
        <v>0</v>
      </c>
      <c r="EM105" s="48">
        <f t="shared" si="207"/>
        <v>0</v>
      </c>
      <c r="EO105" s="41" t="s">
        <v>256</v>
      </c>
      <c r="EP105" s="33">
        <v>0.09</v>
      </c>
    </row>
    <row r="106" spans="1:200">
      <c r="B106" s="31" t="s">
        <v>534</v>
      </c>
      <c r="C106" s="48"/>
      <c r="D106" s="48"/>
      <c r="E106" s="48"/>
      <c r="F106" s="48"/>
      <c r="G106" s="48"/>
      <c r="H106" s="48"/>
      <c r="I106" s="48"/>
      <c r="J106" s="48"/>
      <c r="K106" s="48">
        <v>0.35417106652587116</v>
      </c>
      <c r="L106" s="48">
        <v>0.41050495942290349</v>
      </c>
      <c r="M106" s="48">
        <v>0.39516968561315846</v>
      </c>
      <c r="N106" s="48">
        <v>0.4428717948717949</v>
      </c>
      <c r="O106" s="48">
        <v>0.40303508080409933</v>
      </c>
      <c r="P106" s="48">
        <v>0.4171709531013616</v>
      </c>
      <c r="Q106" s="48">
        <v>0.38195631528964863</v>
      </c>
      <c r="R106" s="48">
        <v>0.3764442145197448</v>
      </c>
      <c r="S106" s="48"/>
      <c r="T106" s="48"/>
      <c r="U106" s="48"/>
      <c r="V106" s="48"/>
      <c r="W106" s="48">
        <f t="shared" ref="W106:AD106" si="208">W92/W88</f>
        <v>0.3582923936981196</v>
      </c>
      <c r="X106" s="48">
        <f t="shared" si="208"/>
        <v>0.36251385151179355</v>
      </c>
      <c r="Y106" s="48">
        <f t="shared" si="208"/>
        <v>0.34935897435897434</v>
      </c>
      <c r="Z106" s="48">
        <f t="shared" si="208"/>
        <v>0.36380759200231816</v>
      </c>
      <c r="AA106" s="48">
        <f t="shared" si="208"/>
        <v>0.3352994555353902</v>
      </c>
      <c r="AB106" s="48">
        <f t="shared" si="208"/>
        <v>0.37979297273655049</v>
      </c>
      <c r="AC106" s="48">
        <f t="shared" si="208"/>
        <v>0.36686826965629149</v>
      </c>
      <c r="AD106" s="48">
        <f t="shared" si="208"/>
        <v>0.37025815052720884</v>
      </c>
      <c r="AE106" s="48">
        <f t="shared" ref="AE106:AM106" si="209">AE92/AE88</f>
        <v>0.35343491735537191</v>
      </c>
      <c r="AF106" s="48">
        <f t="shared" si="209"/>
        <v>0.38101640225867167</v>
      </c>
      <c r="AG106" s="48">
        <f t="shared" si="209"/>
        <v>0.34176519109155895</v>
      </c>
      <c r="AH106" s="48">
        <f t="shared" si="209"/>
        <v>0.37192342752962626</v>
      </c>
      <c r="AI106" s="48">
        <f t="shared" si="209"/>
        <v>0.33064291678263291</v>
      </c>
      <c r="AJ106" s="48">
        <f t="shared" si="209"/>
        <v>0.38180099905494802</v>
      </c>
      <c r="AK106" s="48">
        <f t="shared" si="209"/>
        <v>0.34865147944488084</v>
      </c>
      <c r="AL106" s="48">
        <f t="shared" si="209"/>
        <v>0.41852880782703222</v>
      </c>
      <c r="AM106" s="48">
        <f t="shared" si="209"/>
        <v>0.31263492063492065</v>
      </c>
      <c r="AN106" s="48">
        <f t="shared" ref="AN106:AS106" si="210">AN92/AN88</f>
        <v>0.32605802501996273</v>
      </c>
      <c r="AO106" s="48">
        <f t="shared" si="210"/>
        <v>0.41485257646734636</v>
      </c>
      <c r="AP106" s="48">
        <f t="shared" si="210"/>
        <v>0.32021330624682581</v>
      </c>
      <c r="AQ106" s="48">
        <f t="shared" si="210"/>
        <v>0.33262599469496024</v>
      </c>
      <c r="AR106" s="48">
        <f t="shared" si="210"/>
        <v>0.35412924870378532</v>
      </c>
      <c r="AS106" s="48">
        <f t="shared" si="210"/>
        <v>0.35451863770447839</v>
      </c>
      <c r="AT106" s="48">
        <f>AT92/AT88</f>
        <v>0.40181655366508889</v>
      </c>
      <c r="AU106" s="48">
        <f>AU92/AU88</f>
        <v>0.37141563537579231</v>
      </c>
      <c r="AV106" s="48" t="e">
        <f>AV92/AV88</f>
        <v>#DIV/0!</v>
      </c>
      <c r="AW106" s="48" t="e">
        <f>AW92/AW88</f>
        <v>#DIV/0!</v>
      </c>
      <c r="AX106" s="48" t="e">
        <f>AX92/AX88</f>
        <v>#DIV/0!</v>
      </c>
      <c r="AY106" s="48"/>
      <c r="AZ106" s="48"/>
      <c r="BA106" s="48"/>
      <c r="BB106" s="48"/>
      <c r="BC106" s="48"/>
      <c r="BD106" s="48">
        <f>BD92/BD88</f>
        <v>0.55338400289540357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11">+BZ92/BZ88</f>
        <v>0.45387730613469329</v>
      </c>
      <c r="CA106" s="73">
        <f t="shared" si="211"/>
        <v>0.42791942083726786</v>
      </c>
      <c r="CB106" s="73">
        <f t="shared" ref="CB106" si="212">+CB92/CB88</f>
        <v>0.41992031872509961</v>
      </c>
      <c r="CC106" s="73">
        <f t="shared" ref="CC106:CE106" si="213">+CC92/CC88</f>
        <v>0.41501976284584979</v>
      </c>
      <c r="CD106" s="73">
        <f t="shared" ref="CD106" si="214">+CD92/CD88</f>
        <v>0.38299595141700404</v>
      </c>
      <c r="CE106" s="73">
        <f t="shared" si="213"/>
        <v>0.32773224043715848</v>
      </c>
      <c r="CF106" s="73">
        <f>+CF92/CF88</f>
        <v>0.30060827250608274</v>
      </c>
      <c r="CG106" s="73">
        <f t="shared" ref="CG106:CJ106" si="215">+CG92/CG88</f>
        <v>0.29049260085140888</v>
      </c>
      <c r="CH106" s="73">
        <f t="shared" si="215"/>
        <v>0.28040962451086504</v>
      </c>
      <c r="CI106" s="73">
        <f t="shared" si="215"/>
        <v>0.25864793678665499</v>
      </c>
      <c r="CJ106" s="73">
        <f t="shared" si="215"/>
        <v>0.29124500974839845</v>
      </c>
      <c r="CK106" s="73">
        <f t="shared" ref="CK106:CP106" si="216">+CK92/CK88</f>
        <v>0</v>
      </c>
      <c r="CL106" s="73">
        <f t="shared" si="216"/>
        <v>0.4123315784777371</v>
      </c>
      <c r="CM106" s="73">
        <f t="shared" si="216"/>
        <v>0.37310414560161781</v>
      </c>
      <c r="CN106" s="73">
        <f t="shared" si="216"/>
        <v>0.4367171761408426</v>
      </c>
      <c r="CO106" s="73">
        <f t="shared" si="216"/>
        <v>0</v>
      </c>
      <c r="CP106" s="73">
        <f t="shared" si="216"/>
        <v>0.44668995342648038</v>
      </c>
      <c r="CQ106" s="73">
        <f t="shared" ref="CQ106:CR106" si="217">+CQ92/CQ88</f>
        <v>0.35449526813880128</v>
      </c>
      <c r="CR106" s="73">
        <f t="shared" si="217"/>
        <v>0.28868449528520634</v>
      </c>
      <c r="CS106" s="73">
        <f t="shared" ref="CS106:CX106" si="218">+CS92/CS88</f>
        <v>0.27589008716206237</v>
      </c>
      <c r="CT106" s="73">
        <f t="shared" si="218"/>
        <v>0.29913931845217268</v>
      </c>
      <c r="CU106" s="73">
        <f t="shared" si="218"/>
        <v>0.31725417439703152</v>
      </c>
      <c r="CV106" s="73">
        <f t="shared" si="218"/>
        <v>0.32827293879149483</v>
      </c>
      <c r="CW106" s="73">
        <f t="shared" si="218"/>
        <v>0.31080714616514882</v>
      </c>
      <c r="CX106" s="73">
        <f t="shared" si="218"/>
        <v>0.29960011269169151</v>
      </c>
      <c r="CY106" s="73"/>
      <c r="CZ106" s="73"/>
      <c r="DA106" s="48"/>
      <c r="DB106" s="48"/>
      <c r="DC106" s="48"/>
      <c r="DG106" s="48">
        <v>0.40081701947052895</v>
      </c>
      <c r="DH106" s="48">
        <v>0.3941472976757211</v>
      </c>
      <c r="DI106" s="48">
        <v>0.37185415601089761</v>
      </c>
      <c r="DJ106" s="48">
        <f>DJ92/DJ88</f>
        <v>0.35864679441684411</v>
      </c>
      <c r="DK106" s="48">
        <f>DK92/DK88</f>
        <v>0.32450143053936636</v>
      </c>
      <c r="DL106" s="48">
        <f>DL92/DL88</f>
        <v>0.31059883510745134</v>
      </c>
      <c r="DM106" s="48">
        <f>DM92/DM88</f>
        <v>0.3714192068174369</v>
      </c>
      <c r="DN106" s="48">
        <f>DN92/DN88</f>
        <v>0.34225702863883611</v>
      </c>
      <c r="DO106" s="48">
        <v>0.31</v>
      </c>
      <c r="DP106" s="48">
        <v>0.31</v>
      </c>
      <c r="DQ106" s="48">
        <v>0.31</v>
      </c>
      <c r="DR106" s="48">
        <v>0.31</v>
      </c>
      <c r="DS106" s="48">
        <v>0.32</v>
      </c>
      <c r="DT106" s="48">
        <v>0.32</v>
      </c>
      <c r="DU106" s="48">
        <v>0.33</v>
      </c>
      <c r="DV106" s="48">
        <v>0.34</v>
      </c>
      <c r="DW106" s="48">
        <v>0.35</v>
      </c>
      <c r="DX106" s="48">
        <v>0.36</v>
      </c>
      <c r="DY106" s="48">
        <v>0.36</v>
      </c>
      <c r="DZ106" s="48">
        <v>0.36</v>
      </c>
      <c r="EA106" s="48">
        <v>0.36</v>
      </c>
      <c r="EB106" s="48">
        <v>0.36</v>
      </c>
      <c r="EC106" s="48">
        <v>0.36</v>
      </c>
      <c r="ED106" s="48">
        <v>0.36</v>
      </c>
      <c r="EE106" s="48">
        <v>0.36</v>
      </c>
      <c r="EF106" s="48">
        <v>0.36</v>
      </c>
      <c r="EG106" s="48">
        <v>0.36</v>
      </c>
      <c r="EH106" s="48">
        <v>0.36</v>
      </c>
      <c r="EI106" s="48">
        <v>0.36</v>
      </c>
      <c r="EJ106" s="48">
        <v>0.36</v>
      </c>
      <c r="EK106" s="48">
        <v>0.36</v>
      </c>
      <c r="EL106" s="48">
        <v>0.36</v>
      </c>
      <c r="EM106" s="48">
        <v>0.36</v>
      </c>
      <c r="EO106" s="39" t="s">
        <v>258</v>
      </c>
      <c r="EP106" s="34">
        <f>NPV($EP$105,DP99:GU99)+Main!K5-Main!K6+DO99</f>
        <v>67191.620375508646</v>
      </c>
    </row>
    <row r="107" spans="1:200">
      <c r="B107" s="31" t="s">
        <v>535</v>
      </c>
      <c r="C107" s="48"/>
      <c r="D107" s="48"/>
      <c r="E107" s="48"/>
      <c r="F107" s="48"/>
      <c r="G107" s="48"/>
      <c r="H107" s="48"/>
      <c r="I107" s="48"/>
      <c r="J107" s="48"/>
      <c r="K107" s="48">
        <v>0.25005279831045407</v>
      </c>
      <c r="L107" s="48">
        <v>0.19882777276825969</v>
      </c>
      <c r="M107" s="48">
        <v>0.22340204039142203</v>
      </c>
      <c r="N107" s="48">
        <v>0.17805128205128204</v>
      </c>
      <c r="O107" s="48">
        <v>0.20733149389042177</v>
      </c>
      <c r="P107" s="48">
        <v>0.1989409984871407</v>
      </c>
      <c r="Q107" s="48">
        <v>0.22260208926875594</v>
      </c>
      <c r="R107" s="48">
        <v>0.21917571995171581</v>
      </c>
      <c r="S107" s="48">
        <f t="shared" ref="S107:AD107" si="219">S94/S88</f>
        <v>0.2530036566254571</v>
      </c>
      <c r="T107" s="48">
        <f t="shared" si="219"/>
        <v>0.28019894818378244</v>
      </c>
      <c r="U107" s="48">
        <f t="shared" si="219"/>
        <v>0.29279668336500259</v>
      </c>
      <c r="V107" s="48">
        <f t="shared" si="219"/>
        <v>0.27167054134838925</v>
      </c>
      <c r="W107" s="48">
        <f t="shared" si="219"/>
        <v>0.28781975266813487</v>
      </c>
      <c r="X107" s="48">
        <f t="shared" si="219"/>
        <v>0.28858635428209595</v>
      </c>
      <c r="Y107" s="48">
        <f t="shared" si="219"/>
        <v>0.29326923076923078</v>
      </c>
      <c r="Z107" s="48">
        <f t="shared" si="219"/>
        <v>0.2536945812807882</v>
      </c>
      <c r="AA107" s="48">
        <f t="shared" si="219"/>
        <v>0.27465214761040535</v>
      </c>
      <c r="AB107" s="48">
        <f t="shared" si="219"/>
        <v>0.22729260825193176</v>
      </c>
      <c r="AC107" s="48">
        <f t="shared" si="219"/>
        <v>0.2435462457589615</v>
      </c>
      <c r="AD107" s="48">
        <f t="shared" si="219"/>
        <v>0.24360683553508666</v>
      </c>
      <c r="AE107" s="48">
        <f t="shared" ref="AE107:AM107" si="220">AE94/AE88</f>
        <v>0.30010330578512395</v>
      </c>
      <c r="AF107" s="48">
        <f t="shared" si="220"/>
        <v>0.26283947297660659</v>
      </c>
      <c r="AG107" s="48">
        <f t="shared" si="220"/>
        <v>0.27783887819631564</v>
      </c>
      <c r="AH107" s="48">
        <f t="shared" si="220"/>
        <v>0.17945044927724965</v>
      </c>
      <c r="AI107" s="48">
        <f t="shared" si="220"/>
        <v>0.36849429446145282</v>
      </c>
      <c r="AJ107" s="48">
        <f t="shared" si="220"/>
        <v>0.31051707843931414</v>
      </c>
      <c r="AK107" s="48">
        <f t="shared" si="220"/>
        <v>0.34590206860434669</v>
      </c>
      <c r="AL107" s="48">
        <f t="shared" si="220"/>
        <v>0.20038652011112454</v>
      </c>
      <c r="AM107" s="48">
        <f t="shared" si="220"/>
        <v>0.37358730158730158</v>
      </c>
      <c r="AN107" s="48">
        <f t="shared" ref="AN107:AS107" si="221">AN94/AN88</f>
        <v>0.31541123236624968</v>
      </c>
      <c r="AO107" s="48">
        <f t="shared" si="221"/>
        <v>0.24331771837971894</v>
      </c>
      <c r="AP107" s="48">
        <f t="shared" si="221"/>
        <v>0.22308278313864907</v>
      </c>
      <c r="AQ107" s="48">
        <f t="shared" si="221"/>
        <v>0.3513262599469496</v>
      </c>
      <c r="AR107" s="48">
        <f t="shared" si="221"/>
        <v>0.33975408632394632</v>
      </c>
      <c r="AS107" s="48">
        <f t="shared" si="221"/>
        <v>0.2456422633413784</v>
      </c>
      <c r="AT107" s="48">
        <f>AT94/AT88</f>
        <v>0.16988614558014584</v>
      </c>
      <c r="AU107" s="48">
        <f>AU94/AU88</f>
        <v>0.21687292484153337</v>
      </c>
      <c r="AV107" s="48" t="e">
        <f>AV94/AV88</f>
        <v>#DIV/0!</v>
      </c>
      <c r="AW107" s="48" t="e">
        <f>AW94/AW88</f>
        <v>#DIV/0!</v>
      </c>
      <c r="AX107" s="48" t="e">
        <f>AX94/AX88</f>
        <v>#DIV/0!</v>
      </c>
      <c r="AY107" s="48"/>
      <c r="AZ107" s="48"/>
      <c r="BA107" s="48"/>
      <c r="BB107" s="48"/>
      <c r="BC107" s="48"/>
      <c r="BD107" s="48">
        <f>BD94/BD88</f>
        <v>3.2754252623959465E-2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22">+BZ94/BZ88</f>
        <v>8.6995650217489132E-2</v>
      </c>
      <c r="CA107" s="73">
        <f t="shared" si="222"/>
        <v>0.19200503619767076</v>
      </c>
      <c r="CB107" s="73">
        <f t="shared" ref="CB107" si="223">+CB94/CB88</f>
        <v>0.20462151394422312</v>
      </c>
      <c r="CC107" s="73">
        <f t="shared" ref="CC107:CE107" si="224">+CC94/CC88</f>
        <v>0.17801763453937366</v>
      </c>
      <c r="CD107" s="73">
        <f t="shared" ref="CD107" si="225">+CD94/CD88</f>
        <v>0.25627530364372469</v>
      </c>
      <c r="CE107" s="73">
        <f t="shared" si="224"/>
        <v>0.37185792349726776</v>
      </c>
      <c r="CF107" s="73">
        <f>+CF94/CF88</f>
        <v>0.21958637469586376</v>
      </c>
      <c r="CG107" s="73">
        <f t="shared" ref="CG107:CJ107" si="226">+CG94/CG88</f>
        <v>0.23119805392256235</v>
      </c>
      <c r="CH107" s="73">
        <f t="shared" si="226"/>
        <v>0.26409124968778619</v>
      </c>
      <c r="CI107" s="73">
        <f t="shared" si="226"/>
        <v>0.34776119402985073</v>
      </c>
      <c r="CJ107" s="73">
        <f t="shared" si="226"/>
        <v>0.31241296072788044</v>
      </c>
      <c r="CK107" s="73">
        <f t="shared" ref="CK107:CP107" si="227">+CK94/CK88</f>
        <v>0</v>
      </c>
      <c r="CL107" s="73">
        <f t="shared" si="227"/>
        <v>9.7617560453288121E-2</v>
      </c>
      <c r="CM107" s="73">
        <f t="shared" si="227"/>
        <v>0.23430462358672671</v>
      </c>
      <c r="CN107" s="73">
        <f t="shared" si="227"/>
        <v>0.21520539546290618</v>
      </c>
      <c r="CO107" s="73">
        <f t="shared" si="227"/>
        <v>0</v>
      </c>
      <c r="CP107" s="73">
        <f t="shared" si="227"/>
        <v>0.10262807717897539</v>
      </c>
      <c r="CQ107" s="73">
        <f t="shared" ref="CQ107:CR107" si="228">+CQ94/CQ88</f>
        <v>0.24574132492113565</v>
      </c>
      <c r="CR107" s="73">
        <f t="shared" si="228"/>
        <v>0.31697325707219043</v>
      </c>
      <c r="CS107" s="73">
        <f t="shared" ref="CS107:CX107" si="229">+CS94/CS88</f>
        <v>0.516398286305215</v>
      </c>
      <c r="CT107" s="73">
        <f t="shared" si="229"/>
        <v>0.25722482681407877</v>
      </c>
      <c r="CU107" s="73">
        <f t="shared" si="229"/>
        <v>0.25508348794063079</v>
      </c>
      <c r="CV107" s="73">
        <f t="shared" si="229"/>
        <v>0.23511568261574023</v>
      </c>
      <c r="CW107" s="73">
        <f t="shared" si="229"/>
        <v>0.26676655875054783</v>
      </c>
      <c r="CX107" s="73">
        <f t="shared" si="229"/>
        <v>0.28707553847426098</v>
      </c>
      <c r="CY107" s="73"/>
      <c r="CZ107" s="73"/>
      <c r="DA107" s="48"/>
      <c r="DB107" s="48"/>
      <c r="DC107" s="48"/>
      <c r="DG107" s="48">
        <v>0.21258422197464055</v>
      </c>
      <c r="DH107" s="48">
        <v>0.21221879958928405</v>
      </c>
      <c r="DI107" s="48">
        <v>0.27148985918727364</v>
      </c>
      <c r="DJ107" s="48">
        <f>DJ94/DJ88</f>
        <v>0.28006466367005756</v>
      </c>
      <c r="DM107" s="48"/>
      <c r="DN107" s="48">
        <f>DN94/DN88</f>
        <v>0.28950127793433383</v>
      </c>
      <c r="DO107" s="48">
        <f t="shared" ref="DO107:DX107" si="230">DO94/DO88</f>
        <v>0.27478171170773419</v>
      </c>
      <c r="DP107" s="48">
        <f t="shared" si="230"/>
        <v>0.46268562815387637</v>
      </c>
      <c r="DQ107" s="48" t="e">
        <f t="shared" si="230"/>
        <v>#DIV/0!</v>
      </c>
      <c r="DR107" s="48" t="e">
        <f t="shared" si="230"/>
        <v>#DIV/0!</v>
      </c>
      <c r="DS107" s="48" t="e">
        <f t="shared" si="230"/>
        <v>#DIV/0!</v>
      </c>
      <c r="DT107" s="48">
        <f t="shared" si="230"/>
        <v>0.43268562815387634</v>
      </c>
      <c r="DU107" s="48">
        <f t="shared" si="230"/>
        <v>0.41768562815387639</v>
      </c>
      <c r="DV107" s="48">
        <f t="shared" si="230"/>
        <v>0.40268562815387643</v>
      </c>
      <c r="DW107" s="48">
        <f t="shared" si="230"/>
        <v>0.45000000000000007</v>
      </c>
      <c r="DX107" s="48">
        <f t="shared" si="230"/>
        <v>0.44000000000000011</v>
      </c>
      <c r="DY107" s="48">
        <f>DY94/DY88</f>
        <v>0.44000000000000011</v>
      </c>
      <c r="DZ107" s="48">
        <f>DZ94/DZ88</f>
        <v>8.4607405402967573E-2</v>
      </c>
      <c r="EA107" s="48">
        <f>EA94/EA88</f>
        <v>0.17886143368549726</v>
      </c>
      <c r="EB107" s="48">
        <f>EB94/EB88</f>
        <v>0.33461185847662173</v>
      </c>
      <c r="EC107" s="48">
        <f>EC94/EC88</f>
        <v>0.44000000000000011</v>
      </c>
      <c r="ED107" s="48">
        <f t="shared" ref="ED107:EM107" si="231">ED94/ED88</f>
        <v>0.44</v>
      </c>
      <c r="EE107" s="48">
        <f t="shared" si="231"/>
        <v>0.44000000000000006</v>
      </c>
      <c r="EF107" s="48">
        <f t="shared" si="231"/>
        <v>0.44000000000000006</v>
      </c>
      <c r="EG107" s="48">
        <f t="shared" si="231"/>
        <v>0.44000000000000006</v>
      </c>
      <c r="EH107" s="48">
        <f t="shared" si="231"/>
        <v>0.44000000000000006</v>
      </c>
      <c r="EI107" s="48">
        <f t="shared" si="231"/>
        <v>0.44000000000000011</v>
      </c>
      <c r="EJ107" s="48">
        <f t="shared" si="231"/>
        <v>0.44000000000000006</v>
      </c>
      <c r="EK107" s="48">
        <f t="shared" si="231"/>
        <v>0.44000000000000006</v>
      </c>
      <c r="EL107" s="48">
        <f t="shared" si="231"/>
        <v>0.44</v>
      </c>
      <c r="EM107" s="48">
        <f t="shared" si="231"/>
        <v>0.44000000000000011</v>
      </c>
      <c r="EO107" s="39" t="s">
        <v>349</v>
      </c>
      <c r="EP107" s="50">
        <f>EP106/Main!K3</f>
        <v>43.071551522761951</v>
      </c>
    </row>
    <row r="108" spans="1:200">
      <c r="B108" s="100" t="s">
        <v>17</v>
      </c>
      <c r="C108" s="48"/>
      <c r="D108" s="48"/>
      <c r="E108" s="48"/>
      <c r="F108" s="48"/>
      <c r="G108" s="48"/>
      <c r="H108" s="48"/>
      <c r="I108" s="48"/>
      <c r="J108" s="48"/>
      <c r="K108" s="48">
        <v>0.20669456066945607</v>
      </c>
      <c r="L108" s="48">
        <v>0.27680525164113784</v>
      </c>
      <c r="M108" s="48">
        <v>0.28876508820798513</v>
      </c>
      <c r="N108" s="48">
        <v>0.24800910125142206</v>
      </c>
      <c r="O108" s="48">
        <v>0.2634011090573013</v>
      </c>
      <c r="P108" s="48">
        <v>0.22136669874879691</v>
      </c>
      <c r="Q108" s="48">
        <v>0.28776371308016879</v>
      </c>
      <c r="R108" s="48">
        <v>0.27748294162244125</v>
      </c>
      <c r="S108" s="48"/>
      <c r="T108" s="48"/>
      <c r="U108" s="48"/>
      <c r="V108" s="48"/>
      <c r="W108" s="48">
        <f t="shared" ref="W108:AD108" si="232">W97/W96</f>
        <v>0.35087719298245612</v>
      </c>
      <c r="X108" s="48">
        <f t="shared" si="232"/>
        <v>0.31930562861651762</v>
      </c>
      <c r="Y108" s="48">
        <f t="shared" si="232"/>
        <v>0.31135531135531136</v>
      </c>
      <c r="Z108" s="48">
        <f t="shared" si="232"/>
        <v>0.35548352242031334</v>
      </c>
      <c r="AA108" s="48">
        <f t="shared" si="232"/>
        <v>0.36748562467328805</v>
      </c>
      <c r="AB108" s="48">
        <f t="shared" si="232"/>
        <v>0.35129993658845909</v>
      </c>
      <c r="AC108" s="48">
        <f t="shared" si="232"/>
        <v>0.35398813447593935</v>
      </c>
      <c r="AD108" s="48">
        <f t="shared" si="232"/>
        <v>0.29301355578727839</v>
      </c>
      <c r="AE108" s="48">
        <f t="shared" ref="AE108:AM108" si="233">AE97/AE96</f>
        <v>0.28868778280542984</v>
      </c>
      <c r="AF108" s="48">
        <f t="shared" si="233"/>
        <v>0.36967632027257241</v>
      </c>
      <c r="AG108" s="48">
        <f t="shared" si="233"/>
        <v>0.3630278063851699</v>
      </c>
      <c r="AH108" s="48">
        <f t="shared" si="233"/>
        <v>0.42780337941628266</v>
      </c>
      <c r="AI108" s="48">
        <f t="shared" si="233"/>
        <v>0.34525723472668812</v>
      </c>
      <c r="AJ108" s="48">
        <f t="shared" si="233"/>
        <v>0.43315508021390375</v>
      </c>
      <c r="AK108" s="48">
        <f t="shared" si="233"/>
        <v>0.36882591093117406</v>
      </c>
      <c r="AL108" s="48">
        <f t="shared" si="233"/>
        <v>0.40186915887850466</v>
      </c>
      <c r="AM108" s="48">
        <f t="shared" si="233"/>
        <v>0.26259758694109298</v>
      </c>
      <c r="AN108" s="48">
        <f t="shared" ref="AN108:AS108" si="234">AN97/AN96</f>
        <v>0.35552596537949399</v>
      </c>
      <c r="AO108" s="48">
        <f t="shared" si="234"/>
        <v>0.43510506798516685</v>
      </c>
      <c r="AP108" s="48">
        <f t="shared" si="234"/>
        <v>0.39963167587476978</v>
      </c>
      <c r="AQ108" s="48">
        <f t="shared" si="234"/>
        <v>0.1470820189274448</v>
      </c>
      <c r="AR108" s="48">
        <f t="shared" si="234"/>
        <v>0.2</v>
      </c>
      <c r="AS108" s="48">
        <f t="shared" si="234"/>
        <v>0.39332949971247844</v>
      </c>
      <c r="AT108" s="48">
        <f>AT97/AT96</f>
        <v>0.46084089035449299</v>
      </c>
      <c r="AU108" s="48">
        <f>AU97/AU96</f>
        <v>0.30902255639097742</v>
      </c>
      <c r="AV108" s="48">
        <f>AV97/AV96</f>
        <v>0.2</v>
      </c>
      <c r="AW108" s="48">
        <f>AW97/AW96</f>
        <v>0.2</v>
      </c>
      <c r="AX108" s="48">
        <f>AX97/AX96</f>
        <v>0.2</v>
      </c>
      <c r="AY108" s="48"/>
      <c r="AZ108" s="48"/>
      <c r="BA108" s="48"/>
      <c r="BB108" s="48"/>
      <c r="BC108" s="48"/>
      <c r="BD108" s="48">
        <f>BD97/BD96</f>
        <v>-1.1129032258064515</v>
      </c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73"/>
      <c r="BP108" s="48"/>
      <c r="BQ108" s="48"/>
      <c r="BR108" s="48"/>
      <c r="BS108" s="48"/>
      <c r="BT108" s="48"/>
      <c r="BU108" s="48"/>
      <c r="BV108" s="48"/>
      <c r="BW108" s="73"/>
      <c r="BX108" s="73"/>
      <c r="BY108" s="73"/>
      <c r="BZ108" s="73">
        <f t="shared" ref="BZ108:CA108" si="235">+BZ97/BZ96</f>
        <v>-0.15226337448559671</v>
      </c>
      <c r="CA108" s="73">
        <f t="shared" si="235"/>
        <v>0.19786096256684493</v>
      </c>
      <c r="CB108" s="73">
        <f t="shared" ref="CB108" si="236">+CB97/CB96</f>
        <v>0.21019771071800208</v>
      </c>
      <c r="CC108" s="73">
        <f t="shared" ref="CC108:CE108" si="237">+CC97/CC96</f>
        <v>0.23681125439624853</v>
      </c>
      <c r="CD108" s="73">
        <f t="shared" ref="CD108" si="238">+CD97/CD96</f>
        <v>0.1759478672985782</v>
      </c>
      <c r="CE108" s="73">
        <f t="shared" si="237"/>
        <v>7.5069142631371003E-2</v>
      </c>
      <c r="CF108" s="73">
        <f>+CF97/CF96</f>
        <v>0.23651721897335931</v>
      </c>
      <c r="CG108" s="73">
        <f t="shared" ref="CG108:CJ108" si="239">+CG97/CG96</f>
        <v>0.21557177615571776</v>
      </c>
      <c r="CH108" s="73">
        <f t="shared" si="239"/>
        <v>0.16110210696920582</v>
      </c>
      <c r="CI108" s="73">
        <f t="shared" si="239"/>
        <v>0.20814235643030465</v>
      </c>
      <c r="CJ108" s="73">
        <f t="shared" si="239"/>
        <v>0.15303849825007954</v>
      </c>
      <c r="CK108" s="73" t="e">
        <f t="shared" ref="CK108:CP108" si="240">+CK97/CK96</f>
        <v>#DIV/0!</v>
      </c>
      <c r="CL108" s="73">
        <f t="shared" si="240"/>
        <v>-0.15938303341902313</v>
      </c>
      <c r="CM108" s="73">
        <f t="shared" si="240"/>
        <v>0.20247568523430592</v>
      </c>
      <c r="CN108" s="73">
        <f t="shared" si="240"/>
        <v>0.12829104834849211</v>
      </c>
      <c r="CO108" s="73" t="e">
        <f t="shared" si="240"/>
        <v>#DIV/0!</v>
      </c>
      <c r="CP108" s="73">
        <f t="shared" si="240"/>
        <v>-6.9119286510590863E-2</v>
      </c>
      <c r="CQ108" s="73">
        <f t="shared" ref="CQ108:CR108" si="241">+CQ97/CQ96</f>
        <v>0.22134951802927527</v>
      </c>
      <c r="CR108" s="73">
        <f t="shared" si="241"/>
        <v>0.19448818897637796</v>
      </c>
      <c r="CS108" s="73">
        <f t="shared" ref="CS108:CX108" si="242">+CS97/CS96</f>
        <v>0.2</v>
      </c>
      <c r="CT108" s="73">
        <f t="shared" si="242"/>
        <v>4.9316696375519907E-2</v>
      </c>
      <c r="CU108" s="73">
        <f t="shared" si="242"/>
        <v>0.2</v>
      </c>
      <c r="CV108" s="73">
        <f t="shared" si="242"/>
        <v>0.2</v>
      </c>
      <c r="CW108" s="73">
        <f t="shared" si="242"/>
        <v>0.2</v>
      </c>
      <c r="CX108" s="73">
        <f t="shared" si="242"/>
        <v>0.2</v>
      </c>
      <c r="CY108" s="73"/>
      <c r="CZ108" s="73"/>
      <c r="DA108" s="48"/>
      <c r="DB108" s="48"/>
      <c r="DC108" s="48"/>
      <c r="DG108" s="48">
        <v>0.25313653136531367</v>
      </c>
      <c r="DH108" s="48">
        <v>0.26421621621621622</v>
      </c>
      <c r="DI108" s="48">
        <v>0.29142450035621881</v>
      </c>
      <c r="DJ108" s="48">
        <f>DJ97/DJ96</f>
        <v>0.33378196500672946</v>
      </c>
      <c r="DM108" s="48"/>
      <c r="DN108" s="48">
        <f>DN97/DN96</f>
        <v>0.34816061553257993</v>
      </c>
      <c r="DO108" s="48">
        <f t="shared" ref="DO108:DX108" si="243">DO97/DO96</f>
        <v>0.26662217648687481</v>
      </c>
      <c r="DP108" s="48">
        <f t="shared" si="243"/>
        <v>0.25</v>
      </c>
      <c r="DQ108" s="48" t="e">
        <f t="shared" si="243"/>
        <v>#DIV/0!</v>
      </c>
      <c r="DR108" s="48" t="e">
        <f t="shared" si="243"/>
        <v>#DIV/0!</v>
      </c>
      <c r="DS108" s="48" t="e">
        <f t="shared" si="243"/>
        <v>#DIV/0!</v>
      </c>
      <c r="DT108" s="48">
        <f t="shared" si="243"/>
        <v>0.25</v>
      </c>
      <c r="DU108" s="48">
        <f t="shared" si="243"/>
        <v>0.25</v>
      </c>
      <c r="DV108" s="48">
        <f t="shared" si="243"/>
        <v>0.25</v>
      </c>
      <c r="DW108" s="48">
        <f t="shared" si="243"/>
        <v>0.25</v>
      </c>
      <c r="DX108" s="48">
        <f t="shared" si="243"/>
        <v>0.25</v>
      </c>
      <c r="DY108" s="48">
        <f>DY97/DY96</f>
        <v>0.25</v>
      </c>
      <c r="DZ108" s="48">
        <f>DZ97/DZ96</f>
        <v>-0.3166733306677329</v>
      </c>
      <c r="EA108" s="48">
        <f>EA97/EA96</f>
        <v>0.13570601851851852</v>
      </c>
      <c r="EB108" s="48">
        <f>EB97/EB96</f>
        <v>0.15017547535487927</v>
      </c>
      <c r="EC108" s="48">
        <f>EC97/EC96</f>
        <v>0.2</v>
      </c>
      <c r="ED108" s="48">
        <f t="shared" ref="ED108:EM108" si="244">ED97/ED96</f>
        <v>0.2</v>
      </c>
      <c r="EE108" s="48">
        <f t="shared" si="244"/>
        <v>0.2</v>
      </c>
      <c r="EF108" s="48">
        <f t="shared" si="244"/>
        <v>0.2</v>
      </c>
      <c r="EG108" s="48">
        <f t="shared" si="244"/>
        <v>0.2</v>
      </c>
      <c r="EH108" s="48">
        <f t="shared" si="244"/>
        <v>0.2</v>
      </c>
      <c r="EI108" s="48">
        <f t="shared" si="244"/>
        <v>0.19999999999999998</v>
      </c>
      <c r="EJ108" s="48">
        <f t="shared" si="244"/>
        <v>0.2</v>
      </c>
      <c r="EK108" s="48">
        <f t="shared" si="244"/>
        <v>0.2</v>
      </c>
      <c r="EL108" s="48">
        <f t="shared" si="244"/>
        <v>0.2</v>
      </c>
      <c r="EM108" s="48">
        <f t="shared" si="244"/>
        <v>0.2</v>
      </c>
      <c r="EO108" s="39" t="s">
        <v>348</v>
      </c>
      <c r="EP108" s="56">
        <v>0.05</v>
      </c>
    </row>
    <row r="109" spans="1:200">
      <c r="DY109" s="41"/>
      <c r="DZ109" s="41"/>
      <c r="EA109" s="41"/>
      <c r="EB109" s="41"/>
      <c r="EC109" s="41"/>
    </row>
    <row r="110" spans="1:200" s="10" customFormat="1">
      <c r="A110" s="95"/>
      <c r="B110" s="95" t="s">
        <v>539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32">
        <f t="shared" ref="Y110:AL110" si="245">Y88/U88-1</f>
        <v>7.7906374157885594E-2</v>
      </c>
      <c r="Z110" s="32">
        <f t="shared" si="245"/>
        <v>0.14613085353703092</v>
      </c>
      <c r="AA110" s="32">
        <f t="shared" si="245"/>
        <v>0.12010841944773842</v>
      </c>
      <c r="AB110" s="32">
        <f t="shared" si="245"/>
        <v>8.5800221624188655E-2</v>
      </c>
      <c r="AC110" s="32">
        <f t="shared" si="245"/>
        <v>8.6378205128205154E-2</v>
      </c>
      <c r="AD110" s="32">
        <f t="shared" si="245"/>
        <v>0.19545059403071563</v>
      </c>
      <c r="AE110" s="32">
        <f t="shared" si="245"/>
        <v>0.1712038717483364</v>
      </c>
      <c r="AF110" s="32">
        <f t="shared" si="245"/>
        <v>8.4414637702288964E-2</v>
      </c>
      <c r="AG110" s="32">
        <f t="shared" si="245"/>
        <v>7.30196194128927E-2</v>
      </c>
      <c r="AH110" s="32">
        <f t="shared" si="245"/>
        <v>-6.9324930311477351E-2</v>
      </c>
      <c r="AI110" s="32">
        <f t="shared" si="245"/>
        <v>-7.2055785123966931E-2</v>
      </c>
      <c r="AJ110" s="32">
        <f t="shared" si="245"/>
        <v>-4.1677870395268046E-3</v>
      </c>
      <c r="AK110" s="32">
        <f t="shared" si="245"/>
        <v>5.0041242782512985E-2</v>
      </c>
      <c r="AL110" s="32">
        <f t="shared" si="245"/>
        <v>7.8135173850761852E-2</v>
      </c>
      <c r="AM110" s="32">
        <f>AM88/AI88-1</f>
        <v>9.5880879487893145E-2</v>
      </c>
      <c r="AN110" s="32">
        <f>AN88/AJ88-1</f>
        <v>1.4445794518698429E-2</v>
      </c>
      <c r="AO110" s="32">
        <f>AO88/AK88-1</f>
        <v>-4.9751243781094523E-2</v>
      </c>
      <c r="AP110" s="32">
        <f>AP88/AL88-1</f>
        <v>-4.8677376494745794E-2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>
        <f>+CA88/BW88-1</f>
        <v>0.16267154620311075</v>
      </c>
      <c r="CB110" s="80">
        <f t="shared" ref="CB110" si="246">+CB88/BX88-1</f>
        <v>9.7411682406435718E-2</v>
      </c>
      <c r="CC110" s="80">
        <f t="shared" ref="CC110:CI110" si="247">+CC88/BY88-1</f>
        <v>7.3433420365535351E-2</v>
      </c>
      <c r="CD110" s="80">
        <f t="shared" si="247"/>
        <v>0.11144442777861108</v>
      </c>
      <c r="CE110" s="80">
        <f t="shared" si="247"/>
        <v>0.15203021718602461</v>
      </c>
      <c r="CF110" s="80">
        <f t="shared" si="247"/>
        <v>0.30996015936254984</v>
      </c>
      <c r="CG110" s="80">
        <f t="shared" si="247"/>
        <v>0.49984797810884762</v>
      </c>
      <c r="CH110" s="80">
        <f t="shared" si="247"/>
        <v>0.62091767881241555</v>
      </c>
      <c r="CI110" s="80">
        <f t="shared" si="247"/>
        <v>0.55601092896174853</v>
      </c>
      <c r="CJ110" s="80">
        <f>+CJ88/CF88-1</f>
        <v>0.31034063260340639</v>
      </c>
      <c r="CK110" s="80">
        <f t="shared" ref="CK110:CP110" si="248">+CK88/CG88-1</f>
        <v>0.11311575106426108</v>
      </c>
      <c r="CL110" s="80">
        <f t="shared" si="248"/>
        <v>-6.6938639580384596E-2</v>
      </c>
      <c r="CM110" s="80">
        <f t="shared" si="248"/>
        <v>-4.4863915715539937E-2</v>
      </c>
      <c r="CN110" s="80">
        <f t="shared" si="248"/>
        <v>5.9975861108532147E-2</v>
      </c>
      <c r="CO110" s="80">
        <f t="shared" si="248"/>
        <v>4.6439628482972228E-2</v>
      </c>
      <c r="CP110" s="80">
        <f t="shared" si="248"/>
        <v>7.2900865530471926E-2</v>
      </c>
      <c r="CQ110" s="80">
        <f t="shared" ref="CQ110" si="249">+CQ88/CM88-1</f>
        <v>0.16554830407206556</v>
      </c>
      <c r="CR110" s="80">
        <f t="shared" ref="CR110:CX110" si="250">+CR88/CN88-1</f>
        <v>0.13322238766751338</v>
      </c>
      <c r="CS110" s="80">
        <f t="shared" si="250"/>
        <v>0.17803689523146526</v>
      </c>
      <c r="CT110" s="80">
        <f>+CT88/CP88-1</f>
        <v>0.18853958749168331</v>
      </c>
      <c r="CU110" s="80">
        <f t="shared" si="250"/>
        <v>6.26971608832807E-2</v>
      </c>
      <c r="CV110" s="80">
        <f t="shared" si="250"/>
        <v>6.5466068944195488E-3</v>
      </c>
      <c r="CW110" s="80">
        <f t="shared" si="250"/>
        <v>1.5992761116855991E-2</v>
      </c>
      <c r="CX110" s="80">
        <f t="shared" si="250"/>
        <v>-1.538030928556422E-3</v>
      </c>
      <c r="CY110" s="80"/>
      <c r="CZ110" s="80"/>
      <c r="DA110" s="32"/>
      <c r="DB110" s="32"/>
      <c r="DC110" s="32"/>
      <c r="DD110" s="47"/>
      <c r="DE110" s="47"/>
      <c r="DF110" s="55"/>
      <c r="DG110" s="47"/>
      <c r="DH110" s="47"/>
      <c r="DI110" s="47"/>
      <c r="DJ110" s="47"/>
      <c r="DK110" s="47"/>
      <c r="DL110" s="49"/>
      <c r="DM110" s="49"/>
      <c r="DN110" s="32">
        <f>DN88/DM88-1</f>
        <v>2.622091117665537E-4</v>
      </c>
      <c r="DO110" s="32">
        <f>+DO88/DN88-1</f>
        <v>-2.0343403892784662E-2</v>
      </c>
      <c r="DP110" s="32">
        <f t="shared" ref="DP110:DX110" si="251">+DP88/DO88-1</f>
        <v>-0.76499440080596282</v>
      </c>
      <c r="DQ110" s="32">
        <f t="shared" si="251"/>
        <v>-1</v>
      </c>
      <c r="DR110" s="32" t="e">
        <f t="shared" si="251"/>
        <v>#DIV/0!</v>
      </c>
      <c r="DS110" s="32" t="e">
        <f t="shared" si="251"/>
        <v>#DIV/0!</v>
      </c>
      <c r="DT110" s="32" t="e">
        <f t="shared" si="251"/>
        <v>#DIV/0!</v>
      </c>
      <c r="DU110" s="32">
        <f t="shared" si="251"/>
        <v>0.18768835807567807</v>
      </c>
      <c r="DV110" s="32">
        <f t="shared" si="251"/>
        <v>-1.0901743339128855E-2</v>
      </c>
      <c r="DW110" s="32">
        <f t="shared" si="251"/>
        <v>0.13915150363437689</v>
      </c>
      <c r="DX110" s="32">
        <f t="shared" si="251"/>
        <v>0.11005922095253973</v>
      </c>
      <c r="DY110" s="32">
        <f t="shared" ref="DY110:EJ110" si="252">+DY88/DX88-1</f>
        <v>0.40575572002855309</v>
      </c>
      <c r="DZ110" s="32">
        <f t="shared" si="252"/>
        <v>0.18518320549482858</v>
      </c>
      <c r="EA110" s="32">
        <f t="shared" si="252"/>
        <v>3.3058223966084821E-2</v>
      </c>
      <c r="EB110" s="32">
        <f t="shared" si="252"/>
        <v>0.16665939055269363</v>
      </c>
      <c r="EC110" s="32">
        <f t="shared" si="252"/>
        <v>8.8654180777221203E-3</v>
      </c>
      <c r="ED110" s="32">
        <f t="shared" si="252"/>
        <v>-9.5486588392649341E-2</v>
      </c>
      <c r="EE110" s="32">
        <f t="shared" si="252"/>
        <v>2.9187948054061774E-2</v>
      </c>
      <c r="EF110" s="32">
        <f t="shared" si="252"/>
        <v>3.9680010435454882E-2</v>
      </c>
      <c r="EG110" s="32">
        <f t="shared" si="252"/>
        <v>1.8586729822243964E-2</v>
      </c>
      <c r="EH110" s="32">
        <f t="shared" si="252"/>
        <v>5.0737355738548207E-3</v>
      </c>
      <c r="EI110" s="32">
        <f t="shared" si="252"/>
        <v>-6.9623749376483079E-2</v>
      </c>
      <c r="EJ110" s="32">
        <f t="shared" si="252"/>
        <v>-6.568052563220983E-2</v>
      </c>
    </row>
    <row r="111" spans="1:200" s="65" customFormat="1">
      <c r="A111" s="101"/>
      <c r="B111" s="101" t="s">
        <v>540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>
        <v>7.0000000000000007E-2</v>
      </c>
      <c r="AN111" s="32"/>
      <c r="AO111" s="32">
        <v>-0.02</v>
      </c>
      <c r="AP111" s="32">
        <v>0</v>
      </c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80"/>
      <c r="BP111" s="32"/>
      <c r="BQ111" s="32"/>
      <c r="BR111" s="32"/>
      <c r="BS111" s="32"/>
      <c r="BT111" s="32"/>
      <c r="BU111" s="32"/>
      <c r="BV111" s="32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>
        <v>0.19</v>
      </c>
      <c r="CL111" s="80">
        <v>0.01</v>
      </c>
      <c r="CM111" s="80"/>
      <c r="CN111" s="80"/>
      <c r="CO111" s="80"/>
      <c r="CP111" s="80">
        <v>0.08</v>
      </c>
      <c r="CQ111" s="80"/>
      <c r="CR111" s="80">
        <v>0.17</v>
      </c>
      <c r="CS111" s="80">
        <v>0.19</v>
      </c>
      <c r="CT111" s="80"/>
      <c r="CU111" s="80">
        <v>0.09</v>
      </c>
      <c r="CV111" s="80"/>
      <c r="CW111" s="80"/>
      <c r="CX111" s="80"/>
      <c r="CY111" s="80"/>
      <c r="CZ111" s="80"/>
      <c r="DA111" s="32"/>
      <c r="DB111" s="32"/>
      <c r="DC111" s="32"/>
      <c r="DD111" s="32"/>
      <c r="DE111" s="32"/>
      <c r="DF111" s="66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EA111" s="65">
        <v>0.06</v>
      </c>
    </row>
    <row r="112" spans="1:200" s="115" customFormat="1">
      <c r="A112" s="111"/>
      <c r="B112" s="111" t="s">
        <v>541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>+CC3/BY3-1</f>
        <v>0.29629629629629628</v>
      </c>
      <c r="CD112" s="113">
        <f>+CD3/BZ3-1</f>
        <v>0.30882352941176472</v>
      </c>
      <c r="CE112" s="113">
        <f>+CE3/CA3-1</f>
        <v>0.1700610997963341</v>
      </c>
      <c r="CF112" s="113">
        <f>+CF3/CB3-1</f>
        <v>0.26305609284332698</v>
      </c>
      <c r="CG112" s="113">
        <f>+CG3/CC3-1</f>
        <v>7.9653679653679754E-2</v>
      </c>
      <c r="CH112" s="113">
        <f>+CH3/CD3-1</f>
        <v>0.13569576490924806</v>
      </c>
      <c r="CI112" s="113">
        <f>+CI3/CE3-1</f>
        <v>0.13489991296779813</v>
      </c>
      <c r="CJ112" s="113">
        <f>+CJ3/CF3-1</f>
        <v>7.1975497702909674E-2</v>
      </c>
      <c r="CK112" s="113">
        <f>+CK3/CG3-1</f>
        <v>0.1210906174819566</v>
      </c>
      <c r="CL112" s="113">
        <f>+CL3/CH3-1</f>
        <v>2.1308980213089912E-2</v>
      </c>
      <c r="CM112" s="113">
        <f>+CM3/CI3-1</f>
        <v>9.2024539877300526E-2</v>
      </c>
      <c r="CN112" s="113">
        <f>+CN3/CJ3-1</f>
        <v>6.4999999999999947E-2</v>
      </c>
      <c r="CO112" s="113">
        <f>+CO3/CK3-1</f>
        <v>4.7925608011444965E-2</v>
      </c>
      <c r="CP112" s="113">
        <f>+CP3/CL3-1</f>
        <v>5.7377049180327822E-2</v>
      </c>
      <c r="CQ112" s="113">
        <f>+CQ3/CM3-1</f>
        <v>0.12008426966292141</v>
      </c>
      <c r="CR112" s="113">
        <f>+CR3/CN3-1</f>
        <v>7.8470824949698148E-2</v>
      </c>
      <c r="CS112" s="113">
        <f>+CS3/CO3-1</f>
        <v>0.14266211604095558</v>
      </c>
      <c r="CT112" s="113">
        <f>+CT3/CP3-1</f>
        <v>0.20014094432699081</v>
      </c>
      <c r="CU112" s="113">
        <f>+CU3/CQ3-1</f>
        <v>5.2664576802507801E-2</v>
      </c>
      <c r="CV112" s="113">
        <f>+CV3/CR3-1</f>
        <v>5.0000000000000044E-2</v>
      </c>
      <c r="CW112" s="113">
        <f>+CW3/CS3-1</f>
        <v>5.0000000000000044E-2</v>
      </c>
      <c r="CX112" s="113">
        <f>+CX3/CT3-1</f>
        <v>5.0000000000000044E-2</v>
      </c>
      <c r="CY112" s="113"/>
      <c r="CZ112" s="113"/>
      <c r="DA112" s="112"/>
      <c r="DB112" s="112"/>
      <c r="DC112" s="112"/>
      <c r="DD112" s="112"/>
      <c r="DE112" s="112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X112" s="115">
        <f t="shared" ref="DX112:EJ112" si="253">+DX3/DW3-1</f>
        <v>0.35716525556600809</v>
      </c>
      <c r="DY112" s="115">
        <f t="shared" si="253"/>
        <v>0.15896487985212571</v>
      </c>
      <c r="DZ112" s="115">
        <f t="shared" si="253"/>
        <v>8.5326953748006362E-2</v>
      </c>
      <c r="EA112" s="115">
        <f t="shared" si="253"/>
        <v>6.520940484937543E-2</v>
      </c>
      <c r="EB112" s="115">
        <f t="shared" si="253"/>
        <v>0.1346783928263493</v>
      </c>
      <c r="EC112" s="115">
        <f t="shared" si="253"/>
        <v>1.0000000000000009E-2</v>
      </c>
      <c r="ED112" s="115">
        <f t="shared" si="253"/>
        <v>1.0000000000000009E-2</v>
      </c>
      <c r="EE112" s="115">
        <f t="shared" si="253"/>
        <v>1.0000000000000009E-2</v>
      </c>
      <c r="EF112" s="115">
        <f t="shared" si="253"/>
        <v>1.0000000000000009E-2</v>
      </c>
      <c r="EG112" s="115">
        <f t="shared" si="253"/>
        <v>-5.0000000000000044E-2</v>
      </c>
      <c r="EH112" s="115">
        <f t="shared" si="253"/>
        <v>-5.0000000000000044E-2</v>
      </c>
      <c r="EI112" s="115">
        <f t="shared" si="253"/>
        <v>-5.0000000000000044E-2</v>
      </c>
      <c r="EJ112" s="115">
        <f t="shared" si="253"/>
        <v>-0.5</v>
      </c>
    </row>
    <row r="113" spans="1:128" s="115" customFormat="1">
      <c r="A113" s="111"/>
      <c r="B113" s="111" t="s">
        <v>542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>
        <f>+CC4/BY4-1</f>
        <v>0.31909547738693478</v>
      </c>
      <c r="CD113" s="113">
        <f>+CD4/BZ4-1</f>
        <v>0.39856801909307871</v>
      </c>
      <c r="CE113" s="113">
        <f>+CE4/CA4-1</f>
        <v>0.54074074074074074</v>
      </c>
      <c r="CF113" s="113">
        <f>+CF4/CB4-1</f>
        <v>0.65237020316027095</v>
      </c>
      <c r="CG113" s="113">
        <f>+CG4/CC4-1</f>
        <v>0.51619047619047609</v>
      </c>
      <c r="CH113" s="113">
        <f>+CH4/CD4-1</f>
        <v>0.44709897610921501</v>
      </c>
      <c r="CI113" s="113">
        <f>+CI4/CE4-1</f>
        <v>0.60256410256410264</v>
      </c>
      <c r="CJ113" s="113">
        <f>+CJ4/CF4-1</f>
        <v>0.50683060109289624</v>
      </c>
      <c r="CK113" s="113">
        <f>+CK4/CG4-1</f>
        <v>0.38316582914572872</v>
      </c>
      <c r="CL113" s="113">
        <f>+CL4/CH4-1</f>
        <v>0.38797169811320753</v>
      </c>
      <c r="CM113" s="113">
        <f>+CM4/CI4-1</f>
        <v>0.29899999999999993</v>
      </c>
      <c r="CN113" s="113">
        <f>+CN4/CJ4-1</f>
        <v>0.36446056210335454</v>
      </c>
      <c r="CO113" s="113">
        <f>+CO4/CK4-1</f>
        <v>0.41144414168937327</v>
      </c>
      <c r="CP113" s="113">
        <f>+CP4/CL4-1</f>
        <v>0.36448598130841114</v>
      </c>
      <c r="CQ113" s="113">
        <f>+CQ4/CM4-1</f>
        <v>0.45650500384911474</v>
      </c>
      <c r="CR113" s="113">
        <f>+CR4/CN4-1</f>
        <v>0.29235880398671088</v>
      </c>
      <c r="CS113" s="113">
        <f>+CS4/CO4-1</f>
        <v>0.2503217503217503</v>
      </c>
      <c r="CT113" s="113">
        <f>+CT4/CP4-1</f>
        <v>0.20672478206724776</v>
      </c>
      <c r="CU113" s="113">
        <f>+CU4/CQ4-1</f>
        <v>8.7737843551797035E-2</v>
      </c>
      <c r="CV113" s="113">
        <f>+CV4/CR4-1</f>
        <v>-0.5</v>
      </c>
      <c r="CW113" s="113">
        <f>+CW4/CS4-1</f>
        <v>-0.5</v>
      </c>
      <c r="CX113" s="113">
        <f>+CX4/CT4-1</f>
        <v>-0.5</v>
      </c>
      <c r="CY113" s="113"/>
      <c r="CZ113" s="113"/>
      <c r="DA113" s="112"/>
      <c r="DB113" s="112"/>
      <c r="DC113" s="112"/>
      <c r="DD113" s="112"/>
      <c r="DE113" s="112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662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>
        <f t="shared" ref="CK114:CX114" si="254">CK10/CG10-1</f>
        <v>0.74410774410774416</v>
      </c>
      <c r="CL114" s="113">
        <f t="shared" si="254"/>
        <v>0.51662404092071612</v>
      </c>
      <c r="CM114" s="113">
        <f t="shared" si="254"/>
        <v>0.55369928400954649</v>
      </c>
      <c r="CN114" s="113">
        <f t="shared" si="254"/>
        <v>0.64285714285714279</v>
      </c>
      <c r="CO114" s="113">
        <f t="shared" si="254"/>
        <v>0.5</v>
      </c>
      <c r="CP114" s="113">
        <f t="shared" si="254"/>
        <v>0.39123102866779091</v>
      </c>
      <c r="CQ114" s="113">
        <f t="shared" si="254"/>
        <v>0.3195084485407067</v>
      </c>
      <c r="CR114" s="113">
        <f t="shared" si="254"/>
        <v>0.32678821879382891</v>
      </c>
      <c r="CS114" s="113">
        <f t="shared" si="254"/>
        <v>0.32689832689832699</v>
      </c>
      <c r="CT114" s="113">
        <f t="shared" si="254"/>
        <v>0.32000000000000006</v>
      </c>
      <c r="CU114" s="113">
        <f t="shared" si="254"/>
        <v>0.22235157159487784</v>
      </c>
      <c r="CV114" s="113">
        <f t="shared" si="254"/>
        <v>0.19999999999999996</v>
      </c>
      <c r="CW114" s="113">
        <f t="shared" si="254"/>
        <v>0.19999999999999996</v>
      </c>
      <c r="CX114" s="113">
        <f t="shared" si="254"/>
        <v>0.19999999999999996</v>
      </c>
      <c r="CY114" s="113"/>
      <c r="CZ114" s="113"/>
      <c r="DA114" s="112"/>
      <c r="DB114" s="112"/>
      <c r="DC114" s="112"/>
      <c r="DD114" s="112"/>
      <c r="DE114" s="112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15" customFormat="1">
      <c r="A115" s="111"/>
      <c r="B115" s="140" t="s">
        <v>634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3"/>
      <c r="BP115" s="112"/>
      <c r="BQ115" s="112"/>
      <c r="BR115" s="112"/>
      <c r="BS115" s="112"/>
      <c r="BT115" s="112"/>
      <c r="BU115" s="112"/>
      <c r="BV115" s="112"/>
      <c r="BW115" s="113"/>
      <c r="BX115" s="113"/>
      <c r="BY115" s="113"/>
      <c r="BZ115" s="113"/>
      <c r="CA115" s="113"/>
      <c r="CB115" s="113"/>
      <c r="CC115" s="113">
        <f t="shared" ref="CC115:CX115" si="255">CC6/BY6-1</f>
        <v>0.2936893203883495</v>
      </c>
      <c r="CD115" s="113">
        <f t="shared" si="255"/>
        <v>0.3089622641509433</v>
      </c>
      <c r="CE115" s="113">
        <f t="shared" si="255"/>
        <v>0.20346320346320357</v>
      </c>
      <c r="CF115" s="113">
        <f t="shared" si="255"/>
        <v>0.22764227642276413</v>
      </c>
      <c r="CG115" s="113">
        <f t="shared" si="255"/>
        <v>0.15947467166979368</v>
      </c>
      <c r="CH115" s="113">
        <f t="shared" si="255"/>
        <v>0.14234234234234244</v>
      </c>
      <c r="CI115" s="113">
        <f t="shared" si="255"/>
        <v>7.7338129496402841E-2</v>
      </c>
      <c r="CJ115" s="113">
        <f t="shared" si="255"/>
        <v>0.15066225165562908</v>
      </c>
      <c r="CK115" s="113">
        <f t="shared" si="255"/>
        <v>0.19255663430420711</v>
      </c>
      <c r="CL115" s="113">
        <f t="shared" si="255"/>
        <v>0.18611987381703465</v>
      </c>
      <c r="CM115" s="113">
        <f t="shared" si="255"/>
        <v>0.5025041736227045</v>
      </c>
      <c r="CN115" s="113">
        <f t="shared" si="255"/>
        <v>0.54820143884892092</v>
      </c>
      <c r="CO115" s="113">
        <f t="shared" si="255"/>
        <v>0.52781546811397551</v>
      </c>
      <c r="CP115" s="113">
        <f t="shared" si="255"/>
        <v>0.50930851063829796</v>
      </c>
      <c r="CQ115" s="113">
        <f t="shared" si="255"/>
        <v>0.23666666666666658</v>
      </c>
      <c r="CR115" s="113">
        <f t="shared" si="255"/>
        <v>6.5985130111524182E-2</v>
      </c>
      <c r="CS115" s="113">
        <f t="shared" si="255"/>
        <v>6.8383658969804584E-2</v>
      </c>
      <c r="CT115" s="113">
        <f t="shared" si="255"/>
        <v>0.10484581497797363</v>
      </c>
      <c r="CU115" s="113">
        <f t="shared" si="255"/>
        <v>0.13297394429469911</v>
      </c>
      <c r="CV115" s="113">
        <f t="shared" si="255"/>
        <v>0.10000000000000009</v>
      </c>
      <c r="CW115" s="113">
        <f t="shared" si="255"/>
        <v>0.10000000000000009</v>
      </c>
      <c r="CX115" s="113">
        <f t="shared" si="255"/>
        <v>0.10000000000000009</v>
      </c>
      <c r="CY115" s="113"/>
      <c r="CZ115" s="113"/>
      <c r="DA115" s="112"/>
      <c r="DB115" s="112"/>
      <c r="DC115" s="112"/>
      <c r="DD115" s="112"/>
      <c r="DE115" s="112"/>
      <c r="DF115" s="114"/>
      <c r="DG115" s="112"/>
      <c r="DH115" s="112"/>
      <c r="DI115" s="112"/>
      <c r="DJ115" s="112"/>
      <c r="DK115" s="112"/>
      <c r="DL115" s="112"/>
      <c r="DM115" s="112"/>
      <c r="DN115" s="112"/>
      <c r="DO115" s="112"/>
      <c r="DP115" s="112"/>
      <c r="DQ115" s="112"/>
      <c r="DR115" s="112"/>
      <c r="DS115" s="112"/>
      <c r="DT115" s="112"/>
      <c r="DU115" s="112"/>
      <c r="DV115" s="112"/>
      <c r="DW115" s="112"/>
      <c r="DX115" s="112"/>
    </row>
    <row r="116" spans="1:128" s="104" customFormat="1">
      <c r="B116" s="104" t="s">
        <v>241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56">Q18/M18-1</f>
        <v>-4.9000000000000044E-2</v>
      </c>
      <c r="R116" s="106">
        <f t="shared" si="256"/>
        <v>0.32296650717703357</v>
      </c>
      <c r="S116" s="106">
        <f t="shared" si="256"/>
        <v>0.12834224598930488</v>
      </c>
      <c r="T116" s="106">
        <f t="shared" si="256"/>
        <v>0.35129068462401802</v>
      </c>
      <c r="U116" s="106">
        <f t="shared" si="256"/>
        <v>0.18506834910620396</v>
      </c>
      <c r="V116" s="106">
        <f t="shared" si="256"/>
        <v>0.12748643761301981</v>
      </c>
      <c r="W116" s="106">
        <f t="shared" si="256"/>
        <v>0.12701421800947865</v>
      </c>
      <c r="X116" s="106">
        <f t="shared" si="256"/>
        <v>6.5614617940199293E-2</v>
      </c>
      <c r="Y116" s="106">
        <f t="shared" si="256"/>
        <v>0.13575865128660158</v>
      </c>
      <c r="Z116" s="106">
        <f t="shared" si="256"/>
        <v>0.14675220529270239</v>
      </c>
      <c r="AA116" s="106">
        <f t="shared" si="256"/>
        <v>0.1000841042893188</v>
      </c>
      <c r="AB116" s="106">
        <f t="shared" si="256"/>
        <v>2.2603273577552541E-2</v>
      </c>
      <c r="AC116" s="106">
        <f t="shared" si="256"/>
        <v>1.0156250000000089E-2</v>
      </c>
      <c r="AD116" s="106">
        <f t="shared" si="256"/>
        <v>-8.8811188811188768E-2</v>
      </c>
      <c r="AE116" s="106">
        <f t="shared" si="256"/>
        <v>-5.3516819571865493E-2</v>
      </c>
      <c r="AF116" s="106">
        <f t="shared" si="256"/>
        <v>8.3841463414633388E-3</v>
      </c>
      <c r="AG116" s="106">
        <f t="shared" si="256"/>
        <v>1.7014694508894035E-2</v>
      </c>
      <c r="AH116" s="106">
        <f t="shared" si="256"/>
        <v>1.6116653875671627E-2</v>
      </c>
      <c r="AI116" s="106">
        <f t="shared" si="256"/>
        <v>-3.7156704361874016E-2</v>
      </c>
      <c r="AJ116" s="106">
        <f t="shared" si="256"/>
        <v>-5.8201058201058253E-2</v>
      </c>
      <c r="AK116" s="106">
        <f t="shared" si="256"/>
        <v>-5.4752851711026618E-2</v>
      </c>
      <c r="AL116" s="106">
        <f t="shared" si="256"/>
        <v>-3.4743202416918417E-2</v>
      </c>
      <c r="AM116" s="106">
        <f t="shared" si="256"/>
        <v>3.9429530201342322E-2</v>
      </c>
      <c r="AN116" s="106">
        <f t="shared" si="256"/>
        <v>8.82825040128421E-3</v>
      </c>
      <c r="AO116" s="106">
        <f t="shared" si="256"/>
        <v>-8.045052292839916E-4</v>
      </c>
      <c r="AP116" s="106">
        <f t="shared" si="256"/>
        <v>-3.6776212832550836E-2</v>
      </c>
      <c r="AQ116" s="106">
        <f t="shared" si="256"/>
        <v>-6.2953995157384979E-2</v>
      </c>
      <c r="AR116" s="106">
        <f t="shared" si="256"/>
        <v>-3.9777247414478967E-2</v>
      </c>
      <c r="AS116" s="106">
        <f t="shared" si="256"/>
        <v>-0.12318840579710144</v>
      </c>
      <c r="AT116" s="106">
        <f t="shared" si="256"/>
        <v>-0.1332250203086921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5"/>
      <c r="DE116" s="105"/>
      <c r="DF116" s="107"/>
      <c r="DG116" s="105"/>
      <c r="DH116" s="105"/>
      <c r="DI116" s="105"/>
      <c r="DJ116" s="105"/>
      <c r="DK116" s="105"/>
      <c r="DL116" s="108"/>
      <c r="DM116" s="108"/>
      <c r="DN116" s="108"/>
      <c r="DO116" s="108"/>
      <c r="DP116" s="108"/>
      <c r="DQ116" s="109"/>
      <c r="DR116" s="109"/>
      <c r="DS116" s="109"/>
      <c r="DT116" s="109"/>
      <c r="DU116" s="109"/>
      <c r="DV116" s="109"/>
      <c r="DW116" s="109"/>
      <c r="DX116" s="109"/>
    </row>
    <row r="117" spans="1:128" s="104" customFormat="1">
      <c r="B117" s="104" t="s">
        <v>240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 t="shared" ref="Q117:AT117" si="257">Q63/M63-1</f>
        <v>0.53333333333333344</v>
      </c>
      <c r="R117" s="106">
        <f t="shared" si="257"/>
        <v>0.31308411214953269</v>
      </c>
      <c r="S117" s="106">
        <f t="shared" si="257"/>
        <v>0.4129464285714286</v>
      </c>
      <c r="T117" s="106">
        <f t="shared" si="257"/>
        <v>0.36680327868852469</v>
      </c>
      <c r="U117" s="106">
        <f t="shared" si="257"/>
        <v>0.33459357277882806</v>
      </c>
      <c r="V117" s="106">
        <f t="shared" si="257"/>
        <v>0.34341637010676163</v>
      </c>
      <c r="W117" s="106">
        <f t="shared" si="257"/>
        <v>0.27488151658767768</v>
      </c>
      <c r="X117" s="106">
        <f t="shared" si="257"/>
        <v>0.27286356821589197</v>
      </c>
      <c r="Y117" s="106">
        <f t="shared" si="257"/>
        <v>0.20113314447592079</v>
      </c>
      <c r="Z117" s="106">
        <f t="shared" si="257"/>
        <v>0.20794701986754971</v>
      </c>
      <c r="AA117" s="106">
        <f t="shared" si="257"/>
        <v>0.14374225526641893</v>
      </c>
      <c r="AB117" s="106">
        <f t="shared" si="257"/>
        <v>0.13427561837455837</v>
      </c>
      <c r="AC117" s="106">
        <f t="shared" si="257"/>
        <v>0.24410377358490565</v>
      </c>
      <c r="AD117" s="106">
        <f t="shared" si="257"/>
        <v>0.19078947368421062</v>
      </c>
      <c r="AE117" s="106">
        <f t="shared" si="257"/>
        <v>0.13759479956663045</v>
      </c>
      <c r="AF117" s="106">
        <f t="shared" si="257"/>
        <v>0.1547248182762202</v>
      </c>
      <c r="AG117" s="106">
        <f t="shared" si="257"/>
        <v>7.1090047393364886E-2</v>
      </c>
      <c r="AH117" s="106">
        <f t="shared" si="257"/>
        <v>6.8139963167587414E-2</v>
      </c>
      <c r="AI117" s="106">
        <f t="shared" si="257"/>
        <v>7.1428571428571397E-2</v>
      </c>
      <c r="AJ117" s="106">
        <f t="shared" si="257"/>
        <v>0.12320143884892087</v>
      </c>
      <c r="AK117" s="106">
        <f t="shared" si="257"/>
        <v>8.9380530973451222E-2</v>
      </c>
      <c r="AL117" s="106">
        <f t="shared" si="257"/>
        <v>8.7068965517241415E-2</v>
      </c>
      <c r="AM117" s="106">
        <f t="shared" si="257"/>
        <v>0.1617777777777778</v>
      </c>
      <c r="AN117" s="106">
        <f t="shared" si="257"/>
        <v>8.2465972778222651E-2</v>
      </c>
      <c r="AO117" s="106">
        <f t="shared" si="257"/>
        <v>5.84890333062551E-2</v>
      </c>
      <c r="AP117" s="106">
        <f t="shared" si="257"/>
        <v>6.2648691514670896E-2</v>
      </c>
      <c r="AQ117" s="106">
        <f t="shared" si="257"/>
        <v>2.9074215761285327E-2</v>
      </c>
      <c r="AR117" s="106">
        <f t="shared" si="257"/>
        <v>3.0000000000000027E-2</v>
      </c>
      <c r="AS117" s="106">
        <f t="shared" si="257"/>
        <v>7.444359171143522E-2</v>
      </c>
      <c r="AT117" s="106">
        <f t="shared" si="257"/>
        <v>0.15373134328358207</v>
      </c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5"/>
      <c r="DE117" s="105"/>
      <c r="DF117" s="107"/>
      <c r="DG117" s="105"/>
      <c r="DH117" s="105"/>
      <c r="DI117" s="105"/>
      <c r="DJ117" s="105"/>
      <c r="DK117" s="105"/>
      <c r="DL117" s="108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239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 t="shared" ref="Q118:AP118" si="258">Q14/M14-1</f>
        <v>2.4210526315789473</v>
      </c>
      <c r="R118" s="106">
        <f t="shared" si="258"/>
        <v>6.6097560975609753</v>
      </c>
      <c r="S118" s="106">
        <f t="shared" si="258"/>
        <v>1.1162790697674421</v>
      </c>
      <c r="T118" s="106">
        <f t="shared" si="258"/>
        <v>0.5314009661835748</v>
      </c>
      <c r="U118" s="106">
        <f t="shared" si="258"/>
        <v>0.25</v>
      </c>
      <c r="V118" s="106">
        <f t="shared" si="258"/>
        <v>0.13141025641025639</v>
      </c>
      <c r="W118" s="106">
        <f t="shared" si="258"/>
        <v>0.41758241758241765</v>
      </c>
      <c r="X118" s="106">
        <f t="shared" si="258"/>
        <v>0.51419558359621442</v>
      </c>
      <c r="Y118" s="106">
        <f t="shared" si="258"/>
        <v>0.64923076923076928</v>
      </c>
      <c r="Z118" s="106">
        <f t="shared" si="258"/>
        <v>0.77053824362606238</v>
      </c>
      <c r="AA118" s="106">
        <f t="shared" si="258"/>
        <v>0.62273901808785537</v>
      </c>
      <c r="AB118" s="106">
        <f t="shared" si="258"/>
        <v>0.41250000000000009</v>
      </c>
      <c r="AC118" s="106">
        <f t="shared" si="258"/>
        <v>0.28917910447761197</v>
      </c>
      <c r="AD118" s="106">
        <f t="shared" si="258"/>
        <v>0.27839999999999998</v>
      </c>
      <c r="AE118" s="106">
        <f t="shared" si="258"/>
        <v>0.22929936305732479</v>
      </c>
      <c r="AF118" s="106">
        <f t="shared" si="258"/>
        <v>0.35103244837758107</v>
      </c>
      <c r="AG118" s="106">
        <f t="shared" si="258"/>
        <v>0.33429811866859627</v>
      </c>
      <c r="AH118" s="106">
        <f t="shared" si="258"/>
        <v>0.23529411764705888</v>
      </c>
      <c r="AI118" s="106">
        <f t="shared" si="258"/>
        <v>0.25518134715025909</v>
      </c>
      <c r="AJ118" s="106">
        <f t="shared" si="258"/>
        <v>0.23253275109170302</v>
      </c>
      <c r="AK118" s="106">
        <f t="shared" si="258"/>
        <v>0.24403470715835152</v>
      </c>
      <c r="AL118" s="106">
        <f t="shared" si="258"/>
        <v>0.2735562310030395</v>
      </c>
      <c r="AM118" s="106">
        <f t="shared" si="258"/>
        <v>0.34158926728586181</v>
      </c>
      <c r="AN118" s="106">
        <f t="shared" si="258"/>
        <v>0.2666076173604961</v>
      </c>
      <c r="AO118" s="106">
        <f t="shared" si="258"/>
        <v>0.19790758500435923</v>
      </c>
      <c r="AP118" s="106">
        <f t="shared" si="258"/>
        <v>0.26252983293556076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5"/>
      <c r="DE118" s="105"/>
      <c r="DF118" s="107"/>
      <c r="DG118" s="105"/>
      <c r="DH118" s="105"/>
      <c r="DI118" s="105"/>
      <c r="DJ118" s="105"/>
      <c r="DK118" s="105"/>
      <c r="DL118" s="110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 s="104" customFormat="1">
      <c r="B119" s="104" t="s">
        <v>242</v>
      </c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  <c r="M119" s="106"/>
      <c r="N119" s="106"/>
      <c r="O119" s="106"/>
      <c r="P119" s="106"/>
      <c r="Q119" s="106">
        <f t="shared" ref="Q119:AP119" si="259">Q7/M7-1</f>
        <v>0.4453125</v>
      </c>
      <c r="R119" s="106">
        <f t="shared" si="259"/>
        <v>0.27325581395348841</v>
      </c>
      <c r="S119" s="106">
        <f t="shared" si="259"/>
        <v>0.31382978723404253</v>
      </c>
      <c r="T119" s="106">
        <f t="shared" si="259"/>
        <v>0.24390243902439024</v>
      </c>
      <c r="U119" s="106">
        <f t="shared" si="259"/>
        <v>0.29729729729729737</v>
      </c>
      <c r="V119" s="106">
        <f t="shared" si="259"/>
        <v>0.20547945205479445</v>
      </c>
      <c r="W119" s="106">
        <f t="shared" si="259"/>
        <v>0.12145748987854255</v>
      </c>
      <c r="X119" s="106">
        <f t="shared" si="259"/>
        <v>0.20784313725490189</v>
      </c>
      <c r="Y119" s="106">
        <f t="shared" si="259"/>
        <v>0.14999999999999991</v>
      </c>
      <c r="Z119" s="106">
        <f t="shared" si="259"/>
        <v>0.2234848484848484</v>
      </c>
      <c r="AA119" s="106">
        <f t="shared" si="259"/>
        <v>0.27797833935018046</v>
      </c>
      <c r="AB119" s="106">
        <f t="shared" si="259"/>
        <v>0.3441558441558441</v>
      </c>
      <c r="AC119" s="106">
        <f t="shared" si="259"/>
        <v>0.34420289855072461</v>
      </c>
      <c r="AD119" s="106">
        <f t="shared" si="259"/>
        <v>0.34984520123839014</v>
      </c>
      <c r="AE119" s="106">
        <f t="shared" si="259"/>
        <v>0.33050847457627119</v>
      </c>
      <c r="AF119" s="106">
        <f t="shared" si="259"/>
        <v>0.25120772946859904</v>
      </c>
      <c r="AG119" s="106">
        <f t="shared" si="259"/>
        <v>0.3504043126684635</v>
      </c>
      <c r="AH119" s="106">
        <f t="shared" si="259"/>
        <v>0.17889908256880727</v>
      </c>
      <c r="AI119" s="106">
        <f t="shared" si="259"/>
        <v>9.3418259023354544E-2</v>
      </c>
      <c r="AJ119" s="106">
        <f t="shared" si="259"/>
        <v>6.370656370656369E-2</v>
      </c>
      <c r="AK119" s="106">
        <f t="shared" si="259"/>
        <v>0.12175648702594821</v>
      </c>
      <c r="AL119" s="106">
        <f t="shared" si="259"/>
        <v>0.29571984435797671</v>
      </c>
      <c r="AM119" s="106">
        <f t="shared" si="259"/>
        <v>0.36116504854368925</v>
      </c>
      <c r="AN119" s="106">
        <f t="shared" si="259"/>
        <v>0.20508166969147013</v>
      </c>
      <c r="AO119" s="106">
        <f t="shared" si="259"/>
        <v>0.13879003558718872</v>
      </c>
      <c r="AP119" s="106">
        <f t="shared" si="259"/>
        <v>0.11261261261261257</v>
      </c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38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  <c r="CI119" s="106"/>
      <c r="CJ119" s="106"/>
      <c r="CK119" s="106"/>
      <c r="CL119" s="106"/>
      <c r="CM119" s="106"/>
      <c r="CN119" s="106"/>
      <c r="CO119" s="106"/>
      <c r="CP119" s="106"/>
      <c r="CQ119" s="106"/>
      <c r="CR119" s="106"/>
      <c r="CS119" s="106"/>
      <c r="CT119" s="106"/>
      <c r="CU119" s="106"/>
      <c r="CV119" s="106"/>
      <c r="CW119" s="106"/>
      <c r="CX119" s="106"/>
      <c r="CY119" s="106"/>
      <c r="CZ119" s="106"/>
      <c r="DA119" s="106"/>
      <c r="DB119" s="106"/>
      <c r="DC119" s="106"/>
      <c r="DD119" s="105"/>
      <c r="DE119" s="105"/>
      <c r="DF119" s="107"/>
      <c r="DG119" s="105"/>
      <c r="DH119" s="105"/>
      <c r="DI119" s="105"/>
      <c r="DJ119" s="105"/>
      <c r="DK119" s="105"/>
      <c r="DL119" s="105"/>
      <c r="DM119" s="105"/>
      <c r="DN119" s="105"/>
      <c r="DO119" s="105"/>
      <c r="DP119" s="105"/>
      <c r="DQ119" s="105"/>
      <c r="DR119" s="105"/>
      <c r="DS119" s="105"/>
      <c r="DT119" s="105"/>
      <c r="DU119" s="105"/>
      <c r="DV119" s="105"/>
      <c r="DW119" s="105"/>
      <c r="DX119" s="105"/>
    </row>
    <row r="120" spans="1:128">
      <c r="DF120" s="48"/>
    </row>
    <row r="121" spans="1:128">
      <c r="B121" s="103" t="s">
        <v>636</v>
      </c>
      <c r="CN121" s="76">
        <f>+CN122-CN133</f>
        <v>-24905</v>
      </c>
      <c r="CP121" s="76">
        <f>+CP122-CP133</f>
        <v>-19705</v>
      </c>
      <c r="CQ121" s="76">
        <f>+CQ122-CQ133</f>
        <v>-23512</v>
      </c>
      <c r="CR121" s="76">
        <f>+CR122-CR133</f>
        <v>-23212</v>
      </c>
      <c r="DF121" s="48"/>
    </row>
    <row r="122" spans="1:128" s="64" customFormat="1">
      <c r="A122" s="102"/>
      <c r="B122" s="103" t="s">
        <v>188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>
        <v>4951</v>
      </c>
      <c r="AC122" s="34">
        <v>3428</v>
      </c>
      <c r="AD122" s="34">
        <f>AE122+2640</f>
        <v>5890</v>
      </c>
      <c r="AE122" s="34">
        <f>+AE133-11752</f>
        <v>3250</v>
      </c>
      <c r="AF122" s="34"/>
      <c r="AG122" s="34">
        <v>1726</v>
      </c>
      <c r="AH122" s="34"/>
      <c r="AI122" s="34"/>
      <c r="AJ122" s="34"/>
      <c r="AK122" s="34"/>
      <c r="AL122" s="34">
        <v>11402</v>
      </c>
      <c r="AM122" s="34">
        <v>7366</v>
      </c>
      <c r="AN122" s="34">
        <f>9088+193</f>
        <v>9281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159">
        <f>5664+44+148+163+1071+72</f>
        <v>7162</v>
      </c>
      <c r="CO122" s="76"/>
      <c r="CP122" s="76">
        <f>5840+122+147+1530+228+116</f>
        <v>7983</v>
      </c>
      <c r="CQ122" s="76">
        <f>7841+180+11+213+1565+130</f>
        <v>9940</v>
      </c>
      <c r="CR122" s="76">
        <f>6916+28+160+217+1607+264</f>
        <v>9192</v>
      </c>
      <c r="CS122" s="76"/>
      <c r="CT122" s="76"/>
      <c r="CU122" s="76"/>
      <c r="CV122" s="76"/>
      <c r="CW122" s="76"/>
      <c r="CX122" s="76"/>
      <c r="CY122" s="76"/>
      <c r="CZ122" s="76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404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3045+1276</f>
        <v>4321</v>
      </c>
      <c r="AN123" s="34">
        <f>3328+1206</f>
        <v>4534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>
        <f>840+3736</f>
        <v>4576</v>
      </c>
      <c r="CO123" s="76"/>
      <c r="CP123" s="76">
        <f>1426+4718</f>
        <v>6144</v>
      </c>
      <c r="CQ123" s="76">
        <f>1153+4618</f>
        <v>5771</v>
      </c>
      <c r="CR123" s="76">
        <f>1575+4734</f>
        <v>6309</v>
      </c>
      <c r="CS123" s="76"/>
      <c r="CT123" s="76"/>
      <c r="CU123" s="76"/>
      <c r="CV123" s="76"/>
      <c r="CW123" s="76"/>
      <c r="CX123" s="76"/>
      <c r="CY123" s="76"/>
      <c r="CZ123" s="76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405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f>2030+192</f>
        <v>2222</v>
      </c>
      <c r="AN124" s="34">
        <v>1964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406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8126</v>
      </c>
      <c r="AN125" s="34">
        <v>7307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f>11092+752</f>
        <v>11844</v>
      </c>
      <c r="CO125" s="76"/>
      <c r="CP125" s="76">
        <f>12126+803</f>
        <v>12929</v>
      </c>
      <c r="CQ125" s="76">
        <f>11072+745</f>
        <v>11817</v>
      </c>
      <c r="CR125" s="76">
        <f>11047+806</f>
        <v>11853</v>
      </c>
      <c r="CS125" s="76"/>
      <c r="CT125" s="76"/>
      <c r="CU125" s="76"/>
      <c r="CV125" s="76"/>
      <c r="CW125" s="76"/>
      <c r="CX125" s="76"/>
      <c r="CY125" s="76"/>
      <c r="CZ125" s="76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407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1780</v>
      </c>
      <c r="AN126" s="34">
        <v>1689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>
        <v>5051</v>
      </c>
      <c r="CO126" s="76"/>
      <c r="CP126" s="76">
        <v>5424</v>
      </c>
      <c r="CQ126" s="76">
        <v>5337</v>
      </c>
      <c r="CR126" s="76">
        <v>5667</v>
      </c>
      <c r="CS126" s="76"/>
      <c r="CT126" s="76"/>
      <c r="CU126" s="76"/>
      <c r="CV126" s="76"/>
      <c r="CW126" s="76"/>
      <c r="CX126" s="76"/>
      <c r="CY126" s="76"/>
      <c r="CZ126" s="76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408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v>287</v>
      </c>
      <c r="AN127" s="34">
        <v>370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03" t="s">
        <v>409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>
        <f>13040+9866</f>
        <v>22906</v>
      </c>
      <c r="AN128" s="34">
        <f>9846+12832</f>
        <v>22678</v>
      </c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f>38326+19960</f>
        <v>58286</v>
      </c>
      <c r="CO128" s="76"/>
      <c r="CP128" s="76">
        <f>38089+20048</f>
        <v>58137</v>
      </c>
      <c r="CQ128" s="76">
        <f>38834+19978</f>
        <v>58812</v>
      </c>
      <c r="CR128" s="76">
        <f>39426+21060</f>
        <v>60486</v>
      </c>
      <c r="CS128" s="76"/>
      <c r="CT128" s="76"/>
      <c r="CU128" s="76"/>
      <c r="CV128" s="76"/>
      <c r="CW128" s="76"/>
      <c r="CX128" s="76"/>
      <c r="CY128" s="76"/>
      <c r="CZ128" s="76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36" t="s">
        <v>631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949</v>
      </c>
      <c r="CO129" s="76"/>
      <c r="CP129" s="76">
        <v>1100</v>
      </c>
      <c r="CQ129" s="76">
        <v>1205</v>
      </c>
      <c r="CR129" s="76">
        <v>1203</v>
      </c>
      <c r="CS129" s="76"/>
      <c r="CT129" s="76"/>
      <c r="CU129" s="76"/>
      <c r="CV129" s="76"/>
      <c r="CW129" s="76"/>
      <c r="CX129" s="76"/>
      <c r="CY129" s="76"/>
      <c r="CZ129" s="76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410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v>7067</v>
      </c>
      <c r="AN130" s="34">
        <v>6824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v>8675</v>
      </c>
      <c r="CO130" s="76"/>
      <c r="CP130" s="76">
        <v>9402</v>
      </c>
      <c r="CQ130" s="76">
        <v>9411</v>
      </c>
      <c r="CR130" s="76">
        <v>9630</v>
      </c>
      <c r="CS130" s="76"/>
      <c r="CT130" s="76"/>
      <c r="CU130" s="76"/>
      <c r="CV130" s="76"/>
      <c r="CW130" s="76"/>
      <c r="CX130" s="76"/>
      <c r="CY130" s="76"/>
      <c r="CZ130" s="76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1" spans="1:128" s="64" customFormat="1">
      <c r="A131" s="102"/>
      <c r="B131" s="103" t="s">
        <v>411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>
        <f>SUM(AM122:AM130)</f>
        <v>54075</v>
      </c>
      <c r="AN131" s="34">
        <f>SUM(AN122:AN130)</f>
        <v>54647</v>
      </c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76"/>
      <c r="BP131" s="34"/>
      <c r="BQ131" s="34"/>
      <c r="BR131" s="34"/>
      <c r="BS131" s="34"/>
      <c r="BT131" s="34"/>
      <c r="BU131" s="34"/>
      <c r="BV131" s="34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>
        <f>SUM(CN122:CN130)</f>
        <v>96543</v>
      </c>
      <c r="CO131" s="76"/>
      <c r="CP131" s="76">
        <f>SUM(CP122:CP130)</f>
        <v>101119</v>
      </c>
      <c r="CQ131" s="76">
        <f>SUM(CQ122:CQ130)</f>
        <v>102293</v>
      </c>
      <c r="CR131" s="76">
        <f>SUM(CR122:CR130)</f>
        <v>104340</v>
      </c>
      <c r="CS131" s="76"/>
      <c r="CT131" s="76"/>
      <c r="CU131" s="76"/>
      <c r="CV131" s="76"/>
      <c r="CW131" s="76"/>
      <c r="CX131" s="76"/>
      <c r="CY131" s="76"/>
      <c r="CZ131" s="76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</row>
    <row r="133" spans="1:128" s="64" customFormat="1">
      <c r="A133" s="102"/>
      <c r="B133" s="103" t="s">
        <v>189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>
        <f>14342+1057</f>
        <v>15399</v>
      </c>
      <c r="AC133" s="34">
        <v>14397</v>
      </c>
      <c r="AD133" s="34">
        <v>15156</v>
      </c>
      <c r="AE133" s="34">
        <v>15002</v>
      </c>
      <c r="AF133" s="34"/>
      <c r="AG133" s="34">
        <v>11475</v>
      </c>
      <c r="AH133" s="34"/>
      <c r="AI133" s="34"/>
      <c r="AJ133" s="34"/>
      <c r="AK133" s="34"/>
      <c r="AL133" s="34">
        <v>11063</v>
      </c>
      <c r="AM133" s="34">
        <f>1277+9055</f>
        <v>10332</v>
      </c>
      <c r="AN133" s="34">
        <f>1275+9043</f>
        <v>10318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>
        <f>24329+4556+231+83+68+2800</f>
        <v>32067</v>
      </c>
      <c r="CO133" s="76"/>
      <c r="CP133" s="76">
        <f>5129+156+22365+38</f>
        <v>27688</v>
      </c>
      <c r="CQ133" s="76">
        <f>27259+6050+51+92</f>
        <v>33452</v>
      </c>
      <c r="CR133" s="76">
        <f>5067+27225+51+61</f>
        <v>32404</v>
      </c>
      <c r="CS133" s="76"/>
      <c r="CT133" s="76"/>
      <c r="CU133" s="76"/>
      <c r="CV133" s="76"/>
      <c r="CW133" s="76"/>
      <c r="CX133" s="76"/>
      <c r="CY133" s="76"/>
      <c r="CZ133" s="76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412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8507</v>
      </c>
      <c r="AN134" s="34">
        <v>7362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>
        <v>22374</v>
      </c>
      <c r="CQ134" s="76">
        <f>2596+19699</f>
        <v>22295</v>
      </c>
      <c r="CR134" s="76">
        <v>20463</v>
      </c>
      <c r="CS134" s="76"/>
      <c r="CT134" s="76"/>
      <c r="CU134" s="76"/>
      <c r="CV134" s="76"/>
      <c r="CW134" s="76"/>
      <c r="CX134" s="76"/>
      <c r="CY134" s="76"/>
      <c r="CZ134" s="76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408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v>110</v>
      </c>
      <c r="AN135" s="34">
        <v>201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413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1066+443</f>
        <v>1509</v>
      </c>
      <c r="AN136" s="34">
        <f>947+491</f>
        <v>1438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v>567</v>
      </c>
      <c r="CO136" s="76"/>
      <c r="CP136" s="76">
        <f>1028+1127</f>
        <v>2155</v>
      </c>
      <c r="CQ136" s="76">
        <f>1123+1148</f>
        <v>2271</v>
      </c>
      <c r="CR136" s="76">
        <f>1168+1074</f>
        <v>2242</v>
      </c>
      <c r="CS136" s="76"/>
      <c r="CT136" s="76"/>
      <c r="CU136" s="76"/>
      <c r="CV136" s="76"/>
      <c r="CW136" s="76"/>
      <c r="CX136" s="76"/>
      <c r="CY136" s="76"/>
      <c r="CZ136" s="76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404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f>6034+3169</f>
        <v>9203</v>
      </c>
      <c r="AN137" s="34">
        <f>6519+2851</f>
        <v>9370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f>1200+1078</f>
        <v>2278</v>
      </c>
      <c r="CO137" s="76"/>
      <c r="CP137" s="76">
        <f>1584+2844</f>
        <v>4428</v>
      </c>
      <c r="CQ137" s="76">
        <f>2621+1631</f>
        <v>4252</v>
      </c>
      <c r="CR137" s="76">
        <f>1525+3333</f>
        <v>4858</v>
      </c>
      <c r="CS137" s="76"/>
      <c r="CT137" s="76"/>
      <c r="CU137" s="76"/>
      <c r="CV137" s="76"/>
      <c r="CW137" s="76"/>
      <c r="CX137" s="76"/>
      <c r="CY137" s="76"/>
      <c r="CZ137" s="76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414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3293</v>
      </c>
      <c r="AN138" s="34">
        <v>3478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>
        <v>1357</v>
      </c>
      <c r="CO138" s="76"/>
      <c r="CP138" s="76">
        <v>1520</v>
      </c>
      <c r="CQ138" s="76">
        <v>1280</v>
      </c>
      <c r="CR138" s="76">
        <v>1326</v>
      </c>
      <c r="CS138" s="76"/>
      <c r="CT138" s="76"/>
      <c r="CU138" s="76"/>
      <c r="CV138" s="76"/>
      <c r="CW138" s="76"/>
      <c r="CX138" s="76"/>
      <c r="CY138" s="76"/>
      <c r="CZ138" s="76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415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v>233</v>
      </c>
      <c r="AN139" s="34">
        <v>215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159">
        <f>19738+722+2398</f>
        <v>22858</v>
      </c>
      <c r="CO139" s="76"/>
      <c r="CP139" s="76">
        <f>271+857+2660</f>
        <v>3788</v>
      </c>
      <c r="CQ139" s="76">
        <f>961+281</f>
        <v>1242</v>
      </c>
      <c r="CR139" s="76">
        <f>292+949+2208</f>
        <v>3449</v>
      </c>
      <c r="CS139" s="76"/>
      <c r="CT139" s="76"/>
      <c r="CU139" s="76"/>
      <c r="CV139" s="76"/>
      <c r="CW139" s="76"/>
      <c r="CX139" s="76"/>
      <c r="CY139" s="76"/>
      <c r="CZ139" s="76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416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f>SUM(AM133:AM139)</f>
        <v>33187</v>
      </c>
      <c r="AN140" s="34">
        <f>SUM(AN133:AN139)</f>
        <v>32382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417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v>20888</v>
      </c>
      <c r="AN141" s="34">
        <v>22265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v>37416</v>
      </c>
      <c r="CO141" s="76"/>
      <c r="CP141" s="76">
        <v>39166</v>
      </c>
      <c r="CQ141" s="76">
        <v>37501</v>
      </c>
      <c r="CR141" s="76">
        <v>39598</v>
      </c>
      <c r="CS141" s="76"/>
      <c r="CT141" s="76"/>
      <c r="CU141" s="76"/>
      <c r="CV141" s="76"/>
      <c r="CW141" s="76"/>
      <c r="CX141" s="76"/>
      <c r="CY141" s="76"/>
      <c r="CZ141" s="76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2" spans="1:128" s="64" customFormat="1">
      <c r="A142" s="102"/>
      <c r="B142" s="103" t="s">
        <v>418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>
        <f>AM141+AM140</f>
        <v>54075</v>
      </c>
      <c r="AN142" s="34">
        <f>AN141+AN140</f>
        <v>54647</v>
      </c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76"/>
      <c r="BP142" s="34"/>
      <c r="BQ142" s="34"/>
      <c r="BR142" s="34"/>
      <c r="BS142" s="34"/>
      <c r="BT142" s="34"/>
      <c r="BU142" s="34"/>
      <c r="BV142" s="34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>
        <f>SUM(CN133:CN141)</f>
        <v>96543</v>
      </c>
      <c r="CO142" s="76"/>
      <c r="CP142" s="76">
        <f>SUM(CP133:CP141)</f>
        <v>101119</v>
      </c>
      <c r="CQ142" s="76">
        <f>SUM(CQ133:CQ141)</f>
        <v>102293</v>
      </c>
      <c r="CR142" s="76">
        <f>SUM(CR133:CR141)</f>
        <v>104340</v>
      </c>
      <c r="CS142" s="76"/>
      <c r="CT142" s="76"/>
      <c r="CU142" s="76"/>
      <c r="CV142" s="76"/>
      <c r="CW142" s="76"/>
      <c r="CX142" s="76"/>
      <c r="CY142" s="76"/>
      <c r="CZ142" s="76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</row>
    <row r="144" spans="1:128" s="64" customFormat="1">
      <c r="A144" s="102"/>
      <c r="B144" s="136" t="s">
        <v>787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4350-CM144</f>
        <v>4350</v>
      </c>
      <c r="CO144" s="76"/>
      <c r="CP144" s="76"/>
      <c r="CQ144" s="76"/>
      <c r="CR144" s="76">
        <f>5197-CQ144</f>
        <v>5197</v>
      </c>
      <c r="CS144" s="76"/>
      <c r="CT144" s="76"/>
      <c r="CU144" s="76"/>
      <c r="CV144" s="76"/>
      <c r="CW144" s="76"/>
      <c r="CX144" s="76"/>
      <c r="CY144" s="76"/>
      <c r="CZ144" s="76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788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654-CM145</f>
        <v>654</v>
      </c>
      <c r="CO145" s="76"/>
      <c r="CP145" s="76"/>
      <c r="CQ145" s="76"/>
      <c r="CR145" s="76">
        <f>645-CQ145</f>
        <v>645</v>
      </c>
      <c r="CS145" s="76"/>
      <c r="CT145" s="76"/>
      <c r="CU145" s="76"/>
      <c r="CV145" s="76"/>
      <c r="CW145" s="76"/>
      <c r="CX145" s="76"/>
      <c r="CY145" s="76"/>
      <c r="CZ145" s="76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789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1-CM146</f>
        <v>1</v>
      </c>
      <c r="CO146" s="76"/>
      <c r="CP146" s="76"/>
      <c r="CQ146" s="76"/>
      <c r="CR146" s="76">
        <f>19-CQ146</f>
        <v>19</v>
      </c>
      <c r="CS146" s="76"/>
      <c r="CT146" s="76"/>
      <c r="CU146" s="76"/>
      <c r="CV146" s="76"/>
      <c r="CW146" s="76"/>
      <c r="CX146" s="76"/>
      <c r="CY146" s="76"/>
      <c r="CZ146" s="76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790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2778-CM147</f>
        <v>2778</v>
      </c>
      <c r="CO147" s="76"/>
      <c r="CP147" s="76"/>
      <c r="CQ147" s="76"/>
      <c r="CR147" s="76">
        <f>2534-CQ147</f>
        <v>2534</v>
      </c>
      <c r="CS147" s="76"/>
      <c r="CT147" s="76"/>
      <c r="CU147" s="76"/>
      <c r="CV147" s="76"/>
      <c r="CW147" s="76"/>
      <c r="CX147" s="76"/>
      <c r="CY147" s="76"/>
      <c r="CZ147" s="76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791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-747-CM148</f>
        <v>-747</v>
      </c>
      <c r="CO148" s="76"/>
      <c r="CP148" s="76"/>
      <c r="CQ148" s="76"/>
      <c r="CR148" s="76">
        <f>-584-CQ148</f>
        <v>-584</v>
      </c>
      <c r="CS148" s="76"/>
      <c r="CT148" s="76"/>
      <c r="CU148" s="76"/>
      <c r="CV148" s="76"/>
      <c r="CW148" s="76"/>
      <c r="CX148" s="76"/>
      <c r="CY148" s="76"/>
      <c r="CZ148" s="76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792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-249-CM149</f>
        <v>-249</v>
      </c>
      <c r="CO149" s="76"/>
      <c r="CP149" s="76"/>
      <c r="CQ149" s="76"/>
      <c r="CR149" s="76">
        <f>-21-CQ149</f>
        <v>-21</v>
      </c>
      <c r="CS149" s="76"/>
      <c r="CT149" s="76"/>
      <c r="CU149" s="76"/>
      <c r="CV149" s="76"/>
      <c r="CW149" s="76"/>
      <c r="CX149" s="76"/>
      <c r="CY149" s="76"/>
      <c r="CZ149" s="76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202-CM150</f>
        <v>202</v>
      </c>
      <c r="CO150" s="76"/>
      <c r="CP150" s="76"/>
      <c r="CQ150" s="76"/>
      <c r="CR150" s="76">
        <f>251-CQ150</f>
        <v>251</v>
      </c>
      <c r="CS150" s="76"/>
      <c r="CT150" s="76"/>
      <c r="CU150" s="76"/>
      <c r="CV150" s="76"/>
      <c r="CW150" s="76"/>
      <c r="CX150" s="76"/>
      <c r="CY150" s="76"/>
      <c r="CZ150" s="76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795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-594-CM151</f>
        <v>-594</v>
      </c>
      <c r="CO151" s="76"/>
      <c r="CP151" s="76"/>
      <c r="CQ151" s="76"/>
      <c r="CR151" s="76">
        <f>-550-CQ151</f>
        <v>-550</v>
      </c>
      <c r="CS151" s="76"/>
      <c r="CT151" s="76"/>
      <c r="CU151" s="76"/>
      <c r="CV151" s="76"/>
      <c r="CW151" s="76"/>
      <c r="CX151" s="76"/>
      <c r="CY151" s="76"/>
      <c r="CZ151" s="76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419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SUM(CN144:CN151)</f>
        <v>6395</v>
      </c>
      <c r="CO152" s="76"/>
      <c r="CP152" s="76"/>
      <c r="CQ152" s="76"/>
      <c r="CR152" s="76">
        <f>SUM(CR144:CR151)</f>
        <v>7491</v>
      </c>
      <c r="CS152" s="76"/>
      <c r="CT152" s="76"/>
      <c r="CU152" s="76"/>
      <c r="CV152" s="76"/>
      <c r="CW152" s="76"/>
      <c r="CX152" s="76"/>
      <c r="CY152" s="76"/>
      <c r="CZ152" s="76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793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-483-CM153</f>
        <v>-483</v>
      </c>
      <c r="CO153" s="76"/>
      <c r="CP153" s="76"/>
      <c r="CQ153" s="76"/>
      <c r="CR153" s="76">
        <f>-583-CQ153</f>
        <v>-583</v>
      </c>
      <c r="CS153" s="76"/>
      <c r="CT153" s="76"/>
      <c r="CU153" s="76"/>
      <c r="CV153" s="76"/>
      <c r="CW153" s="76"/>
      <c r="CX153" s="76"/>
      <c r="CY153" s="76"/>
      <c r="CZ153" s="76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404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-1061-CM154</f>
        <v>-1061</v>
      </c>
      <c r="CO154" s="76"/>
      <c r="CP154" s="76"/>
      <c r="CQ154" s="76"/>
      <c r="CR154" s="76">
        <f>-1337-CQ154</f>
        <v>-1337</v>
      </c>
      <c r="CS154" s="76"/>
      <c r="CT154" s="76"/>
      <c r="CU154" s="76"/>
      <c r="CV154" s="76"/>
      <c r="CW154" s="76"/>
      <c r="CX154" s="76"/>
      <c r="CY154" s="76"/>
      <c r="CZ154" s="76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 s="64" customFormat="1">
      <c r="A155" s="102"/>
      <c r="B155" s="136" t="s">
        <v>794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>
        <v>1739</v>
      </c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76"/>
      <c r="BP155" s="34"/>
      <c r="BQ155" s="34"/>
      <c r="BR155" s="34"/>
      <c r="BS155" s="34"/>
      <c r="BT155" s="34"/>
      <c r="BU155" s="34"/>
      <c r="BV155" s="34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>
        <f>SUM(CN152:CN154)</f>
        <v>4851</v>
      </c>
      <c r="CO155" s="76"/>
      <c r="CP155" s="76"/>
      <c r="CQ155" s="76"/>
      <c r="CR155" s="76">
        <f>SUM(CR152:CR154)</f>
        <v>5571</v>
      </c>
      <c r="CS155" s="76"/>
      <c r="CT155" s="76"/>
      <c r="CU155" s="76"/>
      <c r="CV155" s="76"/>
      <c r="CW155" s="76"/>
      <c r="CX155" s="76"/>
      <c r="CY155" s="76"/>
      <c r="CZ155" s="76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</row>
    <row r="156" spans="1:128">
      <c r="B156" s="136"/>
    </row>
    <row r="157" spans="1:128" s="64" customFormat="1">
      <c r="A157" s="102"/>
      <c r="B157" s="103" t="s">
        <v>410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>
        <v>145</v>
      </c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-517+126-CM157</f>
        <v>-391</v>
      </c>
      <c r="CO157" s="76"/>
      <c r="CP157" s="76"/>
      <c r="CQ157" s="76"/>
      <c r="CR157" s="76">
        <f>-799-CQ157+53</f>
        <v>-746</v>
      </c>
      <c r="CS157" s="76"/>
      <c r="CT157" s="76"/>
      <c r="CU157" s="76"/>
      <c r="CV157" s="76"/>
      <c r="CW157" s="76"/>
      <c r="CX157" s="76"/>
      <c r="CY157" s="76"/>
      <c r="CZ157" s="76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797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-1436+288</f>
        <v>-1148</v>
      </c>
      <c r="CO158" s="76"/>
      <c r="CP158" s="76"/>
      <c r="CQ158" s="76"/>
      <c r="CR158" s="76">
        <f>-1474-CQ158+75</f>
        <v>-1399</v>
      </c>
      <c r="CS158" s="76"/>
      <c r="CT158" s="76"/>
      <c r="CU158" s="76"/>
      <c r="CV158" s="76"/>
      <c r="CW158" s="76"/>
      <c r="CX158" s="76"/>
      <c r="CY158" s="76"/>
      <c r="CZ158" s="76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405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>
        <f>-26+10+90+134+175</f>
        <v>383</v>
      </c>
      <c r="CO159" s="76"/>
      <c r="CP159" s="76"/>
      <c r="CQ159" s="76"/>
      <c r="CR159" s="76">
        <f>-67+51+42+206</f>
        <v>232</v>
      </c>
      <c r="CS159" s="76"/>
      <c r="CT159" s="76"/>
      <c r="CU159" s="76"/>
      <c r="CV159" s="76"/>
      <c r="CW159" s="76"/>
      <c r="CX159" s="76"/>
      <c r="CY159" s="76"/>
      <c r="CZ159" s="76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798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>
        <f>13-140</f>
        <v>-127</v>
      </c>
      <c r="CS160" s="76"/>
      <c r="CT160" s="76"/>
      <c r="CU160" s="76"/>
      <c r="CV160" s="76"/>
      <c r="CW160" s="76"/>
      <c r="CX160" s="76"/>
      <c r="CY160" s="76"/>
      <c r="CZ160" s="76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36" t="s">
        <v>796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-398-CM161</f>
        <v>-398</v>
      </c>
      <c r="CO161" s="76"/>
      <c r="CP161" s="76"/>
      <c r="CQ161" s="76"/>
      <c r="CR161" s="76">
        <f>-474-CQ161</f>
        <v>-474</v>
      </c>
      <c r="CS161" s="76"/>
      <c r="CT161" s="76"/>
      <c r="CU161" s="76"/>
      <c r="CV161" s="76"/>
      <c r="CW161" s="76"/>
      <c r="CX161" s="76"/>
      <c r="CY161" s="76"/>
      <c r="CZ161" s="76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03" t="s">
        <v>422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>
        <v>346</v>
      </c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-189-23-CM162</f>
        <v>-212</v>
      </c>
      <c r="CO162" s="76"/>
      <c r="CP162" s="76"/>
      <c r="CQ162" s="76"/>
      <c r="CR162" s="76">
        <f>-2771-CQ162</f>
        <v>-2771</v>
      </c>
      <c r="CS162" s="76"/>
      <c r="CT162" s="76"/>
      <c r="CU162" s="76"/>
      <c r="CV162" s="76"/>
      <c r="CW162" s="76"/>
      <c r="CX162" s="76"/>
      <c r="CY162" s="76"/>
      <c r="CZ162" s="76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36" t="s">
        <v>799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>
        <f>SUM(CN157:CN162)</f>
        <v>-1766</v>
      </c>
      <c r="CO163" s="76"/>
      <c r="CP163" s="76"/>
      <c r="CQ163" s="76"/>
      <c r="CR163" s="76">
        <f>SUM(CR157:CR162)</f>
        <v>-5285</v>
      </c>
      <c r="CS163" s="76"/>
      <c r="CT163" s="76"/>
      <c r="CU163" s="76"/>
      <c r="CV163" s="76"/>
      <c r="CW163" s="76"/>
      <c r="CX163" s="76"/>
      <c r="CY163" s="76"/>
      <c r="CZ163" s="76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03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800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8-CM165</f>
        <v>8</v>
      </c>
      <c r="CO165" s="76"/>
      <c r="CP165" s="76"/>
      <c r="CQ165" s="76"/>
      <c r="CR165" s="76">
        <v>11</v>
      </c>
      <c r="CS165" s="76"/>
      <c r="CT165" s="76"/>
      <c r="CU165" s="76"/>
      <c r="CV165" s="76"/>
      <c r="CW165" s="76"/>
      <c r="CX165" s="76"/>
      <c r="CY165" s="76"/>
      <c r="CZ165" s="76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801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3816-3408-CM166+72</f>
        <v>480</v>
      </c>
      <c r="CO166" s="76"/>
      <c r="CP166" s="76"/>
      <c r="CQ166" s="76"/>
      <c r="CR166" s="76">
        <f>4976-2643+2503</f>
        <v>4836</v>
      </c>
      <c r="CS166" s="76"/>
      <c r="CT166" s="76"/>
      <c r="CU166" s="76"/>
      <c r="CV166" s="76"/>
      <c r="CW166" s="76"/>
      <c r="CX166" s="76"/>
      <c r="CY166" s="76"/>
      <c r="CZ166" s="76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802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-129-CM167</f>
        <v>-129</v>
      </c>
      <c r="CO167" s="76"/>
      <c r="CP167" s="76"/>
      <c r="CQ167" s="76"/>
      <c r="CR167" s="76">
        <f>-150-CQ167</f>
        <v>-150</v>
      </c>
      <c r="CS167" s="76"/>
      <c r="CT167" s="76"/>
      <c r="CU167" s="76"/>
      <c r="CV167" s="76"/>
      <c r="CW167" s="76"/>
      <c r="CX167" s="76"/>
      <c r="CY167" s="76"/>
      <c r="CZ167" s="76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36" t="s">
        <v>648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-867-CM168</f>
        <v>-867</v>
      </c>
      <c r="CO168" s="76"/>
      <c r="CP168" s="76"/>
      <c r="CQ168" s="76"/>
      <c r="CR168" s="76">
        <f>-833-CQ168</f>
        <v>-833</v>
      </c>
      <c r="CS168" s="76"/>
      <c r="CT168" s="76"/>
      <c r="CU168" s="76"/>
      <c r="CV168" s="76"/>
      <c r="CW168" s="76"/>
      <c r="CX168" s="76"/>
      <c r="CY168" s="76"/>
      <c r="CZ168" s="76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03" t="s">
        <v>423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>
        <v>2367</v>
      </c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-3069-CM169+27</f>
        <v>-3042</v>
      </c>
      <c r="CO169" s="76"/>
      <c r="CP169" s="76"/>
      <c r="CQ169" s="76"/>
      <c r="CR169" s="76">
        <f>-3050-8</f>
        <v>-3058</v>
      </c>
      <c r="CS169" s="76"/>
      <c r="CT169" s="76"/>
      <c r="CU169" s="76"/>
      <c r="CV169" s="76"/>
      <c r="CW169" s="76"/>
      <c r="CX169" s="76"/>
      <c r="CY169" s="76"/>
      <c r="CZ169" s="76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803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SUM(CN165:CN169)</f>
        <v>-3550</v>
      </c>
      <c r="CO170" s="76"/>
      <c r="CP170" s="76"/>
      <c r="CQ170" s="76"/>
      <c r="CR170" s="76">
        <f>SUM(CR165:CR169)</f>
        <v>806</v>
      </c>
      <c r="CS170" s="76"/>
      <c r="CT170" s="76"/>
      <c r="CU170" s="76"/>
      <c r="CV170" s="76"/>
      <c r="CW170" s="76"/>
      <c r="CX170" s="76"/>
      <c r="CY170" s="76"/>
      <c r="CZ170" s="76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804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-47-CM171</f>
        <v>-47</v>
      </c>
      <c r="CO171" s="76"/>
      <c r="CP171" s="76"/>
      <c r="CQ171" s="76"/>
      <c r="CR171" s="76">
        <f>-52-CQ171</f>
        <v>-52</v>
      </c>
      <c r="CS171" s="76"/>
      <c r="CT171" s="76"/>
      <c r="CU171" s="76"/>
      <c r="CV171" s="76"/>
      <c r="CW171" s="76"/>
      <c r="CX171" s="76"/>
      <c r="CY171" s="76"/>
      <c r="CZ171" s="76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2" spans="1:128" s="64" customFormat="1">
      <c r="A172" s="102"/>
      <c r="B172" s="136" t="s">
        <v>805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76"/>
      <c r="BP172" s="34"/>
      <c r="BQ172" s="34"/>
      <c r="BR172" s="34"/>
      <c r="BS172" s="34"/>
      <c r="BT172" s="34"/>
      <c r="BU172" s="34"/>
      <c r="BV172" s="34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>
        <f>CN171+CN170+CN163+CN155</f>
        <v>-512</v>
      </c>
      <c r="CO172" s="76"/>
      <c r="CP172" s="76"/>
      <c r="CQ172" s="76"/>
      <c r="CR172" s="76">
        <f>CR171+CR170+CR163+CR155</f>
        <v>1040</v>
      </c>
      <c r="CS172" s="76"/>
      <c r="CT172" s="76"/>
      <c r="CU172" s="76"/>
      <c r="CV172" s="76"/>
      <c r="CW172" s="76"/>
      <c r="CX172" s="76"/>
      <c r="CY172" s="76"/>
      <c r="CZ172" s="76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</row>
    <row r="174" spans="1:128">
      <c r="B174" s="136" t="s">
        <v>665</v>
      </c>
      <c r="CR174" s="76">
        <v>5571</v>
      </c>
    </row>
    <row r="175" spans="1:128">
      <c r="B175" s="136" t="s">
        <v>666</v>
      </c>
      <c r="CR175" s="76">
        <v>1630</v>
      </c>
    </row>
    <row r="176" spans="1:128">
      <c r="B176" s="136" t="s">
        <v>667</v>
      </c>
      <c r="CR176" s="76">
        <v>1756</v>
      </c>
    </row>
    <row r="177" spans="2:96">
      <c r="B177" s="136" t="s">
        <v>668</v>
      </c>
      <c r="CR177" s="76">
        <v>2732</v>
      </c>
    </row>
    <row r="178" spans="2:96">
      <c r="B178" s="136" t="s">
        <v>669</v>
      </c>
      <c r="CR178" s="76">
        <v>1249</v>
      </c>
    </row>
    <row r="180" spans="2:96">
      <c r="B180" s="136" t="s">
        <v>509</v>
      </c>
      <c r="CN180" s="79">
        <f>1169-CM180</f>
        <v>1169</v>
      </c>
      <c r="CR180" s="79">
        <f>1772-CQ180</f>
        <v>1772</v>
      </c>
    </row>
    <row r="181" spans="2:96">
      <c r="B181" s="136" t="s">
        <v>670</v>
      </c>
      <c r="CN181" s="79">
        <f>257-CM181</f>
        <v>257</v>
      </c>
      <c r="CR181" s="79">
        <f>507-CQ181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>
      <c r="C27" s="18" t="s">
        <v>153</v>
      </c>
    </row>
    <row r="30" spans="3:3">
      <c r="C30" s="18" t="s">
        <v>156</v>
      </c>
    </row>
    <row r="33" spans="3: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zoomScale="115" zoomScaleNormal="11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869</v>
      </c>
    </row>
    <row r="3" spans="1:3">
      <c r="B3" s="120" t="s">
        <v>564</v>
      </c>
      <c r="C3" s="120" t="s">
        <v>870</v>
      </c>
    </row>
    <row r="4" spans="1:3">
      <c r="B4" s="120" t="s">
        <v>587</v>
      </c>
      <c r="C4" s="120" t="s">
        <v>871</v>
      </c>
    </row>
    <row r="5" spans="1:3">
      <c r="B5" s="120" t="s">
        <v>60</v>
      </c>
    </row>
    <row r="7" spans="1:3">
      <c r="C7" s="121" t="s">
        <v>872</v>
      </c>
    </row>
    <row r="11" spans="1:3">
      <c r="C11" s="121" t="s">
        <v>873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741</v>
      </c>
    </row>
    <row r="4" spans="1:3">
      <c r="B4" s="120" t="s">
        <v>1</v>
      </c>
      <c r="C4" s="120" t="s">
        <v>742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665</v>
      </c>
      <c r="C11">
        <v>1032</v>
      </c>
    </row>
    <row r="12" spans="1:3">
      <c r="B12" s="120" t="s">
        <v>667</v>
      </c>
      <c r="C12">
        <v>66</v>
      </c>
    </row>
    <row r="13" spans="1:3">
      <c r="B13" s="120" t="s">
        <v>668</v>
      </c>
      <c r="C13">
        <v>411</v>
      </c>
    </row>
    <row r="14" spans="1:3">
      <c r="B14" s="120" t="s">
        <v>669</v>
      </c>
      <c r="C14">
        <v>295</v>
      </c>
    </row>
    <row r="15" spans="1:3">
      <c r="B15" s="120" t="s">
        <v>705</v>
      </c>
      <c r="C15">
        <f>SUM(C11:C14)</f>
        <v>1804</v>
      </c>
    </row>
    <row r="17" spans="2:3">
      <c r="B17" s="120" t="s">
        <v>665</v>
      </c>
      <c r="C17" s="141">
        <f t="shared" ref="C17:C19" si="0">C11/$C$15</f>
        <v>0.57206208425720617</v>
      </c>
    </row>
    <row r="18" spans="2:3">
      <c r="B18" s="120" t="s">
        <v>667</v>
      </c>
      <c r="C18" s="141">
        <f t="shared" si="0"/>
        <v>3.6585365853658534E-2</v>
      </c>
    </row>
    <row r="19" spans="2:3">
      <c r="B19" s="120" t="s">
        <v>668</v>
      </c>
      <c r="C19" s="141">
        <f t="shared" si="0"/>
        <v>0.22782705099778269</v>
      </c>
    </row>
    <row r="20" spans="2:3">
      <c r="B20" s="120" t="s">
        <v>669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827</v>
      </c>
    </row>
    <row r="3" spans="1:3">
      <c r="B3" t="s">
        <v>560</v>
      </c>
      <c r="C3" t="s">
        <v>826</v>
      </c>
    </row>
    <row r="4" spans="1:3">
      <c r="B4" t="s">
        <v>1</v>
      </c>
      <c r="C4" t="s">
        <v>825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660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>
      <c r="C9" s="121" t="s">
        <v>750</v>
      </c>
    </row>
    <row r="13" spans="1:4">
      <c r="C13" s="121" t="s">
        <v>673</v>
      </c>
    </row>
    <row r="14" spans="1:4">
      <c r="C14" s="120" t="s">
        <v>674</v>
      </c>
    </row>
    <row r="15" spans="1:4">
      <c r="C15" s="95" t="s">
        <v>749</v>
      </c>
    </row>
    <row r="16" spans="1:4">
      <c r="C16" s="141"/>
      <c r="D16" s="141"/>
    </row>
    <row r="17" spans="2:3">
      <c r="C17" s="121" t="s">
        <v>706</v>
      </c>
    </row>
    <row r="20" spans="2:3">
      <c r="C20" s="120" t="s">
        <v>707</v>
      </c>
    </row>
    <row r="25" spans="2:3">
      <c r="C25" s="156" t="s">
        <v>704</v>
      </c>
    </row>
    <row r="26" spans="2:3">
      <c r="B26" s="120" t="s">
        <v>665</v>
      </c>
      <c r="C26" s="157">
        <v>1282</v>
      </c>
    </row>
    <row r="27" spans="2:3">
      <c r="B27" s="120" t="s">
        <v>667</v>
      </c>
      <c r="C27" s="157">
        <v>919</v>
      </c>
    </row>
    <row r="28" spans="2:3">
      <c r="B28" s="120" t="s">
        <v>668</v>
      </c>
      <c r="C28" s="157">
        <v>628</v>
      </c>
    </row>
    <row r="29" spans="2:3">
      <c r="B29" s="120" t="s">
        <v>669</v>
      </c>
      <c r="C29" s="157">
        <v>374</v>
      </c>
    </row>
    <row r="30" spans="2:3">
      <c r="B30" s="120" t="s">
        <v>705</v>
      </c>
      <c r="C30" s="157">
        <f>SUM(C26:C29)</f>
        <v>3203</v>
      </c>
    </row>
    <row r="32" spans="2:3">
      <c r="B32" s="120" t="s">
        <v>665</v>
      </c>
      <c r="C32" s="141">
        <f>+C26/$C$30</f>
        <v>0.40024976584452077</v>
      </c>
    </row>
    <row r="33" spans="2:3">
      <c r="B33" s="120" t="s">
        <v>667</v>
      </c>
      <c r="C33" s="141">
        <f>+C27/$C$30</f>
        <v>0.28691851389322509</v>
      </c>
    </row>
    <row r="34" spans="2:3">
      <c r="B34" s="120" t="s">
        <v>668</v>
      </c>
      <c r="C34" s="141">
        <f>+C28/$C$30</f>
        <v>0.19606618794879802</v>
      </c>
    </row>
    <row r="35" spans="2:3">
      <c r="B35" s="120" t="s">
        <v>669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ColWidth="8.85546875"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743</v>
      </c>
    </row>
    <row r="4" spans="1:3">
      <c r="B4" s="120" t="s">
        <v>1</v>
      </c>
      <c r="C4" s="120" t="s">
        <v>744</v>
      </c>
    </row>
    <row r="5" spans="1:3">
      <c r="B5" s="120" t="s">
        <v>60</v>
      </c>
    </row>
    <row r="9" spans="1:3">
      <c r="B9" s="120" t="s">
        <v>665</v>
      </c>
      <c r="C9">
        <v>529</v>
      </c>
    </row>
    <row r="10" spans="1:3">
      <c r="B10" s="120" t="s">
        <v>667</v>
      </c>
      <c r="C10">
        <v>31</v>
      </c>
    </row>
    <row r="11" spans="1:3">
      <c r="B11" s="120" t="s">
        <v>668</v>
      </c>
      <c r="C11">
        <v>48</v>
      </c>
    </row>
    <row r="12" spans="1:3">
      <c r="B12" s="120" t="s">
        <v>669</v>
      </c>
      <c r="C12">
        <v>45</v>
      </c>
    </row>
    <row r="13" spans="1:3">
      <c r="B13" s="120" t="s">
        <v>705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1"/>
  <sheetViews>
    <sheetView zoomScale="220" zoomScaleNormal="220" workbookViewId="0">
      <selection activeCell="B5" sqref="B5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0.8554687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874</v>
      </c>
      <c r="C4" s="120" t="s">
        <v>875</v>
      </c>
    </row>
    <row r="5" spans="1:3">
      <c r="B5" s="120" t="s">
        <v>1</v>
      </c>
      <c r="C5" s="120" t="s">
        <v>671</v>
      </c>
    </row>
    <row r="6" spans="1:3">
      <c r="B6" s="120" t="s">
        <v>60</v>
      </c>
    </row>
    <row r="7" spans="1:3">
      <c r="C7" s="121" t="s">
        <v>642</v>
      </c>
    </row>
    <row r="8" spans="1:3">
      <c r="C8" s="120" t="s">
        <v>643</v>
      </c>
    </row>
    <row r="9" spans="1:3">
      <c r="C9" s="120"/>
    </row>
    <row r="11" spans="1:3">
      <c r="C11" s="121" t="s">
        <v>656</v>
      </c>
    </row>
    <row r="12" spans="1:3">
      <c r="C12" s="120" t="s">
        <v>655</v>
      </c>
    </row>
    <row r="13" spans="1:3">
      <c r="C13" s="120" t="s">
        <v>672</v>
      </c>
    </row>
    <row r="15" spans="1:3">
      <c r="C15" s="121" t="s">
        <v>695</v>
      </c>
    </row>
    <row r="16" spans="1:3">
      <c r="C16" s="120" t="s">
        <v>694</v>
      </c>
    </row>
    <row r="18" spans="1:3">
      <c r="A18" s="95"/>
      <c r="C18" s="121" t="s">
        <v>708</v>
      </c>
    </row>
    <row r="20" spans="1:3">
      <c r="C20" s="121" t="s">
        <v>709</v>
      </c>
    </row>
    <row r="22" spans="1:3">
      <c r="C22" s="121" t="s">
        <v>710</v>
      </c>
    </row>
    <row r="24" spans="1:3">
      <c r="C24" s="121" t="s">
        <v>711</v>
      </c>
    </row>
    <row r="26" spans="1:3">
      <c r="C26" s="121" t="s">
        <v>753</v>
      </c>
    </row>
    <row r="27" spans="1:3">
      <c r="C27" s="120" t="s">
        <v>751</v>
      </c>
    </row>
    <row r="28" spans="1:3">
      <c r="C28" s="120" t="s">
        <v>752</v>
      </c>
    </row>
    <row r="32" spans="1:3">
      <c r="B32" s="120" t="s">
        <v>665</v>
      </c>
      <c r="C32" s="157">
        <v>1202</v>
      </c>
    </row>
    <row r="33" spans="2:3">
      <c r="B33" s="120" t="s">
        <v>667</v>
      </c>
      <c r="C33" s="157">
        <v>245</v>
      </c>
    </row>
    <row r="34" spans="2:3">
      <c r="B34" s="120" t="s">
        <v>668</v>
      </c>
      <c r="C34" s="157">
        <v>459</v>
      </c>
    </row>
    <row r="35" spans="2:3">
      <c r="B35" s="120" t="s">
        <v>669</v>
      </c>
      <c r="C35" s="157">
        <v>353</v>
      </c>
    </row>
    <row r="36" spans="2:3">
      <c r="B36" s="120" t="s">
        <v>705</v>
      </c>
      <c r="C36" s="157">
        <f>SUM(C32:C35)</f>
        <v>2259</v>
      </c>
    </row>
    <row r="38" spans="2:3">
      <c r="B38" s="120" t="s">
        <v>665</v>
      </c>
      <c r="C38" s="141">
        <f>+C32/$C$36</f>
        <v>0.5320938468348827</v>
      </c>
    </row>
    <row r="39" spans="2:3">
      <c r="B39" s="120" t="s">
        <v>667</v>
      </c>
      <c r="C39" s="141">
        <f>+C33/$C$36</f>
        <v>0.10845506861443116</v>
      </c>
    </row>
    <row r="40" spans="2:3">
      <c r="B40" s="120" t="s">
        <v>668</v>
      </c>
      <c r="C40" s="141">
        <f>+C34/$C$36</f>
        <v>0.20318725099601595</v>
      </c>
    </row>
    <row r="41" spans="2:3">
      <c r="B41" s="120" t="s">
        <v>669</v>
      </c>
      <c r="C41" s="141">
        <f>+C35/$C$36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755</v>
      </c>
    </row>
    <row r="3" spans="1:3">
      <c r="B3" s="120" t="s">
        <v>560</v>
      </c>
      <c r="C3" s="120" t="s">
        <v>756</v>
      </c>
    </row>
    <row r="4" spans="1:3">
      <c r="B4" s="120" t="s">
        <v>1</v>
      </c>
    </row>
    <row r="5" spans="1:3">
      <c r="B5" s="120" t="s">
        <v>60</v>
      </c>
    </row>
    <row r="7" spans="1:3">
      <c r="C7" s="121" t="s">
        <v>753</v>
      </c>
    </row>
    <row r="8" spans="1:3">
      <c r="C8" s="120" t="s">
        <v>751</v>
      </c>
    </row>
    <row r="9" spans="1:3">
      <c r="C9" s="120" t="s">
        <v>752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2025-04-29T15:55:07Z</dcterms:modified>
</cp:coreProperties>
</file>