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F1E2E2AA-6D2A-4F9A-835F-6648A1353268}" xr6:coauthVersionLast="47" xr6:coauthVersionMax="47" xr10:uidLastSave="{00000000-0000-0000-0000-000000000000}"/>
  <bookViews>
    <workbookView xWindow="55560" yWindow="5870" windowWidth="21180" windowHeight="15720" activeTab="1" xr2:uid="{DF105585-55F7-489F-BFB3-1F48B85ABA8A}"/>
  </bookViews>
  <sheets>
    <sheet name="Main" sheetId="1" r:id="rId1"/>
    <sheet name="Model" sheetId="2" r:id="rId2"/>
    <sheet name="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04" i="2" l="1"/>
  <c r="AE99" i="2"/>
  <c r="AE98" i="2"/>
  <c r="AE90" i="2"/>
  <c r="AE92" i="2" s="1"/>
  <c r="AE86" i="2"/>
  <c r="AE87" i="2" s="1"/>
  <c r="AE106" i="2" s="1"/>
  <c r="AE74" i="2"/>
  <c r="AE70" i="2"/>
  <c r="AE78" i="2" s="1"/>
  <c r="AE59" i="2"/>
  <c r="AE58" i="2" s="1"/>
  <c r="AH38" i="2"/>
  <c r="AH39" i="2" s="1"/>
  <c r="AH41" i="2" s="1"/>
  <c r="AH43" i="2" s="1"/>
  <c r="AG38" i="2"/>
  <c r="AG39" i="2" s="1"/>
  <c r="AG41" i="2" s="1"/>
  <c r="AG43" i="2" s="1"/>
  <c r="AF38" i="2"/>
  <c r="AF39" i="2" s="1"/>
  <c r="AF41" i="2" s="1"/>
  <c r="AF43" i="2" s="1"/>
  <c r="AF45" i="2"/>
  <c r="AG45" i="2" s="1"/>
  <c r="AH45" i="2" s="1"/>
  <c r="AE51" i="2"/>
  <c r="AD51" i="2"/>
  <c r="AC51" i="2"/>
  <c r="AB51" i="2"/>
  <c r="AF32" i="2"/>
  <c r="AE38" i="2"/>
  <c r="AE32" i="2"/>
  <c r="AE34" i="2" s="1"/>
  <c r="AE54" i="2" s="1"/>
  <c r="V70" i="2"/>
  <c r="V78" i="2" s="1"/>
  <c r="V64" i="2"/>
  <c r="V59" i="2"/>
  <c r="Z70" i="2"/>
  <c r="Z78" i="2" s="1"/>
  <c r="Z59" i="2"/>
  <c r="Z64" i="2"/>
  <c r="Y70" i="2"/>
  <c r="Y78" i="2" s="1"/>
  <c r="Y59" i="2"/>
  <c r="Y64" i="2"/>
  <c r="X100" i="2"/>
  <c r="Y100" i="2" s="1"/>
  <c r="Z100" i="2" s="1"/>
  <c r="X95" i="2"/>
  <c r="Y95" i="2" s="1"/>
  <c r="Z95" i="2" s="1"/>
  <c r="X94" i="2"/>
  <c r="Y94" i="2" s="1"/>
  <c r="X91" i="2"/>
  <c r="Y91" i="2" s="1"/>
  <c r="Z91" i="2" s="1"/>
  <c r="X84" i="2"/>
  <c r="Y84" i="2" s="1"/>
  <c r="Z84" i="2" s="1"/>
  <c r="X83" i="2"/>
  <c r="Y83" i="2" s="1"/>
  <c r="Z83" i="2" s="1"/>
  <c r="X82" i="2"/>
  <c r="Y82" i="2" s="1"/>
  <c r="Z82" i="2" s="1"/>
  <c r="X81" i="2"/>
  <c r="Y81" i="2" s="1"/>
  <c r="X70" i="2"/>
  <c r="X78" i="2" s="1"/>
  <c r="X59" i="2"/>
  <c r="X64" i="2"/>
  <c r="W98" i="2"/>
  <c r="W99" i="2" s="1"/>
  <c r="W90" i="2"/>
  <c r="X90" i="2" s="1"/>
  <c r="Y90" i="2" s="1"/>
  <c r="Z90" i="2" s="1"/>
  <c r="W89" i="2"/>
  <c r="W92" i="2" s="1"/>
  <c r="W86" i="2"/>
  <c r="X86" i="2" s="1"/>
  <c r="Y86" i="2" s="1"/>
  <c r="Z86" i="2" s="1"/>
  <c r="W85" i="2"/>
  <c r="W87" i="2" s="1"/>
  <c r="W106" i="2" s="1"/>
  <c r="W59" i="2"/>
  <c r="W70" i="2"/>
  <c r="W78" i="2" s="1"/>
  <c r="W64" i="2"/>
  <c r="AC32" i="2"/>
  <c r="AG32" i="2" s="1"/>
  <c r="AB32" i="2"/>
  <c r="AD104" i="2"/>
  <c r="AC104" i="2"/>
  <c r="AB104" i="2"/>
  <c r="AD74" i="2"/>
  <c r="AD70" i="2"/>
  <c r="AD78" i="2" s="1"/>
  <c r="AD59" i="2"/>
  <c r="AD58" i="2" s="1"/>
  <c r="AC74" i="2"/>
  <c r="AC70" i="2"/>
  <c r="AC78" i="2" s="1"/>
  <c r="AC59" i="2"/>
  <c r="AC66" i="2" s="1"/>
  <c r="AC58" i="2"/>
  <c r="AB100" i="2"/>
  <c r="AC100" i="2" s="1"/>
  <c r="AB96" i="2"/>
  <c r="AC96" i="2" s="1"/>
  <c r="AD96" i="2" s="1"/>
  <c r="AB95" i="2"/>
  <c r="AC95" i="2" s="1"/>
  <c r="AD95" i="2" s="1"/>
  <c r="AB94" i="2"/>
  <c r="AB91" i="2"/>
  <c r="AC91" i="2" s="1"/>
  <c r="AD91" i="2" s="1"/>
  <c r="AB89" i="2"/>
  <c r="AB84" i="2"/>
  <c r="AC84" i="2" s="1"/>
  <c r="AD84" i="2" s="1"/>
  <c r="AB83" i="2"/>
  <c r="AC83" i="2" s="1"/>
  <c r="AD83" i="2" s="1"/>
  <c r="AB82" i="2"/>
  <c r="AC82" i="2" s="1"/>
  <c r="AD82" i="2" s="1"/>
  <c r="AB81" i="2"/>
  <c r="AB74" i="2"/>
  <c r="AB70" i="2"/>
  <c r="AB78" i="2" s="1"/>
  <c r="AB59" i="2"/>
  <c r="AB58" i="2" s="1"/>
  <c r="AB66" i="2"/>
  <c r="AE101" i="2" l="1"/>
  <c r="AE66" i="2"/>
  <c r="AE39" i="2"/>
  <c r="X85" i="2"/>
  <c r="Y85" i="2" s="1"/>
  <c r="Z85" i="2" s="1"/>
  <c r="Y87" i="2"/>
  <c r="X87" i="2"/>
  <c r="Z81" i="2"/>
  <c r="Z87" i="2" s="1"/>
  <c r="X89" i="2"/>
  <c r="W101" i="2"/>
  <c r="AD100" i="2"/>
  <c r="AC89" i="2"/>
  <c r="AC94" i="2"/>
  <c r="Z94" i="2"/>
  <c r="X98" i="2"/>
  <c r="Y98" i="2" s="1"/>
  <c r="Z98" i="2" s="1"/>
  <c r="AD66" i="2"/>
  <c r="AC81" i="2"/>
  <c r="AG47" i="2"/>
  <c r="AF47" i="2"/>
  <c r="AB38" i="2"/>
  <c r="AB34" i="2"/>
  <c r="AB54" i="2" s="1"/>
  <c r="AD38" i="2"/>
  <c r="AC38" i="2"/>
  <c r="M5" i="1"/>
  <c r="M3" i="1"/>
  <c r="U31" i="2"/>
  <c r="U15" i="2" s="1"/>
  <c r="T31" i="2"/>
  <c r="T32" i="2" s="1"/>
  <c r="S31" i="2"/>
  <c r="AA51" i="2"/>
  <c r="AA98" i="2"/>
  <c r="AA90" i="2"/>
  <c r="AA86" i="2"/>
  <c r="AB86" i="2" s="1"/>
  <c r="AC86" i="2" s="1"/>
  <c r="AD86" i="2" s="1"/>
  <c r="AA85" i="2"/>
  <c r="AA74" i="2"/>
  <c r="AA70" i="2"/>
  <c r="AA78" i="2" s="1"/>
  <c r="AA59" i="2"/>
  <c r="AA66" i="2" s="1"/>
  <c r="Z66" i="2"/>
  <c r="Y66" i="2"/>
  <c r="X66" i="2"/>
  <c r="W66" i="2"/>
  <c r="V66" i="2"/>
  <c r="Z58" i="2"/>
  <c r="Y58" i="2"/>
  <c r="X58" i="2"/>
  <c r="AA104" i="2"/>
  <c r="AA38" i="2"/>
  <c r="AE52" i="2" s="1"/>
  <c r="Z104" i="2"/>
  <c r="Y104" i="2"/>
  <c r="X104" i="2"/>
  <c r="Z51" i="2"/>
  <c r="Y51" i="2"/>
  <c r="AA32" i="2"/>
  <c r="X51" i="2"/>
  <c r="W51" i="2"/>
  <c r="X37" i="2"/>
  <c r="W104" i="2"/>
  <c r="V104" i="2"/>
  <c r="W14" i="2"/>
  <c r="W15" i="2"/>
  <c r="M7" i="2"/>
  <c r="L7" i="2"/>
  <c r="K7" i="2"/>
  <c r="P7" i="2"/>
  <c r="O7" i="2"/>
  <c r="N7" i="2"/>
  <c r="T7" i="2"/>
  <c r="S7" i="2"/>
  <c r="R7" i="2"/>
  <c r="Q7" i="2"/>
  <c r="U7" i="2"/>
  <c r="AT51" i="2"/>
  <c r="V15" i="2"/>
  <c r="V14" i="2"/>
  <c r="V11" i="2"/>
  <c r="V34" i="2"/>
  <c r="AK32" i="2"/>
  <c r="AL32" i="2"/>
  <c r="AO45" i="2"/>
  <c r="W37" i="2"/>
  <c r="W36" i="2"/>
  <c r="W35" i="2"/>
  <c r="U104" i="2"/>
  <c r="U100" i="2"/>
  <c r="V100" i="2" s="1"/>
  <c r="T113" i="2"/>
  <c r="S113" i="2"/>
  <c r="R113" i="2"/>
  <c r="U113" i="2"/>
  <c r="U97" i="2"/>
  <c r="U95" i="2"/>
  <c r="V95" i="2" s="1"/>
  <c r="U94" i="2"/>
  <c r="V94" i="2" s="1"/>
  <c r="U91" i="2"/>
  <c r="V91" i="2" s="1"/>
  <c r="U85" i="2"/>
  <c r="V85" i="2" s="1"/>
  <c r="U84" i="2"/>
  <c r="V84" i="2" s="1"/>
  <c r="U83" i="2"/>
  <c r="V83" i="2" s="1"/>
  <c r="U82" i="2"/>
  <c r="V82" i="2" s="1"/>
  <c r="U81" i="2"/>
  <c r="V81" i="2" s="1"/>
  <c r="U70" i="2"/>
  <c r="U78" i="2" s="1"/>
  <c r="U64" i="2"/>
  <c r="U59" i="2"/>
  <c r="AT35" i="2"/>
  <c r="AU35" i="2" s="1"/>
  <c r="AV35" i="2" s="1"/>
  <c r="AW35" i="2" s="1"/>
  <c r="AX35" i="2" s="1"/>
  <c r="AY35" i="2" s="1"/>
  <c r="Q70" i="2"/>
  <c r="Q78" i="2" s="1"/>
  <c r="Q64" i="2"/>
  <c r="Q59" i="2"/>
  <c r="Q66" i="2" s="1"/>
  <c r="C42" i="2"/>
  <c r="C38" i="2"/>
  <c r="AQ37" i="2"/>
  <c r="AQ38" i="2" s="1"/>
  <c r="H37" i="2"/>
  <c r="H38" i="2" s="1"/>
  <c r="G37" i="2"/>
  <c r="G38" i="2" s="1"/>
  <c r="C32" i="2"/>
  <c r="C34" i="2" s="1"/>
  <c r="C54" i="2" s="1"/>
  <c r="G32" i="2"/>
  <c r="G34" i="2" s="1"/>
  <c r="G54" i="2" s="1"/>
  <c r="D38" i="2"/>
  <c r="D32" i="2"/>
  <c r="D34" i="2" s="1"/>
  <c r="D54" i="2" s="1"/>
  <c r="E38" i="2"/>
  <c r="I38" i="2"/>
  <c r="E32" i="2"/>
  <c r="E34" i="2" s="1"/>
  <c r="E54" i="2" s="1"/>
  <c r="AP42" i="2"/>
  <c r="AP38" i="2"/>
  <c r="O48" i="2"/>
  <c r="F38" i="2"/>
  <c r="J38" i="2"/>
  <c r="AP32" i="2"/>
  <c r="AP34" i="2" s="1"/>
  <c r="AP54" i="2" s="1"/>
  <c r="AO32" i="2"/>
  <c r="AN32" i="2"/>
  <c r="AM32" i="2"/>
  <c r="I32" i="2"/>
  <c r="M47" i="2" s="1"/>
  <c r="H32" i="2"/>
  <c r="L47" i="2" s="1"/>
  <c r="F32" i="2"/>
  <c r="F34" i="2" s="1"/>
  <c r="F54" i="2" s="1"/>
  <c r="J32" i="2"/>
  <c r="N47" i="2" s="1"/>
  <c r="T104" i="2"/>
  <c r="S104" i="2"/>
  <c r="P100" i="2"/>
  <c r="Q100" i="2" s="1"/>
  <c r="P95" i="2"/>
  <c r="Q95" i="2" s="1"/>
  <c r="P94" i="2"/>
  <c r="Q94" i="2" s="1"/>
  <c r="P91" i="2"/>
  <c r="Q91" i="2" s="1"/>
  <c r="P89" i="2"/>
  <c r="Q89" i="2" s="1"/>
  <c r="P85" i="2"/>
  <c r="Q85" i="2" s="1"/>
  <c r="P84" i="2"/>
  <c r="Q84" i="2" s="1"/>
  <c r="P83" i="2"/>
  <c r="Q83" i="2" s="1"/>
  <c r="P82" i="2"/>
  <c r="Q82" i="2" s="1"/>
  <c r="P81" i="2"/>
  <c r="Q81" i="2" s="1"/>
  <c r="P70" i="2"/>
  <c r="P78" i="2" s="1"/>
  <c r="P64" i="2"/>
  <c r="P59" i="2"/>
  <c r="O98" i="2"/>
  <c r="O99" i="2" s="1"/>
  <c r="O90" i="2"/>
  <c r="O92" i="2" s="1"/>
  <c r="O86" i="2"/>
  <c r="O87" i="2" s="1"/>
  <c r="O106" i="2" s="1"/>
  <c r="O70" i="2"/>
  <c r="O78" i="2" s="1"/>
  <c r="O64" i="2"/>
  <c r="O59" i="2"/>
  <c r="U48" i="2"/>
  <c r="U51" i="2"/>
  <c r="V51" i="2"/>
  <c r="T48" i="2"/>
  <c r="T98" i="2"/>
  <c r="T99" i="2" s="1"/>
  <c r="T90" i="2"/>
  <c r="T89" i="2"/>
  <c r="T86" i="2"/>
  <c r="T87" i="2" s="1"/>
  <c r="T70" i="2"/>
  <c r="T78" i="2" s="1"/>
  <c r="T64" i="2"/>
  <c r="T59" i="2"/>
  <c r="T51" i="2"/>
  <c r="T47" i="2" l="1"/>
  <c r="AE47" i="2"/>
  <c r="AE41" i="2"/>
  <c r="AE55" i="2"/>
  <c r="X92" i="2"/>
  <c r="Y89" i="2"/>
  <c r="X106" i="2"/>
  <c r="Y106" i="2"/>
  <c r="U66" i="2"/>
  <c r="AA92" i="2"/>
  <c r="AB90" i="2"/>
  <c r="AA87" i="2"/>
  <c r="AA106" i="2" s="1"/>
  <c r="AB85" i="2"/>
  <c r="AD94" i="2"/>
  <c r="AD89" i="2"/>
  <c r="AA99" i="2"/>
  <c r="AB98" i="2"/>
  <c r="Z99" i="2"/>
  <c r="X99" i="2"/>
  <c r="X101" i="2" s="1"/>
  <c r="Y99" i="2"/>
  <c r="AD81" i="2"/>
  <c r="AB39" i="2"/>
  <c r="AB55" i="2" s="1"/>
  <c r="T92" i="2"/>
  <c r="T101" i="2" s="1"/>
  <c r="AA58" i="2"/>
  <c r="AA101" i="2"/>
  <c r="W16" i="2"/>
  <c r="AA34" i="2"/>
  <c r="V16" i="2"/>
  <c r="AN47" i="2"/>
  <c r="T66" i="2"/>
  <c r="X32" i="2"/>
  <c r="AO47" i="2"/>
  <c r="T106" i="2"/>
  <c r="AM47" i="2"/>
  <c r="AP47" i="2"/>
  <c r="AL47" i="2"/>
  <c r="X38" i="2"/>
  <c r="AB52" i="2" s="1"/>
  <c r="Y38" i="2"/>
  <c r="AC52" i="2" s="1"/>
  <c r="Q58" i="2"/>
  <c r="U58" i="2"/>
  <c r="Y32" i="2"/>
  <c r="U14" i="2"/>
  <c r="U32" i="2"/>
  <c r="T58" i="2"/>
  <c r="W38" i="2"/>
  <c r="AA52" i="2" s="1"/>
  <c r="T14" i="2"/>
  <c r="G47" i="2"/>
  <c r="T15" i="2"/>
  <c r="U16" i="2" s="1"/>
  <c r="I47" i="2"/>
  <c r="J47" i="2"/>
  <c r="H47" i="2"/>
  <c r="C39" i="2"/>
  <c r="G39" i="2"/>
  <c r="J34" i="2"/>
  <c r="J54" i="2" s="1"/>
  <c r="H34" i="2"/>
  <c r="H54" i="2" s="1"/>
  <c r="D39" i="2"/>
  <c r="P86" i="2"/>
  <c r="P90" i="2"/>
  <c r="Q90" i="2" s="1"/>
  <c r="Q92" i="2" s="1"/>
  <c r="I34" i="2"/>
  <c r="I54" i="2" s="1"/>
  <c r="O66" i="2"/>
  <c r="E39" i="2"/>
  <c r="T34" i="2"/>
  <c r="T11" i="2"/>
  <c r="AP39" i="2"/>
  <c r="F39" i="2"/>
  <c r="O101" i="2"/>
  <c r="P66" i="2"/>
  <c r="P98" i="2"/>
  <c r="L38" i="2"/>
  <c r="K38" i="2"/>
  <c r="W40" i="2"/>
  <c r="M38" i="2"/>
  <c r="R99" i="2"/>
  <c r="R90" i="2"/>
  <c r="R92" i="2" s="1"/>
  <c r="R86" i="2"/>
  <c r="R87" i="2" s="1"/>
  <c r="R106" i="2" s="1"/>
  <c r="N70" i="2"/>
  <c r="N78" i="2" s="1"/>
  <c r="R70" i="2"/>
  <c r="R78" i="2" s="1"/>
  <c r="R64" i="2"/>
  <c r="R59" i="2"/>
  <c r="N64" i="2"/>
  <c r="N59" i="2"/>
  <c r="AR51" i="2"/>
  <c r="AS51" i="2"/>
  <c r="AS32" i="2"/>
  <c r="AR32" i="2"/>
  <c r="AQ32" i="2"/>
  <c r="R51" i="2"/>
  <c r="S51" i="2"/>
  <c r="AT37" i="2"/>
  <c r="AU37" i="2" s="1"/>
  <c r="AV37" i="2" s="1"/>
  <c r="AW37" i="2" s="1"/>
  <c r="AX37" i="2" s="1"/>
  <c r="AY37" i="2" s="1"/>
  <c r="AZ37" i="2" s="1"/>
  <c r="BA37" i="2" s="1"/>
  <c r="BB37" i="2" s="1"/>
  <c r="AT36" i="2"/>
  <c r="AU36" i="2" s="1"/>
  <c r="AV36" i="2" s="1"/>
  <c r="AW36" i="2" s="1"/>
  <c r="AX36" i="2" s="1"/>
  <c r="AY36" i="2" s="1"/>
  <c r="AZ36" i="2" s="1"/>
  <c r="BA36" i="2" s="1"/>
  <c r="BB36" i="2" s="1"/>
  <c r="AS38" i="2"/>
  <c r="AR38" i="2"/>
  <c r="AN2" i="2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N38" i="2"/>
  <c r="N34" i="2"/>
  <c r="N54" i="2" s="1"/>
  <c r="M34" i="2"/>
  <c r="M54" i="2" s="1"/>
  <c r="L34" i="2"/>
  <c r="L54" i="2" s="1"/>
  <c r="R34" i="2"/>
  <c r="R54" i="2" s="1"/>
  <c r="Q34" i="2"/>
  <c r="Q54" i="2" s="1"/>
  <c r="P34" i="2"/>
  <c r="P54" i="2" s="1"/>
  <c r="R38" i="2"/>
  <c r="Q38" i="2"/>
  <c r="P38" i="2"/>
  <c r="O38" i="2"/>
  <c r="P47" i="2"/>
  <c r="R48" i="2"/>
  <c r="Q48" i="2"/>
  <c r="P48" i="2"/>
  <c r="R47" i="2"/>
  <c r="Q47" i="2"/>
  <c r="R31" i="2"/>
  <c r="Z32" i="2" s="1"/>
  <c r="Q31" i="2"/>
  <c r="P31" i="2"/>
  <c r="P15" i="2" s="1"/>
  <c r="O31" i="2"/>
  <c r="O32" i="2" s="1"/>
  <c r="N31" i="2"/>
  <c r="N15" i="2" s="1"/>
  <c r="M31" i="2"/>
  <c r="M15" i="2" s="1"/>
  <c r="L31" i="2"/>
  <c r="L15" i="2" s="1"/>
  <c r="K31" i="2"/>
  <c r="K15" i="2" s="1"/>
  <c r="R11" i="2"/>
  <c r="Q11" i="2"/>
  <c r="P11" i="2"/>
  <c r="N11" i="2"/>
  <c r="M11" i="2"/>
  <c r="L11" i="2"/>
  <c r="S48" i="2"/>
  <c r="M4" i="1"/>
  <c r="M7" i="1" s="1"/>
  <c r="S98" i="2"/>
  <c r="S89" i="2"/>
  <c r="U89" i="2" s="1"/>
  <c r="V89" i="2" s="1"/>
  <c r="S90" i="2"/>
  <c r="U90" i="2" s="1"/>
  <c r="V90" i="2" s="1"/>
  <c r="S86" i="2"/>
  <c r="S87" i="2" s="1"/>
  <c r="S70" i="2"/>
  <c r="S78" i="2" s="1"/>
  <c r="S64" i="2"/>
  <c r="S59" i="2"/>
  <c r="S58" i="2" s="1"/>
  <c r="S38" i="2"/>
  <c r="AB110" i="2" l="1"/>
  <c r="P110" i="2"/>
  <c r="O110" i="2"/>
  <c r="Q110" i="2"/>
  <c r="R110" i="2"/>
  <c r="U116" i="2"/>
  <c r="AB47" i="2"/>
  <c r="AA110" i="2"/>
  <c r="AD32" i="2"/>
  <c r="AC110" i="2"/>
  <c r="AE43" i="2"/>
  <c r="AE56" i="2"/>
  <c r="Y92" i="2"/>
  <c r="Y101" i="2" s="1"/>
  <c r="Z89" i="2"/>
  <c r="AC85" i="2"/>
  <c r="AB87" i="2"/>
  <c r="AB106" i="2" s="1"/>
  <c r="V92" i="2"/>
  <c r="AC90" i="2"/>
  <c r="AB92" i="2"/>
  <c r="AC98" i="2"/>
  <c r="AB99" i="2"/>
  <c r="AB101" i="2" s="1"/>
  <c r="AB41" i="2"/>
  <c r="AB56" i="2" s="1"/>
  <c r="AD47" i="2"/>
  <c r="AD34" i="2"/>
  <c r="AD54" i="2" s="1"/>
  <c r="Y34" i="2"/>
  <c r="AC34" i="2"/>
  <c r="AC54" i="2" s="1"/>
  <c r="AA39" i="2"/>
  <c r="AA54" i="2"/>
  <c r="X34" i="2"/>
  <c r="R52" i="2"/>
  <c r="G41" i="2"/>
  <c r="G55" i="2"/>
  <c r="C41" i="2"/>
  <c r="C43" i="2" s="1"/>
  <c r="C44" i="2" s="1"/>
  <c r="C55" i="2"/>
  <c r="E41" i="2"/>
  <c r="E43" i="2" s="1"/>
  <c r="E44" i="2" s="1"/>
  <c r="E55" i="2"/>
  <c r="D41" i="2"/>
  <c r="D56" i="2" s="1"/>
  <c r="D55" i="2"/>
  <c r="AP41" i="2"/>
  <c r="AP43" i="2" s="1"/>
  <c r="AP44" i="2" s="1"/>
  <c r="AP55" i="2"/>
  <c r="F41" i="2"/>
  <c r="F56" i="2" s="1"/>
  <c r="F55" i="2"/>
  <c r="Q52" i="2"/>
  <c r="Z38" i="2"/>
  <c r="AD52" i="2" s="1"/>
  <c r="S52" i="2"/>
  <c r="W52" i="2"/>
  <c r="S106" i="2"/>
  <c r="I39" i="2"/>
  <c r="X47" i="2"/>
  <c r="Z34" i="2"/>
  <c r="Z54" i="2" s="1"/>
  <c r="S99" i="2"/>
  <c r="U98" i="2"/>
  <c r="R66" i="2"/>
  <c r="R58" i="2"/>
  <c r="Y47" i="2"/>
  <c r="Q12" i="2"/>
  <c r="U86" i="2"/>
  <c r="U92" i="2"/>
  <c r="P92" i="2"/>
  <c r="S14" i="2"/>
  <c r="W32" i="2"/>
  <c r="W110" i="2" s="1"/>
  <c r="P87" i="2"/>
  <c r="P106" i="2" s="1"/>
  <c r="Q86" i="2"/>
  <c r="Q87" i="2" s="1"/>
  <c r="Q106" i="2" s="1"/>
  <c r="G43" i="2"/>
  <c r="G44" i="2" s="1"/>
  <c r="G56" i="2"/>
  <c r="P99" i="2"/>
  <c r="Q98" i="2"/>
  <c r="Q99" i="2" s="1"/>
  <c r="J39" i="2"/>
  <c r="H39" i="2"/>
  <c r="AR34" i="2"/>
  <c r="AR54" i="2" s="1"/>
  <c r="AR47" i="2"/>
  <c r="AQ34" i="2"/>
  <c r="AQ47" i="2"/>
  <c r="Q15" i="2"/>
  <c r="Q16" i="2" s="1"/>
  <c r="U17" i="2" s="1"/>
  <c r="U47" i="2"/>
  <c r="R15" i="2"/>
  <c r="Z47" i="2"/>
  <c r="T38" i="2"/>
  <c r="AS59" i="2"/>
  <c r="N66" i="2"/>
  <c r="AS47" i="2"/>
  <c r="U38" i="2"/>
  <c r="T54" i="2"/>
  <c r="S32" i="2"/>
  <c r="R101" i="2"/>
  <c r="K32" i="2"/>
  <c r="AS34" i="2"/>
  <c r="AS54" i="2" s="1"/>
  <c r="M39" i="2"/>
  <c r="Q14" i="2"/>
  <c r="O15" i="2"/>
  <c r="O16" i="2" s="1"/>
  <c r="R12" i="2"/>
  <c r="W45" i="2"/>
  <c r="L39" i="2"/>
  <c r="P39" i="2"/>
  <c r="V38" i="2"/>
  <c r="V52" i="2" s="1"/>
  <c r="AU38" i="2"/>
  <c r="AT38" i="2"/>
  <c r="Q39" i="2"/>
  <c r="R39" i="2"/>
  <c r="O14" i="2"/>
  <c r="P14" i="2"/>
  <c r="O34" i="2"/>
  <c r="N39" i="2"/>
  <c r="M16" i="2"/>
  <c r="M14" i="2"/>
  <c r="S15" i="2"/>
  <c r="T16" i="2" s="1"/>
  <c r="R14" i="2"/>
  <c r="N14" i="2"/>
  <c r="L14" i="2"/>
  <c r="K14" i="2"/>
  <c r="L16" i="2"/>
  <c r="N16" i="2"/>
  <c r="M12" i="2"/>
  <c r="N12" i="2"/>
  <c r="O11" i="2"/>
  <c r="P12" i="2" s="1"/>
  <c r="S92" i="2"/>
  <c r="S66" i="2"/>
  <c r="AT32" i="2" l="1"/>
  <c r="V110" i="2"/>
  <c r="U110" i="2"/>
  <c r="T110" i="2"/>
  <c r="S110" i="2"/>
  <c r="AU32" i="2"/>
  <c r="Z110" i="2"/>
  <c r="Y110" i="2"/>
  <c r="AE44" i="2"/>
  <c r="AE80" i="2"/>
  <c r="AH32" i="2"/>
  <c r="AF110" i="2"/>
  <c r="AG110" i="2"/>
  <c r="AE110" i="2"/>
  <c r="AD110" i="2"/>
  <c r="X110" i="2"/>
  <c r="Z92" i="2"/>
  <c r="Z101" i="2" s="1"/>
  <c r="Z106" i="2"/>
  <c r="AD39" i="2"/>
  <c r="AD55" i="2" s="1"/>
  <c r="AD90" i="2"/>
  <c r="AD92" i="2" s="1"/>
  <c r="AC92" i="2"/>
  <c r="U87" i="2"/>
  <c r="U106" i="2" s="1"/>
  <c r="U107" i="2" s="1"/>
  <c r="V86" i="2"/>
  <c r="V87" i="2" s="1"/>
  <c r="V106" i="2" s="1"/>
  <c r="Y107" i="2" s="1"/>
  <c r="AD85" i="2"/>
  <c r="AD87" i="2" s="1"/>
  <c r="AD106" i="2" s="1"/>
  <c r="AC87" i="2"/>
  <c r="AC106" i="2" s="1"/>
  <c r="AE107" i="2" s="1"/>
  <c r="AE108" i="2" s="1"/>
  <c r="U99" i="2"/>
  <c r="U101" i="2" s="1"/>
  <c r="V98" i="2"/>
  <c r="V99" i="2" s="1"/>
  <c r="V101" i="2" s="1"/>
  <c r="AD98" i="2"/>
  <c r="AD99" i="2" s="1"/>
  <c r="AD101" i="2" s="1"/>
  <c r="AC99" i="2"/>
  <c r="AC101" i="2" s="1"/>
  <c r="AC39" i="2"/>
  <c r="AC55" i="2" s="1"/>
  <c r="AB43" i="2"/>
  <c r="E56" i="2"/>
  <c r="AC47" i="2"/>
  <c r="AV32" i="2"/>
  <c r="AW32" i="2" s="1"/>
  <c r="AX32" i="2" s="1"/>
  <c r="AA41" i="2"/>
  <c r="AA55" i="2"/>
  <c r="W11" i="2"/>
  <c r="W12" i="2" s="1"/>
  <c r="AA47" i="2"/>
  <c r="D43" i="2"/>
  <c r="D44" i="2" s="1"/>
  <c r="F43" i="2"/>
  <c r="F44" i="2" s="1"/>
  <c r="C56" i="2"/>
  <c r="T107" i="2"/>
  <c r="W47" i="2"/>
  <c r="N41" i="2"/>
  <c r="N43" i="2" s="1"/>
  <c r="N44" i="2" s="1"/>
  <c r="N55" i="2"/>
  <c r="R41" i="2"/>
  <c r="R43" i="2" s="1"/>
  <c r="R55" i="2"/>
  <c r="Q41" i="2"/>
  <c r="Q43" i="2" s="1"/>
  <c r="Q55" i="2"/>
  <c r="M41" i="2"/>
  <c r="M56" i="2" s="1"/>
  <c r="M55" i="2"/>
  <c r="J41" i="2"/>
  <c r="J43" i="2" s="1"/>
  <c r="J44" i="2" s="1"/>
  <c r="J55" i="2"/>
  <c r="I41" i="2"/>
  <c r="I55" i="2"/>
  <c r="AP56" i="2"/>
  <c r="P41" i="2"/>
  <c r="P43" i="2" s="1"/>
  <c r="P55" i="2"/>
  <c r="L41" i="2"/>
  <c r="L56" i="2" s="1"/>
  <c r="L55" i="2"/>
  <c r="S101" i="2"/>
  <c r="H41" i="2"/>
  <c r="H55" i="2"/>
  <c r="Z39" i="2"/>
  <c r="Z41" i="2" s="1"/>
  <c r="U52" i="2"/>
  <c r="Y52" i="2"/>
  <c r="T39" i="2"/>
  <c r="T52" i="2"/>
  <c r="X52" i="2"/>
  <c r="Z52" i="2"/>
  <c r="W34" i="2"/>
  <c r="W33" i="2" s="1"/>
  <c r="Y54" i="2"/>
  <c r="Y39" i="2"/>
  <c r="P101" i="2"/>
  <c r="X54" i="2"/>
  <c r="X39" i="2"/>
  <c r="Q13" i="2"/>
  <c r="S11" i="2"/>
  <c r="S12" i="2" s="1"/>
  <c r="S47" i="2"/>
  <c r="S16" i="2"/>
  <c r="U34" i="2"/>
  <c r="U39" i="2" s="1"/>
  <c r="U11" i="2"/>
  <c r="S107" i="2"/>
  <c r="R107" i="2"/>
  <c r="O47" i="2"/>
  <c r="K47" i="2"/>
  <c r="AR39" i="2"/>
  <c r="Q101" i="2"/>
  <c r="R16" i="2"/>
  <c r="AQ54" i="2"/>
  <c r="AQ39" i="2"/>
  <c r="AS39" i="2"/>
  <c r="V54" i="2"/>
  <c r="V47" i="2"/>
  <c r="P16" i="2"/>
  <c r="T17" i="2" s="1"/>
  <c r="K11" i="2"/>
  <c r="L12" i="2" s="1"/>
  <c r="P13" i="2" s="1"/>
  <c r="K34" i="2"/>
  <c r="AT45" i="2"/>
  <c r="AU45" i="2" s="1"/>
  <c r="AV45" i="2" s="1"/>
  <c r="AW45" i="2" s="1"/>
  <c r="R13" i="2"/>
  <c r="O39" i="2"/>
  <c r="O54" i="2"/>
  <c r="AV38" i="2"/>
  <c r="Q17" i="2"/>
  <c r="S34" i="2"/>
  <c r="O12" i="2"/>
  <c r="AH110" i="2" l="1"/>
  <c r="AH47" i="2"/>
  <c r="R56" i="2"/>
  <c r="N56" i="2"/>
  <c r="Z107" i="2"/>
  <c r="AB107" i="2"/>
  <c r="AA107" i="2"/>
  <c r="V107" i="2"/>
  <c r="AD107" i="2"/>
  <c r="AD108" i="2" s="1"/>
  <c r="AC107" i="2"/>
  <c r="X107" i="2"/>
  <c r="W107" i="2"/>
  <c r="AD41" i="2"/>
  <c r="AD56" i="2" s="1"/>
  <c r="AC41" i="2"/>
  <c r="AC56" i="2" s="1"/>
  <c r="AB44" i="2"/>
  <c r="AB80" i="2"/>
  <c r="W13" i="2"/>
  <c r="AA43" i="2"/>
  <c r="AA56" i="2"/>
  <c r="S17" i="2"/>
  <c r="W17" i="2"/>
  <c r="M43" i="2"/>
  <c r="M44" i="2" s="1"/>
  <c r="Z56" i="2"/>
  <c r="AS41" i="2"/>
  <c r="AS43" i="2" s="1"/>
  <c r="AS44" i="2" s="1"/>
  <c r="AS55" i="2"/>
  <c r="L43" i="2"/>
  <c r="L44" i="2" s="1"/>
  <c r="AQ41" i="2"/>
  <c r="AQ43" i="2" s="1"/>
  <c r="AQ44" i="2" s="1"/>
  <c r="AQ55" i="2"/>
  <c r="Y41" i="2"/>
  <c r="Y56" i="2" s="1"/>
  <c r="Y55" i="2"/>
  <c r="P56" i="2"/>
  <c r="Q56" i="2"/>
  <c r="Z55" i="2"/>
  <c r="H56" i="2"/>
  <c r="H43" i="2"/>
  <c r="H44" i="2" s="1"/>
  <c r="X41" i="2"/>
  <c r="X56" i="2" s="1"/>
  <c r="X55" i="2"/>
  <c r="I43" i="2"/>
  <c r="I44" i="2" s="1"/>
  <c r="I56" i="2"/>
  <c r="R17" i="2"/>
  <c r="V17" i="2"/>
  <c r="O41" i="2"/>
  <c r="O43" i="2" s="1"/>
  <c r="O55" i="2"/>
  <c r="AR41" i="2"/>
  <c r="AR43" i="2" s="1"/>
  <c r="AR44" i="2" s="1"/>
  <c r="AR55" i="2"/>
  <c r="T41" i="2"/>
  <c r="T56" i="2" s="1"/>
  <c r="T55" i="2"/>
  <c r="J56" i="2"/>
  <c r="U12" i="2"/>
  <c r="U13" i="2" s="1"/>
  <c r="V12" i="2"/>
  <c r="V13" i="2" s="1"/>
  <c r="U41" i="2"/>
  <c r="U56" i="2" s="1"/>
  <c r="U55" i="2"/>
  <c r="T12" i="2"/>
  <c r="T13" i="2" s="1"/>
  <c r="W54" i="2"/>
  <c r="W39" i="2"/>
  <c r="V39" i="2"/>
  <c r="S13" i="2"/>
  <c r="P17" i="2"/>
  <c r="Q44" i="2"/>
  <c r="Q80" i="2"/>
  <c r="U54" i="2"/>
  <c r="P44" i="2"/>
  <c r="P80" i="2"/>
  <c r="K54" i="2"/>
  <c r="K39" i="2"/>
  <c r="R44" i="2"/>
  <c r="R80" i="2"/>
  <c r="S39" i="2"/>
  <c r="S54" i="2"/>
  <c r="AX45" i="2"/>
  <c r="AT47" i="2"/>
  <c r="AT34" i="2"/>
  <c r="AT54" i="2" s="1"/>
  <c r="AW38" i="2"/>
  <c r="AS56" i="2" l="1"/>
  <c r="AD43" i="2"/>
  <c r="AC43" i="2"/>
  <c r="AA44" i="2"/>
  <c r="AA80" i="2"/>
  <c r="AQ56" i="2"/>
  <c r="Y43" i="2"/>
  <c r="K41" i="2"/>
  <c r="K43" i="2" s="1"/>
  <c r="K44" i="2" s="1"/>
  <c r="K55" i="2"/>
  <c r="X43" i="2"/>
  <c r="W41" i="2"/>
  <c r="W42" i="2" s="1"/>
  <c r="W56" i="2" s="1"/>
  <c r="W55" i="2"/>
  <c r="AR56" i="2"/>
  <c r="S41" i="2"/>
  <c r="S43" i="2" s="1"/>
  <c r="S44" i="2" s="1"/>
  <c r="S55" i="2"/>
  <c r="O56" i="2"/>
  <c r="T43" i="2"/>
  <c r="Z43" i="2"/>
  <c r="V41" i="2"/>
  <c r="V55" i="2"/>
  <c r="O44" i="2"/>
  <c r="O80" i="2"/>
  <c r="U43" i="2"/>
  <c r="U80" i="2" s="1"/>
  <c r="AY45" i="2"/>
  <c r="AX38" i="2"/>
  <c r="AT39" i="2"/>
  <c r="AU34" i="2"/>
  <c r="AU54" i="2" s="1"/>
  <c r="AU47" i="2"/>
  <c r="AT33" i="2"/>
  <c r="X44" i="2" l="1"/>
  <c r="X80" i="2"/>
  <c r="Z44" i="2"/>
  <c r="Z80" i="2"/>
  <c r="Y44" i="2"/>
  <c r="Y80" i="2"/>
  <c r="AD44" i="2"/>
  <c r="AD80" i="2"/>
  <c r="AC44" i="2"/>
  <c r="AC80" i="2"/>
  <c r="K56" i="2"/>
  <c r="S56" i="2"/>
  <c r="W43" i="2"/>
  <c r="T44" i="2"/>
  <c r="T80" i="2"/>
  <c r="AT41" i="2"/>
  <c r="AT42" i="2" s="1"/>
  <c r="AT56" i="2" s="1"/>
  <c r="AT55" i="2"/>
  <c r="V56" i="2"/>
  <c r="S80" i="2"/>
  <c r="U44" i="2"/>
  <c r="AZ45" i="2"/>
  <c r="AZ35" i="2"/>
  <c r="AY38" i="2"/>
  <c r="AU33" i="2"/>
  <c r="AU39" i="2"/>
  <c r="AU55" i="2" s="1"/>
  <c r="AV34" i="2"/>
  <c r="AV54" i="2" s="1"/>
  <c r="AV47" i="2"/>
  <c r="W44" i="2" l="1"/>
  <c r="W80" i="2"/>
  <c r="V43" i="2"/>
  <c r="AT43" i="2"/>
  <c r="AT44" i="2" s="1"/>
  <c r="BA45" i="2"/>
  <c r="AV33" i="2"/>
  <c r="AV39" i="2"/>
  <c r="AV55" i="2" s="1"/>
  <c r="AW34" i="2"/>
  <c r="AW54" i="2" s="1"/>
  <c r="AW47" i="2"/>
  <c r="BA35" i="2"/>
  <c r="AZ38" i="2"/>
  <c r="V44" i="2" l="1"/>
  <c r="V80" i="2"/>
  <c r="V58" i="2"/>
  <c r="AT59" i="2"/>
  <c r="AU40" i="2" s="1"/>
  <c r="AU41" i="2" s="1"/>
  <c r="AU42" i="2" s="1"/>
  <c r="AU56" i="2" s="1"/>
  <c r="BB45" i="2"/>
  <c r="BB35" i="2"/>
  <c r="BB38" i="2" s="1"/>
  <c r="BA38" i="2"/>
  <c r="AW33" i="2"/>
  <c r="AW39" i="2"/>
  <c r="AW55" i="2" s="1"/>
  <c r="AY32" i="2"/>
  <c r="AX34" i="2"/>
  <c r="AX54" i="2" s="1"/>
  <c r="AX47" i="2"/>
  <c r="AU43" i="2" l="1"/>
  <c r="AU59" i="2" s="1"/>
  <c r="AV40" i="2" s="1"/>
  <c r="W58" i="2"/>
  <c r="AZ32" i="2"/>
  <c r="AY34" i="2"/>
  <c r="AY33" i="2" s="1"/>
  <c r="AY47" i="2"/>
  <c r="AX33" i="2"/>
  <c r="AX39" i="2"/>
  <c r="AX55" i="2" s="1"/>
  <c r="AU44" i="2" l="1"/>
  <c r="AY39" i="2"/>
  <c r="AY55" i="2" s="1"/>
  <c r="AY54" i="2"/>
  <c r="AV41" i="2"/>
  <c r="BA32" i="2"/>
  <c r="AZ34" i="2"/>
  <c r="AZ33" i="2" s="1"/>
  <c r="AZ47" i="2"/>
  <c r="AZ39" i="2" l="1"/>
  <c r="AZ55" i="2" s="1"/>
  <c r="AZ54" i="2"/>
  <c r="AV42" i="2"/>
  <c r="AV56" i="2" s="1"/>
  <c r="BB32" i="2"/>
  <c r="BA34" i="2"/>
  <c r="BA33" i="2" s="1"/>
  <c r="BA47" i="2"/>
  <c r="BA39" i="2" l="1"/>
  <c r="BA55" i="2" s="1"/>
  <c r="BA54" i="2"/>
  <c r="AV43" i="2"/>
  <c r="BB47" i="2"/>
  <c r="BB34" i="2"/>
  <c r="BB39" i="2" l="1"/>
  <c r="BB55" i="2" s="1"/>
  <c r="BB54" i="2"/>
  <c r="BB33" i="2"/>
  <c r="AV44" i="2"/>
  <c r="AV59" i="2"/>
  <c r="AW40" i="2" s="1"/>
  <c r="AW41" i="2" l="1"/>
  <c r="AW42" i="2" l="1"/>
  <c r="AW56" i="2" s="1"/>
  <c r="AW43" i="2" l="1"/>
  <c r="AW44" i="2" l="1"/>
  <c r="AW59" i="2"/>
  <c r="AX40" i="2" s="1"/>
  <c r="AX41" i="2" s="1"/>
  <c r="AX42" i="2" l="1"/>
  <c r="AX56" i="2" s="1"/>
  <c r="AX43" i="2" l="1"/>
  <c r="AX44" i="2" s="1"/>
  <c r="AX59" i="2" l="1"/>
  <c r="AY40" i="2" s="1"/>
  <c r="AY41" i="2" s="1"/>
  <c r="AY42" i="2" l="1"/>
  <c r="AY56" i="2" s="1"/>
  <c r="AY43" i="2" l="1"/>
  <c r="AY44" i="2" l="1"/>
  <c r="AY59" i="2"/>
  <c r="AZ40" i="2" s="1"/>
  <c r="AZ41" i="2" l="1"/>
  <c r="AZ42" i="2" l="1"/>
  <c r="AZ56" i="2" s="1"/>
  <c r="AZ43" i="2" l="1"/>
  <c r="AZ44" i="2" l="1"/>
  <c r="AZ59" i="2"/>
  <c r="BA40" i="2" s="1"/>
  <c r="BA41" i="2" l="1"/>
  <c r="BA42" i="2" l="1"/>
  <c r="BA56" i="2" s="1"/>
  <c r="BA43" i="2" l="1"/>
  <c r="BA44" i="2" l="1"/>
  <c r="BA59" i="2"/>
  <c r="BB40" i="2" s="1"/>
  <c r="BB41" i="2" l="1"/>
  <c r="BB42" i="2" l="1"/>
  <c r="BB56" i="2" s="1"/>
  <c r="BB43" i="2" l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CG43" i="2" s="1"/>
  <c r="CH43" i="2" s="1"/>
  <c r="CI43" i="2" s="1"/>
  <c r="CJ43" i="2" s="1"/>
  <c r="CK43" i="2" s="1"/>
  <c r="CL43" i="2" s="1"/>
  <c r="CM43" i="2" s="1"/>
  <c r="CN43" i="2" s="1"/>
  <c r="CO43" i="2" s="1"/>
  <c r="CP43" i="2" s="1"/>
  <c r="CQ43" i="2" s="1"/>
  <c r="CR43" i="2" s="1"/>
  <c r="CS43" i="2" s="1"/>
  <c r="CT43" i="2" s="1"/>
  <c r="CU43" i="2" s="1"/>
  <c r="CV43" i="2" s="1"/>
  <c r="CW43" i="2" s="1"/>
  <c r="CX43" i="2" s="1"/>
  <c r="CY43" i="2" s="1"/>
  <c r="CZ43" i="2" s="1"/>
  <c r="DA43" i="2" s="1"/>
  <c r="DB43" i="2" s="1"/>
  <c r="DC43" i="2" s="1"/>
  <c r="DD43" i="2" s="1"/>
  <c r="DE43" i="2" s="1"/>
  <c r="DF43" i="2" s="1"/>
  <c r="BG55" i="2" l="1"/>
  <c r="BG59" i="2" s="1"/>
  <c r="BG60" i="2" s="1"/>
  <c r="BB44" i="2"/>
  <c r="BB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tc={FBBFA768-8F12-42F0-9C0B-EE828045336C}</author>
    <author>tc={0E3DC74B-1EA6-4DE1-9FC1-22223C626216}</author>
    <author>tc={BD43B5D8-C5C9-4E17-8362-9EF57E1B35E5}</author>
    <author>tc={8C543166-7E6A-448B-B7E3-720F51E35135}</author>
    <author>tc={37B1D132-4F99-4BFA-B9DE-FA9D39796D75}</author>
    <author>tc={9BAC047B-9C13-4083-9E91-56CC4B86282A}</author>
    <author>tc={48BE0944-3BDD-4973-B1C2-88AA905BEB25}</author>
    <author>tc={A907F4EC-7D24-4D8F-B1A6-DE693B5437EA}</author>
    <author>tc={3D2F6350-1756-4982-89B0-68C8E9231F2B}</author>
    <author>tc={5607579E-D033-47D3-9B2C-C24197BA8A4A}</author>
  </authors>
  <commentList>
    <comment ref="T31" authorId="0" shapeId="0" xr:uid="{FBBFA768-8F12-42F0-9C0B-EE82804533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Reels &gt;1B run-rate</t>
      </text>
    </comment>
    <comment ref="R32" authorId="1" shapeId="0" xr:uid="{0E3DC74B-1EA6-4DE1-9FC1-22223C626216}">
      <text>
        <t>[Threaded comment]
Your version of Excel allows you to read this threaded comment; however, any edits to it will get removed if the file is opened in a newer version of Excel. Learn more: https://go.microsoft.com/fwlink/?linkid=870924
Comment:
    Q321: 31.5B-34B guidance</t>
      </text>
    </comment>
    <comment ref="S32" authorId="2" shapeId="0" xr:uid="{BD43B5D8-C5C9-4E17-8362-9EF57E1B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Q421 guidance: 27-29B</t>
      </text>
    </comment>
    <comment ref="T32" authorId="3" shapeId="0" xr:uid="{8C543166-7E6A-448B-B7E3-720F51E35135}">
      <text>
        <t>[Threaded comment]
Your version of Excel allows you to read this threaded comment; however, any edits to it will get removed if the file is opened in a newer version of Excel. Learn more: https://go.microsoft.com/fwlink/?linkid=870924
Comment:
    Q122 guidance: 28-30B</t>
      </text>
    </comment>
    <comment ref="U32" authorId="4" shapeId="0" xr:uid="{37B1D132-4F99-4BFA-B9DE-FA9D39796D75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26-28.5B</t>
      </text>
    </comment>
    <comment ref="V32" authorId="5" shapeId="0" xr:uid="{9BAC047B-9C13-4083-9E91-56CC4B86282A}">
      <text>
        <t>[Threaded comment]
Your version of Excel allows you to read this threaded comment; however, any edits to it will get removed if the file is opened in a newer version of Excel. Learn more: https://go.microsoft.com/fwlink/?linkid=870924
Comment:
    Q322: 30.0-32.5B</t>
      </text>
    </comment>
    <comment ref="W32" authorId="6" shapeId="0" xr:uid="{48BE0944-3BDD-4973-B1C2-88AA905BEB25}">
      <text>
        <t>[Threaded comment]
Your version of Excel allows you to read this threaded comment; however, any edits to it will get removed if the file is opened in a newer version of Excel. Learn more: https://go.microsoft.com/fwlink/?linkid=870924
Comment:
    26.0-28.5B given Q422
Consensus 27.65B 4/26</t>
      </text>
    </comment>
    <comment ref="AD32" authorId="7" shapeId="0" xr:uid="{A907F4EC-7D24-4D8F-B1A6-DE693B5437EA}">
      <text>
        <t>[Threaded comment]
Your version of Excel allows you to read this threaded comment; however, any edits to it will get removed if the file is opened in a newer version of Excel. Learn more: https://go.microsoft.com/fwlink/?linkid=870924
Comment:
    45-48B guidance</t>
      </text>
    </comment>
    <comment ref="AE32" authorId="8" shapeId="0" xr:uid="{3D2F6350-1756-4982-89B0-68C8E9231F2B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Q424: 39.5-41.8B</t>
      </text>
    </comment>
    <comment ref="AF32" authorId="9" shapeId="0" xr:uid="{5607579E-D033-47D3-9B2C-C24197BA8A4A}">
      <text>
        <t>[Threaded comment]
Your version of Excel allows you to read this threaded comment; however, any edits to it will get removed if the file is opened in a newer version of Excel. Learn more: https://go.microsoft.com/fwlink/?linkid=870924
Comment:
    Q225: 42.2-45.5B</t>
      </text>
    </comment>
  </commentList>
</comments>
</file>

<file path=xl/sharedStrings.xml><?xml version="1.0" encoding="utf-8"?>
<sst xmlns="http://schemas.openxmlformats.org/spreadsheetml/2006/main" count="256" uniqueCount="219">
  <si>
    <t xml:space="preserve"> </t>
  </si>
  <si>
    <t>Price</t>
  </si>
  <si>
    <t>Shares</t>
  </si>
  <si>
    <t>MC</t>
  </si>
  <si>
    <t>Cash</t>
  </si>
  <si>
    <t>Debt</t>
  </si>
  <si>
    <t>EV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</si>
  <si>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</si>
  <si>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</si>
  <si>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</si>
  <si>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</si>
  <si>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</si>
  <si>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</si>
  <si>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</si>
  <si>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</si>
  <si>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</si>
  <si>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</si>
  <si>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</si>
  <si>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</si>
  <si>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</si>
  <si>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</si>
  <si>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</si>
  <si>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</si>
  <si>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</si>
  <si>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</si>
  <si>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Family DAP</t>
  </si>
  <si>
    <t>Family MAP</t>
  </si>
  <si>
    <t>Facebook DAU</t>
  </si>
  <si>
    <t>Facebook MAU</t>
  </si>
  <si>
    <t>Facebook</t>
  </si>
  <si>
    <t>Instagram</t>
  </si>
  <si>
    <t>WhatsApp</t>
  </si>
  <si>
    <t>Horizon</t>
  </si>
  <si>
    <t>Quest</t>
  </si>
  <si>
    <t>Reality Labs</t>
  </si>
  <si>
    <t>Headcount</t>
  </si>
  <si>
    <t>COGS</t>
  </si>
  <si>
    <t>Gross Margin</t>
  </si>
  <si>
    <t>R&amp;D</t>
  </si>
  <si>
    <t>G&amp;A</t>
  </si>
  <si>
    <t>M&amp;S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</si>
  <si>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</si>
  <si>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</si>
  <si>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</si>
  <si>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</si>
  <si>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</si>
  <si>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</si>
  <si>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</si>
  <si>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</si>
  <si>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AR</t>
  </si>
  <si>
    <t>Prepaids</t>
  </si>
  <si>
    <t>PPE</t>
  </si>
  <si>
    <t>Lease ROU</t>
  </si>
  <si>
    <t>Assets</t>
  </si>
  <si>
    <t>Intangibles</t>
  </si>
  <si>
    <t>Other</t>
  </si>
  <si>
    <t>AP</t>
  </si>
  <si>
    <t>Partners Payable</t>
  </si>
  <si>
    <t>Leases</t>
  </si>
  <si>
    <t>AE</t>
  </si>
  <si>
    <t>DR</t>
  </si>
  <si>
    <t>L+SE</t>
  </si>
  <si>
    <t>Retained</t>
  </si>
  <si>
    <t>AOCL</t>
  </si>
  <si>
    <t>PIC</t>
  </si>
  <si>
    <t>OL</t>
  </si>
  <si>
    <t>Model NI</t>
  </si>
  <si>
    <t>Reported NI</t>
  </si>
  <si>
    <t>CFFO</t>
  </si>
  <si>
    <t>D&amp;A</t>
  </si>
  <si>
    <t>SBC</t>
  </si>
  <si>
    <t>DT</t>
  </si>
  <si>
    <t>WC</t>
  </si>
  <si>
    <t>CapEx</t>
  </si>
  <si>
    <t>Investing</t>
  </si>
  <si>
    <t>Acquisitions</t>
  </si>
  <si>
    <t>CFFI</t>
  </si>
  <si>
    <t>SBC Taxes</t>
  </si>
  <si>
    <t>Buybacks</t>
  </si>
  <si>
    <t>CFFF</t>
  </si>
  <si>
    <t>FX</t>
  </si>
  <si>
    <t>CIC</t>
  </si>
  <si>
    <t>Ads</t>
  </si>
  <si>
    <t>Reality</t>
  </si>
  <si>
    <t>Family MARPU</t>
  </si>
  <si>
    <t>Family DARPU</t>
  </si>
  <si>
    <t>CEO: Mark Zuckerburg since 2004</t>
  </si>
  <si>
    <t>COO: Javier Olivian replaces Sheryl Sandberg who resigns 5/28/22</t>
  </si>
  <si>
    <t>2012: IPO</t>
  </si>
  <si>
    <t>2/4/2004: Founded</t>
  </si>
  <si>
    <t>Class A</t>
  </si>
  <si>
    <t>Class B</t>
  </si>
  <si>
    <t>BOD: Andreessen, Alford, Houston, Killefer, Kimmitt, Sandberg, Travis, Xu</t>
  </si>
  <si>
    <t>Menlo Park, CA</t>
  </si>
  <si>
    <t>650-543-4800</t>
  </si>
  <si>
    <t>US Revenue y/y</t>
  </si>
  <si>
    <t>Ad Pricing y/y</t>
  </si>
  <si>
    <t>Ad Volume y/y</t>
  </si>
  <si>
    <t>Global ARPP</t>
  </si>
  <si>
    <t xml:space="preserve">  2Q MA</t>
  </si>
  <si>
    <t xml:space="preserve">  y/y</t>
  </si>
  <si>
    <t xml:space="preserve">  US/CA</t>
  </si>
  <si>
    <t>IR: Deborah Crawford investor@fb.com</t>
  </si>
  <si>
    <t>USCA Ads</t>
  </si>
  <si>
    <t>EU Ads</t>
  </si>
  <si>
    <t>20% of time Reels</t>
  </si>
  <si>
    <t>50% of time Video</t>
  </si>
  <si>
    <t>APAC Ads</t>
  </si>
  <si>
    <t>Reality y/y</t>
  </si>
  <si>
    <t>CFO: Dave Wehner</t>
  </si>
  <si>
    <t>Tax Rate</t>
  </si>
  <si>
    <t>ROIC</t>
  </si>
  <si>
    <t>NPV</t>
  </si>
  <si>
    <t>Discount</t>
  </si>
  <si>
    <t>Terminal</t>
  </si>
  <si>
    <t>Share</t>
  </si>
  <si>
    <t>Upside</t>
  </si>
  <si>
    <t>Q123</t>
  </si>
  <si>
    <t>Q223</t>
  </si>
  <si>
    <t>Q323</t>
  </si>
  <si>
    <t>Q423</t>
  </si>
  <si>
    <t>Q418</t>
  </si>
  <si>
    <t>Q318</t>
  </si>
  <si>
    <t>Q218</t>
  </si>
  <si>
    <t>Q118</t>
  </si>
  <si>
    <t>Stories?</t>
  </si>
  <si>
    <t>FCF</t>
  </si>
  <si>
    <t>FCF TTM</t>
  </si>
  <si>
    <t>Number</t>
  </si>
  <si>
    <t>Title</t>
  </si>
  <si>
    <t>Filed</t>
  </si>
  <si>
    <t>Issued</t>
  </si>
  <si>
    <t>Monitoring circuit including cascaded s-boxes for fault injection attack protection</t>
  </si>
  <si>
    <t>Entity</t>
  </si>
  <si>
    <t>FACEBOOK TECHNOLOGIES, LLC (Menlo Park, CA)</t>
  </si>
  <si>
    <t>Inventors</t>
  </si>
  <si>
    <t>Satpathy; Sudhir (Redmond, WA), Powiertowski; Wojciech Stefan (Kirkland, WA), Modadugu; Nagendra Gupta (San Francisco, CA), Upasani; Neeraj (Sammamish, WA)</t>
  </si>
  <si>
    <t>Relevance</t>
  </si>
  <si>
    <t>Virtual reality-based augmented reality development system</t>
  </si>
  <si>
    <t>Bond; Lars Anders (San Mateo, CA), Georg; Francesco (Mountain View, CA), Ocampo; Christopher John (Dublin, CA), Slater; Michael (Nottingham, GB), Smet; Stef Marc (London, GB), Verlinde; Hannes (Post-MSX, GB)</t>
  </si>
  <si>
    <t xml:space="preserve">	FACEBOOK TECHNOLOGIES, LLC (Menlo Park, CA)</t>
  </si>
  <si>
    <t>Lu; Lu (Kirkland, WA), Li; Gang (Bothwell, WA), Lee; Seungjae (Redmond, WA), Wang; Mengfi (Seattle, WA)</t>
  </si>
  <si>
    <t>Pancake lens including diffuser</t>
  </si>
  <si>
    <t>Gollier; Jacques (Sammamish, WA), Geng; Ying (Bellevue, WA), Chen; Dong (Foster City, CA)</t>
  </si>
  <si>
    <t>High-resolution liquid crystal displays</t>
  </si>
  <si>
    <t xml:space="preserve">	Facebook Technologies, LLC (Menlo Park, CA)</t>
  </si>
  <si>
    <t>Fluidic valve</t>
  </si>
  <si>
    <t>Facebook Technologies, LLC (Menlo Park, CA)</t>
  </si>
  <si>
    <t xml:space="preserve">	Schied; Christoph Hermann (Seattle, WA), Kaplanyan; Anton S. (Redmond, WA)</t>
  </si>
  <si>
    <t>Systems and methods for graphics rendering based on machine learning</t>
  </si>
  <si>
    <t xml:space="preserve">	Hirsh; Seth Michael (Seattle, WA), Chao; Qing (Redmond, WA), Cavin; Robert Dale (Seattle, WA), Guestrin; Elias Daniel (Redmond, WA), Hall; Michael (Bellevue, WA)</t>
  </si>
  <si>
    <t>Gaze detection pipeline in an artificial reality system</t>
  </si>
  <si>
    <t xml:space="preserve">	Bikumandla; Manoj (Union City, CA), Bardagjy; Andrew Matthew (Seattle, WA), Hazegh; Cina (Walnut Creek, CA)</t>
  </si>
  <si>
    <t>Systems and methods for optical demodulation in a depth-sensing device</t>
  </si>
  <si>
    <t>Systems and methods for temporal anti-aliasing</t>
  </si>
  <si>
    <t>Ning; Tianxin (Mountain View, CA), Jiang; Haomiao (Sunnyvale, CA), Bastani; Behnam (Palo Alto, CA)</t>
  </si>
  <si>
    <t xml:space="preserve">	Facebook Technologies, LLC. (Menlo Park, CA)</t>
  </si>
  <si>
    <t>Buckley; Edward (Redmond, WA)</t>
  </si>
  <si>
    <t>Systems and methods for mask-based spatio-temporal dithering</t>
  </si>
  <si>
    <t>Artificial reality system using a multisurface display protocol to communicate surface data</t>
  </si>
  <si>
    <t>Tamama; Hideo (Kirkland, WA), Mathur; Alok Kumar (Cupertino, CA), Clohset; Steve John (San Francisco, CA)</t>
  </si>
  <si>
    <t>Goodall; Todd (Mill Valley, CA), Kaplanyan; Anton S (Redmond, WA), Patney; Anjul (Kirkland, WA), Sriwasansak; Jamorn (Redmond, WA)</t>
  </si>
  <si>
    <t>Efficient motion-compensated spatiotemporal sampling</t>
  </si>
  <si>
    <t>Selfon; Scott Phillip (Kirkland, WA)</t>
  </si>
  <si>
    <t>Systems and methods for audio adjustment</t>
  </si>
  <si>
    <t>Facebook Technologies, LLC. (Menlo Park, CA)</t>
  </si>
  <si>
    <t>Atlas; Charlene Mary (Redmond, WA), Bachy; Romain (Seattle, WA), MacKenzie; Kevin James (Sammamish, WA), Matsuda; Nathan (Seattle, WA), Murdison; Thomas Scott (Kirkland, WA), Quigley; Ocean (Oakland, CA), Sears; Jasmine Soria (Kirkland, WA)</t>
  </si>
  <si>
    <t>Adaptive rendering in artificial reality environments</t>
  </si>
  <si>
    <t xml:space="preserve">	Simon Kreuz; Tomas (Pittsburgh, PA), Saragih; Jason (Pittsburgh, PA), Lombardi; Stephen Anthony (Pittsburgh, PA), Ma; Shugao (Pittsburgh, PA), Schwartz; Gabriel Bailowitz (Pittsburgh, PA)</t>
  </si>
  <si>
    <t>Systems and methods for rendering avatar with high resolution geometry</t>
  </si>
  <si>
    <t xml:space="preserve">	Golas; Abhinav (Burlingame, CA)</t>
  </si>
  <si>
    <t>Distortion-corrected rasterization</t>
  </si>
  <si>
    <t>Randomized clock cycle lengths for boot sequences</t>
  </si>
  <si>
    <t>Ravasz; Jonathan (London, GB), Stevens; Jasper (London, GB), Varga; Adam Tibor (London, GB), Pinchon; Etienne (London, GB), Tickner; Simon Charles (Canterbury, GB), Spurlock; Jennifer Lynn (Seattle, WA), Sorge-Toomey; Kyle Eric (Seattle, WA), Ellis; Robert (London, GB), Fox; Barrett (Berkeley, CA)</t>
  </si>
  <si>
    <t>Detecting input using a stylus in artificial reality systems based on a stylus movement after a stylus selection action</t>
  </si>
  <si>
    <t>Optical assembly with holographic optics for folded optical path</t>
  </si>
  <si>
    <t xml:space="preserve">	Maimone; Andrew (Duvall, WA), Wang; Junren (Redmond, WA), Silverstein; Barry (Kirkland, WA)</t>
  </si>
  <si>
    <t xml:space="preserve">	Tanner; Christopher Richard (San Carlos, CA), Havilio; Amir Mesguich (San Francisco, CA), Pujals; Michelle (Los Gatos, CA), Noris; Gioacchino (Zurich, CH), Marra; Alessia (Zurich, CH), Wallen; Nicholas (South San Francisco, CA)</t>
  </si>
  <si>
    <t>Mixed reality objects in virtual reality environments</t>
  </si>
  <si>
    <t xml:space="preserve">	Zwiegincew; Arthur (Medina, CA), Mittertreiner; Gwen Erick Eng (Mountain View, CA), Keep; Andrew William (Redmond, WA)</t>
  </si>
  <si>
    <t>System and method of utilizing data binding to propagate data changes</t>
  </si>
  <si>
    <t>Gong; Jun (Redmond, WA), Gupta; Aakar (Redmond, WA), Benko; Hrvoje (Seattle, WA)</t>
  </si>
  <si>
    <t>Wearable device and user input system for computing devices and artificial reality environments</t>
  </si>
  <si>
    <t>Bodolec; Arthur (New York City, NY), Shu; Jing (Sunnyvale, CA), Young; Lindsay (San Francisco, CA), Summers; Melissa Erin (Charlotte, NC), Zeller; Andrea (Bothell, WA), Lee; Seohyun (Mountain View, CA), Gokalp; Ayfer (Kirkland, WA)</t>
  </si>
  <si>
    <t>Suspend mode feature for artificial reality systems</t>
  </si>
  <si>
    <t xml:space="preserve">	Lane; Austin (Redmond, WA), Colburn; Matthew E. (Woodinville, WA), Calafiore; Giuseppe (Redmond, WA), Mohanty; Nihar Ranjan (Redmond, WA)</t>
  </si>
  <si>
    <t>Nanoimprint lithography material with switchable mechanical properties</t>
  </si>
  <si>
    <t>Illumination device with encapsulated lens</t>
  </si>
  <si>
    <t xml:space="preserve">	Sharma; Robin (Redmond, WA), Ouderkirk; Andrew John (Redmond, WA), Liao; Christopher Yuan Ting (Seattle, WA), Zhang; Qi (Kirkland, WA), Malhotra; Tanya (Redmond, WA), Hatzillias; Karol Constantine (Kenmore, WA), Scheller; Maik (Redmond, WA), Ye; Sheng (Redmond, WA), Andreev; Gregory Olegovic (Redmond, WA)</t>
  </si>
  <si>
    <t>D960,160</t>
  </si>
  <si>
    <t xml:space="preserve">	Bristol; Peter Wesley (Seattle, WA), Chen; Yi-yaun (Seattle, WA), Romano; Mauricio (Redmond, WA), Newbury; Peter Allan Chase (Burlington, WA)</t>
  </si>
  <si>
    <t>Controller</t>
  </si>
  <si>
    <t>Lu; Gang (Pleasanton, CA), Doshi; Nihar (Fremont, CA), Han; Jiwon Steve (San Ramon, CA), Wang; Xiaoguang (Sunnyvale, CA), Zheng; Dong (Saratoga, CA), Hu; Chunyu (Saratoga, CA), Qu; Qi (Redmond, WA)</t>
  </si>
  <si>
    <t>Switching between different communication protocols</t>
  </si>
  <si>
    <t>Reality Labs OI</t>
  </si>
  <si>
    <t>Net Cash</t>
  </si>
  <si>
    <t>tbh 2017 - Nikita Bier</t>
  </si>
  <si>
    <t>Reality Labs 6mo y/y</t>
  </si>
  <si>
    <t>Family OI</t>
  </si>
  <si>
    <t xml:space="preserve">  Change q/q</t>
  </si>
  <si>
    <t>OpEx y/y</t>
  </si>
  <si>
    <t>Operating Margin</t>
  </si>
  <si>
    <t>Family OM%</t>
  </si>
  <si>
    <t>Stock Price (period end)</t>
  </si>
  <si>
    <t xml:space="preserve">  US/CA ARPU</t>
  </si>
  <si>
    <t>Q124</t>
  </si>
  <si>
    <t>Q224</t>
  </si>
  <si>
    <t>Q324</t>
  </si>
  <si>
    <t>Q424</t>
  </si>
  <si>
    <t>Dividends</t>
  </si>
  <si>
    <t>US/CA Ads Co Estimate</t>
  </si>
  <si>
    <t>Europe Ads Co Estimate</t>
  </si>
  <si>
    <t>APAC Ads Co Estimate</t>
  </si>
  <si>
    <t>ROW Ads Co Estimate</t>
  </si>
  <si>
    <t>ROW Revenue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</si>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</sst>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/>
    <xf numFmtId="3" fontId="0" fillId="2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99881B5-ABB4-4217-96D2-F267F48EA7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37289</xdr:colOff>
      <xdr:row>0</xdr:row>
      <xdr:rowOff>1867</xdr:rowOff>
    </xdr:from>
    <xdr:to>
      <xdr:col>31</xdr:col>
      <xdr:colOff>37289</xdr:colOff>
      <xdr:row>131</xdr:row>
      <xdr:rowOff>1868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23189D-C9D9-F2EF-EA92-77C530A80B61}"/>
            </a:ext>
          </a:extLst>
        </xdr:cNvPr>
        <xdr:cNvCxnSpPr/>
      </xdr:nvCxnSpPr>
      <xdr:spPr>
        <a:xfrm>
          <a:off x="20322255" y="1867"/>
          <a:ext cx="0" cy="205389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2299</xdr:colOff>
      <xdr:row>0</xdr:row>
      <xdr:rowOff>0</xdr:rowOff>
    </xdr:from>
    <xdr:to>
      <xdr:col>48</xdr:col>
      <xdr:colOff>2299</xdr:colOff>
      <xdr:row>63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4DDBC1-608B-6F25-EAC7-D2983CE213BA}"/>
            </a:ext>
          </a:extLst>
        </xdr:cNvPr>
        <xdr:cNvCxnSpPr/>
      </xdr:nvCxnSpPr>
      <xdr:spPr>
        <a:xfrm>
          <a:off x="30784471" y="0"/>
          <a:ext cx="0" cy="10004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27D12BE-C9D2-4ADE-8FA6-64C9EAF4387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1" dT="2022-09-30T13:25:09.70" personId="{527D12BE-C9D2-4ADE-8FA6-64C9EAF4387F}" id="{FBBFA768-8F12-42F0-9C0B-EE828045336C}">
    <text>Reels &gt;1B run-rate</text>
  </threadedComment>
  <threadedComment ref="R32" dT="2022-06-12T02:12:46.51" personId="{527D12BE-C9D2-4ADE-8FA6-64C9EAF4387F}" id="{0E3DC74B-1EA6-4DE1-9FC1-22223C626216}">
    <text>Q321: 31.5B-34B guidance</text>
  </threadedComment>
  <threadedComment ref="S32" dT="2022-06-12T01:45:07.26" personId="{527D12BE-C9D2-4ADE-8FA6-64C9EAF4387F}" id="{BD43B5D8-C5C9-4E17-8362-9EF57E1B35E5}">
    <text>Q421 guidance: 27-29B</text>
  </threadedComment>
  <threadedComment ref="T32" dT="2022-06-11T18:28:26.10" personId="{527D12BE-C9D2-4ADE-8FA6-64C9EAF4387F}" id="{8C543166-7E6A-448B-B7E3-720F51E35135}">
    <text>Q122 guidance: 28-30B</text>
  </threadedComment>
  <threadedComment ref="U32" dT="2022-07-27T23:03:53.04" personId="{527D12BE-C9D2-4ADE-8FA6-64C9EAF4387F}" id="{37B1D132-4F99-4BFA-B9DE-FA9D39796D75}">
    <text>Q222 guidance: 26-28.5B</text>
  </threadedComment>
  <threadedComment ref="V32" dT="2022-10-27T13:48:29.91" personId="{527D12BE-C9D2-4ADE-8FA6-64C9EAF4387F}" id="{9BAC047B-9C13-4083-9E91-56CC4B86282A}">
    <text>Q322: 30.0-32.5B</text>
  </threadedComment>
  <threadedComment ref="W32" dT="2023-02-01T21:20:58.90" personId="{527D12BE-C9D2-4ADE-8FA6-64C9EAF4387F}" id="{48BE0944-3BDD-4973-B1C2-88AA905BEB25}">
    <text>26.0-28.5B given Q422
Consensus 27.65B 4/26</text>
  </threadedComment>
  <threadedComment ref="AD32" dT="2025-01-29T20:42:20.13" personId="{527D12BE-C9D2-4ADE-8FA6-64C9EAF4387F}" id="{A907F4EC-7D24-4D8F-B1A6-DE693B5437EA}">
    <text>45-48B guidance</text>
  </threadedComment>
  <threadedComment ref="AE32" dT="2025-04-04T15:54:32.49" personId="{527D12BE-C9D2-4ADE-8FA6-64C9EAF4387F}" id="{3D2F6350-1756-4982-89B0-68C8E9231F2B}">
    <text>Q424: 39.5-41.8B</text>
  </threadedComment>
  <threadedComment ref="AF32" dT="2025-04-30T20:23:13.01" personId="{527D12BE-C9D2-4ADE-8FA6-64C9EAF4387F}" id="{5607579E-D033-47D3-9B2C-C24197BA8A4A}">
    <text>Q225: 42.2-45.5B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24B-BEE3-4317-A400-2CB53AA7AD6F}">
  <dimension ref="A1:N28"/>
  <sheetViews>
    <sheetView zoomScale="175" zoomScaleNormal="175" workbookViewId="0"/>
  </sheetViews>
  <sheetFormatPr defaultColWidth="8.81640625" defaultRowHeight="12.5" x14ac:dyDescent="0.25"/>
  <cols>
    <col min="2" max="2" width="13" customWidth="1"/>
    <col min="13" max="13" width="9.7265625" customWidth="1"/>
  </cols>
  <sheetData>
    <row r="1" spans="1:14" x14ac:dyDescent="0.25">
      <c r="A1" t="s">
        <v>0</v>
      </c>
    </row>
    <row r="2" spans="1:14" x14ac:dyDescent="0.25">
      <c r="L2" t="s">
        <v>1</v>
      </c>
      <c r="M2" s="17">
        <v>565</v>
      </c>
    </row>
    <row r="3" spans="1:14" x14ac:dyDescent="0.25">
      <c r="B3" t="s">
        <v>29</v>
      </c>
      <c r="C3" t="s">
        <v>106</v>
      </c>
      <c r="L3" t="s">
        <v>2</v>
      </c>
      <c r="M3" s="3">
        <f>2180+344.487</f>
        <v>2524.4870000000001</v>
      </c>
      <c r="N3" s="1" t="s">
        <v>207</v>
      </c>
    </row>
    <row r="4" spans="1:14" x14ac:dyDescent="0.25">
      <c r="B4" t="s">
        <v>30</v>
      </c>
      <c r="C4" t="s">
        <v>105</v>
      </c>
      <c r="L4" t="s">
        <v>3</v>
      </c>
      <c r="M4" s="3">
        <f>+M3*M2</f>
        <v>1426335.155</v>
      </c>
    </row>
    <row r="5" spans="1:14" x14ac:dyDescent="0.25">
      <c r="C5" t="s">
        <v>125</v>
      </c>
      <c r="L5" t="s">
        <v>4</v>
      </c>
      <c r="M5" s="3">
        <f>43852+27048+6071</f>
        <v>76971</v>
      </c>
      <c r="N5" s="1" t="s">
        <v>207</v>
      </c>
    </row>
    <row r="6" spans="1:14" x14ac:dyDescent="0.25">
      <c r="B6" t="s">
        <v>31</v>
      </c>
      <c r="L6" t="s">
        <v>5</v>
      </c>
      <c r="M6" s="3">
        <v>28823</v>
      </c>
      <c r="N6" s="1" t="s">
        <v>207</v>
      </c>
    </row>
    <row r="7" spans="1:14" x14ac:dyDescent="0.25">
      <c r="L7" t="s">
        <v>6</v>
      </c>
      <c r="M7" s="3">
        <f>+M4-M5+M6</f>
        <v>1378187.155</v>
      </c>
    </row>
    <row r="8" spans="1:14" ht="13" x14ac:dyDescent="0.3">
      <c r="B8" s="5" t="s">
        <v>34</v>
      </c>
    </row>
    <row r="9" spans="1:14" x14ac:dyDescent="0.25">
      <c r="B9" t="s">
        <v>32</v>
      </c>
    </row>
    <row r="10" spans="1:14" x14ac:dyDescent="0.25">
      <c r="B10" t="s">
        <v>33</v>
      </c>
      <c r="L10" t="s">
        <v>90</v>
      </c>
      <c r="M10" s="3">
        <v>1865.970703</v>
      </c>
    </row>
    <row r="11" spans="1:14" x14ac:dyDescent="0.25">
      <c r="L11" t="s">
        <v>91</v>
      </c>
      <c r="M11" s="3">
        <v>366.55794300000002</v>
      </c>
    </row>
    <row r="15" spans="1:14" x14ac:dyDescent="0.25">
      <c r="B15" t="s">
        <v>86</v>
      </c>
    </row>
    <row r="16" spans="1:14" x14ac:dyDescent="0.25">
      <c r="B16" t="s">
        <v>109</v>
      </c>
    </row>
    <row r="17" spans="2:12" x14ac:dyDescent="0.25">
      <c r="B17" t="s">
        <v>87</v>
      </c>
    </row>
    <row r="18" spans="2:12" ht="13" x14ac:dyDescent="0.3">
      <c r="B18" t="s">
        <v>92</v>
      </c>
      <c r="L18" s="5" t="s">
        <v>75</v>
      </c>
    </row>
    <row r="19" spans="2:12" x14ac:dyDescent="0.25">
      <c r="B19" t="s">
        <v>102</v>
      </c>
      <c r="L19" t="s">
        <v>196</v>
      </c>
    </row>
    <row r="24" spans="2:12" x14ac:dyDescent="0.25">
      <c r="B24" t="s">
        <v>88</v>
      </c>
    </row>
    <row r="25" spans="2:12" x14ac:dyDescent="0.25">
      <c r="B25" t="s">
        <v>89</v>
      </c>
    </row>
    <row r="27" spans="2:12" x14ac:dyDescent="0.25">
      <c r="B27" t="s">
        <v>93</v>
      </c>
    </row>
    <row r="28" spans="2:12" x14ac:dyDescent="0.25">
      <c r="B2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D1C-8B34-4AB7-86D4-BE833131478C}">
  <dimension ref="A1:DF118"/>
  <sheetViews>
    <sheetView tabSelected="1" zoomScale="145" zoomScaleNormal="145" workbookViewId="0">
      <pane xSplit="2" ySplit="2" topLeftCell="V98" activePane="bottomRight" state="frozen"/>
      <selection pane="topRight" activeCell="C1" sqref="C1"/>
      <selection pane="bottomLeft" activeCell="A3" sqref="A3"/>
      <selection pane="bottomRight" activeCell="AD105" sqref="AD105"/>
    </sheetView>
  </sheetViews>
  <sheetFormatPr defaultColWidth="8.81640625" defaultRowHeight="12.5" x14ac:dyDescent="0.25"/>
  <cols>
    <col min="1" max="1" width="5" bestFit="1" customWidth="1"/>
    <col min="2" max="2" width="21.81640625" customWidth="1"/>
    <col min="3" max="25" width="9.1796875" style="1"/>
  </cols>
  <sheetData>
    <row r="1" spans="1:54" x14ac:dyDescent="0.25">
      <c r="A1" s="2" t="s">
        <v>7</v>
      </c>
    </row>
    <row r="2" spans="1:54" x14ac:dyDescent="0.25">
      <c r="C2" s="1" t="s">
        <v>124</v>
      </c>
      <c r="D2" s="1" t="s">
        <v>123</v>
      </c>
      <c r="E2" s="1" t="s">
        <v>122</v>
      </c>
      <c r="F2" s="1" t="s">
        <v>121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205</v>
      </c>
      <c r="AB2" s="1" t="s">
        <v>206</v>
      </c>
      <c r="AC2" s="1" t="s">
        <v>207</v>
      </c>
      <c r="AD2" s="1" t="s">
        <v>208</v>
      </c>
      <c r="AE2" s="1" t="s">
        <v>215</v>
      </c>
      <c r="AF2" s="1" t="s">
        <v>216</v>
      </c>
      <c r="AG2" s="1" t="s">
        <v>217</v>
      </c>
      <c r="AH2" s="1" t="s">
        <v>218</v>
      </c>
      <c r="AI2" s="1"/>
      <c r="AK2">
        <v>2013</v>
      </c>
      <c r="AL2">
        <v>2014</v>
      </c>
      <c r="AM2">
        <v>2015</v>
      </c>
      <c r="AN2">
        <f>+AM2+1</f>
        <v>2016</v>
      </c>
      <c r="AO2">
        <f t="shared" ref="AO2:BB2" si="0">+AN2+1</f>
        <v>2017</v>
      </c>
      <c r="AP2">
        <f t="shared" si="0"/>
        <v>2018</v>
      </c>
      <c r="AQ2">
        <f t="shared" si="0"/>
        <v>2019</v>
      </c>
      <c r="AR2">
        <f t="shared" si="0"/>
        <v>2020</v>
      </c>
      <c r="AS2">
        <f t="shared" si="0"/>
        <v>2021</v>
      </c>
      <c r="AT2">
        <f t="shared" si="0"/>
        <v>2022</v>
      </c>
      <c r="AU2">
        <f t="shared" si="0"/>
        <v>2023</v>
      </c>
      <c r="AV2">
        <f t="shared" si="0"/>
        <v>2024</v>
      </c>
      <c r="AW2">
        <f t="shared" si="0"/>
        <v>2025</v>
      </c>
      <c r="AX2">
        <f t="shared" si="0"/>
        <v>2026</v>
      </c>
      <c r="AY2">
        <f t="shared" si="0"/>
        <v>2027</v>
      </c>
      <c r="AZ2">
        <f t="shared" si="0"/>
        <v>2028</v>
      </c>
      <c r="BA2">
        <f t="shared" si="0"/>
        <v>2029</v>
      </c>
      <c r="BB2">
        <f t="shared" si="0"/>
        <v>2030</v>
      </c>
    </row>
    <row r="3" spans="1:54" s="3" customFormat="1" x14ac:dyDescent="0.25">
      <c r="B3" s="3" t="s">
        <v>25</v>
      </c>
      <c r="C3" s="6"/>
      <c r="D3" s="6"/>
      <c r="E3" s="6"/>
      <c r="F3" s="6"/>
      <c r="G3" s="6"/>
      <c r="H3" s="6"/>
      <c r="I3" s="6"/>
      <c r="J3" s="6">
        <v>2260</v>
      </c>
      <c r="K3" s="6">
        <v>2360</v>
      </c>
      <c r="L3" s="6">
        <v>2470</v>
      </c>
      <c r="M3" s="6">
        <v>2540</v>
      </c>
      <c r="N3" s="6">
        <v>2600</v>
      </c>
      <c r="O3" s="6">
        <v>2720</v>
      </c>
      <c r="P3" s="6">
        <v>2760</v>
      </c>
      <c r="Q3" s="6">
        <v>2810</v>
      </c>
      <c r="R3" s="6">
        <v>2820</v>
      </c>
      <c r="S3" s="6">
        <v>2870</v>
      </c>
      <c r="T3" s="6">
        <v>2880</v>
      </c>
      <c r="U3" s="6">
        <v>2930</v>
      </c>
      <c r="V3" s="6">
        <v>2960</v>
      </c>
      <c r="W3" s="6">
        <v>3020</v>
      </c>
      <c r="X3" s="6">
        <v>3070</v>
      </c>
      <c r="Y3" s="6">
        <v>3140</v>
      </c>
      <c r="Z3" s="3">
        <v>3190</v>
      </c>
      <c r="AA3" s="3">
        <v>3240</v>
      </c>
      <c r="AB3" s="3">
        <v>3270</v>
      </c>
      <c r="AC3" s="3">
        <v>3290</v>
      </c>
      <c r="AD3" s="3">
        <v>3350</v>
      </c>
      <c r="AE3" s="3">
        <v>3430</v>
      </c>
    </row>
    <row r="4" spans="1:54" s="3" customFormat="1" x14ac:dyDescent="0.25">
      <c r="B4" s="3" t="s">
        <v>26</v>
      </c>
      <c r="C4" s="6"/>
      <c r="D4" s="6"/>
      <c r="E4" s="6"/>
      <c r="F4" s="6"/>
      <c r="G4" s="6"/>
      <c r="H4" s="6"/>
      <c r="I4" s="6"/>
      <c r="J4" s="6">
        <v>2890</v>
      </c>
      <c r="K4" s="6">
        <v>2990</v>
      </c>
      <c r="L4" s="6">
        <v>3140</v>
      </c>
      <c r="M4" s="6">
        <v>3210</v>
      </c>
      <c r="N4" s="6">
        <v>3300</v>
      </c>
      <c r="O4" s="6">
        <v>3450</v>
      </c>
      <c r="P4" s="6">
        <v>3510</v>
      </c>
      <c r="Q4" s="6">
        <v>3580</v>
      </c>
      <c r="R4" s="6">
        <v>3590</v>
      </c>
      <c r="S4" s="6">
        <v>3640</v>
      </c>
      <c r="T4" s="6">
        <v>3650</v>
      </c>
      <c r="U4" s="6">
        <v>3710</v>
      </c>
      <c r="V4" s="6">
        <v>3740</v>
      </c>
      <c r="W4" s="6">
        <v>3810</v>
      </c>
      <c r="X4" s="6">
        <v>3880</v>
      </c>
      <c r="Y4" s="6">
        <v>3950</v>
      </c>
      <c r="Z4" s="3">
        <v>3980</v>
      </c>
    </row>
    <row r="5" spans="1:54" s="3" customFormat="1" x14ac:dyDescent="0.25">
      <c r="B5" s="3" t="s">
        <v>27</v>
      </c>
      <c r="C5" s="6"/>
      <c r="D5" s="6"/>
      <c r="E5" s="6"/>
      <c r="F5" s="6"/>
      <c r="G5" s="6">
        <v>1560</v>
      </c>
      <c r="H5" s="6">
        <v>1590</v>
      </c>
      <c r="I5" s="6">
        <v>1620</v>
      </c>
      <c r="J5" s="6">
        <v>1660</v>
      </c>
      <c r="K5" s="6">
        <v>1734</v>
      </c>
      <c r="L5" s="6">
        <v>1785</v>
      </c>
      <c r="M5" s="6">
        <v>1820</v>
      </c>
      <c r="N5" s="6">
        <v>1845</v>
      </c>
      <c r="O5" s="6">
        <v>1878</v>
      </c>
      <c r="P5" s="6">
        <v>1908</v>
      </c>
      <c r="Q5" s="6">
        <v>1930</v>
      </c>
      <c r="R5" s="6">
        <v>1929</v>
      </c>
      <c r="S5" s="6">
        <v>1960</v>
      </c>
      <c r="T5" s="6">
        <v>1968</v>
      </c>
      <c r="U5" s="6">
        <v>1984</v>
      </c>
      <c r="V5" s="6">
        <v>2000</v>
      </c>
      <c r="W5" s="6">
        <v>2040</v>
      </c>
      <c r="X5" s="6">
        <v>2060</v>
      </c>
      <c r="Y5" s="6">
        <v>2090</v>
      </c>
      <c r="Z5" s="3">
        <v>2110</v>
      </c>
    </row>
    <row r="6" spans="1:54" s="3" customFormat="1" x14ac:dyDescent="0.25">
      <c r="B6" s="3" t="s">
        <v>101</v>
      </c>
      <c r="C6" s="6"/>
      <c r="D6" s="6"/>
      <c r="E6" s="6"/>
      <c r="F6" s="6"/>
      <c r="G6" s="6"/>
      <c r="H6" s="6"/>
      <c r="I6" s="6"/>
      <c r="J6" s="6"/>
      <c r="K6" s="6">
        <v>195</v>
      </c>
      <c r="L6" s="6">
        <v>198</v>
      </c>
      <c r="M6" s="6">
        <v>196</v>
      </c>
      <c r="N6" s="6">
        <v>195</v>
      </c>
      <c r="O6" s="6">
        <v>195</v>
      </c>
      <c r="P6" s="6">
        <v>195</v>
      </c>
      <c r="Q6" s="6">
        <v>196</v>
      </c>
      <c r="R6" s="6">
        <v>195</v>
      </c>
      <c r="S6" s="6">
        <v>196</v>
      </c>
      <c r="T6" s="6">
        <v>197</v>
      </c>
      <c r="U6" s="6">
        <v>197</v>
      </c>
      <c r="V6" s="21"/>
      <c r="W6" s="6"/>
      <c r="X6" s="6"/>
      <c r="Y6" s="6"/>
    </row>
    <row r="7" spans="1:54" s="3" customFormat="1" x14ac:dyDescent="0.25">
      <c r="B7" s="3" t="s">
        <v>204</v>
      </c>
      <c r="C7" s="6"/>
      <c r="D7" s="6"/>
      <c r="E7" s="6"/>
      <c r="F7" s="6"/>
      <c r="G7" s="6"/>
      <c r="H7" s="6"/>
      <c r="I7" s="6"/>
      <c r="J7" s="9"/>
      <c r="K7" s="9">
        <f t="shared" ref="K7:U7" si="1">+K27/K6</f>
        <v>42.969230769230769</v>
      </c>
      <c r="L7" s="9">
        <f t="shared" si="1"/>
        <v>45.752525252525253</v>
      </c>
      <c r="M7" s="9">
        <f t="shared" si="1"/>
        <v>50.95918367346939</v>
      </c>
      <c r="N7" s="9">
        <f t="shared" si="1"/>
        <v>67.435897435897431</v>
      </c>
      <c r="O7" s="9">
        <f t="shared" si="1"/>
        <v>61.01025641025641</v>
      </c>
      <c r="P7" s="9">
        <f t="shared" si="1"/>
        <v>68.543589743589749</v>
      </c>
      <c r="Q7" s="9">
        <f t="shared" si="1"/>
        <v>66.806122448979593</v>
      </c>
      <c r="R7" s="9">
        <f t="shared" si="1"/>
        <v>77.241025641025644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6"/>
      <c r="W7" s="6"/>
      <c r="X7" s="6"/>
      <c r="Y7" s="6"/>
    </row>
    <row r="8" spans="1:54" s="3" customFormat="1" x14ac:dyDescent="0.25">
      <c r="B8" s="3" t="s">
        <v>28</v>
      </c>
      <c r="C8" s="6"/>
      <c r="D8" s="6"/>
      <c r="E8" s="6"/>
      <c r="F8" s="6"/>
      <c r="G8" s="6">
        <v>2380</v>
      </c>
      <c r="H8" s="6">
        <v>2410</v>
      </c>
      <c r="I8" s="6">
        <v>2450</v>
      </c>
      <c r="J8" s="6">
        <v>2500</v>
      </c>
      <c r="K8" s="6">
        <v>2603</v>
      </c>
      <c r="L8" s="6">
        <v>2701</v>
      </c>
      <c r="M8" s="6">
        <v>2740</v>
      </c>
      <c r="N8" s="6">
        <v>2797</v>
      </c>
      <c r="O8" s="6">
        <v>2853</v>
      </c>
      <c r="P8" s="6">
        <v>2895</v>
      </c>
      <c r="Q8" s="6">
        <v>2910</v>
      </c>
      <c r="R8" s="6">
        <v>2912</v>
      </c>
      <c r="S8" s="6">
        <v>2936</v>
      </c>
      <c r="T8" s="6">
        <v>2934</v>
      </c>
      <c r="U8" s="6">
        <v>2958</v>
      </c>
      <c r="V8" s="6">
        <v>2960</v>
      </c>
      <c r="W8" s="6">
        <v>2990</v>
      </c>
      <c r="X8" s="6">
        <v>3030</v>
      </c>
      <c r="Y8" s="6">
        <v>3050</v>
      </c>
      <c r="Z8" s="3">
        <v>3070</v>
      </c>
    </row>
    <row r="9" spans="1:54" s="3" customFormat="1" x14ac:dyDescent="0.25">
      <c r="B9" s="3" t="s">
        <v>101</v>
      </c>
      <c r="C9" s="6"/>
      <c r="D9" s="6"/>
      <c r="E9" s="6"/>
      <c r="F9" s="6"/>
      <c r="G9" s="6"/>
      <c r="H9" s="6"/>
      <c r="I9" s="6"/>
      <c r="J9" s="6"/>
      <c r="K9" s="6">
        <v>253</v>
      </c>
      <c r="L9" s="6">
        <v>256</v>
      </c>
      <c r="M9" s="6">
        <v>255</v>
      </c>
      <c r="N9" s="6">
        <v>258</v>
      </c>
      <c r="O9" s="6">
        <v>259</v>
      </c>
      <c r="P9" s="6">
        <v>259</v>
      </c>
      <c r="Q9" s="6">
        <v>261</v>
      </c>
      <c r="R9" s="6">
        <v>262</v>
      </c>
      <c r="S9" s="6">
        <v>263</v>
      </c>
      <c r="T9" s="6">
        <v>264</v>
      </c>
      <c r="U9" s="6">
        <v>266</v>
      </c>
      <c r="V9" s="22"/>
      <c r="W9" s="6"/>
      <c r="X9" s="6"/>
      <c r="Y9" s="6"/>
    </row>
    <row r="10" spans="1:54" s="3" customFormat="1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6"/>
      <c r="W10" s="6"/>
      <c r="X10" s="6"/>
      <c r="Y10" s="6"/>
    </row>
    <row r="11" spans="1:54" s="3" customFormat="1" x14ac:dyDescent="0.25">
      <c r="B11" s="3" t="s">
        <v>98</v>
      </c>
      <c r="C11" s="6"/>
      <c r="D11" s="6"/>
      <c r="E11" s="6"/>
      <c r="F11" s="6"/>
      <c r="G11" s="6"/>
      <c r="H11" s="6"/>
      <c r="I11" s="6"/>
      <c r="J11" s="6"/>
      <c r="K11" s="9">
        <f t="shared" ref="K11:W11" si="2">+K32/K4</f>
        <v>5.9321070234113709</v>
      </c>
      <c r="L11" s="9">
        <f t="shared" si="2"/>
        <v>5.9512738853503189</v>
      </c>
      <c r="M11" s="9">
        <f t="shared" si="2"/>
        <v>6.6884735202492216</v>
      </c>
      <c r="N11" s="9">
        <f t="shared" si="2"/>
        <v>8.5066666666666659</v>
      </c>
      <c r="O11" s="9">
        <f t="shared" si="2"/>
        <v>7.5857971014492751</v>
      </c>
      <c r="P11" s="9">
        <f t="shared" si="2"/>
        <v>8.2840455840455842</v>
      </c>
      <c r="Q11" s="9">
        <f t="shared" si="2"/>
        <v>8.1033519553072626</v>
      </c>
      <c r="R11" s="9">
        <f t="shared" si="2"/>
        <v>9.3791086350974933</v>
      </c>
      <c r="S11" s="9">
        <f t="shared" si="2"/>
        <v>7.6670329670329673</v>
      </c>
      <c r="T11" s="9">
        <f t="shared" si="2"/>
        <v>7.8964383561643832</v>
      </c>
      <c r="U11" s="9">
        <f t="shared" si="2"/>
        <v>7.4700808625336927</v>
      </c>
      <c r="V11" s="9">
        <f t="shared" si="2"/>
        <v>8.6002673796791438</v>
      </c>
      <c r="W11" s="9">
        <f t="shared" si="2"/>
        <v>7.5183727034120738</v>
      </c>
      <c r="X11" s="6"/>
      <c r="Y11" s="6"/>
    </row>
    <row r="12" spans="1:54" s="3" customFormat="1" x14ac:dyDescent="0.25">
      <c r="B12" s="3" t="s">
        <v>99</v>
      </c>
      <c r="C12" s="6"/>
      <c r="D12" s="6"/>
      <c r="E12" s="6"/>
      <c r="F12" s="6"/>
      <c r="G12" s="6"/>
      <c r="H12" s="6"/>
      <c r="I12" s="6"/>
      <c r="J12" s="6"/>
      <c r="K12" s="9"/>
      <c r="L12" s="9">
        <f t="shared" ref="L12:R12" si="3">AVERAGE(K11:L11)</f>
        <v>5.9416904543808453</v>
      </c>
      <c r="M12" s="9">
        <f t="shared" si="3"/>
        <v>6.3198737027997698</v>
      </c>
      <c r="N12" s="9">
        <f t="shared" si="3"/>
        <v>7.5975700934579438</v>
      </c>
      <c r="O12" s="9">
        <f t="shared" si="3"/>
        <v>8.0462318840579705</v>
      </c>
      <c r="P12" s="9">
        <f t="shared" si="3"/>
        <v>7.9349213427474297</v>
      </c>
      <c r="Q12" s="9">
        <f t="shared" si="3"/>
        <v>8.1936987696764234</v>
      </c>
      <c r="R12" s="9">
        <f t="shared" si="3"/>
        <v>8.7412302952023779</v>
      </c>
      <c r="S12" s="9">
        <f>AVERAGE(R11:S11)</f>
        <v>8.5230708010652307</v>
      </c>
      <c r="T12" s="9">
        <f>AVERAGE(S11:T11)</f>
        <v>7.7817356615986757</v>
      </c>
      <c r="U12" s="9">
        <f>AVERAGE(T11:U11)</f>
        <v>7.6832596093490384</v>
      </c>
      <c r="V12" s="9">
        <f>AVERAGE(U11:V11)</f>
        <v>8.0351741211064187</v>
      </c>
      <c r="W12" s="9">
        <f>AVERAGE(V11:W11)</f>
        <v>8.0593200415456092</v>
      </c>
      <c r="X12" s="6"/>
      <c r="Y12" s="6"/>
    </row>
    <row r="13" spans="1:54" s="13" customFormat="1" ht="13" x14ac:dyDescent="0.3">
      <c r="B13" s="13" t="s">
        <v>100</v>
      </c>
      <c r="C13" s="14"/>
      <c r="D13" s="14"/>
      <c r="E13" s="14"/>
      <c r="F13" s="14"/>
      <c r="G13" s="14"/>
      <c r="H13" s="14"/>
      <c r="I13" s="14"/>
      <c r="J13" s="14"/>
      <c r="K13" s="15"/>
      <c r="L13" s="15"/>
      <c r="M13" s="15"/>
      <c r="N13" s="15"/>
      <c r="O13" s="16"/>
      <c r="P13" s="16">
        <f t="shared" ref="P13:R13" si="4">P12/L12-1</f>
        <v>0.33546528612862403</v>
      </c>
      <c r="Q13" s="16">
        <f t="shared" si="4"/>
        <v>0.29649723317200616</v>
      </c>
      <c r="R13" s="16">
        <f t="shared" si="4"/>
        <v>0.15052973354325583</v>
      </c>
      <c r="S13" s="16">
        <f>S12/O12-1</f>
        <v>5.9262388143700218E-2</v>
      </c>
      <c r="T13" s="16">
        <f>T12/P12-1</f>
        <v>-1.9305255154011935E-2</v>
      </c>
      <c r="U13" s="16">
        <f>U12/Q12-1</f>
        <v>-6.2296549418736191E-2</v>
      </c>
      <c r="V13" s="16">
        <f>V12/R12-1</f>
        <v>-8.0773089170694701E-2</v>
      </c>
      <c r="W13" s="16">
        <f>W12/S12-1</f>
        <v>-5.4411229279200723E-2</v>
      </c>
      <c r="X13" s="14"/>
      <c r="Y13" s="14"/>
    </row>
    <row r="14" spans="1:54" s="3" customFormat="1" x14ac:dyDescent="0.25">
      <c r="B14" s="3" t="s">
        <v>84</v>
      </c>
      <c r="C14" s="6"/>
      <c r="D14" s="6"/>
      <c r="E14" s="6"/>
      <c r="F14" s="6"/>
      <c r="G14" s="6"/>
      <c r="H14" s="6"/>
      <c r="I14" s="6"/>
      <c r="J14" s="6"/>
      <c r="K14" s="9">
        <f t="shared" ref="K14:W14" si="5">+K31/K4</f>
        <v>5.8327759197324411</v>
      </c>
      <c r="L14" s="9">
        <f t="shared" si="5"/>
        <v>5.834713375796178</v>
      </c>
      <c r="M14" s="9">
        <f t="shared" si="5"/>
        <v>6.6109034267912774</v>
      </c>
      <c r="N14" s="9">
        <f t="shared" si="5"/>
        <v>8.2384848484848483</v>
      </c>
      <c r="O14" s="9">
        <f t="shared" si="5"/>
        <v>7.373623188405797</v>
      </c>
      <c r="P14" s="9">
        <f t="shared" si="5"/>
        <v>8.1424501424501425</v>
      </c>
      <c r="Q14" s="9">
        <f t="shared" si="5"/>
        <v>7.8983240223463689</v>
      </c>
      <c r="R14" s="9">
        <f t="shared" si="5"/>
        <v>9.0916434540389979</v>
      </c>
      <c r="S14" s="9">
        <f t="shared" si="5"/>
        <v>7.4170329670329673</v>
      </c>
      <c r="T14" s="9">
        <f t="shared" si="5"/>
        <v>7.7128767123287671</v>
      </c>
      <c r="U14" s="9">
        <f t="shared" si="5"/>
        <v>7.3415094339622637</v>
      </c>
      <c r="V14" s="9">
        <f t="shared" si="5"/>
        <v>8.3566844919786103</v>
      </c>
      <c r="W14" s="9">
        <f t="shared" si="5"/>
        <v>7.3755905511811024</v>
      </c>
      <c r="X14" s="6"/>
      <c r="Y14" s="6"/>
    </row>
    <row r="15" spans="1:54" s="3" customFormat="1" x14ac:dyDescent="0.25">
      <c r="B15" s="3" t="s">
        <v>85</v>
      </c>
      <c r="C15" s="6"/>
      <c r="D15" s="6"/>
      <c r="E15" s="6"/>
      <c r="F15" s="6"/>
      <c r="G15" s="6"/>
      <c r="H15" s="6"/>
      <c r="I15" s="6"/>
      <c r="J15" s="6"/>
      <c r="K15" s="9">
        <f t="shared" ref="K15:W15" si="6">+K31/K3</f>
        <v>7.3898305084745761</v>
      </c>
      <c r="L15" s="9">
        <f t="shared" si="6"/>
        <v>7.4174089068825912</v>
      </c>
      <c r="M15" s="9">
        <f t="shared" si="6"/>
        <v>8.3547244094488189</v>
      </c>
      <c r="N15" s="9">
        <f t="shared" si="6"/>
        <v>10.456538461538461</v>
      </c>
      <c r="O15" s="9">
        <f t="shared" si="6"/>
        <v>9.3525735294117656</v>
      </c>
      <c r="P15" s="9">
        <f t="shared" si="6"/>
        <v>10.355072463768115</v>
      </c>
      <c r="Q15" s="9">
        <f t="shared" si="6"/>
        <v>10.062633451957295</v>
      </c>
      <c r="R15" s="9">
        <f t="shared" si="6"/>
        <v>11.574113475177304</v>
      </c>
      <c r="S15" s="9">
        <f t="shared" si="6"/>
        <v>9.4069686411149824</v>
      </c>
      <c r="T15" s="9">
        <f t="shared" si="6"/>
        <v>9.7750000000000004</v>
      </c>
      <c r="U15" s="9">
        <f t="shared" si="6"/>
        <v>9.2959044368600683</v>
      </c>
      <c r="V15" s="9">
        <f t="shared" si="6"/>
        <v>10.558783783783785</v>
      </c>
      <c r="W15" s="9">
        <f t="shared" si="6"/>
        <v>9.3049668874172191</v>
      </c>
      <c r="X15" s="6"/>
      <c r="Y15" s="6"/>
    </row>
    <row r="16" spans="1:54" s="3" customFormat="1" x14ac:dyDescent="0.25">
      <c r="B16" s="3" t="s">
        <v>99</v>
      </c>
      <c r="C16" s="6"/>
      <c r="D16" s="6"/>
      <c r="E16" s="6"/>
      <c r="F16" s="6"/>
      <c r="G16" s="6"/>
      <c r="H16" s="6"/>
      <c r="I16" s="6"/>
      <c r="J16" s="6"/>
      <c r="K16" s="9"/>
      <c r="L16" s="9">
        <f t="shared" ref="L16:R16" si="7">AVERAGE(K15:L15)</f>
        <v>7.4036197076785832</v>
      </c>
      <c r="M16" s="9">
        <f t="shared" si="7"/>
        <v>7.8860666581657046</v>
      </c>
      <c r="N16" s="9">
        <f t="shared" si="7"/>
        <v>9.405631435493639</v>
      </c>
      <c r="O16" s="9">
        <f t="shared" si="7"/>
        <v>9.9045559954751141</v>
      </c>
      <c r="P16" s="9">
        <f t="shared" si="7"/>
        <v>9.8538229965899404</v>
      </c>
      <c r="Q16" s="9">
        <f t="shared" si="7"/>
        <v>10.208852957862705</v>
      </c>
      <c r="R16" s="9">
        <f t="shared" si="7"/>
        <v>10.818373463567299</v>
      </c>
      <c r="S16" s="9">
        <f>AVERAGE(R15:S15)</f>
        <v>10.490541058146142</v>
      </c>
      <c r="T16" s="9">
        <f t="shared" ref="T16:U16" si="8">AVERAGE(S15:T15)</f>
        <v>9.5909843205574923</v>
      </c>
      <c r="U16" s="9">
        <f t="shared" si="8"/>
        <v>9.5354522184300343</v>
      </c>
      <c r="V16" s="9">
        <f>AVERAGE(U15:V15)</f>
        <v>9.9273441103219255</v>
      </c>
      <c r="W16" s="9">
        <f>AVERAGE(V15:W15)</f>
        <v>9.9318753356005018</v>
      </c>
      <c r="X16" s="6"/>
      <c r="Y16" s="6"/>
    </row>
    <row r="17" spans="2:54" s="13" customFormat="1" ht="13" x14ac:dyDescent="0.3">
      <c r="B17" s="13" t="s">
        <v>100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>
        <f t="shared" ref="P17:R17" si="9">P16/L16-1</f>
        <v>0.33094667009573109</v>
      </c>
      <c r="Q17" s="16">
        <f t="shared" si="9"/>
        <v>0.29454307202588104</v>
      </c>
      <c r="R17" s="16">
        <f t="shared" si="9"/>
        <v>0.15020172093310546</v>
      </c>
      <c r="S17" s="16">
        <f>S16/O16-1</f>
        <v>5.9163183381338413E-2</v>
      </c>
      <c r="T17" s="16">
        <f>T16/P16-1</f>
        <v>-2.6673776880648981E-2</v>
      </c>
      <c r="U17" s="16">
        <f>U16/Q16-1</f>
        <v>-6.5962429100717701E-2</v>
      </c>
      <c r="V17" s="16">
        <f>V16/R16-1</f>
        <v>-8.2362598799723963E-2</v>
      </c>
      <c r="W17" s="16">
        <f>W16/S16-1</f>
        <v>-5.3254233451745958E-2</v>
      </c>
      <c r="X17" s="14"/>
      <c r="Y17" s="14"/>
    </row>
    <row r="18" spans="2:54" s="3" customForma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9"/>
      <c r="T18" s="6"/>
      <c r="U18" s="6"/>
      <c r="V18" s="6"/>
      <c r="W18" s="6"/>
      <c r="X18" s="6"/>
      <c r="Y18" s="6"/>
    </row>
    <row r="19" spans="2:54" s="3" customFormat="1" x14ac:dyDescent="0.25">
      <c r="B19" s="3" t="s">
        <v>210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12024</v>
      </c>
      <c r="T19" s="6">
        <v>12788</v>
      </c>
      <c r="U19" s="6">
        <v>12766</v>
      </c>
      <c r="V19" s="6">
        <v>15005</v>
      </c>
      <c r="W19" s="6">
        <v>12710</v>
      </c>
      <c r="X19" s="6">
        <v>14131</v>
      </c>
      <c r="Y19" s="6">
        <v>14956</v>
      </c>
      <c r="Z19" s="3">
        <v>17784</v>
      </c>
      <c r="AA19" s="3">
        <v>15451</v>
      </c>
      <c r="AB19" s="3">
        <v>16593</v>
      </c>
      <c r="AC19" s="3">
        <v>17389</v>
      </c>
      <c r="AD19" s="3">
        <v>20982</v>
      </c>
    </row>
    <row r="20" spans="2:54" s="3" customFormat="1" x14ac:dyDescent="0.25">
      <c r="B20" s="3" t="s">
        <v>211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6364</v>
      </c>
      <c r="T20" s="6">
        <v>6360</v>
      </c>
      <c r="U20" s="6">
        <v>5707</v>
      </c>
      <c r="V20" s="6">
        <v>6904</v>
      </c>
      <c r="W20" s="6">
        <v>6269</v>
      </c>
      <c r="X20" s="6">
        <v>7268</v>
      </c>
      <c r="Y20" s="6">
        <v>7721</v>
      </c>
      <c r="Z20" s="3">
        <v>9159</v>
      </c>
      <c r="AA20" s="3">
        <v>8327</v>
      </c>
      <c r="AB20" s="3">
        <v>9135</v>
      </c>
      <c r="AC20" s="3">
        <v>9358</v>
      </c>
      <c r="AD20" s="3">
        <v>11154</v>
      </c>
    </row>
    <row r="21" spans="2:54" s="3" customFormat="1" x14ac:dyDescent="0.25">
      <c r="B21" s="3" t="s">
        <v>212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5661</v>
      </c>
      <c r="T21" s="6">
        <v>5835</v>
      </c>
      <c r="U21" s="6">
        <v>5717</v>
      </c>
      <c r="V21" s="6">
        <v>5968</v>
      </c>
      <c r="W21" s="6">
        <v>5893</v>
      </c>
      <c r="X21" s="6">
        <v>6435</v>
      </c>
      <c r="Y21" s="6">
        <v>6829</v>
      </c>
      <c r="Z21" s="3">
        <v>7316</v>
      </c>
      <c r="AA21" s="3">
        <v>7338</v>
      </c>
      <c r="AB21" s="3">
        <v>7721</v>
      </c>
      <c r="AC21" s="3">
        <v>8050</v>
      </c>
      <c r="AD21" s="3">
        <v>9012</v>
      </c>
    </row>
    <row r="22" spans="2:54" s="3" customFormat="1" x14ac:dyDescent="0.25">
      <c r="B22" s="3" t="s">
        <v>213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2949</v>
      </c>
      <c r="T22" s="6">
        <v>3169</v>
      </c>
      <c r="U22" s="6">
        <v>3047</v>
      </c>
      <c r="V22" s="6">
        <v>3377</v>
      </c>
      <c r="W22" s="6">
        <v>3229</v>
      </c>
      <c r="X22" s="6">
        <v>3664</v>
      </c>
      <c r="Y22" s="6">
        <v>4137</v>
      </c>
      <c r="Z22" s="3">
        <v>4447</v>
      </c>
      <c r="AA22" s="3">
        <v>4519</v>
      </c>
      <c r="AB22" s="3">
        <v>4880</v>
      </c>
      <c r="AC22" s="3">
        <v>5088</v>
      </c>
      <c r="AD22" s="3">
        <v>5635</v>
      </c>
    </row>
    <row r="23" spans="2:54" s="3" customFormat="1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54" s="3" customFormat="1" x14ac:dyDescent="0.25">
      <c r="B24" s="3" t="s">
        <v>214</v>
      </c>
      <c r="C24" s="6"/>
      <c r="D24" s="6"/>
      <c r="E24" s="6"/>
      <c r="F24" s="6"/>
      <c r="G24" s="6"/>
      <c r="H24" s="6"/>
      <c r="I24" s="6"/>
      <c r="J24" s="6"/>
      <c r="K24" s="6">
        <v>1654</v>
      </c>
      <c r="L24" s="6">
        <v>1539</v>
      </c>
      <c r="M24" s="6">
        <v>1980</v>
      </c>
      <c r="N24" s="6">
        <v>2512</v>
      </c>
      <c r="O24" s="6">
        <v>2434</v>
      </c>
      <c r="P24" s="6">
        <v>2857</v>
      </c>
      <c r="Q24" s="6">
        <v>2963</v>
      </c>
      <c r="R24" s="6">
        <v>3220</v>
      </c>
      <c r="S24" s="6"/>
      <c r="T24" s="6"/>
      <c r="U24" s="6"/>
      <c r="V24" s="21"/>
      <c r="W24" s="6">
        <v>3145</v>
      </c>
      <c r="X24" s="6"/>
      <c r="Y24" s="6"/>
      <c r="AA24" s="3">
        <v>4093</v>
      </c>
    </row>
    <row r="25" spans="2:54" s="3" customFormat="1" x14ac:dyDescent="0.25">
      <c r="B25" s="3" t="s">
        <v>107</v>
      </c>
      <c r="C25" s="6"/>
      <c r="D25" s="6"/>
      <c r="E25" s="6"/>
      <c r="F25" s="6"/>
      <c r="G25" s="6"/>
      <c r="H25" s="6"/>
      <c r="I25" s="6"/>
      <c r="J25" s="6"/>
      <c r="K25" s="6">
        <v>3236</v>
      </c>
      <c r="L25" s="6">
        <v>3312</v>
      </c>
      <c r="M25" s="6">
        <v>4202</v>
      </c>
      <c r="N25" s="6">
        <v>4703</v>
      </c>
      <c r="O25" s="6">
        <v>4735</v>
      </c>
      <c r="P25" s="6">
        <v>5152</v>
      </c>
      <c r="Q25" s="6">
        <v>5398</v>
      </c>
      <c r="R25" s="6">
        <v>6183</v>
      </c>
      <c r="S25" s="6"/>
      <c r="T25" s="6"/>
      <c r="U25" s="6"/>
      <c r="V25" s="21"/>
      <c r="W25" s="6">
        <v>7292</v>
      </c>
      <c r="X25" s="6"/>
      <c r="Y25" s="6"/>
      <c r="AA25" s="3">
        <v>10312</v>
      </c>
    </row>
    <row r="26" spans="2:54" s="3" customFormat="1" x14ac:dyDescent="0.25">
      <c r="B26" s="3" t="s">
        <v>104</v>
      </c>
      <c r="C26" s="6"/>
      <c r="D26" s="6"/>
      <c r="E26" s="6"/>
      <c r="F26" s="6"/>
      <c r="G26" s="6"/>
      <c r="H26" s="6"/>
      <c r="I26" s="6"/>
      <c r="J26" s="6"/>
      <c r="K26" s="6">
        <v>4171</v>
      </c>
      <c r="L26" s="6">
        <v>4411</v>
      </c>
      <c r="M26" s="6">
        <v>5051</v>
      </c>
      <c r="N26" s="6">
        <v>6822</v>
      </c>
      <c r="O26" s="6">
        <v>6373</v>
      </c>
      <c r="P26" s="6">
        <v>7205</v>
      </c>
      <c r="Q26" s="6">
        <v>6821</v>
      </c>
      <c r="R26" s="6">
        <v>8174</v>
      </c>
      <c r="S26" s="6"/>
      <c r="T26" s="6"/>
      <c r="U26" s="6"/>
      <c r="V26" s="21"/>
      <c r="W26" s="6">
        <v>6759</v>
      </c>
      <c r="X26" s="6"/>
      <c r="Y26" s="6"/>
      <c r="AA26" s="3">
        <v>8404</v>
      </c>
    </row>
    <row r="27" spans="2:54" s="3" customFormat="1" x14ac:dyDescent="0.25">
      <c r="B27" s="3" t="s">
        <v>103</v>
      </c>
      <c r="C27" s="6"/>
      <c r="D27" s="6"/>
      <c r="E27" s="6"/>
      <c r="F27" s="6"/>
      <c r="G27" s="6"/>
      <c r="H27" s="6"/>
      <c r="I27" s="6"/>
      <c r="J27" s="6"/>
      <c r="K27" s="6">
        <v>8379</v>
      </c>
      <c r="L27" s="6">
        <v>9059</v>
      </c>
      <c r="M27" s="6">
        <v>9988</v>
      </c>
      <c r="N27" s="6">
        <v>13150</v>
      </c>
      <c r="O27" s="6">
        <v>11897</v>
      </c>
      <c r="P27" s="6">
        <v>13366</v>
      </c>
      <c r="Q27" s="6">
        <v>13094</v>
      </c>
      <c r="R27" s="6">
        <v>15062</v>
      </c>
      <c r="S27" s="6"/>
      <c r="T27" s="6"/>
      <c r="U27" s="6"/>
      <c r="V27" s="21"/>
      <c r="W27" s="6">
        <v>11449</v>
      </c>
      <c r="X27" s="6"/>
      <c r="Y27" s="6"/>
      <c r="AA27" s="3">
        <v>13646</v>
      </c>
    </row>
    <row r="28" spans="2:54" s="3" customFormat="1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1"/>
      <c r="W28" s="6"/>
      <c r="X28" s="6"/>
      <c r="Y28" s="6"/>
    </row>
    <row r="29" spans="2:54" s="3" customFormat="1" x14ac:dyDescent="0.25">
      <c r="B29" s="3" t="s">
        <v>55</v>
      </c>
      <c r="C29" s="6">
        <v>171</v>
      </c>
      <c r="D29" s="6">
        <v>193</v>
      </c>
      <c r="E29" s="6">
        <v>188</v>
      </c>
      <c r="F29" s="6">
        <v>274</v>
      </c>
      <c r="G29" s="6">
        <v>165</v>
      </c>
      <c r="H29" s="6">
        <v>262</v>
      </c>
      <c r="I29" s="6">
        <v>269</v>
      </c>
      <c r="J29" s="6">
        <v>346</v>
      </c>
      <c r="K29" s="6">
        <v>297</v>
      </c>
      <c r="L29" s="6"/>
      <c r="M29" s="6"/>
      <c r="N29" s="6">
        <v>168</v>
      </c>
      <c r="O29" s="6">
        <v>198</v>
      </c>
      <c r="P29" s="6">
        <v>192</v>
      </c>
      <c r="Q29" s="6">
        <v>176</v>
      </c>
      <c r="R29" s="6">
        <v>155</v>
      </c>
      <c r="S29" s="6">
        <v>215</v>
      </c>
      <c r="T29" s="6">
        <v>218</v>
      </c>
      <c r="U29" s="6">
        <v>192</v>
      </c>
      <c r="V29" s="6">
        <v>184</v>
      </c>
      <c r="W29" s="6">
        <v>205</v>
      </c>
      <c r="X29" s="6">
        <v>225</v>
      </c>
      <c r="Y29" s="6">
        <v>293</v>
      </c>
      <c r="Z29" s="3">
        <v>334</v>
      </c>
      <c r="AA29" s="3">
        <v>380</v>
      </c>
      <c r="AB29" s="3">
        <v>389</v>
      </c>
      <c r="AC29" s="3">
        <v>434</v>
      </c>
      <c r="AD29" s="3">
        <v>519</v>
      </c>
      <c r="AE29" s="3">
        <v>510</v>
      </c>
      <c r="AP29" s="3">
        <v>825</v>
      </c>
      <c r="AQ29" s="3">
        <v>541</v>
      </c>
      <c r="AR29" s="3">
        <v>657</v>
      </c>
      <c r="AS29" s="3">
        <v>721</v>
      </c>
    </row>
    <row r="30" spans="2:54" s="3" customFormat="1" x14ac:dyDescent="0.25">
      <c r="B30" s="3" t="s">
        <v>83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717</v>
      </c>
      <c r="O30" s="6">
        <v>534</v>
      </c>
      <c r="P30" s="6">
        <v>305</v>
      </c>
      <c r="Q30" s="6">
        <v>558</v>
      </c>
      <c r="R30" s="6">
        <v>877</v>
      </c>
      <c r="S30" s="6">
        <v>695</v>
      </c>
      <c r="T30" s="6">
        <v>452</v>
      </c>
      <c r="U30" s="6">
        <v>285</v>
      </c>
      <c r="V30" s="6">
        <v>727</v>
      </c>
      <c r="W30" s="6">
        <v>339</v>
      </c>
      <c r="X30" s="6">
        <v>276</v>
      </c>
      <c r="Y30" s="6">
        <v>210</v>
      </c>
      <c r="Z30" s="3">
        <v>1071</v>
      </c>
      <c r="AA30" s="3">
        <v>440</v>
      </c>
      <c r="AB30" s="3">
        <v>353</v>
      </c>
      <c r="AC30" s="3">
        <v>270</v>
      </c>
      <c r="AD30" s="3">
        <v>1083</v>
      </c>
      <c r="AE30" s="3">
        <v>412</v>
      </c>
      <c r="AQ30" s="3">
        <v>501</v>
      </c>
      <c r="AR30" s="3">
        <v>1139</v>
      </c>
      <c r="AS30" s="3">
        <v>2274</v>
      </c>
    </row>
    <row r="31" spans="2:54" s="3" customFormat="1" x14ac:dyDescent="0.25">
      <c r="B31" s="3" t="s">
        <v>82</v>
      </c>
      <c r="C31" s="6">
        <v>11795</v>
      </c>
      <c r="D31" s="6">
        <v>13038</v>
      </c>
      <c r="E31" s="6">
        <v>13539</v>
      </c>
      <c r="F31" s="6">
        <v>16640</v>
      </c>
      <c r="G31" s="6">
        <v>14912</v>
      </c>
      <c r="H31" s="6">
        <v>16624</v>
      </c>
      <c r="I31" s="6">
        <v>17383</v>
      </c>
      <c r="J31" s="6">
        <v>20736</v>
      </c>
      <c r="K31" s="6">
        <f>SUM(K24:K27)</f>
        <v>17440</v>
      </c>
      <c r="L31" s="6">
        <f t="shared" ref="L31:R31" si="10">SUM(L24:L27)</f>
        <v>18321</v>
      </c>
      <c r="M31" s="6">
        <f t="shared" si="10"/>
        <v>21221</v>
      </c>
      <c r="N31" s="6">
        <f t="shared" si="10"/>
        <v>27187</v>
      </c>
      <c r="O31" s="6">
        <f t="shared" si="10"/>
        <v>25439</v>
      </c>
      <c r="P31" s="6">
        <f t="shared" si="10"/>
        <v>28580</v>
      </c>
      <c r="Q31" s="6">
        <f t="shared" si="10"/>
        <v>28276</v>
      </c>
      <c r="R31" s="6">
        <f t="shared" si="10"/>
        <v>32639</v>
      </c>
      <c r="S31" s="6">
        <f>SUM(S19:S22)</f>
        <v>26998</v>
      </c>
      <c r="T31" s="6">
        <f>SUM(T19:T22)</f>
        <v>28152</v>
      </c>
      <c r="U31" s="6">
        <f>SUM(U19:U22)</f>
        <v>27237</v>
      </c>
      <c r="V31" s="6">
        <v>31254</v>
      </c>
      <c r="W31" s="6">
        <v>28101</v>
      </c>
      <c r="X31" s="6">
        <v>31498</v>
      </c>
      <c r="Y31" s="6">
        <v>33643</v>
      </c>
      <c r="Z31" s="6">
        <v>38706</v>
      </c>
      <c r="AA31" s="6">
        <v>35635</v>
      </c>
      <c r="AB31" s="6">
        <v>38329</v>
      </c>
      <c r="AC31" s="6">
        <v>39885</v>
      </c>
      <c r="AD31" s="6">
        <v>46783</v>
      </c>
      <c r="AE31" s="6">
        <v>41392</v>
      </c>
      <c r="AF31" s="6"/>
      <c r="AG31" s="6"/>
      <c r="AH31" s="6"/>
      <c r="AI31" s="6"/>
      <c r="AK31" s="3">
        <v>7872</v>
      </c>
      <c r="AL31" s="3">
        <v>12466</v>
      </c>
      <c r="AM31" s="3">
        <v>17928</v>
      </c>
      <c r="AN31" s="3">
        <v>27638</v>
      </c>
      <c r="AO31" s="3">
        <v>40653</v>
      </c>
      <c r="AP31" s="3">
        <v>55013</v>
      </c>
      <c r="AQ31" s="3">
        <v>69655</v>
      </c>
      <c r="AR31" s="3">
        <v>84169</v>
      </c>
      <c r="AS31" s="3">
        <v>114934</v>
      </c>
    </row>
    <row r="32" spans="2:54" s="7" customFormat="1" ht="13" x14ac:dyDescent="0.3">
      <c r="B32" s="7" t="s">
        <v>24</v>
      </c>
      <c r="C32" s="8">
        <f t="shared" ref="C32:I32" si="11">SUM(C29:C31)</f>
        <v>11966</v>
      </c>
      <c r="D32" s="8">
        <f t="shared" si="11"/>
        <v>13231</v>
      </c>
      <c r="E32" s="8">
        <f t="shared" si="11"/>
        <v>13727</v>
      </c>
      <c r="F32" s="8">
        <f t="shared" si="11"/>
        <v>16914</v>
      </c>
      <c r="G32" s="8">
        <f t="shared" ref="G32" si="12">SUM(G29:G31)</f>
        <v>15077</v>
      </c>
      <c r="H32" s="8">
        <f t="shared" si="11"/>
        <v>16886</v>
      </c>
      <c r="I32" s="8">
        <f t="shared" si="11"/>
        <v>17652</v>
      </c>
      <c r="J32" s="8">
        <f>SUM(J29:J31)</f>
        <v>21082</v>
      </c>
      <c r="K32" s="8">
        <f>SUM(K29:K31)</f>
        <v>17737</v>
      </c>
      <c r="L32" s="8">
        <v>18687</v>
      </c>
      <c r="M32" s="8">
        <v>21470</v>
      </c>
      <c r="N32" s="8">
        <v>28072</v>
      </c>
      <c r="O32" s="8">
        <f>SUM(O29:O31)</f>
        <v>26171</v>
      </c>
      <c r="P32" s="8">
        <v>29077</v>
      </c>
      <c r="Q32" s="8">
        <v>29010</v>
      </c>
      <c r="R32" s="8">
        <v>33671</v>
      </c>
      <c r="S32" s="8">
        <f>SUM(S29:S31)</f>
        <v>27908</v>
      </c>
      <c r="T32" s="8">
        <f>SUM(T29:T31)</f>
        <v>28822</v>
      </c>
      <c r="U32" s="8">
        <f>SUM(U29:U31)</f>
        <v>27714</v>
      </c>
      <c r="V32" s="8">
        <v>32165</v>
      </c>
      <c r="W32" s="8">
        <f>SUM(W29:W31)</f>
        <v>28645</v>
      </c>
      <c r="X32" s="8">
        <f>SUM(X29:X31)</f>
        <v>31999</v>
      </c>
      <c r="Y32" s="8">
        <f t="shared" ref="Y32:AD32" si="13">SUM(Y29:Y31)</f>
        <v>34146</v>
      </c>
      <c r="Z32" s="8">
        <f t="shared" si="13"/>
        <v>40111</v>
      </c>
      <c r="AA32" s="8">
        <f t="shared" si="13"/>
        <v>36455</v>
      </c>
      <c r="AB32" s="8">
        <f>SUM(AB29:AB31)</f>
        <v>39071</v>
      </c>
      <c r="AC32" s="8">
        <f>SUM(AC29:AC31)</f>
        <v>40589</v>
      </c>
      <c r="AD32" s="8">
        <f t="shared" si="13"/>
        <v>48385</v>
      </c>
      <c r="AE32" s="8">
        <f>+AE31+AE30+AE29</f>
        <v>42314</v>
      </c>
      <c r="AF32" s="8">
        <f t="shared" ref="AF32:AH32" si="14">+AB32*1.1</f>
        <v>42978.100000000006</v>
      </c>
      <c r="AG32" s="8">
        <f t="shared" si="14"/>
        <v>44647.9</v>
      </c>
      <c r="AH32" s="8">
        <f t="shared" si="14"/>
        <v>53223.500000000007</v>
      </c>
      <c r="AI32" s="8"/>
      <c r="AK32" s="7">
        <f t="shared" ref="AK32:AP32" si="15">SUM(AK29:AK31)</f>
        <v>7872</v>
      </c>
      <c r="AL32" s="7">
        <f t="shared" si="15"/>
        <v>12466</v>
      </c>
      <c r="AM32" s="7">
        <f t="shared" si="15"/>
        <v>17928</v>
      </c>
      <c r="AN32" s="7">
        <f t="shared" si="15"/>
        <v>27638</v>
      </c>
      <c r="AO32" s="7">
        <f t="shared" si="15"/>
        <v>40653</v>
      </c>
      <c r="AP32" s="7">
        <f t="shared" si="15"/>
        <v>55838</v>
      </c>
      <c r="AQ32" s="7">
        <f>SUM(AQ29:AQ31)</f>
        <v>70697</v>
      </c>
      <c r="AR32" s="7">
        <f t="shared" ref="AR32:AS32" si="16">SUM(AR29:AR31)</f>
        <v>85965</v>
      </c>
      <c r="AS32" s="7">
        <f t="shared" si="16"/>
        <v>117929</v>
      </c>
      <c r="AT32" s="7">
        <f>SUM(S32:V32)</f>
        <v>116609</v>
      </c>
      <c r="AU32" s="7">
        <f>SUM(W32:Z32)</f>
        <v>134901</v>
      </c>
      <c r="AV32" s="7">
        <f>SUM(AA32:AD32)</f>
        <v>164500</v>
      </c>
      <c r="AW32" s="7">
        <f>+AV32*1.1</f>
        <v>180950.00000000003</v>
      </c>
      <c r="AX32" s="7">
        <f>+AW32*1.05</f>
        <v>189997.50000000003</v>
      </c>
      <c r="AY32" s="7">
        <f t="shared" ref="AY32:BB32" si="17">+AX32*1.03</f>
        <v>195697.42500000005</v>
      </c>
      <c r="AZ32" s="7">
        <f t="shared" si="17"/>
        <v>201568.34775000004</v>
      </c>
      <c r="BA32" s="7">
        <f t="shared" si="17"/>
        <v>207615.39818250004</v>
      </c>
      <c r="BB32" s="7">
        <f t="shared" si="17"/>
        <v>213843.86012797506</v>
      </c>
    </row>
    <row r="33" spans="2:110" s="3" customFormat="1" x14ac:dyDescent="0.25">
      <c r="B33" s="3" t="s">
        <v>36</v>
      </c>
      <c r="C33" s="6">
        <v>1927</v>
      </c>
      <c r="D33" s="6">
        <v>2214</v>
      </c>
      <c r="E33" s="6">
        <v>2418</v>
      </c>
      <c r="F33" s="6">
        <v>2796</v>
      </c>
      <c r="G33" s="6">
        <v>2816</v>
      </c>
      <c r="H33" s="6">
        <v>3307</v>
      </c>
      <c r="I33" s="6">
        <v>3155</v>
      </c>
      <c r="J33" s="6">
        <v>3492</v>
      </c>
      <c r="K33" s="6">
        <v>3459</v>
      </c>
      <c r="L33" s="6">
        <v>3829</v>
      </c>
      <c r="M33" s="6">
        <v>4194</v>
      </c>
      <c r="N33" s="6">
        <v>5210</v>
      </c>
      <c r="O33" s="6">
        <v>5131</v>
      </c>
      <c r="P33" s="6">
        <v>5399</v>
      </c>
      <c r="Q33" s="6">
        <v>5771</v>
      </c>
      <c r="R33" s="6">
        <v>6348</v>
      </c>
      <c r="S33" s="6">
        <v>6005</v>
      </c>
      <c r="T33" s="6">
        <v>5192</v>
      </c>
      <c r="U33" s="6">
        <v>5716</v>
      </c>
      <c r="V33" s="6">
        <v>8336</v>
      </c>
      <c r="W33" s="6">
        <f>+W32-W34</f>
        <v>6015.4500000000007</v>
      </c>
      <c r="X33" s="6">
        <v>5945</v>
      </c>
      <c r="Y33" s="6">
        <v>6210</v>
      </c>
      <c r="Z33" s="6">
        <v>7695</v>
      </c>
      <c r="AA33" s="6">
        <v>6640</v>
      </c>
      <c r="AB33" s="6">
        <v>7308</v>
      </c>
      <c r="AC33" s="6">
        <v>7375</v>
      </c>
      <c r="AD33" s="6">
        <v>8839</v>
      </c>
      <c r="AE33" s="6">
        <v>7572</v>
      </c>
      <c r="AF33" s="6"/>
      <c r="AG33" s="6"/>
      <c r="AH33" s="6"/>
      <c r="AI33" s="6"/>
      <c r="AP33" s="3">
        <v>9355</v>
      </c>
      <c r="AQ33" s="3">
        <v>12770</v>
      </c>
      <c r="AR33" s="3">
        <v>16692</v>
      </c>
      <c r="AS33" s="3">
        <v>22649</v>
      </c>
      <c r="AT33" s="3">
        <f>+AT32-AT34</f>
        <v>22155.709999999992</v>
      </c>
      <c r="AU33" s="3">
        <f t="shared" ref="AU33:BB33" si="18">+AU32-AU34</f>
        <v>25631.189999999988</v>
      </c>
      <c r="AV33" s="3">
        <f t="shared" si="18"/>
        <v>31255</v>
      </c>
      <c r="AW33" s="3">
        <f t="shared" si="18"/>
        <v>34380.5</v>
      </c>
      <c r="AX33" s="3">
        <f t="shared" si="18"/>
        <v>36099.524999999994</v>
      </c>
      <c r="AY33" s="3">
        <f t="shared" si="18"/>
        <v>37182.510749999987</v>
      </c>
      <c r="AZ33" s="3">
        <f t="shared" si="18"/>
        <v>38297.986072500004</v>
      </c>
      <c r="BA33" s="3">
        <f t="shared" si="18"/>
        <v>39446.925654674997</v>
      </c>
      <c r="BB33" s="3">
        <f t="shared" si="18"/>
        <v>40630.333424315264</v>
      </c>
    </row>
    <row r="34" spans="2:110" s="3" customFormat="1" x14ac:dyDescent="0.25">
      <c r="B34" s="3" t="s">
        <v>37</v>
      </c>
      <c r="C34" s="6">
        <f t="shared" ref="C34:D34" si="19">+C32-C33</f>
        <v>10039</v>
      </c>
      <c r="D34" s="6">
        <f t="shared" si="19"/>
        <v>11017</v>
      </c>
      <c r="E34" s="6">
        <f t="shared" ref="E34:G34" si="20">+E32-E33</f>
        <v>11309</v>
      </c>
      <c r="F34" s="6">
        <f t="shared" si="20"/>
        <v>14118</v>
      </c>
      <c r="G34" s="6">
        <f t="shared" si="20"/>
        <v>12261</v>
      </c>
      <c r="H34" s="6">
        <f t="shared" ref="H34" si="21">+H32-H33</f>
        <v>13579</v>
      </c>
      <c r="I34" s="6">
        <f t="shared" ref="I34:J34" si="22">+I32-I33</f>
        <v>14497</v>
      </c>
      <c r="J34" s="6">
        <f t="shared" si="22"/>
        <v>17590</v>
      </c>
      <c r="K34" s="6">
        <f t="shared" ref="K34:N34" si="23">+K32-K33</f>
        <v>14278</v>
      </c>
      <c r="L34" s="6">
        <f t="shared" si="23"/>
        <v>14858</v>
      </c>
      <c r="M34" s="6">
        <f t="shared" si="23"/>
        <v>17276</v>
      </c>
      <c r="N34" s="6">
        <f t="shared" si="23"/>
        <v>22862</v>
      </c>
      <c r="O34" s="6">
        <f>+O32-O33</f>
        <v>21040</v>
      </c>
      <c r="P34" s="6">
        <f t="shared" ref="P34:R34" si="24">+P32-P33</f>
        <v>23678</v>
      </c>
      <c r="Q34" s="6">
        <f t="shared" si="24"/>
        <v>23239</v>
      </c>
      <c r="R34" s="6">
        <f t="shared" si="24"/>
        <v>27323</v>
      </c>
      <c r="S34" s="6">
        <f>+S32-S33</f>
        <v>21903</v>
      </c>
      <c r="T34" s="6">
        <f>+T32-T33</f>
        <v>23630</v>
      </c>
      <c r="U34" s="6">
        <f>+U32-U33</f>
        <v>21998</v>
      </c>
      <c r="V34" s="6">
        <f>+V32-V33</f>
        <v>23829</v>
      </c>
      <c r="W34" s="6">
        <f>+W32*0.79</f>
        <v>22629.55</v>
      </c>
      <c r="X34" s="6">
        <f>X32-X33</f>
        <v>26054</v>
      </c>
      <c r="Y34" s="6">
        <f>Y32-Y33</f>
        <v>27936</v>
      </c>
      <c r="Z34" s="6">
        <f t="shared" ref="Z34" si="25">+Z32*0.79</f>
        <v>31687.690000000002</v>
      </c>
      <c r="AA34" s="6">
        <f>+AA32-AA33</f>
        <v>29815</v>
      </c>
      <c r="AB34" s="6">
        <f>+AB32-AB33</f>
        <v>31763</v>
      </c>
      <c r="AC34" s="6">
        <f>+AC32-AC33</f>
        <v>33214</v>
      </c>
      <c r="AD34" s="6">
        <f>+AD32-AD33</f>
        <v>39546</v>
      </c>
      <c r="AE34" s="6">
        <f>+AE32-AE33</f>
        <v>34742</v>
      </c>
      <c r="AF34" s="6"/>
      <c r="AG34" s="6"/>
      <c r="AH34" s="6"/>
      <c r="AI34" s="6"/>
      <c r="AP34" s="3">
        <f>+AP32-AP33</f>
        <v>46483</v>
      </c>
      <c r="AQ34" s="3">
        <f>+AQ32-AQ33</f>
        <v>57927</v>
      </c>
      <c r="AR34" s="3">
        <f>+AR32-AR33</f>
        <v>69273</v>
      </c>
      <c r="AS34" s="3">
        <f t="shared" ref="AS34" si="26">+AS32-AS33</f>
        <v>95280</v>
      </c>
      <c r="AT34" s="3">
        <f>+AT32*0.81</f>
        <v>94453.290000000008</v>
      </c>
      <c r="AU34" s="3">
        <f t="shared" ref="AU34:BB34" si="27">+AU32*0.81</f>
        <v>109269.81000000001</v>
      </c>
      <c r="AV34" s="3">
        <f t="shared" si="27"/>
        <v>133245</v>
      </c>
      <c r="AW34" s="3">
        <f t="shared" si="27"/>
        <v>146569.50000000003</v>
      </c>
      <c r="AX34" s="3">
        <f t="shared" si="27"/>
        <v>153897.97500000003</v>
      </c>
      <c r="AY34" s="3">
        <f t="shared" si="27"/>
        <v>158514.91425000006</v>
      </c>
      <c r="AZ34" s="3">
        <f t="shared" si="27"/>
        <v>163270.36167750004</v>
      </c>
      <c r="BA34" s="3">
        <f t="shared" si="27"/>
        <v>168168.47252782504</v>
      </c>
      <c r="BB34" s="3">
        <f t="shared" si="27"/>
        <v>173213.52670365979</v>
      </c>
    </row>
    <row r="35" spans="2:110" s="3" customFormat="1" x14ac:dyDescent="0.25">
      <c r="B35" s="3" t="s">
        <v>38</v>
      </c>
      <c r="C35" s="6">
        <v>2238</v>
      </c>
      <c r="D35" s="6">
        <v>2523</v>
      </c>
      <c r="E35" s="6">
        <v>2657</v>
      </c>
      <c r="F35" s="6">
        <v>2855</v>
      </c>
      <c r="G35" s="6">
        <v>2860</v>
      </c>
      <c r="H35" s="6">
        <v>3315</v>
      </c>
      <c r="I35" s="6">
        <v>3548</v>
      </c>
      <c r="J35" s="6">
        <v>3877</v>
      </c>
      <c r="K35" s="6">
        <v>4015</v>
      </c>
      <c r="L35" s="6">
        <v>4462</v>
      </c>
      <c r="M35" s="6">
        <v>4763</v>
      </c>
      <c r="N35" s="6">
        <v>5208</v>
      </c>
      <c r="O35" s="6">
        <v>5197</v>
      </c>
      <c r="P35" s="6">
        <v>6096</v>
      </c>
      <c r="Q35" s="6">
        <v>6316</v>
      </c>
      <c r="R35" s="6">
        <v>7046</v>
      </c>
      <c r="S35" s="6">
        <v>7707</v>
      </c>
      <c r="T35" s="6">
        <v>8690</v>
      </c>
      <c r="U35" s="6">
        <v>9170</v>
      </c>
      <c r="V35" s="6">
        <v>9771</v>
      </c>
      <c r="W35" s="6">
        <f>+S35*0.9</f>
        <v>6936.3</v>
      </c>
      <c r="X35" s="6">
        <v>9344</v>
      </c>
      <c r="Y35" s="6">
        <v>9241</v>
      </c>
      <c r="Z35" s="6">
        <v>10517</v>
      </c>
      <c r="AA35" s="6">
        <v>9978</v>
      </c>
      <c r="AB35" s="6">
        <v>10537</v>
      </c>
      <c r="AC35" s="6">
        <v>11177</v>
      </c>
      <c r="AD35" s="6">
        <v>12180</v>
      </c>
      <c r="AE35" s="6">
        <v>12150</v>
      </c>
      <c r="AF35" s="6"/>
      <c r="AG35" s="6"/>
      <c r="AH35" s="6"/>
      <c r="AI35" s="6"/>
      <c r="AP35" s="3">
        <v>10273</v>
      </c>
      <c r="AQ35" s="3">
        <v>13600</v>
      </c>
      <c r="AR35" s="3">
        <v>18447</v>
      </c>
      <c r="AS35" s="3">
        <v>24655</v>
      </c>
      <c r="AT35" s="3">
        <f t="shared" ref="AT35:AY35" si="28">+AS35*0.9</f>
        <v>22189.5</v>
      </c>
      <c r="AU35" s="3">
        <f t="shared" si="28"/>
        <v>19970.55</v>
      </c>
      <c r="AV35" s="3">
        <f t="shared" si="28"/>
        <v>17973.494999999999</v>
      </c>
      <c r="AW35" s="3">
        <f t="shared" si="28"/>
        <v>16176.145499999999</v>
      </c>
      <c r="AX35" s="3">
        <f t="shared" si="28"/>
        <v>14558.530949999998</v>
      </c>
      <c r="AY35" s="3">
        <f t="shared" si="28"/>
        <v>13102.677854999998</v>
      </c>
      <c r="AZ35" s="3">
        <f t="shared" ref="AZ35:BB35" si="29">+AY35*0.9</f>
        <v>11792.410069499998</v>
      </c>
      <c r="BA35" s="3">
        <f t="shared" si="29"/>
        <v>10613.169062549998</v>
      </c>
      <c r="BB35" s="3">
        <f t="shared" si="29"/>
        <v>9551.8521562949991</v>
      </c>
    </row>
    <row r="36" spans="2:110" s="3" customFormat="1" x14ac:dyDescent="0.25">
      <c r="B36" s="3" t="s">
        <v>40</v>
      </c>
      <c r="C36" s="6">
        <v>1595</v>
      </c>
      <c r="D36" s="6">
        <v>1855</v>
      </c>
      <c r="E36" s="6">
        <v>1928</v>
      </c>
      <c r="F36" s="6">
        <v>2467</v>
      </c>
      <c r="G36" s="6">
        <v>2020</v>
      </c>
      <c r="H36" s="6">
        <v>2414</v>
      </c>
      <c r="I36" s="6">
        <v>2416</v>
      </c>
      <c r="J36" s="6">
        <v>3026</v>
      </c>
      <c r="K36" s="6">
        <v>2787</v>
      </c>
      <c r="L36" s="6">
        <v>2840</v>
      </c>
      <c r="M36" s="6">
        <v>2683</v>
      </c>
      <c r="N36" s="6">
        <v>3280</v>
      </c>
      <c r="O36" s="6">
        <v>2843</v>
      </c>
      <c r="P36" s="6">
        <v>3259</v>
      </c>
      <c r="Q36" s="6">
        <v>3554</v>
      </c>
      <c r="R36" s="6">
        <v>4387</v>
      </c>
      <c r="S36" s="6">
        <v>3312</v>
      </c>
      <c r="T36" s="6">
        <v>3595</v>
      </c>
      <c r="U36" s="6">
        <v>3780</v>
      </c>
      <c r="V36" s="6">
        <v>4574</v>
      </c>
      <c r="W36" s="6">
        <f t="shared" ref="W36:W37" si="30">+S36*0.9</f>
        <v>2980.8</v>
      </c>
      <c r="X36" s="6">
        <v>3154</v>
      </c>
      <c r="Y36" s="6">
        <v>2877</v>
      </c>
      <c r="Z36" s="6">
        <v>3226</v>
      </c>
      <c r="AA36" s="6">
        <v>2564</v>
      </c>
      <c r="AB36" s="6">
        <v>2721</v>
      </c>
      <c r="AC36" s="6">
        <v>2822</v>
      </c>
      <c r="AD36" s="6">
        <v>3240</v>
      </c>
      <c r="AE36" s="6">
        <v>2757</v>
      </c>
      <c r="AF36" s="6"/>
      <c r="AG36" s="6"/>
      <c r="AH36" s="6"/>
      <c r="AI36" s="6"/>
      <c r="AP36" s="3">
        <v>7846</v>
      </c>
      <c r="AQ36" s="3">
        <v>9876</v>
      </c>
      <c r="AR36" s="3">
        <v>11591</v>
      </c>
      <c r="AS36" s="3">
        <v>14043</v>
      </c>
      <c r="AT36" s="3">
        <f>+AS36</f>
        <v>14043</v>
      </c>
      <c r="AU36" s="3">
        <f t="shared" ref="AU36:BB36" si="31">+AT36</f>
        <v>14043</v>
      </c>
      <c r="AV36" s="3">
        <f t="shared" si="31"/>
        <v>14043</v>
      </c>
      <c r="AW36" s="3">
        <f t="shared" si="31"/>
        <v>14043</v>
      </c>
      <c r="AX36" s="3">
        <f t="shared" si="31"/>
        <v>14043</v>
      </c>
      <c r="AY36" s="3">
        <f t="shared" si="31"/>
        <v>14043</v>
      </c>
      <c r="AZ36" s="3">
        <f t="shared" si="31"/>
        <v>14043</v>
      </c>
      <c r="BA36" s="3">
        <f t="shared" si="31"/>
        <v>14043</v>
      </c>
      <c r="BB36" s="3">
        <f t="shared" si="31"/>
        <v>14043</v>
      </c>
    </row>
    <row r="37" spans="2:110" s="3" customFormat="1" x14ac:dyDescent="0.25">
      <c r="B37" s="3" t="s">
        <v>39</v>
      </c>
      <c r="C37" s="6">
        <v>757</v>
      </c>
      <c r="D37" s="6">
        <v>776</v>
      </c>
      <c r="E37" s="6">
        <v>943</v>
      </c>
      <c r="F37" s="6">
        <v>976</v>
      </c>
      <c r="G37" s="6">
        <f>4064-3000</f>
        <v>1064</v>
      </c>
      <c r="H37" s="6">
        <f>3224-2000</f>
        <v>1224</v>
      </c>
      <c r="I37" s="6">
        <v>1348</v>
      </c>
      <c r="J37" s="6">
        <v>1829</v>
      </c>
      <c r="K37" s="6">
        <v>1583</v>
      </c>
      <c r="L37" s="6">
        <v>1593</v>
      </c>
      <c r="M37" s="6">
        <v>1790</v>
      </c>
      <c r="N37" s="6">
        <v>1599</v>
      </c>
      <c r="O37" s="6">
        <v>1622</v>
      </c>
      <c r="P37" s="6">
        <v>1956</v>
      </c>
      <c r="Q37" s="6">
        <v>2946</v>
      </c>
      <c r="R37" s="6">
        <v>3305</v>
      </c>
      <c r="S37" s="6">
        <v>2360</v>
      </c>
      <c r="T37" s="6">
        <v>2987</v>
      </c>
      <c r="U37" s="6">
        <v>3384</v>
      </c>
      <c r="V37" s="6">
        <v>3085</v>
      </c>
      <c r="W37" s="6">
        <f t="shared" si="30"/>
        <v>2124</v>
      </c>
      <c r="X37" s="6">
        <f>4164-1870</f>
        <v>2294</v>
      </c>
      <c r="Y37" s="6">
        <v>2070</v>
      </c>
      <c r="Z37" s="6">
        <v>2289</v>
      </c>
      <c r="AA37" s="6">
        <v>3455</v>
      </c>
      <c r="AB37" s="6">
        <v>3658</v>
      </c>
      <c r="AC37" s="6">
        <v>1865</v>
      </c>
      <c r="AD37" s="6">
        <v>761</v>
      </c>
      <c r="AE37" s="6">
        <v>2280</v>
      </c>
      <c r="AF37" s="6"/>
      <c r="AG37" s="6"/>
      <c r="AH37" s="6"/>
      <c r="AI37" s="6"/>
      <c r="AP37" s="3">
        <v>3451</v>
      </c>
      <c r="AQ37" s="3">
        <f>10465-5000</f>
        <v>5465</v>
      </c>
      <c r="AR37" s="3">
        <v>6564</v>
      </c>
      <c r="AS37" s="3">
        <v>9829</v>
      </c>
      <c r="AT37" s="3">
        <f t="shared" ref="AT37:BB37" si="32">+AS37</f>
        <v>9829</v>
      </c>
      <c r="AU37" s="3">
        <f t="shared" si="32"/>
        <v>9829</v>
      </c>
      <c r="AV37" s="3">
        <f t="shared" si="32"/>
        <v>9829</v>
      </c>
      <c r="AW37" s="3">
        <f t="shared" si="32"/>
        <v>9829</v>
      </c>
      <c r="AX37" s="3">
        <f t="shared" si="32"/>
        <v>9829</v>
      </c>
      <c r="AY37" s="3">
        <f t="shared" si="32"/>
        <v>9829</v>
      </c>
      <c r="AZ37" s="3">
        <f t="shared" si="32"/>
        <v>9829</v>
      </c>
      <c r="BA37" s="3">
        <f t="shared" si="32"/>
        <v>9829</v>
      </c>
      <c r="BB37" s="3">
        <f t="shared" si="32"/>
        <v>9829</v>
      </c>
    </row>
    <row r="38" spans="2:110" s="3" customFormat="1" x14ac:dyDescent="0.25">
      <c r="B38" s="3" t="s">
        <v>41</v>
      </c>
      <c r="C38" s="6">
        <f t="shared" ref="C38:D38" si="33">+C37+C36+C35</f>
        <v>4590</v>
      </c>
      <c r="D38" s="6">
        <f t="shared" si="33"/>
        <v>5154</v>
      </c>
      <c r="E38" s="6">
        <f t="shared" ref="E38:G38" si="34">+E37+E36+E35</f>
        <v>5528</v>
      </c>
      <c r="F38" s="6">
        <f t="shared" si="34"/>
        <v>6298</v>
      </c>
      <c r="G38" s="6">
        <f t="shared" si="34"/>
        <v>5944</v>
      </c>
      <c r="H38" s="6">
        <f t="shared" ref="H38:I38" si="35">+H37+H36+H35</f>
        <v>6953</v>
      </c>
      <c r="I38" s="6">
        <f t="shared" si="35"/>
        <v>7312</v>
      </c>
      <c r="J38" s="6">
        <f t="shared" ref="J38:K38" si="36">+J37+J36+J35</f>
        <v>8732</v>
      </c>
      <c r="K38" s="6">
        <f t="shared" si="36"/>
        <v>8385</v>
      </c>
      <c r="L38" s="6">
        <f t="shared" ref="L38" si="37">+L37+L36+L35</f>
        <v>8895</v>
      </c>
      <c r="M38" s="6">
        <f t="shared" ref="M38" si="38">+M37+M36+M35</f>
        <v>9236</v>
      </c>
      <c r="N38" s="6">
        <f t="shared" ref="N38" si="39">+N37+N36+N35</f>
        <v>10087</v>
      </c>
      <c r="O38" s="6">
        <f t="shared" ref="O38:R38" si="40">+O37+O36+O35</f>
        <v>9662</v>
      </c>
      <c r="P38" s="6">
        <f t="shared" si="40"/>
        <v>11311</v>
      </c>
      <c r="Q38" s="6">
        <f t="shared" si="40"/>
        <v>12816</v>
      </c>
      <c r="R38" s="6">
        <f t="shared" si="40"/>
        <v>14738</v>
      </c>
      <c r="S38" s="6">
        <f>+S37+S36+S35</f>
        <v>13379</v>
      </c>
      <c r="T38" s="6">
        <f t="shared" ref="T38:V38" si="41">+T37+T36+T35</f>
        <v>15272</v>
      </c>
      <c r="U38" s="6">
        <f t="shared" si="41"/>
        <v>16334</v>
      </c>
      <c r="V38" s="6">
        <f t="shared" si="41"/>
        <v>17430</v>
      </c>
      <c r="W38" s="6">
        <f t="shared" ref="W38:Z38" si="42">+W37+W36+W35</f>
        <v>12041.1</v>
      </c>
      <c r="X38" s="6">
        <f t="shared" si="42"/>
        <v>14792</v>
      </c>
      <c r="Y38" s="6">
        <f t="shared" si="42"/>
        <v>14188</v>
      </c>
      <c r="Z38" s="6">
        <f t="shared" si="42"/>
        <v>16032</v>
      </c>
      <c r="AA38" s="6">
        <f>+AA37+AA36+AA35</f>
        <v>15997</v>
      </c>
      <c r="AB38" s="6">
        <f>+AB37+AB36+AB35</f>
        <v>16916</v>
      </c>
      <c r="AC38" s="6">
        <f>+AC37+AC36+AC35</f>
        <v>15864</v>
      </c>
      <c r="AD38" s="6">
        <f>+AD37+AD36+AD35</f>
        <v>16181</v>
      </c>
      <c r="AE38" s="6">
        <f>+AE37+AE36+AE35</f>
        <v>17187</v>
      </c>
      <c r="AF38" s="6">
        <f t="shared" ref="AF38:AH38" si="43">+AF37+AF36+AF35</f>
        <v>0</v>
      </c>
      <c r="AG38" s="6">
        <f t="shared" si="43"/>
        <v>0</v>
      </c>
      <c r="AH38" s="6">
        <f t="shared" si="43"/>
        <v>0</v>
      </c>
      <c r="AI38" s="6"/>
      <c r="AP38" s="3">
        <f>SUM(AP35:AP37)</f>
        <v>21570</v>
      </c>
      <c r="AQ38" s="3">
        <f>SUM(AQ35:AQ37)</f>
        <v>28941</v>
      </c>
      <c r="AR38" s="3">
        <f>SUM(AR35:AR37)</f>
        <v>36602</v>
      </c>
      <c r="AS38" s="3">
        <f t="shared" ref="AS38" si="44">SUM(AS35:AS37)</f>
        <v>48527</v>
      </c>
      <c r="AT38" s="3">
        <f t="shared" ref="AT38" si="45">SUM(AT35:AT37)</f>
        <v>46061.5</v>
      </c>
      <c r="AU38" s="3">
        <f t="shared" ref="AU38" si="46">SUM(AU35:AU37)</f>
        <v>43842.55</v>
      </c>
      <c r="AV38" s="3">
        <f t="shared" ref="AV38" si="47">SUM(AV35:AV37)</f>
        <v>41845.494999999995</v>
      </c>
      <c r="AW38" s="3">
        <f t="shared" ref="AW38" si="48">SUM(AW35:AW37)</f>
        <v>40048.145499999999</v>
      </c>
      <c r="AX38" s="3">
        <f t="shared" ref="AX38" si="49">SUM(AX35:AX37)</f>
        <v>38430.53095</v>
      </c>
      <c r="AY38" s="3">
        <f t="shared" ref="AY38" si="50">SUM(AY35:AY37)</f>
        <v>36974.677855000002</v>
      </c>
      <c r="AZ38" s="3">
        <f t="shared" ref="AZ38" si="51">SUM(AZ35:AZ37)</f>
        <v>35664.410069499994</v>
      </c>
      <c r="BA38" s="3">
        <f t="shared" ref="BA38" si="52">SUM(BA35:BA37)</f>
        <v>34485.169062549998</v>
      </c>
      <c r="BB38" s="3">
        <f t="shared" ref="BB38" si="53">SUM(BB35:BB37)</f>
        <v>33423.852156294997</v>
      </c>
    </row>
    <row r="39" spans="2:110" s="3" customFormat="1" x14ac:dyDescent="0.25">
      <c r="B39" s="3" t="s">
        <v>42</v>
      </c>
      <c r="C39" s="6">
        <f t="shared" ref="C39:D39" si="54">+C34-C38</f>
        <v>5449</v>
      </c>
      <c r="D39" s="6">
        <f t="shared" si="54"/>
        <v>5863</v>
      </c>
      <c r="E39" s="6">
        <f t="shared" ref="E39:G39" si="55">+E34-E38</f>
        <v>5781</v>
      </c>
      <c r="F39" s="6">
        <f t="shared" si="55"/>
        <v>7820</v>
      </c>
      <c r="G39" s="6">
        <f t="shared" si="55"/>
        <v>6317</v>
      </c>
      <c r="H39" s="6">
        <f t="shared" ref="H39:I39" si="56">+H34-H38</f>
        <v>6626</v>
      </c>
      <c r="I39" s="6">
        <f t="shared" si="56"/>
        <v>7185</v>
      </c>
      <c r="J39" s="6">
        <f t="shared" ref="J39:K39" si="57">+J34-J38</f>
        <v>8858</v>
      </c>
      <c r="K39" s="6">
        <f t="shared" si="57"/>
        <v>5893</v>
      </c>
      <c r="L39" s="6">
        <f t="shared" ref="L39" si="58">+L34-L38</f>
        <v>5963</v>
      </c>
      <c r="M39" s="6">
        <f t="shared" ref="M39" si="59">+M34-M38</f>
        <v>8040</v>
      </c>
      <c r="N39" s="6">
        <f t="shared" ref="N39" si="60">+N34-N38</f>
        <v>12775</v>
      </c>
      <c r="O39" s="6">
        <f t="shared" ref="O39:R39" si="61">+O34-O38</f>
        <v>11378</v>
      </c>
      <c r="P39" s="6">
        <f t="shared" si="61"/>
        <v>12367</v>
      </c>
      <c r="Q39" s="6">
        <f t="shared" si="61"/>
        <v>10423</v>
      </c>
      <c r="R39" s="6">
        <f t="shared" si="61"/>
        <v>12585</v>
      </c>
      <c r="S39" s="6">
        <f>+S34-S38</f>
        <v>8524</v>
      </c>
      <c r="T39" s="6">
        <f t="shared" ref="T39:V39" si="62">+T34-T38</f>
        <v>8358</v>
      </c>
      <c r="U39" s="6">
        <f t="shared" si="62"/>
        <v>5664</v>
      </c>
      <c r="V39" s="6">
        <f t="shared" si="62"/>
        <v>6399</v>
      </c>
      <c r="W39" s="6">
        <f t="shared" ref="W39:Z39" si="63">+W34-W38</f>
        <v>10588.449999999999</v>
      </c>
      <c r="X39" s="6">
        <f t="shared" si="63"/>
        <v>11262</v>
      </c>
      <c r="Y39" s="6">
        <f t="shared" si="63"/>
        <v>13748</v>
      </c>
      <c r="Z39" s="6">
        <f t="shared" si="63"/>
        <v>15655.690000000002</v>
      </c>
      <c r="AA39" s="6">
        <f>+AA34-AA38</f>
        <v>13818</v>
      </c>
      <c r="AB39" s="6">
        <f>+AB34-AB38</f>
        <v>14847</v>
      </c>
      <c r="AC39" s="6">
        <f>+AC34-AC38</f>
        <v>17350</v>
      </c>
      <c r="AD39" s="6">
        <f>+AD34-AD38</f>
        <v>23365</v>
      </c>
      <c r="AE39" s="6">
        <f>+AE34-AE38</f>
        <v>17555</v>
      </c>
      <c r="AF39" s="6">
        <f t="shared" ref="AF39:AH39" si="64">+AF34-AF38</f>
        <v>0</v>
      </c>
      <c r="AG39" s="6">
        <f t="shared" si="64"/>
        <v>0</v>
      </c>
      <c r="AH39" s="6">
        <f t="shared" si="64"/>
        <v>0</v>
      </c>
      <c r="AI39" s="6"/>
      <c r="AP39" s="3">
        <f>AP34-AP38</f>
        <v>24913</v>
      </c>
      <c r="AQ39" s="3">
        <f>AQ34-AQ38</f>
        <v>28986</v>
      </c>
      <c r="AR39" s="3">
        <f>AR34-AR38</f>
        <v>32671</v>
      </c>
      <c r="AS39" s="3">
        <f t="shared" ref="AS39" si="65">AS34-AS38</f>
        <v>46753</v>
      </c>
      <c r="AT39" s="3">
        <f t="shared" ref="AT39" si="66">AT34-AT38</f>
        <v>48391.790000000008</v>
      </c>
      <c r="AU39" s="3">
        <f t="shared" ref="AU39" si="67">AU34-AU38</f>
        <v>65427.260000000009</v>
      </c>
      <c r="AV39" s="3">
        <f t="shared" ref="AV39" si="68">AV34-AV38</f>
        <v>91399.505000000005</v>
      </c>
      <c r="AW39" s="3">
        <f t="shared" ref="AW39" si="69">AW34-AW38</f>
        <v>106521.35450000003</v>
      </c>
      <c r="AX39" s="3">
        <f t="shared" ref="AX39" si="70">AX34-AX38</f>
        <v>115467.44405000003</v>
      </c>
      <c r="AY39" s="3">
        <f t="shared" ref="AY39" si="71">AY34-AY38</f>
        <v>121540.23639500006</v>
      </c>
      <c r="AZ39" s="3">
        <f t="shared" ref="AZ39" si="72">AZ34-AZ38</f>
        <v>127605.95160800005</v>
      </c>
      <c r="BA39" s="3">
        <f t="shared" ref="BA39" si="73">BA34-BA38</f>
        <v>133683.30346527504</v>
      </c>
      <c r="BB39" s="3">
        <f t="shared" ref="BB39" si="74">BB34-BB38</f>
        <v>139789.67454736479</v>
      </c>
    </row>
    <row r="40" spans="2:110" s="3" customFormat="1" x14ac:dyDescent="0.25">
      <c r="B40" s="3" t="s">
        <v>43</v>
      </c>
      <c r="C40" s="6">
        <v>161</v>
      </c>
      <c r="D40" s="6">
        <v>5</v>
      </c>
      <c r="E40" s="6">
        <v>131</v>
      </c>
      <c r="F40" s="6">
        <v>151</v>
      </c>
      <c r="G40" s="6">
        <v>206</v>
      </c>
      <c r="H40" s="6">
        <v>206</v>
      </c>
      <c r="I40" s="6">
        <v>144</v>
      </c>
      <c r="J40" s="6">
        <v>311</v>
      </c>
      <c r="K40" s="6">
        <v>-32</v>
      </c>
      <c r="L40" s="6">
        <v>168</v>
      </c>
      <c r="M40" s="6">
        <v>93</v>
      </c>
      <c r="N40" s="6">
        <v>280</v>
      </c>
      <c r="O40" s="6">
        <v>125</v>
      </c>
      <c r="P40" s="6">
        <v>146</v>
      </c>
      <c r="Q40" s="6">
        <v>142</v>
      </c>
      <c r="R40" s="6">
        <v>117</v>
      </c>
      <c r="S40" s="6">
        <v>384</v>
      </c>
      <c r="T40" s="6">
        <v>-172</v>
      </c>
      <c r="U40" s="6">
        <v>-88</v>
      </c>
      <c r="V40" s="6">
        <v>-250</v>
      </c>
      <c r="W40" s="6">
        <f>+V40</f>
        <v>-250</v>
      </c>
      <c r="X40" s="6">
        <v>-99</v>
      </c>
      <c r="Y40" s="6">
        <v>272</v>
      </c>
      <c r="Z40" s="6">
        <v>424</v>
      </c>
      <c r="AA40" s="6">
        <v>365</v>
      </c>
      <c r="AB40" s="6">
        <v>259</v>
      </c>
      <c r="AC40" s="6">
        <v>472</v>
      </c>
      <c r="AD40" s="6">
        <v>188</v>
      </c>
      <c r="AE40" s="6">
        <v>827</v>
      </c>
      <c r="AF40" s="6"/>
      <c r="AG40" s="6"/>
      <c r="AH40" s="6"/>
      <c r="AI40" s="6"/>
      <c r="AP40" s="3">
        <v>448</v>
      </c>
      <c r="AQ40" s="3">
        <v>826</v>
      </c>
      <c r="AR40" s="3">
        <v>509</v>
      </c>
      <c r="AS40" s="3">
        <v>531</v>
      </c>
      <c r="AU40" s="3">
        <f t="shared" ref="AU40:BB40" si="75">+AT59*$BG$58</f>
        <v>938.78</v>
      </c>
      <c r="AV40" s="3">
        <f t="shared" si="75"/>
        <v>2027.1830560000003</v>
      </c>
      <c r="AW40" s="3">
        <f t="shared" si="75"/>
        <v>3559.3807401184004</v>
      </c>
      <c r="AX40" s="3">
        <f t="shared" si="75"/>
        <v>5364.704798056343</v>
      </c>
      <c r="AY40" s="3">
        <f t="shared" si="75"/>
        <v>7346.352039164467</v>
      </c>
      <c r="AZ40" s="3">
        <f t="shared" si="75"/>
        <v>9460.0920894847641</v>
      </c>
      <c r="BA40" s="3">
        <f t="shared" si="75"/>
        <v>11707.975206123516</v>
      </c>
      <c r="BB40" s="3">
        <f t="shared" si="75"/>
        <v>14092.392176334453</v>
      </c>
    </row>
    <row r="41" spans="2:110" s="3" customFormat="1" x14ac:dyDescent="0.25">
      <c r="B41" s="3" t="s">
        <v>44</v>
      </c>
      <c r="C41" s="6">
        <f t="shared" ref="C41:D41" si="76">+C39+C40</f>
        <v>5610</v>
      </c>
      <c r="D41" s="6">
        <f t="shared" si="76"/>
        <v>5868</v>
      </c>
      <c r="E41" s="6">
        <f t="shared" ref="E41:G41" si="77">+E39+E40</f>
        <v>5912</v>
      </c>
      <c r="F41" s="6">
        <f t="shared" si="77"/>
        <v>7971</v>
      </c>
      <c r="G41" s="6">
        <f t="shared" si="77"/>
        <v>6523</v>
      </c>
      <c r="H41" s="6">
        <f t="shared" ref="H41" si="78">+H39+H40</f>
        <v>6832</v>
      </c>
      <c r="I41" s="6">
        <f t="shared" ref="I41:J41" si="79">+I39+I40</f>
        <v>7329</v>
      </c>
      <c r="J41" s="6">
        <f t="shared" si="79"/>
        <v>9169</v>
      </c>
      <c r="K41" s="6">
        <f t="shared" ref="K41:R41" si="80">+K39+K40</f>
        <v>5861</v>
      </c>
      <c r="L41" s="6">
        <f t="shared" si="80"/>
        <v>6131</v>
      </c>
      <c r="M41" s="6">
        <f t="shared" si="80"/>
        <v>8133</v>
      </c>
      <c r="N41" s="6">
        <f t="shared" si="80"/>
        <v>13055</v>
      </c>
      <c r="O41" s="6">
        <f t="shared" si="80"/>
        <v>11503</v>
      </c>
      <c r="P41" s="6">
        <f t="shared" si="80"/>
        <v>12513</v>
      </c>
      <c r="Q41" s="6">
        <f t="shared" si="80"/>
        <v>10565</v>
      </c>
      <c r="R41" s="6">
        <f t="shared" si="80"/>
        <v>12702</v>
      </c>
      <c r="S41" s="6">
        <f>+S39+S40</f>
        <v>8908</v>
      </c>
      <c r="T41" s="6">
        <f t="shared" ref="T41:Z41" si="81">+T39+T40</f>
        <v>8186</v>
      </c>
      <c r="U41" s="6">
        <f t="shared" si="81"/>
        <v>5576</v>
      </c>
      <c r="V41" s="6">
        <f t="shared" si="81"/>
        <v>6149</v>
      </c>
      <c r="W41" s="6">
        <f t="shared" si="81"/>
        <v>10338.449999999999</v>
      </c>
      <c r="X41" s="6">
        <f t="shared" si="81"/>
        <v>11163</v>
      </c>
      <c r="Y41" s="6">
        <f t="shared" si="81"/>
        <v>14020</v>
      </c>
      <c r="Z41" s="6">
        <f t="shared" si="81"/>
        <v>16079.690000000002</v>
      </c>
      <c r="AA41" s="6">
        <f>+AA39+AA40</f>
        <v>14183</v>
      </c>
      <c r="AB41" s="6">
        <f>+AB39+AB40</f>
        <v>15106</v>
      </c>
      <c r="AC41" s="6">
        <f>+AC39+AC40</f>
        <v>17822</v>
      </c>
      <c r="AD41" s="6">
        <f>+AD39+AD40</f>
        <v>23553</v>
      </c>
      <c r="AE41" s="6">
        <f>+AE39+AE40</f>
        <v>18382</v>
      </c>
      <c r="AF41" s="6">
        <f t="shared" ref="AF41:AH41" si="82">+AF39+AF40</f>
        <v>0</v>
      </c>
      <c r="AG41" s="6">
        <f t="shared" si="82"/>
        <v>0</v>
      </c>
      <c r="AH41" s="6">
        <f t="shared" si="82"/>
        <v>0</v>
      </c>
      <c r="AI41" s="6"/>
      <c r="AP41" s="3">
        <f>+AP39+AP40</f>
        <v>25361</v>
      </c>
      <c r="AQ41" s="3">
        <f>+AQ39+AQ40</f>
        <v>29812</v>
      </c>
      <c r="AR41" s="3">
        <f>+AR39+AR40</f>
        <v>33180</v>
      </c>
      <c r="AS41" s="3">
        <f t="shared" ref="AS41" si="83">+AS39+AS40</f>
        <v>47284</v>
      </c>
      <c r="AT41" s="3">
        <f t="shared" ref="AT41" si="84">+AT39+AT40</f>
        <v>48391.790000000008</v>
      </c>
      <c r="AU41" s="3">
        <f t="shared" ref="AU41" si="85">+AU39+AU40</f>
        <v>66366.040000000008</v>
      </c>
      <c r="AV41" s="3">
        <f t="shared" ref="AV41" si="86">+AV39+AV40</f>
        <v>93426.688055999999</v>
      </c>
      <c r="AW41" s="3">
        <f t="shared" ref="AW41" si="87">+AW39+AW40</f>
        <v>110080.73524011843</v>
      </c>
      <c r="AX41" s="3">
        <f t="shared" ref="AX41" si="88">+AX39+AX40</f>
        <v>120832.14884805637</v>
      </c>
      <c r="AY41" s="3">
        <f t="shared" ref="AY41" si="89">+AY39+AY40</f>
        <v>128886.58843416453</v>
      </c>
      <c r="AZ41" s="3">
        <f t="shared" ref="AZ41" si="90">+AZ39+AZ40</f>
        <v>137066.0436974848</v>
      </c>
      <c r="BA41" s="3">
        <f t="shared" ref="BA41" si="91">+BA39+BA40</f>
        <v>145391.27867139856</v>
      </c>
      <c r="BB41" s="3">
        <f t="shared" ref="BB41" si="92">+BB39+BB40</f>
        <v>153882.06672369924</v>
      </c>
    </row>
    <row r="42" spans="2:110" s="3" customFormat="1" x14ac:dyDescent="0.25">
      <c r="B42" s="3" t="s">
        <v>45</v>
      </c>
      <c r="C42" s="6">
        <f>622+1</f>
        <v>623</v>
      </c>
      <c r="D42" s="6">
        <v>762</v>
      </c>
      <c r="E42" s="6">
        <v>775</v>
      </c>
      <c r="F42" s="6">
        <v>1089</v>
      </c>
      <c r="G42" s="6">
        <v>2216</v>
      </c>
      <c r="H42" s="6">
        <v>2216</v>
      </c>
      <c r="I42" s="6">
        <v>1238</v>
      </c>
      <c r="J42" s="6">
        <v>1820</v>
      </c>
      <c r="K42" s="6">
        <v>959</v>
      </c>
      <c r="L42" s="6">
        <v>953</v>
      </c>
      <c r="M42" s="6">
        <v>287</v>
      </c>
      <c r="N42" s="6">
        <v>1836</v>
      </c>
      <c r="O42" s="6">
        <v>2006</v>
      </c>
      <c r="P42" s="6">
        <v>2119</v>
      </c>
      <c r="Q42" s="6">
        <v>1371</v>
      </c>
      <c r="R42" s="6">
        <v>2417</v>
      </c>
      <c r="S42" s="6">
        <v>1443</v>
      </c>
      <c r="T42" s="6">
        <v>1499</v>
      </c>
      <c r="U42" s="6">
        <v>1181</v>
      </c>
      <c r="V42" s="6">
        <v>1497</v>
      </c>
      <c r="W42" s="6">
        <f t="shared" ref="W42" si="93">+W41*0.19</f>
        <v>1964.3054999999997</v>
      </c>
      <c r="X42" s="6">
        <v>1505</v>
      </c>
      <c r="Y42" s="6">
        <v>2437</v>
      </c>
      <c r="Z42" s="6">
        <v>2791</v>
      </c>
      <c r="AA42" s="6">
        <v>1814</v>
      </c>
      <c r="AB42" s="6">
        <v>1641</v>
      </c>
      <c r="AC42" s="6">
        <v>2134</v>
      </c>
      <c r="AD42" s="6">
        <v>2715</v>
      </c>
      <c r="AE42" s="6">
        <v>1738</v>
      </c>
      <c r="AF42" s="6"/>
      <c r="AG42" s="6"/>
      <c r="AH42" s="6"/>
      <c r="AI42" s="6"/>
      <c r="AP42" s="3">
        <f>3249+1</f>
        <v>3250</v>
      </c>
      <c r="AQ42" s="3">
        <v>6327</v>
      </c>
      <c r="AR42" s="3">
        <v>4034</v>
      </c>
      <c r="AS42" s="3">
        <v>7914</v>
      </c>
      <c r="AT42" s="3">
        <f>+AT41*0.18</f>
        <v>8710.5222000000012</v>
      </c>
      <c r="AU42" s="3">
        <f t="shared" ref="AU42:BB42" si="94">+AU41*0.18</f>
        <v>11945.887200000001</v>
      </c>
      <c r="AV42" s="3">
        <f t="shared" si="94"/>
        <v>16816.803850079999</v>
      </c>
      <c r="AW42" s="3">
        <f t="shared" si="94"/>
        <v>19814.532343221315</v>
      </c>
      <c r="AX42" s="3">
        <f t="shared" si="94"/>
        <v>21749.786792650146</v>
      </c>
      <c r="AY42" s="3">
        <f t="shared" si="94"/>
        <v>23199.585918149613</v>
      </c>
      <c r="AZ42" s="3">
        <f t="shared" si="94"/>
        <v>24671.887865547262</v>
      </c>
      <c r="BA42" s="3">
        <f t="shared" si="94"/>
        <v>26170.430160851738</v>
      </c>
      <c r="BB42" s="3">
        <f t="shared" si="94"/>
        <v>27698.772010265864</v>
      </c>
    </row>
    <row r="43" spans="2:110" s="3" customFormat="1" x14ac:dyDescent="0.25">
      <c r="B43" s="3" t="s">
        <v>46</v>
      </c>
      <c r="C43" s="6">
        <f t="shared" ref="C43:D43" si="95">+C41-C42</f>
        <v>4987</v>
      </c>
      <c r="D43" s="6">
        <f t="shared" si="95"/>
        <v>5106</v>
      </c>
      <c r="E43" s="6">
        <f t="shared" ref="E43:G43" si="96">+E41-E42</f>
        <v>5137</v>
      </c>
      <c r="F43" s="6">
        <f t="shared" si="96"/>
        <v>6882</v>
      </c>
      <c r="G43" s="6">
        <f t="shared" si="96"/>
        <v>4307</v>
      </c>
      <c r="H43" s="6">
        <f t="shared" ref="H43" si="97">+H41-H42</f>
        <v>4616</v>
      </c>
      <c r="I43" s="6">
        <f t="shared" ref="I43:J43" si="98">+I41-I42</f>
        <v>6091</v>
      </c>
      <c r="J43" s="6">
        <f t="shared" si="98"/>
        <v>7349</v>
      </c>
      <c r="K43" s="6">
        <f t="shared" ref="K43:L43" si="99">+K41-K42</f>
        <v>4902</v>
      </c>
      <c r="L43" s="6">
        <f t="shared" si="99"/>
        <v>5178</v>
      </c>
      <c r="M43" s="6">
        <f t="shared" ref="M43:R43" si="100">+M41-M42</f>
        <v>7846</v>
      </c>
      <c r="N43" s="6">
        <f t="shared" si="100"/>
        <v>11219</v>
      </c>
      <c r="O43" s="6">
        <f t="shared" si="100"/>
        <v>9497</v>
      </c>
      <c r="P43" s="6">
        <f t="shared" si="100"/>
        <v>10394</v>
      </c>
      <c r="Q43" s="6">
        <f t="shared" si="100"/>
        <v>9194</v>
      </c>
      <c r="R43" s="6">
        <f t="shared" si="100"/>
        <v>10285</v>
      </c>
      <c r="S43" s="6">
        <f>+S41-S42</f>
        <v>7465</v>
      </c>
      <c r="T43" s="6">
        <f t="shared" ref="T43:V43" si="101">+T41-T42</f>
        <v>6687</v>
      </c>
      <c r="U43" s="6">
        <f t="shared" si="101"/>
        <v>4395</v>
      </c>
      <c r="V43" s="6">
        <f t="shared" si="101"/>
        <v>4652</v>
      </c>
      <c r="W43" s="6">
        <f t="shared" ref="W43:AH43" si="102">+W41-W42</f>
        <v>8374.1444999999985</v>
      </c>
      <c r="X43" s="6">
        <f t="shared" si="102"/>
        <v>9658</v>
      </c>
      <c r="Y43" s="6">
        <f t="shared" si="102"/>
        <v>11583</v>
      </c>
      <c r="Z43" s="6">
        <f t="shared" si="102"/>
        <v>13288.690000000002</v>
      </c>
      <c r="AA43" s="6">
        <f t="shared" si="102"/>
        <v>12369</v>
      </c>
      <c r="AB43" s="6">
        <f t="shared" ref="AB43" si="103">+AB41-AB42</f>
        <v>13465</v>
      </c>
      <c r="AC43" s="6">
        <f t="shared" si="102"/>
        <v>15688</v>
      </c>
      <c r="AD43" s="6">
        <f t="shared" si="102"/>
        <v>20838</v>
      </c>
      <c r="AE43" s="6">
        <f t="shared" si="102"/>
        <v>16644</v>
      </c>
      <c r="AF43" s="6">
        <f t="shared" si="102"/>
        <v>0</v>
      </c>
      <c r="AG43" s="6">
        <f t="shared" si="102"/>
        <v>0</v>
      </c>
      <c r="AH43" s="6">
        <f t="shared" si="102"/>
        <v>0</v>
      </c>
      <c r="AI43" s="6"/>
      <c r="AP43" s="3">
        <f>+AP41-AP42</f>
        <v>22111</v>
      </c>
      <c r="AQ43" s="3">
        <f>+AQ41-AQ42</f>
        <v>23485</v>
      </c>
      <c r="AR43" s="3">
        <f>+AR41-AR42</f>
        <v>29146</v>
      </c>
      <c r="AS43" s="3">
        <f t="shared" ref="AS43" si="104">+AS41-AS42</f>
        <v>39370</v>
      </c>
      <c r="AT43" s="3">
        <f t="shared" ref="AT43" si="105">+AT41-AT42</f>
        <v>39681.267800000009</v>
      </c>
      <c r="AU43" s="3">
        <f t="shared" ref="AU43" si="106">+AU41-AU42</f>
        <v>54420.152800000011</v>
      </c>
      <c r="AV43" s="3">
        <f t="shared" ref="AV43" si="107">+AV41-AV42</f>
        <v>76609.884205919996</v>
      </c>
      <c r="AW43" s="3">
        <f t="shared" ref="AW43" si="108">+AW41-AW42</f>
        <v>90266.202896897114</v>
      </c>
      <c r="AX43" s="3">
        <f t="shared" ref="AX43" si="109">+AX41-AX42</f>
        <v>99082.362055406222</v>
      </c>
      <c r="AY43" s="3">
        <f t="shared" ref="AY43" si="110">+AY41-AY42</f>
        <v>105687.00251601491</v>
      </c>
      <c r="AZ43" s="3">
        <f t="shared" ref="AZ43" si="111">+AZ41-AZ42</f>
        <v>112394.15583193753</v>
      </c>
      <c r="BA43" s="3">
        <f t="shared" ref="BA43" si="112">+BA41-BA42</f>
        <v>119220.84851054681</v>
      </c>
      <c r="BB43" s="3">
        <f t="shared" ref="BB43" si="113">+BB41-BB42</f>
        <v>126183.29471343338</v>
      </c>
      <c r="BC43" s="3">
        <f t="shared" ref="BC43:CH43" si="114">+BB43*(1+$BG$57)</f>
        <v>119874.12997776171</v>
      </c>
      <c r="BD43" s="3">
        <f t="shared" si="114"/>
        <v>113880.42347887362</v>
      </c>
      <c r="BE43" s="3">
        <f t="shared" si="114"/>
        <v>108186.40230492993</v>
      </c>
      <c r="BF43" s="3">
        <f t="shared" si="114"/>
        <v>102777.08218968342</v>
      </c>
      <c r="BG43" s="3">
        <f t="shared" si="114"/>
        <v>97638.228080199246</v>
      </c>
      <c r="BH43" s="3">
        <f t="shared" si="114"/>
        <v>92756.316676189279</v>
      </c>
      <c r="BI43" s="3">
        <f t="shared" si="114"/>
        <v>88118.500842379814</v>
      </c>
      <c r="BJ43" s="3">
        <f t="shared" si="114"/>
        <v>83712.57580026082</v>
      </c>
      <c r="BK43" s="3">
        <f t="shared" si="114"/>
        <v>79526.947010247779</v>
      </c>
      <c r="BL43" s="3">
        <f t="shared" si="114"/>
        <v>75550.599659735381</v>
      </c>
      <c r="BM43" s="3">
        <f t="shared" si="114"/>
        <v>71773.069676748608</v>
      </c>
      <c r="BN43" s="3">
        <f t="shared" si="114"/>
        <v>68184.416192911172</v>
      </c>
      <c r="BO43" s="3">
        <f t="shared" si="114"/>
        <v>64775.195383265607</v>
      </c>
      <c r="BP43" s="3">
        <f t="shared" si="114"/>
        <v>61536.435614102324</v>
      </c>
      <c r="BQ43" s="3">
        <f t="shared" si="114"/>
        <v>58459.613833397205</v>
      </c>
      <c r="BR43" s="3">
        <f t="shared" si="114"/>
        <v>55536.63314172734</v>
      </c>
      <c r="BS43" s="3">
        <f t="shared" si="114"/>
        <v>52759.801484640971</v>
      </c>
      <c r="BT43" s="3">
        <f t="shared" si="114"/>
        <v>50121.811410408918</v>
      </c>
      <c r="BU43" s="3">
        <f t="shared" si="114"/>
        <v>47615.720839888469</v>
      </c>
      <c r="BV43" s="3">
        <f t="shared" si="114"/>
        <v>45234.934797894042</v>
      </c>
      <c r="BW43" s="3">
        <f t="shared" si="114"/>
        <v>42973.188057999338</v>
      </c>
      <c r="BX43" s="3">
        <f t="shared" si="114"/>
        <v>40824.52865509937</v>
      </c>
      <c r="BY43" s="3">
        <f t="shared" si="114"/>
        <v>38783.302222344399</v>
      </c>
      <c r="BZ43" s="3">
        <f t="shared" si="114"/>
        <v>36844.137111227174</v>
      </c>
      <c r="CA43" s="3">
        <f t="shared" si="114"/>
        <v>35001.930255665815</v>
      </c>
      <c r="CB43" s="3">
        <f t="shared" si="114"/>
        <v>33251.833742882525</v>
      </c>
      <c r="CC43" s="3">
        <f t="shared" si="114"/>
        <v>31589.242055738396</v>
      </c>
      <c r="CD43" s="3">
        <f t="shared" si="114"/>
        <v>30009.779952951474</v>
      </c>
      <c r="CE43" s="3">
        <f t="shared" si="114"/>
        <v>28509.290955303899</v>
      </c>
      <c r="CF43" s="3">
        <f t="shared" si="114"/>
        <v>27083.826407538701</v>
      </c>
      <c r="CG43" s="3">
        <f t="shared" si="114"/>
        <v>25729.635087161765</v>
      </c>
      <c r="CH43" s="3">
        <f t="shared" si="114"/>
        <v>24443.153332803675</v>
      </c>
      <c r="CI43" s="3">
        <f t="shared" ref="CI43:DF43" si="115">+CH43*(1+$BG$57)</f>
        <v>23220.99566616349</v>
      </c>
      <c r="CJ43" s="3">
        <f t="shared" si="115"/>
        <v>22059.945882855314</v>
      </c>
      <c r="CK43" s="3">
        <f t="shared" si="115"/>
        <v>20956.948588712548</v>
      </c>
      <c r="CL43" s="3">
        <f t="shared" si="115"/>
        <v>19909.101159276921</v>
      </c>
      <c r="CM43" s="3">
        <f t="shared" si="115"/>
        <v>18913.646101313076</v>
      </c>
      <c r="CN43" s="3">
        <f t="shared" si="115"/>
        <v>17967.963796247423</v>
      </c>
      <c r="CO43" s="3">
        <f t="shared" si="115"/>
        <v>17069.565606435051</v>
      </c>
      <c r="CP43" s="3">
        <f t="shared" si="115"/>
        <v>16216.087326113298</v>
      </c>
      <c r="CQ43" s="3">
        <f t="shared" si="115"/>
        <v>15405.282959807633</v>
      </c>
      <c r="CR43" s="3">
        <f t="shared" si="115"/>
        <v>14635.01881181725</v>
      </c>
      <c r="CS43" s="3">
        <f t="shared" si="115"/>
        <v>13903.267871226386</v>
      </c>
      <c r="CT43" s="3">
        <f t="shared" si="115"/>
        <v>13208.104477665067</v>
      </c>
      <c r="CU43" s="3">
        <f t="shared" si="115"/>
        <v>12547.699253781813</v>
      </c>
      <c r="CV43" s="3">
        <f t="shared" si="115"/>
        <v>11920.314291092722</v>
      </c>
      <c r="CW43" s="3">
        <f t="shared" si="115"/>
        <v>11324.298576538085</v>
      </c>
      <c r="CX43" s="3">
        <f t="shared" si="115"/>
        <v>10758.083647711181</v>
      </c>
      <c r="CY43" s="3">
        <f t="shared" si="115"/>
        <v>10220.179465325622</v>
      </c>
      <c r="CZ43" s="3">
        <f t="shared" si="115"/>
        <v>9709.1704920593402</v>
      </c>
      <c r="DA43" s="3">
        <f t="shared" si="115"/>
        <v>9223.7119674563728</v>
      </c>
      <c r="DB43" s="3">
        <f t="shared" si="115"/>
        <v>8762.5263690835545</v>
      </c>
      <c r="DC43" s="3">
        <f t="shared" si="115"/>
        <v>8324.400050629376</v>
      </c>
      <c r="DD43" s="3">
        <f t="shared" si="115"/>
        <v>7908.1800480979064</v>
      </c>
      <c r="DE43" s="3">
        <f t="shared" si="115"/>
        <v>7512.7710456930108</v>
      </c>
      <c r="DF43" s="3">
        <f t="shared" si="115"/>
        <v>7137.1324934083596</v>
      </c>
    </row>
    <row r="44" spans="2:110" x14ac:dyDescent="0.25">
      <c r="B44" s="3" t="s">
        <v>47</v>
      </c>
      <c r="C44" s="9">
        <f t="shared" ref="C44:D44" si="116">+C43/C45</f>
        <v>1.6933786078098472</v>
      </c>
      <c r="D44" s="9">
        <f t="shared" si="116"/>
        <v>1.7426621160409557</v>
      </c>
      <c r="E44" s="9">
        <f t="shared" ref="E44:G44" si="117">+E43/E45</f>
        <v>1.7634740817027119</v>
      </c>
      <c r="F44" s="9">
        <f t="shared" si="117"/>
        <v>2.3846153846153846</v>
      </c>
      <c r="G44" s="9">
        <f t="shared" si="117"/>
        <v>1.4980869565217392</v>
      </c>
      <c r="H44" s="9">
        <f t="shared" ref="H44" si="118">+H43/H45</f>
        <v>1.6055652173913044</v>
      </c>
      <c r="I44" s="9">
        <f t="shared" ref="I44:J44" si="119">+I43/I45</f>
        <v>2.1193458594293668</v>
      </c>
      <c r="J44" s="9">
        <f t="shared" si="119"/>
        <v>2.559735283873215</v>
      </c>
      <c r="K44" s="9">
        <f t="shared" ref="K44:L44" si="120">+K43/K45</f>
        <v>1.7092050209205021</v>
      </c>
      <c r="L44" s="9">
        <f t="shared" si="120"/>
        <v>1.7985411601250434</v>
      </c>
      <c r="M44" s="9">
        <f t="shared" ref="M44:R44" si="121">+M43/M45</f>
        <v>2.7139398132134209</v>
      </c>
      <c r="N44" s="9">
        <f t="shared" si="121"/>
        <v>3.882006920415225</v>
      </c>
      <c r="O44" s="9">
        <f t="shared" si="121"/>
        <v>3.2952810548230396</v>
      </c>
      <c r="P44" s="9">
        <f t="shared" si="121"/>
        <v>3.6127911018421965</v>
      </c>
      <c r="Q44" s="9">
        <f t="shared" si="121"/>
        <v>3.2158097236796084</v>
      </c>
      <c r="R44" s="9">
        <f t="shared" si="121"/>
        <v>3.6745266166488033</v>
      </c>
      <c r="S44" s="9">
        <f>+S43/S45</f>
        <v>2.7224653537563821</v>
      </c>
      <c r="T44" s="9">
        <f t="shared" ref="T44:V44" si="122">+T43/T45</f>
        <v>2.4647991153704387</v>
      </c>
      <c r="U44" s="9">
        <f t="shared" si="122"/>
        <v>1.6356531447711202</v>
      </c>
      <c r="V44" s="9">
        <f t="shared" si="122"/>
        <v>1.7621212121212122</v>
      </c>
      <c r="W44" s="9">
        <f t="shared" ref="W44:AE44" si="123">+W43/W45</f>
        <v>3.1720244318181812</v>
      </c>
      <c r="X44" s="9">
        <f t="shared" si="123"/>
        <v>3.6975497702909648</v>
      </c>
      <c r="Y44" s="9">
        <f t="shared" si="123"/>
        <v>4.3858386974630825</v>
      </c>
      <c r="Z44" s="9">
        <f t="shared" si="123"/>
        <v>5.0527338403041835</v>
      </c>
      <c r="AA44" s="9">
        <f t="shared" si="123"/>
        <v>4.7119999999999997</v>
      </c>
      <c r="AB44" s="9">
        <f t="shared" ref="AB44" si="124">+AB43/AB45</f>
        <v>5.1590038314176248</v>
      </c>
      <c r="AC44" s="9">
        <f t="shared" si="123"/>
        <v>6.0338461538461541</v>
      </c>
      <c r="AD44" s="9">
        <f t="shared" si="123"/>
        <v>8.0176991150442483</v>
      </c>
      <c r="AE44" s="9">
        <f t="shared" si="123"/>
        <v>6.4262548262548265</v>
      </c>
      <c r="AF44" s="9"/>
      <c r="AG44" s="9"/>
      <c r="AH44" s="9"/>
      <c r="AI44" s="9"/>
      <c r="AP44" s="17">
        <f>+AP43/AP45</f>
        <v>7.5696679219445393</v>
      </c>
      <c r="AQ44" s="17">
        <f>+AQ43/AQ45</f>
        <v>8.1658553546592483</v>
      </c>
      <c r="AR44" s="17">
        <f>+AR43/AR45</f>
        <v>10.092105263157896</v>
      </c>
      <c r="AS44" s="17">
        <f t="shared" ref="AS44" si="125">+AS43/AS45</f>
        <v>13.770549143057012</v>
      </c>
      <c r="AT44" s="17">
        <f t="shared" ref="AT44" si="126">+AT43/AT45</f>
        <v>14.721301354108704</v>
      </c>
      <c r="AU44" s="17">
        <f t="shared" ref="AU44" si="127">+AU43/AU45</f>
        <v>20.189260916342057</v>
      </c>
      <c r="AV44" s="17">
        <f t="shared" ref="AV44" si="128">+AV43/AV45</f>
        <v>28.421400187690594</v>
      </c>
      <c r="AW44" s="17">
        <f t="shared" ref="AW44" si="129">+AW43/AW45</f>
        <v>33.487739898681916</v>
      </c>
      <c r="AX44" s="17">
        <f t="shared" ref="AX44" si="130">+AX43/AX45</f>
        <v>36.758435190282405</v>
      </c>
      <c r="AY44" s="17">
        <f t="shared" ref="AY44" si="131">+AY43/AY45</f>
        <v>39.208682068638439</v>
      </c>
      <c r="AZ44" s="17">
        <f t="shared" ref="AZ44" si="132">+AZ43/AZ45</f>
        <v>41.696960056367104</v>
      </c>
      <c r="BA44" s="17">
        <f t="shared" ref="BA44" si="133">+BA43/BA45</f>
        <v>44.22958579504612</v>
      </c>
      <c r="BB44" s="17">
        <f t="shared" ref="BB44" si="134">+BB43/BB45</f>
        <v>46.812574555159848</v>
      </c>
    </row>
    <row r="45" spans="2:110" s="3" customFormat="1" x14ac:dyDescent="0.25">
      <c r="B45" s="3" t="s">
        <v>2</v>
      </c>
      <c r="C45" s="6">
        <v>2945</v>
      </c>
      <c r="D45" s="6">
        <v>2930</v>
      </c>
      <c r="E45" s="6">
        <v>2913</v>
      </c>
      <c r="F45" s="6">
        <v>2886</v>
      </c>
      <c r="G45" s="6">
        <v>2875</v>
      </c>
      <c r="H45" s="6">
        <v>2875</v>
      </c>
      <c r="I45" s="6">
        <v>2874</v>
      </c>
      <c r="J45" s="6">
        <v>2871</v>
      </c>
      <c r="K45" s="6">
        <v>2868</v>
      </c>
      <c r="L45" s="6">
        <v>2879</v>
      </c>
      <c r="M45" s="6">
        <v>2891</v>
      </c>
      <c r="N45" s="6">
        <v>2890</v>
      </c>
      <c r="O45" s="6">
        <v>2882</v>
      </c>
      <c r="P45" s="6">
        <v>2877</v>
      </c>
      <c r="Q45" s="6">
        <v>2859</v>
      </c>
      <c r="R45" s="6">
        <v>2799</v>
      </c>
      <c r="S45" s="6">
        <v>2742</v>
      </c>
      <c r="T45" s="6">
        <v>2713</v>
      </c>
      <c r="U45" s="6">
        <v>2687</v>
      </c>
      <c r="V45" s="6">
        <v>2640</v>
      </c>
      <c r="W45" s="6">
        <f>+V45</f>
        <v>2640</v>
      </c>
      <c r="X45" s="6">
        <v>2612</v>
      </c>
      <c r="Y45" s="6">
        <v>2641</v>
      </c>
      <c r="Z45" s="6">
        <v>2630</v>
      </c>
      <c r="AA45" s="6">
        <v>2625</v>
      </c>
      <c r="AB45" s="6">
        <v>2610</v>
      </c>
      <c r="AC45" s="6">
        <v>2600</v>
      </c>
      <c r="AD45" s="6">
        <v>2599</v>
      </c>
      <c r="AE45" s="6">
        <v>2590</v>
      </c>
      <c r="AF45" s="6">
        <f>+AE45</f>
        <v>2590</v>
      </c>
      <c r="AG45" s="6">
        <f>+AF45</f>
        <v>2590</v>
      </c>
      <c r="AH45" s="6">
        <f>+AG45</f>
        <v>2590</v>
      </c>
      <c r="AI45" s="6"/>
      <c r="AO45" s="3">
        <f>2395.921635+509.079123</f>
        <v>2905.0007580000001</v>
      </c>
      <c r="AP45" s="3">
        <v>2921</v>
      </c>
      <c r="AQ45" s="3">
        <v>2876</v>
      </c>
      <c r="AR45" s="3">
        <v>2888</v>
      </c>
      <c r="AS45" s="3">
        <v>2859</v>
      </c>
      <c r="AT45" s="3">
        <f>AVERAGE(S45:V45)</f>
        <v>2695.5</v>
      </c>
      <c r="AU45" s="3">
        <f t="shared" ref="AU45:BB45" si="135">+AT45</f>
        <v>2695.5</v>
      </c>
      <c r="AV45" s="3">
        <f t="shared" si="135"/>
        <v>2695.5</v>
      </c>
      <c r="AW45" s="3">
        <f t="shared" si="135"/>
        <v>2695.5</v>
      </c>
      <c r="AX45" s="3">
        <f t="shared" si="135"/>
        <v>2695.5</v>
      </c>
      <c r="AY45" s="3">
        <f t="shared" si="135"/>
        <v>2695.5</v>
      </c>
      <c r="AZ45" s="3">
        <f t="shared" si="135"/>
        <v>2695.5</v>
      </c>
      <c r="BA45" s="3">
        <f t="shared" si="135"/>
        <v>2695.5</v>
      </c>
      <c r="BB45" s="3">
        <f t="shared" si="135"/>
        <v>2695.5</v>
      </c>
    </row>
    <row r="46" spans="2:110" x14ac:dyDescent="0.25">
      <c r="S46" s="6"/>
    </row>
    <row r="47" spans="2:110" s="4" customFormat="1" ht="13" x14ac:dyDescent="0.3">
      <c r="B47" s="7" t="s">
        <v>48</v>
      </c>
      <c r="C47" s="12"/>
      <c r="D47" s="12"/>
      <c r="E47" s="12"/>
      <c r="F47" s="12"/>
      <c r="G47" s="11">
        <f t="shared" ref="G47:K47" si="136">+G32/C32-1</f>
        <v>0.25998662878154777</v>
      </c>
      <c r="H47" s="11">
        <f t="shared" si="136"/>
        <v>0.2762451817700855</v>
      </c>
      <c r="I47" s="11">
        <f t="shared" si="136"/>
        <v>0.2859328331026445</v>
      </c>
      <c r="J47" s="11">
        <f t="shared" si="136"/>
        <v>0.2464230814709707</v>
      </c>
      <c r="K47" s="11">
        <f t="shared" si="136"/>
        <v>0.17642767128739134</v>
      </c>
      <c r="L47" s="11">
        <f>+L32/H32-1</f>
        <v>0.10665640175293145</v>
      </c>
      <c r="M47" s="11">
        <f>+M32/I32-1</f>
        <v>0.21629277135735325</v>
      </c>
      <c r="N47" s="11">
        <f>+N32/J32-1</f>
        <v>0.33156247035385644</v>
      </c>
      <c r="O47" s="11">
        <f>+O32/K32-1</f>
        <v>0.47550318543158365</v>
      </c>
      <c r="P47" s="11">
        <f>+P32/L32-1</f>
        <v>0.5560014983678494</v>
      </c>
      <c r="Q47" s="11">
        <f t="shared" ref="Q47:R47" si="137">+Q32/M32-1</f>
        <v>0.35118770377270603</v>
      </c>
      <c r="R47" s="11">
        <f t="shared" si="137"/>
        <v>0.19945141065830718</v>
      </c>
      <c r="S47" s="11">
        <f>+S32/O32-1</f>
        <v>6.6371174200450911E-2</v>
      </c>
      <c r="T47" s="11">
        <f>+T32/P32-1</f>
        <v>-8.7698180692643568E-3</v>
      </c>
      <c r="U47" s="11">
        <f>+U32/Q32-1</f>
        <v>-4.4674250258531556E-2</v>
      </c>
      <c r="V47" s="11">
        <f t="shared" ref="V47" si="138">+V32/R32-1</f>
        <v>-4.4726916337501144E-2</v>
      </c>
      <c r="W47" s="11">
        <f>+W32/S32-1</f>
        <v>2.6408198366060009E-2</v>
      </c>
      <c r="X47" s="11">
        <f t="shared" ref="X47" si="139">+X32/T32-1</f>
        <v>0.11022829782804799</v>
      </c>
      <c r="Y47" s="11">
        <f t="shared" ref="Y47" si="140">+Y32/U32-1</f>
        <v>0.23208486685429741</v>
      </c>
      <c r="Z47" s="11">
        <f t="shared" ref="Z47" si="141">+Z32/V32-1</f>
        <v>0.24703870666873939</v>
      </c>
      <c r="AA47" s="11">
        <f t="shared" ref="AA47:AH47" si="142">+AA32/W32-1</f>
        <v>0.27264793157619138</v>
      </c>
      <c r="AB47" s="11">
        <f t="shared" si="142"/>
        <v>0.2210069064658271</v>
      </c>
      <c r="AC47" s="11">
        <f t="shared" si="142"/>
        <v>0.18868974404029748</v>
      </c>
      <c r="AD47" s="11">
        <f t="shared" si="142"/>
        <v>0.20627757971628724</v>
      </c>
      <c r="AE47" s="11">
        <f>+AE32/AA32-1</f>
        <v>0.16071869428062002</v>
      </c>
      <c r="AF47" s="11">
        <f t="shared" si="142"/>
        <v>0.10000000000000009</v>
      </c>
      <c r="AG47" s="11">
        <f t="shared" si="142"/>
        <v>0.10000000000000009</v>
      </c>
      <c r="AH47" s="11">
        <f t="shared" si="142"/>
        <v>0.10000000000000009</v>
      </c>
      <c r="AI47" s="11"/>
      <c r="AL47" s="18">
        <f t="shared" ref="AL47:AP47" si="143">+AL32/AK32-1</f>
        <v>0.58358739837398366</v>
      </c>
      <c r="AM47" s="18">
        <f t="shared" si="143"/>
        <v>0.43815177282207607</v>
      </c>
      <c r="AN47" s="18">
        <f t="shared" si="143"/>
        <v>0.54161088799643009</v>
      </c>
      <c r="AO47" s="18">
        <f t="shared" si="143"/>
        <v>0.47090961719371882</v>
      </c>
      <c r="AP47" s="18">
        <f t="shared" si="143"/>
        <v>0.37352716896661997</v>
      </c>
      <c r="AQ47" s="18">
        <f>+AQ32/AP32-1</f>
        <v>0.26610910132884413</v>
      </c>
      <c r="AR47" s="18">
        <f>+AR32/AQ32-1</f>
        <v>0.21596390228722573</v>
      </c>
      <c r="AS47" s="18">
        <f>+AS32/AR32-1</f>
        <v>0.37182574303495608</v>
      </c>
      <c r="AT47" s="18">
        <f>+AT32/AS32-1</f>
        <v>-1.1193175554782941E-2</v>
      </c>
      <c r="AU47" s="18">
        <f t="shared" ref="AU47:BB47" si="144">+AU32/AT32-1</f>
        <v>0.15686610810486323</v>
      </c>
      <c r="AV47" s="18">
        <f t="shared" si="144"/>
        <v>0.21941275453851339</v>
      </c>
      <c r="AW47" s="18">
        <f t="shared" si="144"/>
        <v>0.10000000000000009</v>
      </c>
      <c r="AX47" s="18">
        <f t="shared" si="144"/>
        <v>5.0000000000000044E-2</v>
      </c>
      <c r="AY47" s="18">
        <f t="shared" si="144"/>
        <v>3.0000000000000027E-2</v>
      </c>
      <c r="AZ47" s="18">
        <f t="shared" si="144"/>
        <v>3.0000000000000027E-2</v>
      </c>
      <c r="BA47" s="18">
        <f t="shared" si="144"/>
        <v>3.0000000000000027E-2</v>
      </c>
      <c r="BB47" s="18">
        <f t="shared" si="144"/>
        <v>3.0000000000000027E-2</v>
      </c>
    </row>
    <row r="48" spans="2:110" s="4" customFormat="1" ht="13" x14ac:dyDescent="0.3">
      <c r="B48" s="7" t="s">
        <v>95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1">
        <f>+O27/K27-1</f>
        <v>0.41985917173887088</v>
      </c>
      <c r="P48" s="11">
        <f t="shared" ref="P48:R48" si="145">+P27/L27-1</f>
        <v>0.47543879015343848</v>
      </c>
      <c r="Q48" s="11">
        <f t="shared" si="145"/>
        <v>0.31097316780136164</v>
      </c>
      <c r="R48" s="11">
        <f t="shared" si="145"/>
        <v>0.14539923954372624</v>
      </c>
      <c r="S48" s="11">
        <f>+S27/O27-1</f>
        <v>-1</v>
      </c>
      <c r="T48" s="11">
        <f>+T27/P27-1</f>
        <v>-1</v>
      </c>
      <c r="U48" s="11">
        <f t="shared" ref="U48" si="146">+U27/Q27-1</f>
        <v>-1</v>
      </c>
      <c r="V48" s="11"/>
      <c r="W48" s="12"/>
      <c r="X48" s="12"/>
      <c r="Y48" s="12"/>
    </row>
    <row r="49" spans="2:59" s="3" customFormat="1" x14ac:dyDescent="0.25">
      <c r="B49" s="3" t="s">
        <v>97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0">
        <v>0.15</v>
      </c>
      <c r="T49" s="10">
        <v>0.15</v>
      </c>
      <c r="U49" s="10">
        <v>0.17</v>
      </c>
      <c r="V49" s="10"/>
      <c r="W49" s="6"/>
      <c r="X49" s="6"/>
      <c r="Y49" s="6"/>
    </row>
    <row r="50" spans="2:59" s="3" customFormat="1" x14ac:dyDescent="0.25">
      <c r="B50" s="3" t="s">
        <v>96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0">
        <v>-0.08</v>
      </c>
      <c r="T50" s="10">
        <v>-0.14000000000000001</v>
      </c>
      <c r="U50" s="10">
        <v>-0.18</v>
      </c>
      <c r="V50" s="10">
        <v>-0.22</v>
      </c>
      <c r="W50" s="6"/>
      <c r="X50" s="6"/>
      <c r="Y50" s="6"/>
    </row>
    <row r="51" spans="2:59" s="3" customFormat="1" x14ac:dyDescent="0.25">
      <c r="B51" s="3" t="s">
        <v>108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/>
      <c r="P51" s="10"/>
      <c r="Q51" s="10"/>
      <c r="R51" s="10">
        <f t="shared" ref="R51" si="147">+R30/N30-1</f>
        <v>0.22315202231520215</v>
      </c>
      <c r="S51" s="10">
        <f t="shared" ref="S51:AA51" si="148">+S30/O30-1</f>
        <v>0.30149812734082393</v>
      </c>
      <c r="T51" s="10">
        <f t="shared" si="148"/>
        <v>0.4819672131147541</v>
      </c>
      <c r="U51" s="10">
        <f t="shared" si="148"/>
        <v>-0.489247311827957</v>
      </c>
      <c r="V51" s="10">
        <f t="shared" si="148"/>
        <v>-0.17103762827822122</v>
      </c>
      <c r="W51" s="10">
        <f t="shared" si="148"/>
        <v>-0.51223021582733819</v>
      </c>
      <c r="X51" s="10">
        <f t="shared" si="148"/>
        <v>-0.38938053097345138</v>
      </c>
      <c r="Y51" s="10">
        <f t="shared" si="148"/>
        <v>-0.26315789473684215</v>
      </c>
      <c r="Z51" s="10">
        <f t="shared" si="148"/>
        <v>0.47317744154057761</v>
      </c>
      <c r="AA51" s="10">
        <f t="shared" si="148"/>
        <v>0.29793510324483785</v>
      </c>
      <c r="AB51" s="10">
        <f t="shared" ref="AB51" si="149">+AB30/X30-1</f>
        <v>0.27898550724637672</v>
      </c>
      <c r="AC51" s="10">
        <f t="shared" ref="AC51" si="150">+AC30/Y30-1</f>
        <v>0.28571428571428581</v>
      </c>
      <c r="AD51" s="10">
        <f t="shared" ref="AD51" si="151">+AD30/Z30-1</f>
        <v>1.1204481792717047E-2</v>
      </c>
      <c r="AE51" s="10">
        <f t="shared" ref="AE51" si="152">+AE30/AA30-1</f>
        <v>-6.3636363636363602E-2</v>
      </c>
      <c r="AF51" s="10"/>
      <c r="AG51" s="10"/>
      <c r="AH51" s="10"/>
      <c r="AI51" s="10"/>
      <c r="AR51" s="19">
        <f t="shared" ref="AR51" si="153">AR30/AQ30-1</f>
        <v>1.2734530938123751</v>
      </c>
      <c r="AS51" s="19">
        <f>AS30/AR30-1</f>
        <v>0.99648814749780512</v>
      </c>
      <c r="AT51" s="19">
        <f>AT30/AS30-1</f>
        <v>-1</v>
      </c>
    </row>
    <row r="52" spans="2:59" s="3" customFormat="1" x14ac:dyDescent="0.25">
      <c r="B52" s="3" t="s">
        <v>200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0">
        <f t="shared" ref="Q52:T52" si="154">+Q38/M38-1</f>
        <v>0.38761368557817244</v>
      </c>
      <c r="R52" s="10">
        <f t="shared" si="154"/>
        <v>0.46108852979081982</v>
      </c>
      <c r="S52" s="10">
        <f t="shared" si="154"/>
        <v>0.38470296004967919</v>
      </c>
      <c r="T52" s="10">
        <f t="shared" si="154"/>
        <v>0.35019008045265676</v>
      </c>
      <c r="U52" s="10">
        <f>+U38/Q38-1</f>
        <v>0.27450062421972543</v>
      </c>
      <c r="V52" s="10">
        <f t="shared" ref="V52:Z52" si="155">+V38/R38-1</f>
        <v>0.18265707694395439</v>
      </c>
      <c r="W52" s="10">
        <f t="shared" si="155"/>
        <v>-9.9999999999999978E-2</v>
      </c>
      <c r="X52" s="10">
        <f t="shared" si="155"/>
        <v>-3.1430068098480923E-2</v>
      </c>
      <c r="Y52" s="10">
        <f t="shared" si="155"/>
        <v>-0.13138239255540585</v>
      </c>
      <c r="Z52" s="10">
        <f t="shared" si="155"/>
        <v>-8.0206540447504304E-2</v>
      </c>
      <c r="AA52" s="10">
        <f>+AA38/W38-1</f>
        <v>0.32853310744035014</v>
      </c>
      <c r="AB52" s="10">
        <f t="shared" ref="AB52:AE52" si="156">+AB38/X38-1</f>
        <v>0.14359113034072468</v>
      </c>
      <c r="AC52" s="10">
        <f t="shared" si="156"/>
        <v>0.11812799548914565</v>
      </c>
      <c r="AD52" s="10">
        <f t="shared" si="156"/>
        <v>9.2939121756487886E-3</v>
      </c>
      <c r="AE52" s="10">
        <f t="shared" si="156"/>
        <v>7.4388947927736426E-2</v>
      </c>
      <c r="AF52" s="10"/>
      <c r="AG52" s="10"/>
      <c r="AH52" s="10"/>
      <c r="AI52" s="10"/>
    </row>
    <row r="53" spans="2:59" s="3" customFormat="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2:59" s="3" customFormat="1" x14ac:dyDescent="0.25">
      <c r="B54" s="3" t="s">
        <v>37</v>
      </c>
      <c r="C54" s="10">
        <f t="shared" ref="C54:Z54" si="157">+C34/C32</f>
        <v>0.8389603877653351</v>
      </c>
      <c r="D54" s="10">
        <f t="shared" si="157"/>
        <v>0.83266570931902351</v>
      </c>
      <c r="E54" s="10">
        <f t="shared" si="157"/>
        <v>0.82385080498288044</v>
      </c>
      <c r="F54" s="10">
        <f t="shared" si="157"/>
        <v>0.83469315360056762</v>
      </c>
      <c r="G54" s="10">
        <f t="shared" si="157"/>
        <v>0.81322544272733299</v>
      </c>
      <c r="H54" s="10">
        <f t="shared" si="157"/>
        <v>0.80415729006277392</v>
      </c>
      <c r="I54" s="10">
        <f t="shared" si="157"/>
        <v>0.82126671198731027</v>
      </c>
      <c r="J54" s="10">
        <f t="shared" si="157"/>
        <v>0.83436106631249407</v>
      </c>
      <c r="K54" s="10">
        <f t="shared" si="157"/>
        <v>0.80498393189378137</v>
      </c>
      <c r="L54" s="10">
        <f t="shared" si="157"/>
        <v>0.7950981966072671</v>
      </c>
      <c r="M54" s="10">
        <f t="shared" si="157"/>
        <v>0.80465766185374943</v>
      </c>
      <c r="N54" s="10">
        <f t="shared" si="157"/>
        <v>0.81440581362211462</v>
      </c>
      <c r="O54" s="10">
        <f t="shared" si="157"/>
        <v>0.80394329601467274</v>
      </c>
      <c r="P54" s="10">
        <f t="shared" si="157"/>
        <v>0.81432059703545756</v>
      </c>
      <c r="Q54" s="10">
        <f t="shared" si="157"/>
        <v>0.80106859703550504</v>
      </c>
      <c r="R54" s="10">
        <f t="shared" si="157"/>
        <v>0.81146981081642955</v>
      </c>
      <c r="S54" s="10">
        <f t="shared" si="157"/>
        <v>0.78482872294682526</v>
      </c>
      <c r="T54" s="10">
        <f t="shared" si="157"/>
        <v>0.81985982929706469</v>
      </c>
      <c r="U54" s="10">
        <f t="shared" si="157"/>
        <v>0.79375045103557773</v>
      </c>
      <c r="V54" s="10">
        <f t="shared" si="157"/>
        <v>0.74083631276231932</v>
      </c>
      <c r="W54" s="10">
        <f t="shared" si="157"/>
        <v>0.78999999999999992</v>
      </c>
      <c r="X54" s="10">
        <f t="shared" si="157"/>
        <v>0.81421294415450485</v>
      </c>
      <c r="Y54" s="10">
        <f t="shared" si="157"/>
        <v>0.81813389562467054</v>
      </c>
      <c r="Z54" s="10">
        <f t="shared" si="157"/>
        <v>0.79</v>
      </c>
      <c r="AA54" s="10">
        <f>+AA34/AA32</f>
        <v>0.81785763269784661</v>
      </c>
      <c r="AB54" s="10">
        <f t="shared" ref="AB54:AE54" si="158">+AB34/AB32</f>
        <v>0.81295590079598679</v>
      </c>
      <c r="AC54" s="10">
        <f t="shared" si="158"/>
        <v>0.81830052477272164</v>
      </c>
      <c r="AD54" s="10">
        <f t="shared" si="158"/>
        <v>0.81731941717474421</v>
      </c>
      <c r="AE54" s="10">
        <f t="shared" si="158"/>
        <v>0.82105213404546962</v>
      </c>
      <c r="AF54" s="10"/>
      <c r="AG54" s="10"/>
      <c r="AH54" s="10"/>
      <c r="AI54" s="10"/>
      <c r="AP54" s="19">
        <f t="shared" ref="AP54:BB54" si="159">+AP34/AP32</f>
        <v>0.8324617643898421</v>
      </c>
      <c r="AQ54" s="19">
        <f t="shared" si="159"/>
        <v>0.81936998741106415</v>
      </c>
      <c r="AR54" s="19">
        <f t="shared" si="159"/>
        <v>0.80582795323678236</v>
      </c>
      <c r="AS54" s="19">
        <f t="shared" si="159"/>
        <v>0.80794376277251567</v>
      </c>
      <c r="AT54" s="19">
        <f t="shared" si="159"/>
        <v>0.81</v>
      </c>
      <c r="AU54" s="19">
        <f t="shared" si="159"/>
        <v>0.81</v>
      </c>
      <c r="AV54" s="19">
        <f t="shared" si="159"/>
        <v>0.81</v>
      </c>
      <c r="AW54" s="19">
        <f t="shared" si="159"/>
        <v>0.81</v>
      </c>
      <c r="AX54" s="19">
        <f t="shared" si="159"/>
        <v>0.81</v>
      </c>
      <c r="AY54" s="19">
        <f t="shared" si="159"/>
        <v>0.81000000000000016</v>
      </c>
      <c r="AZ54" s="19">
        <f t="shared" si="159"/>
        <v>0.81</v>
      </c>
      <c r="BA54" s="19">
        <f t="shared" si="159"/>
        <v>0.81</v>
      </c>
      <c r="BB54" s="19">
        <f t="shared" si="159"/>
        <v>0.80999999999999994</v>
      </c>
    </row>
    <row r="55" spans="2:59" s="3" customFormat="1" x14ac:dyDescent="0.25">
      <c r="B55" s="3" t="s">
        <v>201</v>
      </c>
      <c r="C55" s="10">
        <f t="shared" ref="C55:E55" si="160">+C39/C32</f>
        <v>0.45537355841551064</v>
      </c>
      <c r="D55" s="10">
        <f t="shared" si="160"/>
        <v>0.44312599198851182</v>
      </c>
      <c r="E55" s="10">
        <f t="shared" si="160"/>
        <v>0.42114081736723247</v>
      </c>
      <c r="F55" s="10">
        <f t="shared" ref="F55:I55" si="161">+F39/F32</f>
        <v>0.46233889085964291</v>
      </c>
      <c r="G55" s="10">
        <f t="shared" si="161"/>
        <v>0.41898255621144792</v>
      </c>
      <c r="H55" s="10">
        <f t="shared" si="161"/>
        <v>0.39239606774843067</v>
      </c>
      <c r="I55" s="10">
        <f t="shared" si="161"/>
        <v>0.40703602991162474</v>
      </c>
      <c r="J55" s="10">
        <f t="shared" ref="J55:L55" si="162">+J39/J32</f>
        <v>0.42016886443411439</v>
      </c>
      <c r="K55" s="10">
        <f t="shared" si="162"/>
        <v>0.33224333314540228</v>
      </c>
      <c r="L55" s="10">
        <f t="shared" si="162"/>
        <v>0.31909883876491679</v>
      </c>
      <c r="M55" s="10">
        <f t="shared" ref="M55:P55" si="163">+M39/M32</f>
        <v>0.37447601304145317</v>
      </c>
      <c r="N55" s="10">
        <f t="shared" si="163"/>
        <v>0.45507979481333716</v>
      </c>
      <c r="O55" s="10">
        <f t="shared" si="163"/>
        <v>0.43475602766420846</v>
      </c>
      <c r="P55" s="10">
        <f t="shared" si="163"/>
        <v>0.42531898063761736</v>
      </c>
      <c r="Q55" s="10">
        <f t="shared" ref="Q55:T55" si="164">+Q39/Q32</f>
        <v>0.35928990003447087</v>
      </c>
      <c r="R55" s="10">
        <f t="shared" si="164"/>
        <v>0.37376377297971547</v>
      </c>
      <c r="S55" s="10">
        <f t="shared" si="164"/>
        <v>0.30543213415508097</v>
      </c>
      <c r="T55" s="10">
        <f t="shared" si="164"/>
        <v>0.28998681562695161</v>
      </c>
      <c r="U55" s="10">
        <f>+U39/U32</f>
        <v>0.20437324096124701</v>
      </c>
      <c r="V55" s="10">
        <f t="shared" ref="V55:Z55" si="165">+V39/V32</f>
        <v>0.19894295041193844</v>
      </c>
      <c r="W55" s="10">
        <f t="shared" si="165"/>
        <v>0.36964391691394655</v>
      </c>
      <c r="X55" s="10">
        <f t="shared" si="165"/>
        <v>0.35194849839057468</v>
      </c>
      <c r="Y55" s="10">
        <f t="shared" si="165"/>
        <v>0.40262402624026239</v>
      </c>
      <c r="Z55" s="10">
        <f t="shared" si="165"/>
        <v>0.39030914213058771</v>
      </c>
      <c r="AA55" s="10">
        <f>+AA39/AA32</f>
        <v>0.37904265532848719</v>
      </c>
      <c r="AB55" s="10">
        <f t="shared" ref="AB55:AE55" si="166">+AB39/AB32</f>
        <v>0.38000051188861306</v>
      </c>
      <c r="AC55" s="10">
        <f t="shared" si="166"/>
        <v>0.4274557146024785</v>
      </c>
      <c r="AD55" s="10">
        <f t="shared" si="166"/>
        <v>0.48289759222899659</v>
      </c>
      <c r="AE55" s="10">
        <f t="shared" si="166"/>
        <v>0.41487450961856598</v>
      </c>
      <c r="AF55" s="10"/>
      <c r="AG55" s="10"/>
      <c r="AH55" s="10"/>
      <c r="AI55" s="10"/>
      <c r="AP55" s="10">
        <f t="shared" ref="AP55:BB55" si="167">+AP39/AP32</f>
        <v>0.44616569361366809</v>
      </c>
      <c r="AQ55" s="10">
        <f t="shared" si="167"/>
        <v>0.41000325332050863</v>
      </c>
      <c r="AR55" s="10">
        <f t="shared" si="167"/>
        <v>0.3800500203571221</v>
      </c>
      <c r="AS55" s="10">
        <f t="shared" si="167"/>
        <v>0.39645040660058173</v>
      </c>
      <c r="AT55" s="10">
        <f t="shared" si="167"/>
        <v>0.4149918959943058</v>
      </c>
      <c r="AU55" s="10">
        <f t="shared" si="167"/>
        <v>0.48500203853196056</v>
      </c>
      <c r="AV55" s="10">
        <f t="shared" si="167"/>
        <v>0.55562009118541034</v>
      </c>
      <c r="AW55" s="10">
        <f t="shared" si="167"/>
        <v>0.58867838905775083</v>
      </c>
      <c r="AX55" s="10">
        <f t="shared" si="167"/>
        <v>0.60773138620245015</v>
      </c>
      <c r="AY55" s="10">
        <f t="shared" si="167"/>
        <v>0.62106201139335393</v>
      </c>
      <c r="AZ55" s="10">
        <f t="shared" si="167"/>
        <v>0.63306542437042934</v>
      </c>
      <c r="BA55" s="10">
        <f t="shared" si="167"/>
        <v>0.64389878898945385</v>
      </c>
      <c r="BB55" s="10">
        <f t="shared" si="167"/>
        <v>0.65369973430009876</v>
      </c>
      <c r="BF55" t="s">
        <v>112</v>
      </c>
      <c r="BG55" s="3">
        <f>NPV(BG56,AU43:DF43)</f>
        <v>1038855.7152797726</v>
      </c>
    </row>
    <row r="56" spans="2:59" s="3" customFormat="1" x14ac:dyDescent="0.25">
      <c r="B56" s="3" t="s">
        <v>110</v>
      </c>
      <c r="C56" s="10">
        <f t="shared" ref="C56:V56" si="168">+C42/C41</f>
        <v>0.11105169340463458</v>
      </c>
      <c r="D56" s="10">
        <f t="shared" si="168"/>
        <v>0.12985685071574643</v>
      </c>
      <c r="E56" s="10">
        <f t="shared" si="168"/>
        <v>0.13108930987821379</v>
      </c>
      <c r="F56" s="10">
        <f t="shared" si="168"/>
        <v>0.13662024840045164</v>
      </c>
      <c r="G56" s="10">
        <f t="shared" si="168"/>
        <v>0.33972098727579336</v>
      </c>
      <c r="H56" s="10">
        <f t="shared" si="168"/>
        <v>0.32435597189695553</v>
      </c>
      <c r="I56" s="10">
        <f t="shared" si="168"/>
        <v>0.16891799699822621</v>
      </c>
      <c r="J56" s="10">
        <f t="shared" si="168"/>
        <v>0.19849492856363835</v>
      </c>
      <c r="K56" s="10">
        <f t="shared" si="168"/>
        <v>0.16362395495649207</v>
      </c>
      <c r="L56" s="10">
        <f t="shared" si="168"/>
        <v>0.15543956940140272</v>
      </c>
      <c r="M56" s="10">
        <f t="shared" si="168"/>
        <v>3.5288331488995447E-2</v>
      </c>
      <c r="N56" s="10">
        <f t="shared" si="168"/>
        <v>0.14063577173496744</v>
      </c>
      <c r="O56" s="10">
        <f t="shared" si="168"/>
        <v>0.17438928975049986</v>
      </c>
      <c r="P56" s="10">
        <f t="shared" si="168"/>
        <v>0.16934388236234316</v>
      </c>
      <c r="Q56" s="10">
        <f t="shared" si="168"/>
        <v>0.12976810222432561</v>
      </c>
      <c r="R56" s="10">
        <f t="shared" si="168"/>
        <v>0.19028499448905684</v>
      </c>
      <c r="S56" s="10">
        <f t="shared" si="168"/>
        <v>0.1619892231701841</v>
      </c>
      <c r="T56" s="10">
        <f t="shared" si="168"/>
        <v>0.18311751771316884</v>
      </c>
      <c r="U56" s="10">
        <f t="shared" si="168"/>
        <v>0.21180057388809181</v>
      </c>
      <c r="V56" s="10">
        <f t="shared" si="168"/>
        <v>0.24345422019840623</v>
      </c>
      <c r="W56" s="10">
        <f t="shared" ref="W56:Z56" si="169">+W42/W41</f>
        <v>0.19</v>
      </c>
      <c r="X56" s="10">
        <f t="shared" si="169"/>
        <v>0.13482038878437697</v>
      </c>
      <c r="Y56" s="10">
        <f t="shared" si="169"/>
        <v>0.1738231098430813</v>
      </c>
      <c r="Z56" s="10">
        <f t="shared" si="169"/>
        <v>0.17357299798690146</v>
      </c>
      <c r="AA56" s="10">
        <f>+AA42/AA41</f>
        <v>0.12789959811041388</v>
      </c>
      <c r="AB56" s="10">
        <f t="shared" ref="AB56:AE56" si="170">+AB42/AB41</f>
        <v>0.10863233152389778</v>
      </c>
      <c r="AC56" s="10">
        <f t="shared" si="170"/>
        <v>0.11973964762652901</v>
      </c>
      <c r="AD56" s="10">
        <f t="shared" si="170"/>
        <v>0.11527193988027003</v>
      </c>
      <c r="AE56" s="10">
        <f t="shared" si="170"/>
        <v>9.4549015341094556E-2</v>
      </c>
      <c r="AF56" s="10"/>
      <c r="AG56" s="10"/>
      <c r="AH56" s="10"/>
      <c r="AI56" s="10"/>
      <c r="AP56" s="19">
        <f t="shared" ref="AP56:BB56" si="171">+AP42/AP41</f>
        <v>0.12814952091794488</v>
      </c>
      <c r="AQ56" s="19">
        <f t="shared" si="171"/>
        <v>0.21222997450690997</v>
      </c>
      <c r="AR56" s="19">
        <f t="shared" si="171"/>
        <v>0.12157926461723931</v>
      </c>
      <c r="AS56" s="19">
        <f t="shared" si="171"/>
        <v>0.16737162676592504</v>
      </c>
      <c r="AT56" s="19">
        <f t="shared" si="171"/>
        <v>0.18</v>
      </c>
      <c r="AU56" s="19">
        <f t="shared" si="171"/>
        <v>0.18</v>
      </c>
      <c r="AV56" s="19">
        <f t="shared" si="171"/>
        <v>0.18</v>
      </c>
      <c r="AW56" s="19">
        <f t="shared" si="171"/>
        <v>0.17999999999999997</v>
      </c>
      <c r="AX56" s="19">
        <f t="shared" si="171"/>
        <v>0.18</v>
      </c>
      <c r="AY56" s="19">
        <f t="shared" si="171"/>
        <v>0.18</v>
      </c>
      <c r="AZ56" s="19">
        <f t="shared" si="171"/>
        <v>0.18</v>
      </c>
      <c r="BA56" s="19">
        <f t="shared" si="171"/>
        <v>0.18</v>
      </c>
      <c r="BB56" s="19">
        <f t="shared" si="171"/>
        <v>0.18</v>
      </c>
      <c r="BF56" s="3" t="s">
        <v>113</v>
      </c>
      <c r="BG56" s="19">
        <v>0.08</v>
      </c>
    </row>
    <row r="57" spans="2:59" x14ac:dyDescent="0.25">
      <c r="S57" s="6"/>
      <c r="BF57" t="s">
        <v>114</v>
      </c>
      <c r="BG57" s="19">
        <v>-0.05</v>
      </c>
    </row>
    <row r="58" spans="2:59" x14ac:dyDescent="0.25">
      <c r="B58" t="s">
        <v>195</v>
      </c>
      <c r="Q58" s="6">
        <f t="shared" ref="Q58:S58" si="172">+Q59-Q73</f>
        <v>64833</v>
      </c>
      <c r="R58" s="6">
        <f t="shared" si="172"/>
        <v>54773</v>
      </c>
      <c r="S58" s="6">
        <f t="shared" si="172"/>
        <v>50665</v>
      </c>
      <c r="T58" s="6">
        <f t="shared" ref="T58:W58" si="173">+T59-T73</f>
        <v>47025</v>
      </c>
      <c r="U58" s="6">
        <f t="shared" si="173"/>
        <v>38382</v>
      </c>
      <c r="V58" s="6">
        <f t="shared" si="173"/>
        <v>37016</v>
      </c>
      <c r="W58" s="6">
        <f t="shared" si="173"/>
        <v>33681</v>
      </c>
      <c r="X58" s="6">
        <f t="shared" ref="X58:AE58" si="174">+X59-X73</f>
        <v>41272</v>
      </c>
      <c r="Y58" s="6">
        <f t="shared" si="174"/>
        <v>48882</v>
      </c>
      <c r="Z58" s="6">
        <f t="shared" si="174"/>
        <v>53159</v>
      </c>
      <c r="AA58" s="6">
        <f t="shared" si="174"/>
        <v>45951</v>
      </c>
      <c r="AB58" s="6">
        <f t="shared" si="174"/>
        <v>45898</v>
      </c>
      <c r="AC58" s="6">
        <f t="shared" si="174"/>
        <v>48148</v>
      </c>
      <c r="AD58" s="6">
        <f t="shared" si="174"/>
        <v>55059</v>
      </c>
      <c r="AE58" s="6">
        <f t="shared" si="174"/>
        <v>47569</v>
      </c>
      <c r="AF58" s="6"/>
      <c r="AG58" s="6"/>
      <c r="AH58" s="6"/>
      <c r="AI58" s="6"/>
      <c r="BF58" s="3" t="s">
        <v>111</v>
      </c>
      <c r="BG58" s="19">
        <v>0.02</v>
      </c>
    </row>
    <row r="59" spans="2:59" s="3" customFormat="1" x14ac:dyDescent="0.25">
      <c r="B59" s="3" t="s">
        <v>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>
        <f>17576+44378+6234</f>
        <v>68188</v>
      </c>
      <c r="O59" s="6">
        <f>19513+44706+6342</f>
        <v>70561</v>
      </c>
      <c r="P59" s="6">
        <f>16186+47894+6393</f>
        <v>70473</v>
      </c>
      <c r="Q59" s="6">
        <f>14496+43579+6758</f>
        <v>64833</v>
      </c>
      <c r="R59" s="6">
        <f>16601+31397+6775</f>
        <v>54773</v>
      </c>
      <c r="S59" s="6">
        <f>14886+29004+6775</f>
        <v>50665</v>
      </c>
      <c r="T59" s="6">
        <f>12681+27808+6536</f>
        <v>47025</v>
      </c>
      <c r="U59" s="6">
        <f>14308+27468+6528</f>
        <v>48304</v>
      </c>
      <c r="V59" s="6">
        <f>14681+26057+6201</f>
        <v>46939</v>
      </c>
      <c r="W59" s="6">
        <f>11551+25888+6167</f>
        <v>43606</v>
      </c>
      <c r="X59" s="6">
        <f>28785+24661+6208</f>
        <v>59654</v>
      </c>
      <c r="Y59" s="6">
        <f>36890+24233+6142</f>
        <v>67265</v>
      </c>
      <c r="Z59" s="6">
        <f>41862+23541+6141</f>
        <v>71544</v>
      </c>
      <c r="AA59" s="6">
        <f>32307+25813+6218</f>
        <v>64338</v>
      </c>
      <c r="AB59" s="6">
        <f>32045+26035+6207</f>
        <v>64287</v>
      </c>
      <c r="AC59" s="6">
        <f>43852+27048+6071</f>
        <v>76971</v>
      </c>
      <c r="AD59" s="6">
        <f>43889+33926+6070</f>
        <v>83885</v>
      </c>
      <c r="AE59" s="6">
        <f>28750+41480+6168</f>
        <v>76398</v>
      </c>
      <c r="AF59" s="6"/>
      <c r="AG59" s="6"/>
      <c r="AH59" s="6"/>
      <c r="AI59" s="6"/>
      <c r="AS59" s="3">
        <f>+R59</f>
        <v>54773</v>
      </c>
      <c r="AT59" s="3">
        <f>+V59</f>
        <v>46939</v>
      </c>
      <c r="AU59" s="3">
        <f t="shared" ref="AU59:BB59" si="175">+AT59+AU43</f>
        <v>101359.15280000001</v>
      </c>
      <c r="AV59" s="3">
        <f t="shared" si="175"/>
        <v>177969.03700592002</v>
      </c>
      <c r="AW59" s="3">
        <f t="shared" si="175"/>
        <v>268235.23990281712</v>
      </c>
      <c r="AX59" s="3">
        <f t="shared" si="175"/>
        <v>367317.60195822333</v>
      </c>
      <c r="AY59" s="3">
        <f t="shared" si="175"/>
        <v>473004.60447423824</v>
      </c>
      <c r="AZ59" s="3">
        <f t="shared" si="175"/>
        <v>585398.7603061758</v>
      </c>
      <c r="BA59" s="3">
        <f t="shared" si="175"/>
        <v>704619.60881672264</v>
      </c>
      <c r="BB59" s="3">
        <f t="shared" si="175"/>
        <v>830802.90353015601</v>
      </c>
      <c r="BF59" s="3" t="s">
        <v>115</v>
      </c>
      <c r="BG59" s="17">
        <f>BG55/Main!M3</f>
        <v>411.51161217299699</v>
      </c>
    </row>
    <row r="60" spans="2:59" s="3" customFormat="1" x14ac:dyDescent="0.25">
      <c r="B60" s="3" t="s">
        <v>49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>
        <v>11335</v>
      </c>
      <c r="O60" s="6">
        <v>10276</v>
      </c>
      <c r="P60" s="6">
        <v>11698</v>
      </c>
      <c r="Q60" s="6">
        <v>12088</v>
      </c>
      <c r="R60" s="6">
        <v>14039</v>
      </c>
      <c r="S60" s="6">
        <v>11390</v>
      </c>
      <c r="T60" s="6">
        <v>11525</v>
      </c>
      <c r="U60" s="6">
        <v>11227</v>
      </c>
      <c r="V60" s="6">
        <v>13466</v>
      </c>
      <c r="W60" s="6">
        <v>11044</v>
      </c>
      <c r="X60" s="6">
        <v>12511</v>
      </c>
      <c r="Y60" s="6">
        <v>12944</v>
      </c>
      <c r="Z60" s="3">
        <v>16169</v>
      </c>
      <c r="AA60" s="3">
        <v>13430</v>
      </c>
      <c r="AB60" s="3">
        <v>14505</v>
      </c>
      <c r="AC60" s="3">
        <v>14700</v>
      </c>
      <c r="AD60" s="3">
        <v>16994</v>
      </c>
      <c r="AE60" s="3">
        <v>14514</v>
      </c>
      <c r="BF60" s="3" t="s">
        <v>116</v>
      </c>
      <c r="BG60" s="19">
        <f>BG59/Main!M2-1</f>
        <v>-0.27166086341062479</v>
      </c>
    </row>
    <row r="61" spans="2:59" s="3" customFormat="1" x14ac:dyDescent="0.25">
      <c r="B61" s="3" t="s">
        <v>50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>
        <v>2381</v>
      </c>
      <c r="O61" s="6">
        <v>2827</v>
      </c>
      <c r="P61" s="6">
        <v>4919</v>
      </c>
      <c r="Q61" s="6">
        <v>5258</v>
      </c>
      <c r="R61" s="6">
        <v>4629</v>
      </c>
      <c r="S61" s="6">
        <v>3985</v>
      </c>
      <c r="T61" s="6">
        <v>3973</v>
      </c>
      <c r="U61" s="6">
        <v>5312</v>
      </c>
      <c r="V61" s="6">
        <v>5345</v>
      </c>
      <c r="W61" s="6">
        <v>4000</v>
      </c>
      <c r="X61" s="6">
        <v>3603</v>
      </c>
      <c r="Y61" s="6">
        <v>4311</v>
      </c>
      <c r="Z61" s="3">
        <v>3793</v>
      </c>
      <c r="AA61" s="3">
        <v>3780</v>
      </c>
      <c r="AB61" s="3">
        <v>3846</v>
      </c>
      <c r="AC61" s="3">
        <v>5467</v>
      </c>
      <c r="AD61" s="3">
        <v>5236</v>
      </c>
      <c r="AE61" s="3">
        <v>5483</v>
      </c>
    </row>
    <row r="62" spans="2:59" s="3" customFormat="1" x14ac:dyDescent="0.25">
      <c r="B62" s="3" t="s">
        <v>51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>
        <v>45633</v>
      </c>
      <c r="O62" s="6">
        <v>47720</v>
      </c>
      <c r="P62" s="6">
        <v>50909</v>
      </c>
      <c r="Q62" s="6">
        <v>53726</v>
      </c>
      <c r="R62" s="6">
        <v>57809</v>
      </c>
      <c r="S62" s="6">
        <v>61582</v>
      </c>
      <c r="T62" s="6">
        <v>67588</v>
      </c>
      <c r="U62" s="6">
        <v>73738</v>
      </c>
      <c r="V62" s="6">
        <v>79518</v>
      </c>
      <c r="W62" s="6">
        <v>84156</v>
      </c>
      <c r="X62" s="6">
        <v>87949</v>
      </c>
      <c r="Y62" s="6">
        <v>91772</v>
      </c>
      <c r="Z62" s="3">
        <v>96587</v>
      </c>
      <c r="AA62" s="3">
        <v>98908</v>
      </c>
      <c r="AB62" s="3">
        <v>102959</v>
      </c>
      <c r="AC62" s="3">
        <v>112162</v>
      </c>
      <c r="AD62" s="3">
        <v>121346</v>
      </c>
      <c r="AE62" s="3">
        <v>133567</v>
      </c>
    </row>
    <row r="63" spans="2:59" s="3" customFormat="1" x14ac:dyDescent="0.25">
      <c r="B63" s="3" t="s">
        <v>52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>
        <v>9348</v>
      </c>
      <c r="O63" s="6">
        <v>10202</v>
      </c>
      <c r="P63" s="6">
        <v>10525</v>
      </c>
      <c r="Q63" s="6">
        <v>11063</v>
      </c>
      <c r="R63" s="6">
        <v>12155</v>
      </c>
      <c r="S63" s="6">
        <v>12241</v>
      </c>
      <c r="T63" s="6">
        <v>14130</v>
      </c>
      <c r="U63" s="6">
        <v>13641</v>
      </c>
      <c r="V63" s="6">
        <v>12673</v>
      </c>
      <c r="W63" s="6">
        <v>12899</v>
      </c>
      <c r="X63" s="6">
        <v>12955</v>
      </c>
      <c r="Y63" s="6">
        <v>13033</v>
      </c>
      <c r="Z63" s="3">
        <v>13294</v>
      </c>
      <c r="AA63" s="3">
        <v>13555</v>
      </c>
      <c r="AB63" s="3">
        <v>14058</v>
      </c>
      <c r="AC63" s="3">
        <v>14812</v>
      </c>
      <c r="AD63" s="3">
        <v>14922</v>
      </c>
      <c r="AE63" s="3">
        <v>15505</v>
      </c>
    </row>
    <row r="64" spans="2:59" s="3" customFormat="1" x14ac:dyDescent="0.25">
      <c r="B64" s="3" t="s">
        <v>54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>
        <f>623+19050</f>
        <v>19673</v>
      </c>
      <c r="O64" s="6">
        <f>505+19056</f>
        <v>19561</v>
      </c>
      <c r="P64" s="6">
        <f>19219+514</f>
        <v>19733</v>
      </c>
      <c r="Q64" s="6">
        <f>365+19065</f>
        <v>19430</v>
      </c>
      <c r="R64" s="6">
        <f>19197+634</f>
        <v>19831</v>
      </c>
      <c r="S64" s="6">
        <f>910+19923</f>
        <v>20833</v>
      </c>
      <c r="T64" s="6">
        <f>965+20229</f>
        <v>21194</v>
      </c>
      <c r="U64" s="6">
        <f>875+20268</f>
        <v>21143</v>
      </c>
      <c r="V64" s="6">
        <f>20306+897</f>
        <v>21203</v>
      </c>
      <c r="W64" s="6">
        <f>949+20649</f>
        <v>21598</v>
      </c>
      <c r="X64" s="6">
        <f>856+20659</f>
        <v>21515</v>
      </c>
      <c r="Y64" s="6">
        <f>813+20668</f>
        <v>21481</v>
      </c>
      <c r="Z64" s="3">
        <f>788+20654</f>
        <v>21442</v>
      </c>
      <c r="AA64" s="3">
        <v>20654</v>
      </c>
      <c r="AB64" s="3">
        <v>20654</v>
      </c>
      <c r="AC64" s="3">
        <v>20654</v>
      </c>
      <c r="AD64" s="3">
        <v>20654</v>
      </c>
      <c r="AE64" s="3">
        <v>20654</v>
      </c>
    </row>
    <row r="65" spans="2:35" s="3" customFormat="1" x14ac:dyDescent="0.25">
      <c r="B65" s="3" t="s">
        <v>55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>
        <v>2758</v>
      </c>
      <c r="O65" s="6">
        <v>2376</v>
      </c>
      <c r="P65" s="6">
        <v>2352</v>
      </c>
      <c r="Q65" s="6">
        <v>3187</v>
      </c>
      <c r="R65" s="6">
        <v>2751</v>
      </c>
      <c r="S65" s="6">
        <v>3522</v>
      </c>
      <c r="T65" s="6">
        <v>4344</v>
      </c>
      <c r="U65" s="6">
        <v>5529</v>
      </c>
      <c r="V65" s="6">
        <v>6583</v>
      </c>
      <c r="W65" s="6">
        <v>7188</v>
      </c>
      <c r="X65" s="6">
        <v>8501</v>
      </c>
      <c r="Y65" s="6">
        <v>5468</v>
      </c>
      <c r="Z65" s="3">
        <v>6794</v>
      </c>
      <c r="AA65" s="3">
        <v>8179</v>
      </c>
      <c r="AB65" s="3">
        <v>9929</v>
      </c>
      <c r="AC65" s="3">
        <v>11642</v>
      </c>
      <c r="AD65" s="3">
        <v>13017</v>
      </c>
      <c r="AE65" s="3">
        <v>14092</v>
      </c>
    </row>
    <row r="66" spans="2:35" s="3" customFormat="1" x14ac:dyDescent="0.25">
      <c r="B66" s="3" t="s">
        <v>53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>
        <f t="shared" ref="N66:O66" si="176">SUM(N59:N65)</f>
        <v>159316</v>
      </c>
      <c r="O66" s="6">
        <f t="shared" si="176"/>
        <v>163523</v>
      </c>
      <c r="P66" s="6">
        <f t="shared" ref="P66:Q66" si="177">SUM(P59:P65)</f>
        <v>170609</v>
      </c>
      <c r="Q66" s="6">
        <f t="shared" si="177"/>
        <v>169585</v>
      </c>
      <c r="R66" s="6">
        <f t="shared" ref="R66" si="178">SUM(R59:R65)</f>
        <v>165987</v>
      </c>
      <c r="S66" s="6">
        <f>SUM(S59:S65)</f>
        <v>164218</v>
      </c>
      <c r="T66" s="6">
        <f>SUM(T59:T65)</f>
        <v>169779</v>
      </c>
      <c r="U66" s="6">
        <f>SUM(U59:U65)</f>
        <v>178894</v>
      </c>
      <c r="V66" s="6">
        <f t="shared" ref="V66:AE66" si="179">SUM(V59:V65)</f>
        <v>185727</v>
      </c>
      <c r="W66" s="6">
        <f t="shared" si="179"/>
        <v>184491</v>
      </c>
      <c r="X66" s="6">
        <f t="shared" si="179"/>
        <v>206688</v>
      </c>
      <c r="Y66" s="6">
        <f t="shared" si="179"/>
        <v>216274</v>
      </c>
      <c r="Z66" s="6">
        <f t="shared" si="179"/>
        <v>229623</v>
      </c>
      <c r="AA66" s="6">
        <f t="shared" si="179"/>
        <v>222844</v>
      </c>
      <c r="AB66" s="6">
        <f t="shared" si="179"/>
        <v>230238</v>
      </c>
      <c r="AC66" s="6">
        <f t="shared" si="179"/>
        <v>256408</v>
      </c>
      <c r="AD66" s="6">
        <f t="shared" si="179"/>
        <v>276054</v>
      </c>
      <c r="AE66" s="6">
        <f t="shared" si="179"/>
        <v>280213</v>
      </c>
    </row>
    <row r="67" spans="2:35" x14ac:dyDescent="0.25">
      <c r="S67" s="6"/>
    </row>
    <row r="68" spans="2:35" x14ac:dyDescent="0.25">
      <c r="B68" t="s">
        <v>56</v>
      </c>
      <c r="N68" s="6">
        <v>1331</v>
      </c>
      <c r="O68" s="6">
        <v>878</v>
      </c>
      <c r="P68" s="6">
        <v>973</v>
      </c>
      <c r="Q68" s="6">
        <v>2195</v>
      </c>
      <c r="R68" s="6">
        <v>4083</v>
      </c>
      <c r="S68" s="6">
        <v>3246</v>
      </c>
      <c r="T68" s="6">
        <v>4008</v>
      </c>
      <c r="U68" s="6">
        <v>3871</v>
      </c>
      <c r="V68" s="6">
        <v>4990</v>
      </c>
      <c r="W68" s="6">
        <v>3672</v>
      </c>
      <c r="X68" s="6">
        <v>3093</v>
      </c>
      <c r="Y68" s="6">
        <v>4372</v>
      </c>
      <c r="Z68" s="3">
        <v>4849</v>
      </c>
      <c r="AA68" s="6">
        <v>3785</v>
      </c>
      <c r="AB68" s="3">
        <v>3173</v>
      </c>
      <c r="AC68" s="3">
        <v>7656</v>
      </c>
      <c r="AD68" s="3">
        <v>7687</v>
      </c>
      <c r="AE68" s="3">
        <v>8512</v>
      </c>
    </row>
    <row r="69" spans="2:35" x14ac:dyDescent="0.25">
      <c r="B69" t="s">
        <v>57</v>
      </c>
      <c r="N69" s="6">
        <v>1093</v>
      </c>
      <c r="O69" s="6">
        <v>1006</v>
      </c>
      <c r="P69" s="6">
        <v>949</v>
      </c>
      <c r="Q69" s="6">
        <v>909</v>
      </c>
      <c r="R69" s="6">
        <v>1052</v>
      </c>
      <c r="S69" s="6">
        <v>935</v>
      </c>
      <c r="T69" s="6">
        <v>982</v>
      </c>
      <c r="U69" s="6">
        <v>975</v>
      </c>
      <c r="V69" s="6">
        <v>1117</v>
      </c>
      <c r="W69" s="6">
        <v>885</v>
      </c>
      <c r="X69" s="6">
        <v>772</v>
      </c>
      <c r="Y69" s="6">
        <v>770</v>
      </c>
      <c r="Z69" s="3">
        <v>863</v>
      </c>
      <c r="AA69" s="6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5" x14ac:dyDescent="0.25">
      <c r="B70" t="s">
        <v>58</v>
      </c>
      <c r="N70" s="6">
        <f>1023+9631</f>
        <v>10654</v>
      </c>
      <c r="O70" s="6">
        <f>1040+10574</f>
        <v>11614</v>
      </c>
      <c r="P70" s="6">
        <f>1051+10956</f>
        <v>12007</v>
      </c>
      <c r="Q70" s="6">
        <f>1086+11554</f>
        <v>12640</v>
      </c>
      <c r="R70" s="6">
        <f>1127+12746</f>
        <v>13873</v>
      </c>
      <c r="S70" s="6">
        <f>1159+12894</f>
        <v>14053</v>
      </c>
      <c r="T70" s="6">
        <f>1275+14792</f>
        <v>16067</v>
      </c>
      <c r="U70" s="6">
        <f>1291+14687</f>
        <v>15978</v>
      </c>
      <c r="V70" s="6">
        <f>1367+15301</f>
        <v>16668</v>
      </c>
      <c r="W70" s="6">
        <f>1479+16171</f>
        <v>17650</v>
      </c>
      <c r="X70" s="6">
        <f>1396+16440</f>
        <v>17836</v>
      </c>
      <c r="Y70" s="6">
        <f>1460+16374</f>
        <v>17834</v>
      </c>
      <c r="Z70" s="3">
        <f>1623+17226</f>
        <v>18849</v>
      </c>
      <c r="AA70" s="6">
        <f>1676+17570</f>
        <v>19246</v>
      </c>
      <c r="AB70" s="3">
        <f>1917+17685</f>
        <v>19602</v>
      </c>
      <c r="AC70" s="3">
        <f>18208+2016</f>
        <v>20224</v>
      </c>
      <c r="AD70" s="3">
        <f>1942+18292</f>
        <v>20234</v>
      </c>
      <c r="AE70" s="3">
        <f>1976+18714</f>
        <v>20690</v>
      </c>
    </row>
    <row r="71" spans="2:35" x14ac:dyDescent="0.25">
      <c r="B71" t="s">
        <v>59</v>
      </c>
      <c r="N71" s="6">
        <v>11152</v>
      </c>
      <c r="O71" s="6">
        <v>9411</v>
      </c>
      <c r="P71" s="6">
        <v>11510</v>
      </c>
      <c r="Q71" s="6">
        <v>13158</v>
      </c>
      <c r="R71" s="6">
        <v>14312</v>
      </c>
      <c r="S71" s="6">
        <v>15226</v>
      </c>
      <c r="T71" s="6">
        <v>15420</v>
      </c>
      <c r="U71" s="6">
        <v>16036</v>
      </c>
      <c r="V71" s="6">
        <v>19552</v>
      </c>
      <c r="W71" s="6">
        <v>19345</v>
      </c>
      <c r="X71" s="6">
        <v>24660</v>
      </c>
      <c r="Y71" s="6">
        <v>23929</v>
      </c>
      <c r="Z71" s="3">
        <v>24625</v>
      </c>
      <c r="AA71" s="6">
        <v>22640</v>
      </c>
      <c r="AB71" s="3">
        <v>21914</v>
      </c>
      <c r="AC71" s="3">
        <v>23658</v>
      </c>
      <c r="AD71" s="3">
        <v>23967</v>
      </c>
      <c r="AE71" s="3">
        <v>23402</v>
      </c>
    </row>
    <row r="72" spans="2:35" x14ac:dyDescent="0.25">
      <c r="B72" t="s">
        <v>60</v>
      </c>
      <c r="N72" s="6">
        <v>382</v>
      </c>
      <c r="O72" s="6">
        <v>382</v>
      </c>
      <c r="P72" s="6">
        <v>391</v>
      </c>
      <c r="Q72" s="6">
        <v>464</v>
      </c>
      <c r="R72" s="6">
        <v>561</v>
      </c>
      <c r="S72" s="6">
        <v>520</v>
      </c>
      <c r="T72" s="6">
        <v>532</v>
      </c>
      <c r="U72" s="6">
        <v>514</v>
      </c>
      <c r="V72" s="6">
        <v>0</v>
      </c>
      <c r="W72" s="6"/>
      <c r="X72" s="6"/>
      <c r="Y72" s="6"/>
      <c r="Z72" s="3"/>
      <c r="AA72" s="6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5" x14ac:dyDescent="0.25">
      <c r="B73" t="s">
        <v>5</v>
      </c>
      <c r="N73" s="6"/>
      <c r="O73" s="6"/>
      <c r="P73" s="6"/>
      <c r="Q73" s="6"/>
      <c r="R73" s="6"/>
      <c r="S73" s="6"/>
      <c r="T73" s="6"/>
      <c r="U73" s="6">
        <v>9922</v>
      </c>
      <c r="V73" s="6">
        <v>9923</v>
      </c>
      <c r="W73" s="6">
        <v>9925</v>
      </c>
      <c r="X73" s="6">
        <v>18382</v>
      </c>
      <c r="Y73" s="6">
        <v>18383</v>
      </c>
      <c r="Z73" s="6">
        <v>18385</v>
      </c>
      <c r="AA73" s="6">
        <v>18387</v>
      </c>
      <c r="AB73" s="6">
        <v>18389</v>
      </c>
      <c r="AC73" s="6">
        <v>28823</v>
      </c>
      <c r="AD73" s="6">
        <v>28826</v>
      </c>
      <c r="AE73" s="6">
        <v>28829</v>
      </c>
      <c r="AF73" s="6"/>
      <c r="AG73" s="6"/>
      <c r="AH73" s="6"/>
      <c r="AI73" s="6"/>
    </row>
    <row r="74" spans="2:35" x14ac:dyDescent="0.25">
      <c r="B74" t="s">
        <v>65</v>
      </c>
      <c r="N74" s="6">
        <v>6414</v>
      </c>
      <c r="O74" s="6">
        <v>6575</v>
      </c>
      <c r="P74" s="6">
        <v>6552</v>
      </c>
      <c r="Q74" s="6">
        <v>6859</v>
      </c>
      <c r="R74" s="6">
        <v>7227</v>
      </c>
      <c r="S74" s="6">
        <v>7010</v>
      </c>
      <c r="T74" s="6">
        <v>7003</v>
      </c>
      <c r="U74" s="6">
        <v>7504</v>
      </c>
      <c r="V74" s="6">
        <v>7764</v>
      </c>
      <c r="W74" s="6">
        <v>8219</v>
      </c>
      <c r="X74" s="6">
        <v>7912</v>
      </c>
      <c r="Y74" s="6">
        <v>8113</v>
      </c>
      <c r="Z74" s="3">
        <v>8884</v>
      </c>
      <c r="AA74" s="6">
        <f>1462+7795</f>
        <v>9257</v>
      </c>
      <c r="AB74" s="3">
        <f>7897+2500</f>
        <v>10397</v>
      </c>
      <c r="AC74" s="3">
        <f>2347+9171</f>
        <v>11518</v>
      </c>
      <c r="AD74" s="3">
        <f>9987+2716</f>
        <v>12703</v>
      </c>
      <c r="AE74" s="3">
        <f>10991+2760</f>
        <v>13751</v>
      </c>
    </row>
    <row r="75" spans="2:35" x14ac:dyDescent="0.25">
      <c r="B75" t="s">
        <v>64</v>
      </c>
      <c r="N75" s="6">
        <v>50018</v>
      </c>
      <c r="O75" s="6">
        <v>51160</v>
      </c>
      <c r="P75" s="6">
        <v>52845</v>
      </c>
      <c r="Q75" s="6">
        <v>54334</v>
      </c>
      <c r="R75" s="6">
        <v>55811</v>
      </c>
      <c r="S75" s="6">
        <v>57512</v>
      </c>
      <c r="T75" s="6">
        <v>59929</v>
      </c>
      <c r="U75" s="6">
        <v>62092</v>
      </c>
      <c r="V75" s="6">
        <v>64444</v>
      </c>
      <c r="W75" s="6">
        <v>66535</v>
      </c>
      <c r="X75" s="6">
        <v>69159</v>
      </c>
      <c r="Y75" s="6">
        <v>71224</v>
      </c>
      <c r="Z75" s="3">
        <v>73253</v>
      </c>
      <c r="AA75" s="6">
        <v>75391</v>
      </c>
      <c r="AB75" s="3">
        <v>78270</v>
      </c>
      <c r="AC75" s="3">
        <v>80749</v>
      </c>
      <c r="AD75" s="3">
        <v>83228</v>
      </c>
      <c r="AE75" s="3">
        <v>85568</v>
      </c>
    </row>
    <row r="76" spans="2:35" x14ac:dyDescent="0.25">
      <c r="B76" t="s">
        <v>63</v>
      </c>
      <c r="N76" s="6">
        <v>927</v>
      </c>
      <c r="O76" s="6">
        <v>154</v>
      </c>
      <c r="P76" s="6">
        <v>285</v>
      </c>
      <c r="Q76" s="6">
        <v>-207</v>
      </c>
      <c r="R76" s="6">
        <v>-693</v>
      </c>
      <c r="S76" s="6">
        <v>-1996</v>
      </c>
      <c r="T76" s="6">
        <v>-3411</v>
      </c>
      <c r="U76" s="6">
        <v>-5054</v>
      </c>
      <c r="V76" s="6">
        <v>-3530</v>
      </c>
      <c r="W76" s="6">
        <v>-2981</v>
      </c>
      <c r="X76" s="6">
        <v>-3106</v>
      </c>
      <c r="Y76" s="6">
        <v>-3556</v>
      </c>
      <c r="Z76" s="3">
        <v>-2155</v>
      </c>
      <c r="AA76" s="6">
        <v>-2655</v>
      </c>
      <c r="AB76" s="3">
        <v>-2695</v>
      </c>
      <c r="AC76" s="3">
        <v>-1192</v>
      </c>
      <c r="AD76" s="3">
        <v>-3097</v>
      </c>
      <c r="AE76" s="3">
        <v>-1865</v>
      </c>
    </row>
    <row r="77" spans="2:35" x14ac:dyDescent="0.25">
      <c r="B77" t="s">
        <v>62</v>
      </c>
      <c r="N77" s="6">
        <v>77345</v>
      </c>
      <c r="O77" s="6">
        <v>82343</v>
      </c>
      <c r="P77" s="6">
        <v>85097</v>
      </c>
      <c r="Q77" s="6">
        <v>79233</v>
      </c>
      <c r="R77" s="6">
        <v>69761</v>
      </c>
      <c r="S77" s="6">
        <v>67712</v>
      </c>
      <c r="T77" s="6">
        <v>69249</v>
      </c>
      <c r="U77" s="6">
        <v>67056</v>
      </c>
      <c r="V77" s="6">
        <v>64799</v>
      </c>
      <c r="W77" s="6">
        <v>61241</v>
      </c>
      <c r="X77" s="6">
        <v>67980</v>
      </c>
      <c r="Y77" s="6">
        <v>75205</v>
      </c>
      <c r="Z77" s="3">
        <v>82070</v>
      </c>
      <c r="AA77" s="6">
        <v>76793</v>
      </c>
      <c r="AB77" s="6">
        <v>81188</v>
      </c>
      <c r="AC77" s="3">
        <v>84972</v>
      </c>
      <c r="AD77" s="3">
        <v>102506</v>
      </c>
      <c r="AE77" s="3">
        <v>101326</v>
      </c>
    </row>
    <row r="78" spans="2:35" x14ac:dyDescent="0.25">
      <c r="B78" t="s">
        <v>61</v>
      </c>
      <c r="N78" s="6">
        <f t="shared" ref="N78:O78" si="180">SUM(N68:N77)</f>
        <v>159316</v>
      </c>
      <c r="O78" s="6">
        <f t="shared" si="180"/>
        <v>163523</v>
      </c>
      <c r="P78" s="6">
        <f t="shared" ref="P78:Q78" si="181">SUM(P68:P77)</f>
        <v>170609</v>
      </c>
      <c r="Q78" s="6">
        <f t="shared" si="181"/>
        <v>169585</v>
      </c>
      <c r="R78" s="6">
        <f t="shared" ref="R78:U78" si="182">SUM(R68:R77)</f>
        <v>165987</v>
      </c>
      <c r="S78" s="6">
        <f t="shared" si="182"/>
        <v>164218</v>
      </c>
      <c r="T78" s="6">
        <f t="shared" si="182"/>
        <v>169779</v>
      </c>
      <c r="U78" s="6">
        <f t="shared" si="182"/>
        <v>178894</v>
      </c>
      <c r="V78" s="6">
        <f>SUM(V68:V77)</f>
        <v>185727</v>
      </c>
      <c r="W78" s="6">
        <f>SUM(W68:W77)</f>
        <v>184491</v>
      </c>
      <c r="X78" s="6">
        <f>SUM(X68:X77)</f>
        <v>206688</v>
      </c>
      <c r="Y78" s="6">
        <f>SUM(Y68:Y77)</f>
        <v>216274</v>
      </c>
      <c r="Z78" s="6">
        <f>SUM(Z68:Z77)</f>
        <v>229623</v>
      </c>
      <c r="AA78" s="6">
        <f t="shared" ref="AA78:AE78" si="183">SUM(AA68:AA77)</f>
        <v>222844</v>
      </c>
      <c r="AB78" s="6">
        <f t="shared" si="183"/>
        <v>230238</v>
      </c>
      <c r="AC78" s="6">
        <f t="shared" si="183"/>
        <v>256408</v>
      </c>
      <c r="AD78" s="6">
        <f t="shared" si="183"/>
        <v>276054</v>
      </c>
      <c r="AE78" s="6">
        <f t="shared" si="183"/>
        <v>280213</v>
      </c>
    </row>
    <row r="79" spans="2:35" x14ac:dyDescent="0.25">
      <c r="S79" s="6"/>
    </row>
    <row r="80" spans="2:35" x14ac:dyDescent="0.25">
      <c r="B80" t="s">
        <v>66</v>
      </c>
      <c r="O80" s="6">
        <f t="shared" ref="O80:Z80" si="184">O43</f>
        <v>9497</v>
      </c>
      <c r="P80" s="6">
        <f t="shared" si="184"/>
        <v>10394</v>
      </c>
      <c r="Q80" s="6">
        <f t="shared" si="184"/>
        <v>9194</v>
      </c>
      <c r="R80" s="6">
        <f t="shared" si="184"/>
        <v>10285</v>
      </c>
      <c r="S80" s="6">
        <f t="shared" si="184"/>
        <v>7465</v>
      </c>
      <c r="T80" s="6">
        <f t="shared" si="184"/>
        <v>6687</v>
      </c>
      <c r="U80" s="6">
        <f t="shared" si="184"/>
        <v>4395</v>
      </c>
      <c r="V80" s="6">
        <f>V43</f>
        <v>4652</v>
      </c>
      <c r="W80" s="6">
        <f t="shared" si="184"/>
        <v>8374.1444999999985</v>
      </c>
      <c r="X80" s="6">
        <f t="shared" si="184"/>
        <v>9658</v>
      </c>
      <c r="Y80" s="6">
        <f t="shared" si="184"/>
        <v>11583</v>
      </c>
      <c r="Z80" s="6">
        <f t="shared" si="184"/>
        <v>13288.690000000002</v>
      </c>
      <c r="AA80" s="6">
        <f t="shared" ref="AA80:AE80" si="185">AA43</f>
        <v>12369</v>
      </c>
      <c r="AB80" s="6">
        <f t="shared" si="185"/>
        <v>13465</v>
      </c>
      <c r="AC80" s="6">
        <f t="shared" si="185"/>
        <v>15688</v>
      </c>
      <c r="AD80" s="6">
        <f t="shared" si="185"/>
        <v>20838</v>
      </c>
      <c r="AE80" s="6">
        <f t="shared" si="185"/>
        <v>16644</v>
      </c>
    </row>
    <row r="81" spans="2:31" x14ac:dyDescent="0.25">
      <c r="B81" t="s">
        <v>67</v>
      </c>
      <c r="O81" s="6">
        <v>9497</v>
      </c>
      <c r="P81" s="6">
        <f>19892-O81</f>
        <v>10395</v>
      </c>
      <c r="Q81" s="6">
        <f>29085-P81-O81</f>
        <v>9193</v>
      </c>
      <c r="R81" s="6">
        <v>10285</v>
      </c>
      <c r="S81" s="6">
        <v>7465</v>
      </c>
      <c r="T81" s="6">
        <v>6687</v>
      </c>
      <c r="U81" s="6">
        <f>18547-T81-S81</f>
        <v>4395</v>
      </c>
      <c r="V81" s="6">
        <f>23200-U81-T81-S81</f>
        <v>4653</v>
      </c>
      <c r="W81" s="6">
        <v>5709</v>
      </c>
      <c r="X81" s="6">
        <f>13498-W81</f>
        <v>7789</v>
      </c>
      <c r="Y81" s="6">
        <f>25081-X81-W81</f>
        <v>11583</v>
      </c>
      <c r="Z81" s="3">
        <f>39098-Y81-X81-W81</f>
        <v>14017</v>
      </c>
      <c r="AA81" s="3">
        <v>12369</v>
      </c>
      <c r="AB81" s="3">
        <f>25834-AA81</f>
        <v>13465</v>
      </c>
      <c r="AC81" s="3">
        <f>41522-AB81-AA81</f>
        <v>15688</v>
      </c>
      <c r="AD81" s="3">
        <f>62360-AC81-AB81-AA81</f>
        <v>20838</v>
      </c>
      <c r="AE81" s="3">
        <v>16644</v>
      </c>
    </row>
    <row r="82" spans="2:31" x14ac:dyDescent="0.25">
      <c r="B82" t="s">
        <v>69</v>
      </c>
      <c r="O82" s="6">
        <v>1972</v>
      </c>
      <c r="P82" s="6">
        <f>3958-O82</f>
        <v>1986</v>
      </c>
      <c r="Q82" s="6">
        <f>5953-P82-O82</f>
        <v>1995</v>
      </c>
      <c r="R82" s="6">
        <v>2014</v>
      </c>
      <c r="S82" s="6">
        <v>2156</v>
      </c>
      <c r="T82" s="6">
        <v>1979</v>
      </c>
      <c r="U82" s="6">
        <f>6310-T82-S82</f>
        <v>2175</v>
      </c>
      <c r="V82" s="6">
        <f>8686-U82-T82-S82</f>
        <v>2376</v>
      </c>
      <c r="W82" s="6">
        <v>2524</v>
      </c>
      <c r="X82" s="6">
        <f>5147-W82</f>
        <v>2623</v>
      </c>
      <c r="Y82" s="6">
        <f>8006-X82-W82</f>
        <v>2859</v>
      </c>
      <c r="Z82" s="3">
        <f>11178-Y82-X82-W82</f>
        <v>3172</v>
      </c>
      <c r="AA82" s="3">
        <v>3374</v>
      </c>
      <c r="AB82" s="3">
        <f>7011-AA82</f>
        <v>3637</v>
      </c>
      <c r="AC82" s="3">
        <f>11038-AB82-AA82</f>
        <v>4027</v>
      </c>
      <c r="AD82" s="3">
        <f>15498-AC82-AB82-AA82</f>
        <v>4460</v>
      </c>
      <c r="AE82" s="3">
        <v>3900</v>
      </c>
    </row>
    <row r="83" spans="2:31" x14ac:dyDescent="0.25">
      <c r="B83" t="s">
        <v>70</v>
      </c>
      <c r="O83" s="6">
        <v>1830</v>
      </c>
      <c r="P83" s="6">
        <f>4379-O83</f>
        <v>2549</v>
      </c>
      <c r="Q83" s="6">
        <f>6757-P83-O83</f>
        <v>2378</v>
      </c>
      <c r="R83" s="6">
        <v>2406</v>
      </c>
      <c r="S83" s="6">
        <v>2498</v>
      </c>
      <c r="T83" s="6">
        <v>3351</v>
      </c>
      <c r="U83" s="6">
        <f>8984-T83-S83</f>
        <v>3135</v>
      </c>
      <c r="V83" s="6">
        <f>11992-U83-T83-S83</f>
        <v>3008</v>
      </c>
      <c r="W83" s="6">
        <v>3051</v>
      </c>
      <c r="X83" s="6">
        <f>7111-W83</f>
        <v>4060</v>
      </c>
      <c r="Y83" s="6">
        <f>10603-X83-W83</f>
        <v>3492</v>
      </c>
      <c r="Z83" s="3">
        <f>14027-Y83-X83-W83</f>
        <v>3424</v>
      </c>
      <c r="AA83" s="3">
        <v>3562</v>
      </c>
      <c r="AB83" s="3">
        <f>8178-AA83</f>
        <v>4616</v>
      </c>
      <c r="AC83" s="3">
        <f>12428-AB83-AA83</f>
        <v>4250</v>
      </c>
      <c r="AD83" s="3">
        <f>16690-AC83-AB83-AA83</f>
        <v>4262</v>
      </c>
      <c r="AE83" s="3">
        <v>4147</v>
      </c>
    </row>
    <row r="84" spans="2:31" x14ac:dyDescent="0.25">
      <c r="B84" t="s">
        <v>71</v>
      </c>
      <c r="O84" s="6">
        <v>418</v>
      </c>
      <c r="P84" s="6">
        <f>647-O84</f>
        <v>229</v>
      </c>
      <c r="Q84" s="6">
        <f>-139-P84-O84</f>
        <v>-786</v>
      </c>
      <c r="R84" s="6">
        <v>748</v>
      </c>
      <c r="S84" s="6">
        <v>-563</v>
      </c>
      <c r="T84" s="6">
        <v>-453</v>
      </c>
      <c r="U84" s="6">
        <f>-2113-T84-S84</f>
        <v>-1097</v>
      </c>
      <c r="V84" s="6">
        <f>-3286-U84-T84-S84</f>
        <v>-1173</v>
      </c>
      <c r="W84" s="6">
        <v>-620</v>
      </c>
      <c r="X84" s="6">
        <f>-1757-W84</f>
        <v>-1137</v>
      </c>
      <c r="Y84" s="6">
        <f>1292-X84-W84</f>
        <v>3049</v>
      </c>
      <c r="Z84" s="3">
        <f>131-Y84-X84-W84</f>
        <v>-1161</v>
      </c>
      <c r="AA84" s="3">
        <v>-456</v>
      </c>
      <c r="AB84" s="3">
        <f>-2098-AA84</f>
        <v>-1642</v>
      </c>
      <c r="AC84" s="3">
        <f>-3406-AB84-AA84</f>
        <v>-1308</v>
      </c>
      <c r="AD84" s="3">
        <f>-4738-AC84-AB84-AA84</f>
        <v>-1332</v>
      </c>
      <c r="AE84" s="3">
        <v>-993</v>
      </c>
    </row>
    <row r="85" spans="2:31" x14ac:dyDescent="0.25">
      <c r="B85" t="s">
        <v>55</v>
      </c>
      <c r="O85" s="6">
        <v>-66</v>
      </c>
      <c r="P85" s="6">
        <f>-88-O85</f>
        <v>-22</v>
      </c>
      <c r="Q85" s="6">
        <f>-161-P85-O85</f>
        <v>-73</v>
      </c>
      <c r="R85" s="6">
        <v>34</v>
      </c>
      <c r="S85" s="6">
        <v>-221</v>
      </c>
      <c r="T85" s="6">
        <v>189</v>
      </c>
      <c r="U85" s="6">
        <f>413-T85-S85+71</f>
        <v>516</v>
      </c>
      <c r="V85" s="6">
        <f>2218+1341+463+178-U85-T85-S85</f>
        <v>3716</v>
      </c>
      <c r="W85" s="6">
        <f>770-7</f>
        <v>763</v>
      </c>
      <c r="X85" s="6">
        <f>1002-W85+204</f>
        <v>443</v>
      </c>
      <c r="Y85" s="6">
        <f>1342+278-X85-W85</f>
        <v>414</v>
      </c>
      <c r="Z85" s="3">
        <f>2432-224+635-Y85-X85-W85</f>
        <v>1223</v>
      </c>
      <c r="AA85" s="3">
        <f>240-66</f>
        <v>174</v>
      </c>
      <c r="AB85" s="3">
        <f>280-71-AA85</f>
        <v>35</v>
      </c>
      <c r="AC85" s="3">
        <f>288-82-AB85-AA85</f>
        <v>-3</v>
      </c>
      <c r="AD85" s="3">
        <f>383+87-AC85-AB85-AA85</f>
        <v>264</v>
      </c>
      <c r="AE85" s="3">
        <v>-231</v>
      </c>
    </row>
    <row r="86" spans="2:31" x14ac:dyDescent="0.25">
      <c r="B86" t="s">
        <v>72</v>
      </c>
      <c r="O86" s="6">
        <f>849-461-10-250-72-1681+6+210</f>
        <v>-1409</v>
      </c>
      <c r="P86" s="6">
        <f>-517-2313-195-134-133-200+9+184-O86</f>
        <v>-1890</v>
      </c>
      <c r="Q86" s="6">
        <f>-1072-2566-184+560-163+895+87+527-P86-O86</f>
        <v>1383</v>
      </c>
      <c r="R86" s="6">
        <f>-2038+817-165+876+151+2462+100+414</f>
        <v>2617</v>
      </c>
      <c r="S86" s="6">
        <f>2557+573-108-882-105+763-52-5</f>
        <v>2741</v>
      </c>
      <c r="T86" s="6">
        <f>-522-435-25+237+73+1180+24-88</f>
        <v>444</v>
      </c>
      <c r="U86" s="6">
        <f>1930-693-160-666-12+2942-35+446-T86-S86</f>
        <v>567</v>
      </c>
      <c r="V86" s="6">
        <f>231+162-106+210+90+4210+886-U86-T86-S86</f>
        <v>1931</v>
      </c>
      <c r="W86" s="6">
        <f>2546+821+30-1104-240+334+184</f>
        <v>2571</v>
      </c>
      <c r="X86" s="6">
        <f>1122+767+67-1155-356+5624+33-W86</f>
        <v>3531</v>
      </c>
      <c r="Y86" s="6">
        <f>444-141+31-543-347+5702-39-X86-W86</f>
        <v>-995</v>
      </c>
      <c r="Z86" s="3">
        <f>-2399+559-80+51-271+5352+624-Y86-X86-W86</f>
        <v>-1271</v>
      </c>
      <c r="AA86" s="3">
        <f>2520+100-94-1112-1274+83</f>
        <v>223</v>
      </c>
      <c r="AB86" s="3">
        <f>1350+16-41-862-1771+790-AA86</f>
        <v>-741</v>
      </c>
      <c r="AC86" s="3">
        <f>1493-168-70-195-1199+1691-AB86-AA86</f>
        <v>2070</v>
      </c>
      <c r="AD86" s="3">
        <f>-1485-698-270+373+323+2805-AC86-AB86-AA86</f>
        <v>-504</v>
      </c>
      <c r="AE86" s="3">
        <f>2804+360-52-1034-2231+712</f>
        <v>559</v>
      </c>
    </row>
    <row r="87" spans="2:31" x14ac:dyDescent="0.25">
      <c r="B87" t="s">
        <v>68</v>
      </c>
      <c r="O87" s="6">
        <f t="shared" ref="O87:X87" si="186">SUM(O81:O86)</f>
        <v>12242</v>
      </c>
      <c r="P87" s="6">
        <f t="shared" si="186"/>
        <v>13247</v>
      </c>
      <c r="Q87" s="6">
        <f t="shared" si="186"/>
        <v>14090</v>
      </c>
      <c r="R87" s="6">
        <f t="shared" si="186"/>
        <v>18104</v>
      </c>
      <c r="S87" s="6">
        <f t="shared" si="186"/>
        <v>14076</v>
      </c>
      <c r="T87" s="6">
        <f t="shared" si="186"/>
        <v>12197</v>
      </c>
      <c r="U87" s="6">
        <f t="shared" si="186"/>
        <v>9691</v>
      </c>
      <c r="V87" s="6">
        <f t="shared" si="186"/>
        <v>14511</v>
      </c>
      <c r="W87" s="6">
        <f t="shared" si="186"/>
        <v>13998</v>
      </c>
      <c r="X87" s="6">
        <f t="shared" si="186"/>
        <v>17309</v>
      </c>
      <c r="Y87" s="6">
        <f t="shared" ref="Y87:AE87" si="187">SUM(Y81:Y86)</f>
        <v>20402</v>
      </c>
      <c r="Z87" s="6">
        <f t="shared" si="187"/>
        <v>19404</v>
      </c>
      <c r="AA87" s="3">
        <f t="shared" si="187"/>
        <v>19246</v>
      </c>
      <c r="AB87" s="3">
        <f t="shared" si="187"/>
        <v>19370</v>
      </c>
      <c r="AC87" s="3">
        <f t="shared" si="187"/>
        <v>24724</v>
      </c>
      <c r="AD87" s="3">
        <f t="shared" si="187"/>
        <v>27988</v>
      </c>
      <c r="AE87" s="3">
        <f t="shared" si="187"/>
        <v>24026</v>
      </c>
    </row>
    <row r="88" spans="2:31" x14ac:dyDescent="0.25">
      <c r="S88" s="6"/>
      <c r="T88" s="6"/>
    </row>
    <row r="89" spans="2:31" s="3" customFormat="1" x14ac:dyDescent="0.25">
      <c r="B89" s="3" t="s">
        <v>73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>
        <v>-4272</v>
      </c>
      <c r="P89" s="6">
        <f>-8884-O89</f>
        <v>-4612</v>
      </c>
      <c r="Q89" s="6">
        <f>-13198-P89-O89</f>
        <v>-4314</v>
      </c>
      <c r="R89" s="6">
        <v>-5370</v>
      </c>
      <c r="S89" s="6">
        <f>-5441+126</f>
        <v>-5315</v>
      </c>
      <c r="T89" s="6">
        <f>-7572+44</f>
        <v>-7528</v>
      </c>
      <c r="U89" s="6">
        <f>-22388-T89-S89+190</f>
        <v>-9355</v>
      </c>
      <c r="V89" s="6">
        <f>-31431+245-U89-T89-S89</f>
        <v>-8988</v>
      </c>
      <c r="W89" s="6">
        <f>-6842+19</f>
        <v>-6823</v>
      </c>
      <c r="X89" s="6">
        <f>-13058-W89+101</f>
        <v>-6134</v>
      </c>
      <c r="Y89" s="6">
        <f>-19601+148-X89-W89</f>
        <v>-6496</v>
      </c>
      <c r="Z89" s="3">
        <f>-27266-Y89-X89-W89+221</f>
        <v>-7592</v>
      </c>
      <c r="AA89" s="3">
        <v>-6400</v>
      </c>
      <c r="AB89" s="3">
        <f>-14573-AA89</f>
        <v>-8173</v>
      </c>
      <c r="AC89" s="3">
        <f>-22831-AB89-AA89</f>
        <v>-8258</v>
      </c>
      <c r="AD89" s="3">
        <f>-37256-AC89-AB89-AA89</f>
        <v>-14425</v>
      </c>
      <c r="AE89" s="3">
        <v>-12941</v>
      </c>
    </row>
    <row r="90" spans="2:31" s="3" customFormat="1" x14ac:dyDescent="0.25">
      <c r="B90" s="3" t="s">
        <v>74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>
        <f>-6231+1650+3981-2</f>
        <v>-602</v>
      </c>
      <c r="P90" s="6">
        <f>-16528+6337+6327-O90-62</f>
        <v>-3324</v>
      </c>
      <c r="Q90" s="6">
        <f>-24314+15331+9318-46-160-P90-O90</f>
        <v>4055</v>
      </c>
      <c r="R90" s="6">
        <f>-6093+16340+1598-2-123</f>
        <v>11720</v>
      </c>
      <c r="S90" s="6">
        <f>-4068+5065+402-10</f>
        <v>1389</v>
      </c>
      <c r="T90" s="6">
        <f>-2220+2648+511-7</f>
        <v>932</v>
      </c>
      <c r="U90" s="6">
        <f>-8885+9333+1562-T90-S90</f>
        <v>-311</v>
      </c>
      <c r="V90" s="6">
        <f>-9626+11083+2075-U90-T90-S90-5</f>
        <v>1517</v>
      </c>
      <c r="W90" s="6">
        <f>-85+534-444</f>
        <v>5</v>
      </c>
      <c r="X90" s="6">
        <f>-803+2351-W90</f>
        <v>1543</v>
      </c>
      <c r="Y90" s="6">
        <f>-1810+3825-X90-W90</f>
        <v>467</v>
      </c>
      <c r="Z90" s="3">
        <f>-2982+6184-Y90-X90-W90</f>
        <v>1187</v>
      </c>
      <c r="AA90" s="3">
        <f>-6887+4625-72</f>
        <v>-2334</v>
      </c>
      <c r="AB90" s="3">
        <f>-10176+7858-AA90</f>
        <v>16</v>
      </c>
      <c r="AC90" s="3">
        <f>-14644+11972-AB90-AA90</f>
        <v>-354</v>
      </c>
      <c r="AD90" s="3">
        <f>-25542+15789-AC90-AB90-AA90</f>
        <v>-7081</v>
      </c>
      <c r="AE90" s="3">
        <f>-11763+4784-90</f>
        <v>-7069</v>
      </c>
    </row>
    <row r="91" spans="2:31" s="3" customFormat="1" x14ac:dyDescent="0.25">
      <c r="B91" s="3" t="s">
        <v>75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>
        <v>0</v>
      </c>
      <c r="P91" s="6">
        <f>-259-O91</f>
        <v>-259</v>
      </c>
      <c r="Q91" s="6">
        <f>-330-P91-O91</f>
        <v>-71</v>
      </c>
      <c r="R91" s="6">
        <v>-521</v>
      </c>
      <c r="S91" s="6">
        <v>-853</v>
      </c>
      <c r="T91" s="6">
        <v>-363</v>
      </c>
      <c r="U91" s="6">
        <f>-1250-1-T91-S91</f>
        <v>-35</v>
      </c>
      <c r="V91" s="6">
        <f>-1312+1-U91-T91-S91</f>
        <v>-60</v>
      </c>
      <c r="W91" s="6">
        <v>75</v>
      </c>
      <c r="X91" s="6">
        <f>-527-10-W91</f>
        <v>-612</v>
      </c>
      <c r="Y91" s="6">
        <f>-565-20-X91-W91</f>
        <v>-48</v>
      </c>
      <c r="Z91" s="3">
        <f>-629-23-Y91-X91-W91</f>
        <v>-67</v>
      </c>
      <c r="AA91" s="3">
        <v>0</v>
      </c>
      <c r="AB91" s="3">
        <f>-129-12-AA91</f>
        <v>-141</v>
      </c>
      <c r="AC91" s="3">
        <f>-261+112-AB91-AA91</f>
        <v>-8</v>
      </c>
      <c r="AD91" s="3">
        <f>-270+129-AC91-AB91-AA91</f>
        <v>8</v>
      </c>
      <c r="AE91" s="3">
        <v>0</v>
      </c>
    </row>
    <row r="92" spans="2:31" s="3" customFormat="1" x14ac:dyDescent="0.25">
      <c r="B92" s="3" t="s">
        <v>76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>
        <f t="shared" ref="O92:Z92" si="188">SUM(O89:O91)</f>
        <v>-4874</v>
      </c>
      <c r="P92" s="6">
        <f t="shared" si="188"/>
        <v>-8195</v>
      </c>
      <c r="Q92" s="6">
        <f t="shared" si="188"/>
        <v>-330</v>
      </c>
      <c r="R92" s="6">
        <f t="shared" si="188"/>
        <v>5829</v>
      </c>
      <c r="S92" s="6">
        <f t="shared" si="188"/>
        <v>-4779</v>
      </c>
      <c r="T92" s="6">
        <f t="shared" si="188"/>
        <v>-6959</v>
      </c>
      <c r="U92" s="6">
        <f t="shared" si="188"/>
        <v>-9701</v>
      </c>
      <c r="V92" s="6">
        <f t="shared" si="188"/>
        <v>-7531</v>
      </c>
      <c r="W92" s="6">
        <f t="shared" si="188"/>
        <v>-6743</v>
      </c>
      <c r="X92" s="6">
        <f t="shared" si="188"/>
        <v>-5203</v>
      </c>
      <c r="Y92" s="6">
        <f t="shared" si="188"/>
        <v>-6077</v>
      </c>
      <c r="Z92" s="6">
        <f t="shared" si="188"/>
        <v>-6472</v>
      </c>
      <c r="AA92" s="3">
        <f>SUM(AA89:AA91)</f>
        <v>-8734</v>
      </c>
      <c r="AB92" s="3">
        <f>SUM(AB89:AB91)</f>
        <v>-8298</v>
      </c>
      <c r="AC92" s="3">
        <f>SUM(AC89:AC91)</f>
        <v>-8620</v>
      </c>
      <c r="AD92" s="3">
        <f>SUM(AD89:AD91)</f>
        <v>-21498</v>
      </c>
      <c r="AE92" s="3">
        <f>SUM(AE89:AE91)</f>
        <v>-20010</v>
      </c>
    </row>
    <row r="93" spans="2:31" s="3" customFormat="1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31" s="3" customFormat="1" x14ac:dyDescent="0.25">
      <c r="B94" s="3" t="s">
        <v>77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>
        <v>-1077</v>
      </c>
      <c r="P94" s="6">
        <f>-2432-O94</f>
        <v>-1355</v>
      </c>
      <c r="Q94" s="6">
        <f>-4007-P94-O94</f>
        <v>-1575</v>
      </c>
      <c r="R94" s="6">
        <v>-1507</v>
      </c>
      <c r="S94" s="6">
        <v>-925</v>
      </c>
      <c r="T94" s="6">
        <v>-1002</v>
      </c>
      <c r="U94" s="6">
        <f>-2938-T94-S94</f>
        <v>-1011</v>
      </c>
      <c r="V94" s="6">
        <f>-3595-U94-T94-S94</f>
        <v>-657</v>
      </c>
      <c r="W94" s="6">
        <v>-1009</v>
      </c>
      <c r="X94" s="6">
        <f>-2701-W94</f>
        <v>-1692</v>
      </c>
      <c r="Y94" s="6">
        <f>-4789-X94-W94</f>
        <v>-2088</v>
      </c>
      <c r="Z94" s="3">
        <f>-7012-Y94-X94-W94</f>
        <v>-2223</v>
      </c>
      <c r="AA94" s="3">
        <v>-3162</v>
      </c>
      <c r="AB94" s="3">
        <f>-6370-AA94</f>
        <v>-3208</v>
      </c>
      <c r="AC94" s="3">
        <f>-9913-AB94-AA94</f>
        <v>-3543</v>
      </c>
      <c r="AD94" s="3">
        <f>-13770-AC94-AB94-AA94</f>
        <v>-3857</v>
      </c>
      <c r="AE94" s="3">
        <v>-4883</v>
      </c>
    </row>
    <row r="95" spans="2:31" s="3" customFormat="1" x14ac:dyDescent="0.25">
      <c r="B95" s="3" t="s">
        <v>78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>
        <v>-3939</v>
      </c>
      <c r="P95" s="6">
        <f>-11018-O95</f>
        <v>-7079</v>
      </c>
      <c r="Q95" s="6">
        <f>-24476-P95-O95</f>
        <v>-13458</v>
      </c>
      <c r="R95" s="6">
        <v>-20063</v>
      </c>
      <c r="S95" s="6">
        <v>-9506</v>
      </c>
      <c r="T95" s="6">
        <v>-5233</v>
      </c>
      <c r="U95" s="6">
        <f>-21093-T95-S95</f>
        <v>-6354</v>
      </c>
      <c r="V95" s="6">
        <f>-27956-U95-T95-S95</f>
        <v>-6863</v>
      </c>
      <c r="W95" s="6">
        <v>-9365</v>
      </c>
      <c r="X95" s="6">
        <f>-10263-W95</f>
        <v>-898</v>
      </c>
      <c r="Y95" s="6">
        <f>-13832-X95-W95</f>
        <v>-3569</v>
      </c>
      <c r="Z95" s="3">
        <f>-19774-Y95-X95-W95</f>
        <v>-5942</v>
      </c>
      <c r="AA95" s="3">
        <v>-15008</v>
      </c>
      <c r="AB95" s="3">
        <f>-21307-AA95</f>
        <v>-6299</v>
      </c>
      <c r="AC95" s="3">
        <f>-30125-AB95-AA95</f>
        <v>-8818</v>
      </c>
      <c r="AD95" s="3">
        <f>-30125-AC95-AB95-AA95</f>
        <v>0</v>
      </c>
      <c r="AE95" s="3">
        <v>-12754</v>
      </c>
    </row>
    <row r="96" spans="2:31" s="3" customFormat="1" x14ac:dyDescent="0.25">
      <c r="B96" s="3" t="s">
        <v>209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>
        <v>0</v>
      </c>
      <c r="X96" s="6">
        <v>0</v>
      </c>
      <c r="Y96" s="6">
        <v>0</v>
      </c>
      <c r="Z96" s="3">
        <v>0</v>
      </c>
      <c r="AA96" s="3">
        <v>-1273</v>
      </c>
      <c r="AB96" s="3">
        <f>-2539-AA96</f>
        <v>-1266</v>
      </c>
      <c r="AC96" s="3">
        <f>-3802-AB96-AA96</f>
        <v>-1263</v>
      </c>
      <c r="AD96" s="3">
        <f>-5072-AC96-AB96-AA96</f>
        <v>-1270</v>
      </c>
      <c r="AE96" s="3">
        <v>-1329</v>
      </c>
    </row>
    <row r="97" spans="2:34" s="3" customFormat="1" x14ac:dyDescent="0.25">
      <c r="B97" s="3" t="s">
        <v>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>
        <v>0</v>
      </c>
      <c r="T97" s="6">
        <v>0</v>
      </c>
      <c r="U97" s="6">
        <f>9921-T97-S97</f>
        <v>9921</v>
      </c>
      <c r="V97" s="6">
        <v>0</v>
      </c>
      <c r="W97" s="6">
        <v>0</v>
      </c>
      <c r="X97" s="6">
        <v>8455</v>
      </c>
      <c r="Y97" s="6">
        <v>0</v>
      </c>
      <c r="Z97" s="3">
        <v>0</v>
      </c>
      <c r="AA97" s="3">
        <v>0</v>
      </c>
      <c r="AB97" s="3">
        <v>0</v>
      </c>
      <c r="AC97" s="3">
        <v>10432</v>
      </c>
      <c r="AD97" s="3">
        <v>0</v>
      </c>
      <c r="AE97" s="3">
        <v>0</v>
      </c>
    </row>
    <row r="98" spans="2:34" s="3" customFormat="1" x14ac:dyDescent="0.25">
      <c r="B98" s="3" t="s">
        <v>55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>
        <f>-151+32-50</f>
        <v>-169</v>
      </c>
      <c r="P98" s="6">
        <f>-274-O98+3-13</f>
        <v>-115</v>
      </c>
      <c r="Q98" s="6">
        <f>-505+15-13-P98-O98</f>
        <v>-219</v>
      </c>
      <c r="R98" s="6">
        <v>-172</v>
      </c>
      <c r="S98" s="6">
        <f>-233+20-16</f>
        <v>-229</v>
      </c>
      <c r="T98" s="6">
        <f>-219-79-30</f>
        <v>-328</v>
      </c>
      <c r="U98" s="6">
        <f>-615-250-101-T98-S98</f>
        <v>-409</v>
      </c>
      <c r="V98" s="6">
        <f>-850+344-U98-T98-S98</f>
        <v>460</v>
      </c>
      <c r="W98" s="6">
        <f>-264+122</f>
        <v>-142</v>
      </c>
      <c r="X98" s="6">
        <f>-484-231-W98</f>
        <v>-573</v>
      </c>
      <c r="Y98" s="6">
        <f>-751-182-X98-W98</f>
        <v>-218</v>
      </c>
      <c r="Z98" s="3">
        <f>-1058-111-Y98-X98-W98</f>
        <v>-236</v>
      </c>
      <c r="AA98" s="3">
        <f>-315-9</f>
        <v>-324</v>
      </c>
      <c r="AB98" s="3">
        <f>-614-115-AA98</f>
        <v>-405</v>
      </c>
      <c r="AC98" s="3">
        <f>-1558-350-AB98-AA98</f>
        <v>-1179</v>
      </c>
      <c r="AD98" s="3">
        <f>-1969-277-AC98-AB98-AA98</f>
        <v>-338</v>
      </c>
      <c r="AE98" s="3">
        <f>-751+222</f>
        <v>-529</v>
      </c>
    </row>
    <row r="99" spans="2:34" s="3" customFormat="1" x14ac:dyDescent="0.25">
      <c r="B99" s="3" t="s">
        <v>79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>
        <f t="shared" ref="O99:Q99" si="189">SUM(O94:O98)</f>
        <v>-5185</v>
      </c>
      <c r="P99" s="6">
        <f t="shared" si="189"/>
        <v>-8549</v>
      </c>
      <c r="Q99" s="6">
        <f t="shared" si="189"/>
        <v>-15252</v>
      </c>
      <c r="R99" s="6">
        <f t="shared" ref="R99" si="190">SUM(R94:R98)</f>
        <v>-21742</v>
      </c>
      <c r="S99" s="6">
        <f t="shared" ref="S99:AE99" si="191">SUM(S94:S98)</f>
        <v>-10660</v>
      </c>
      <c r="T99" s="6">
        <f t="shared" si="191"/>
        <v>-6563</v>
      </c>
      <c r="U99" s="6">
        <f t="shared" si="191"/>
        <v>2147</v>
      </c>
      <c r="V99" s="6">
        <f t="shared" si="191"/>
        <v>-7060</v>
      </c>
      <c r="W99" s="6">
        <f t="shared" si="191"/>
        <v>-10516</v>
      </c>
      <c r="X99" s="6">
        <f t="shared" si="191"/>
        <v>5292</v>
      </c>
      <c r="Y99" s="6">
        <f t="shared" si="191"/>
        <v>-5875</v>
      </c>
      <c r="Z99" s="6">
        <f t="shared" si="191"/>
        <v>-8401</v>
      </c>
      <c r="AA99" s="3">
        <f t="shared" si="191"/>
        <v>-19767</v>
      </c>
      <c r="AB99" s="3">
        <f t="shared" si="191"/>
        <v>-11178</v>
      </c>
      <c r="AC99" s="3">
        <f t="shared" si="191"/>
        <v>-4371</v>
      </c>
      <c r="AD99" s="3">
        <f t="shared" si="191"/>
        <v>-5465</v>
      </c>
      <c r="AE99" s="3">
        <f t="shared" si="191"/>
        <v>-19495</v>
      </c>
    </row>
    <row r="100" spans="2:34" x14ac:dyDescent="0.25">
      <c r="B100" t="s">
        <v>80</v>
      </c>
      <c r="O100" s="1">
        <v>-246</v>
      </c>
      <c r="P100" s="1">
        <f>-129-O100</f>
        <v>117</v>
      </c>
      <c r="Q100" s="1">
        <f>-344-P100-O100</f>
        <v>-215</v>
      </c>
      <c r="R100" s="1">
        <v>-130</v>
      </c>
      <c r="S100" s="6">
        <v>-149</v>
      </c>
      <c r="T100" s="1">
        <v>-550</v>
      </c>
      <c r="U100" s="6">
        <f>-1063-T100-S100</f>
        <v>-364</v>
      </c>
      <c r="V100" s="6">
        <f>-638-U100-T100-S100</f>
        <v>425</v>
      </c>
      <c r="W100" s="1">
        <v>85</v>
      </c>
      <c r="X100" s="1">
        <f>71-W100</f>
        <v>-14</v>
      </c>
      <c r="Y100" s="1">
        <f>-283-X100-W100</f>
        <v>-354</v>
      </c>
      <c r="Z100">
        <f>113-Y100-X100-W100</f>
        <v>396</v>
      </c>
      <c r="AA100" s="3">
        <v>-288</v>
      </c>
      <c r="AB100" s="3">
        <f>-440-AA100</f>
        <v>-152</v>
      </c>
      <c r="AC100" s="3">
        <f>-72-AB100-AA100</f>
        <v>368</v>
      </c>
      <c r="AD100" s="3">
        <f>-786-AC100-AB100-AA100</f>
        <v>-714</v>
      </c>
      <c r="AE100" s="3">
        <v>112</v>
      </c>
    </row>
    <row r="101" spans="2:34" x14ac:dyDescent="0.25">
      <c r="B101" t="s">
        <v>81</v>
      </c>
      <c r="O101" s="6">
        <f t="shared" ref="O101:Z101" si="192">+O100+O99+O92+O87</f>
        <v>1937</v>
      </c>
      <c r="P101" s="6">
        <f t="shared" si="192"/>
        <v>-3380</v>
      </c>
      <c r="Q101" s="6">
        <f t="shared" si="192"/>
        <v>-1707</v>
      </c>
      <c r="R101" s="6">
        <f t="shared" si="192"/>
        <v>2061</v>
      </c>
      <c r="S101" s="6">
        <f t="shared" si="192"/>
        <v>-1512</v>
      </c>
      <c r="T101" s="6">
        <f t="shared" si="192"/>
        <v>-1875</v>
      </c>
      <c r="U101" s="6">
        <f t="shared" si="192"/>
        <v>1773</v>
      </c>
      <c r="V101" s="6">
        <f>+V100+V99+V92+V87</f>
        <v>345</v>
      </c>
      <c r="W101" s="6">
        <f t="shared" si="192"/>
        <v>-3176</v>
      </c>
      <c r="X101" s="6">
        <f t="shared" si="192"/>
        <v>17384</v>
      </c>
      <c r="Y101" s="6">
        <f t="shared" si="192"/>
        <v>8096</v>
      </c>
      <c r="Z101" s="6">
        <f t="shared" si="192"/>
        <v>4927</v>
      </c>
      <c r="AA101" s="3">
        <f>+AA100+AA99+AA92+AA87</f>
        <v>-9543</v>
      </c>
      <c r="AB101" s="3">
        <f>+AB100+AB99+AB92+AB87</f>
        <v>-258</v>
      </c>
      <c r="AC101" s="3">
        <f>+AC100+AC99+AC92+AC87</f>
        <v>12101</v>
      </c>
      <c r="AD101" s="3">
        <f>+AD100+AD99+AD92+AD87</f>
        <v>311</v>
      </c>
      <c r="AE101" s="3">
        <f>+AE100+AE99+AE92+AE87</f>
        <v>-15367</v>
      </c>
    </row>
    <row r="102" spans="2:34" x14ac:dyDescent="0.25">
      <c r="S102" s="6"/>
    </row>
    <row r="103" spans="2:34" s="3" customFormat="1" x14ac:dyDescent="0.25">
      <c r="B103" s="3" t="s">
        <v>35</v>
      </c>
      <c r="C103" s="6"/>
      <c r="D103" s="6"/>
      <c r="E103" s="6"/>
      <c r="F103" s="6"/>
      <c r="G103" s="6"/>
      <c r="H103" s="6"/>
      <c r="I103" s="6">
        <v>43030</v>
      </c>
      <c r="J103" s="6">
        <v>44942</v>
      </c>
      <c r="K103" s="6"/>
      <c r="L103" s="6"/>
      <c r="M103" s="6"/>
      <c r="N103" s="6"/>
      <c r="O103" s="6"/>
      <c r="P103" s="6"/>
      <c r="Q103" s="6"/>
      <c r="R103" s="6">
        <v>71970</v>
      </c>
      <c r="S103" s="6">
        <v>77805</v>
      </c>
      <c r="T103" s="6">
        <v>83553</v>
      </c>
      <c r="U103" s="6">
        <v>87314</v>
      </c>
      <c r="V103" s="6">
        <v>86000</v>
      </c>
      <c r="W103" s="6">
        <v>77114</v>
      </c>
      <c r="X103" s="6">
        <v>71469</v>
      </c>
      <c r="Y103" s="6">
        <v>66185</v>
      </c>
      <c r="Z103" s="3">
        <v>67317</v>
      </c>
      <c r="AA103" s="3">
        <v>69329</v>
      </c>
      <c r="AB103" s="3">
        <v>70799</v>
      </c>
      <c r="AC103" s="3">
        <v>72404</v>
      </c>
      <c r="AD103" s="3">
        <v>74067</v>
      </c>
      <c r="AE103" s="3">
        <v>76834</v>
      </c>
    </row>
    <row r="104" spans="2:34" x14ac:dyDescent="0.25">
      <c r="B104" t="s">
        <v>199</v>
      </c>
      <c r="S104" s="6">
        <f t="shared" ref="S104:AE104" si="193">+S103-R103</f>
        <v>5835</v>
      </c>
      <c r="T104" s="6">
        <f t="shared" si="193"/>
        <v>5748</v>
      </c>
      <c r="U104" s="6">
        <f t="shared" si="193"/>
        <v>3761</v>
      </c>
      <c r="V104" s="6">
        <f t="shared" si="193"/>
        <v>-1314</v>
      </c>
      <c r="W104" s="6">
        <f t="shared" si="193"/>
        <v>-8886</v>
      </c>
      <c r="X104" s="6">
        <f t="shared" si="193"/>
        <v>-5645</v>
      </c>
      <c r="Y104" s="6">
        <f t="shared" si="193"/>
        <v>-5284</v>
      </c>
      <c r="Z104" s="6">
        <f t="shared" si="193"/>
        <v>1132</v>
      </c>
      <c r="AA104" s="6">
        <f t="shared" si="193"/>
        <v>2012</v>
      </c>
      <c r="AB104" s="6">
        <f t="shared" si="193"/>
        <v>1470</v>
      </c>
      <c r="AC104" s="6">
        <f t="shared" si="193"/>
        <v>1605</v>
      </c>
      <c r="AD104" s="6">
        <f t="shared" si="193"/>
        <v>1663</v>
      </c>
      <c r="AE104" s="6">
        <f t="shared" si="193"/>
        <v>2767</v>
      </c>
    </row>
    <row r="105" spans="2:34" x14ac:dyDescent="0.25">
      <c r="S105" s="6"/>
      <c r="T105" s="6"/>
    </row>
    <row r="106" spans="2:34" x14ac:dyDescent="0.25">
      <c r="B106" t="s">
        <v>126</v>
      </c>
      <c r="O106" s="6">
        <f>+O87+O89</f>
        <v>7970</v>
      </c>
      <c r="P106" s="6">
        <f t="shared" ref="P106:S106" si="194">+P87+P89</f>
        <v>8635</v>
      </c>
      <c r="Q106" s="6">
        <f t="shared" si="194"/>
        <v>9776</v>
      </c>
      <c r="R106" s="6">
        <f t="shared" si="194"/>
        <v>12734</v>
      </c>
      <c r="S106" s="6">
        <f t="shared" si="194"/>
        <v>8761</v>
      </c>
      <c r="T106" s="6">
        <f t="shared" ref="T106:Z106" si="195">+T87+T89</f>
        <v>4669</v>
      </c>
      <c r="U106" s="6">
        <f t="shared" si="195"/>
        <v>336</v>
      </c>
      <c r="V106" s="6">
        <f t="shared" si="195"/>
        <v>5523</v>
      </c>
      <c r="W106" s="6">
        <f t="shared" si="195"/>
        <v>7175</v>
      </c>
      <c r="X106" s="6">
        <f t="shared" si="195"/>
        <v>11175</v>
      </c>
      <c r="Y106" s="6">
        <f t="shared" si="195"/>
        <v>13906</v>
      </c>
      <c r="Z106" s="6">
        <f t="shared" si="195"/>
        <v>11812</v>
      </c>
      <c r="AA106" s="3">
        <f t="shared" ref="AA106" si="196">+AA87+AA89</f>
        <v>12846</v>
      </c>
      <c r="AB106" s="3">
        <f>+AB87+AB89</f>
        <v>11197</v>
      </c>
      <c r="AC106" s="3">
        <f>+AC87+AC89</f>
        <v>16466</v>
      </c>
      <c r="AD106" s="3">
        <f>+AD87+AD89</f>
        <v>13563</v>
      </c>
      <c r="AE106" s="3">
        <f>+AE87+AE89</f>
        <v>11085</v>
      </c>
    </row>
    <row r="107" spans="2:34" x14ac:dyDescent="0.25">
      <c r="B107" t="s">
        <v>127</v>
      </c>
      <c r="R107" s="6">
        <f t="shared" ref="R107:S107" si="197">SUM(O106:R106)</f>
        <v>39115</v>
      </c>
      <c r="S107" s="6">
        <f t="shared" si="197"/>
        <v>39906</v>
      </c>
      <c r="T107" s="6">
        <f>SUM(Q106:T106)</f>
        <v>35940</v>
      </c>
      <c r="U107" s="6">
        <f>SUM(R106:U106)</f>
        <v>26500</v>
      </c>
      <c r="V107" s="6">
        <f>SUM(S106:V106)</f>
        <v>19289</v>
      </c>
      <c r="W107" s="6">
        <f t="shared" ref="W107:AA107" si="198">SUM(T106:W106)</f>
        <v>17703</v>
      </c>
      <c r="X107" s="6">
        <f t="shared" si="198"/>
        <v>24209</v>
      </c>
      <c r="Y107" s="6">
        <f t="shared" si="198"/>
        <v>37779</v>
      </c>
      <c r="Z107" s="6">
        <f t="shared" si="198"/>
        <v>44068</v>
      </c>
      <c r="AA107" s="6">
        <f t="shared" si="198"/>
        <v>49739</v>
      </c>
      <c r="AB107" s="3">
        <f t="shared" ref="AB107:AC107" si="199">SUM(Y106:AB106)</f>
        <v>49761</v>
      </c>
      <c r="AC107" s="3">
        <f t="shared" si="199"/>
        <v>52321</v>
      </c>
      <c r="AD107" s="3">
        <f>SUM(AA106:AD106)</f>
        <v>54072</v>
      </c>
      <c r="AE107" s="3">
        <f>SUM(AB106:AE106)</f>
        <v>52311</v>
      </c>
    </row>
    <row r="108" spans="2:34" x14ac:dyDescent="0.25"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3"/>
      <c r="AC108" s="3"/>
      <c r="AD108" s="19">
        <f>+AD107/R107-1</f>
        <v>0.3823852741914866</v>
      </c>
      <c r="AE108" s="19">
        <f>+AE107/S107-1</f>
        <v>0.3108555104495565</v>
      </c>
    </row>
    <row r="109" spans="2:34" x14ac:dyDescent="0.25"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3"/>
      <c r="AC109" s="3"/>
      <c r="AD109" s="19"/>
      <c r="AE109" s="19"/>
    </row>
    <row r="110" spans="2:34" x14ac:dyDescent="0.25">
      <c r="O110" s="3">
        <f t="shared" ref="O110:AC110" si="200">SUM(L32:O32)</f>
        <v>94400</v>
      </c>
      <c r="P110" s="3">
        <f t="shared" si="200"/>
        <v>104790</v>
      </c>
      <c r="Q110" s="3">
        <f t="shared" si="200"/>
        <v>112330</v>
      </c>
      <c r="R110" s="3">
        <f t="shared" si="200"/>
        <v>117929</v>
      </c>
      <c r="S110" s="3">
        <f t="shared" si="200"/>
        <v>119666</v>
      </c>
      <c r="T110" s="3">
        <f t="shared" si="200"/>
        <v>119411</v>
      </c>
      <c r="U110" s="3">
        <f t="shared" si="200"/>
        <v>118115</v>
      </c>
      <c r="V110" s="3">
        <f t="shared" si="200"/>
        <v>116609</v>
      </c>
      <c r="W110" s="3">
        <f t="shared" si="200"/>
        <v>117346</v>
      </c>
      <c r="X110" s="3">
        <f t="shared" si="200"/>
        <v>120523</v>
      </c>
      <c r="Y110" s="3">
        <f t="shared" si="200"/>
        <v>126955</v>
      </c>
      <c r="Z110" s="3">
        <f t="shared" si="200"/>
        <v>134901</v>
      </c>
      <c r="AA110" s="3">
        <f t="shared" si="200"/>
        <v>142711</v>
      </c>
      <c r="AB110" s="3">
        <f t="shared" si="200"/>
        <v>149783</v>
      </c>
      <c r="AC110" s="3">
        <f t="shared" si="200"/>
        <v>156226</v>
      </c>
      <c r="AD110" s="3">
        <f>SUM(AA32:AD32)</f>
        <v>164500</v>
      </c>
      <c r="AE110" s="3">
        <f>SUM(AB32:AE32)</f>
        <v>170359</v>
      </c>
      <c r="AF110" s="3">
        <f>SUM(AC32:AF32)</f>
        <v>174266.1</v>
      </c>
      <c r="AG110" s="3">
        <f>SUM(AD32:AG32)</f>
        <v>178325</v>
      </c>
      <c r="AH110" s="3">
        <f>SUM(AE32:AH32)</f>
        <v>183163.5</v>
      </c>
    </row>
    <row r="111" spans="2:34" x14ac:dyDescent="0.25">
      <c r="AD111" s="19"/>
      <c r="AE111" s="19"/>
      <c r="AH111" s="19"/>
    </row>
    <row r="112" spans="2:34" s="3" customFormat="1" x14ac:dyDescent="0.25">
      <c r="B112" s="3" t="s">
        <v>194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>
        <v>-2631</v>
      </c>
      <c r="R112" s="6"/>
      <c r="S112" s="6"/>
      <c r="T112" s="6"/>
      <c r="U112" s="6">
        <v>-3672</v>
      </c>
      <c r="V112" s="6"/>
      <c r="W112" s="6"/>
      <c r="X112" s="6"/>
      <c r="Y112" s="6"/>
    </row>
    <row r="113" spans="2:21" x14ac:dyDescent="0.25">
      <c r="B113" t="s">
        <v>197</v>
      </c>
      <c r="Q113" s="10"/>
      <c r="R113" s="10">
        <f>SUM(Q30:R30)/SUM(M30:N30)-1</f>
        <v>1.0013947001394699</v>
      </c>
      <c r="S113" s="10">
        <f>SUM(R30:S30)/SUM(N30:O30)-1</f>
        <v>0.25659472422062346</v>
      </c>
      <c r="T113" s="10">
        <f>SUM(S30:T30)/SUM(O30:P30)-1</f>
        <v>0.36710369487485095</v>
      </c>
      <c r="U113" s="10">
        <f>SUM(T30:U30)/SUM(P30:Q30)-1</f>
        <v>-0.14600231749710313</v>
      </c>
    </row>
    <row r="115" spans="2:21" x14ac:dyDescent="0.25">
      <c r="B115" t="s">
        <v>198</v>
      </c>
      <c r="Q115" s="6">
        <v>13054</v>
      </c>
      <c r="R115" s="6"/>
      <c r="S115" s="6"/>
      <c r="T115" s="6"/>
      <c r="U115" s="6">
        <v>9336</v>
      </c>
    </row>
    <row r="116" spans="2:21" x14ac:dyDescent="0.25">
      <c r="B116" t="s">
        <v>202</v>
      </c>
      <c r="U116" s="10">
        <f>+U115/U32</f>
        <v>0.33686945226239445</v>
      </c>
    </row>
    <row r="118" spans="2:21" x14ac:dyDescent="0.25">
      <c r="B118" t="s">
        <v>203</v>
      </c>
    </row>
  </sheetData>
  <hyperlinks>
    <hyperlink ref="A1" location="Main!A1" display="Main" xr:uid="{2BEFFC4D-3A75-4DC4-9B53-54835175238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3622-E2D2-4236-A05B-563099E7C6CE}">
  <dimension ref="A1:H2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ColWidth="8.81640625" defaultRowHeight="12.5" x14ac:dyDescent="0.25"/>
  <cols>
    <col min="1" max="1" width="5" bestFit="1" customWidth="1"/>
    <col min="2" max="2" width="9.26953125" bestFit="1" customWidth="1"/>
    <col min="3" max="3" width="10.453125" bestFit="1" customWidth="1"/>
  </cols>
  <sheetData>
    <row r="1" spans="1:8" x14ac:dyDescent="0.25">
      <c r="A1" t="s">
        <v>7</v>
      </c>
    </row>
    <row r="2" spans="1:8" x14ac:dyDescent="0.25">
      <c r="B2" t="s">
        <v>128</v>
      </c>
      <c r="C2" t="s">
        <v>130</v>
      </c>
      <c r="D2" t="s">
        <v>131</v>
      </c>
      <c r="E2" t="s">
        <v>133</v>
      </c>
      <c r="F2" t="s">
        <v>135</v>
      </c>
      <c r="G2" t="s">
        <v>137</v>
      </c>
      <c r="H2" t="s">
        <v>129</v>
      </c>
    </row>
    <row r="3" spans="1:8" x14ac:dyDescent="0.25">
      <c r="B3">
        <v>11449606</v>
      </c>
      <c r="C3" s="20">
        <v>44215</v>
      </c>
      <c r="D3" s="20">
        <v>44824</v>
      </c>
      <c r="E3" s="20" t="s">
        <v>134</v>
      </c>
      <c r="F3" s="20" t="s">
        <v>136</v>
      </c>
      <c r="G3">
        <v>3</v>
      </c>
      <c r="H3" t="s">
        <v>132</v>
      </c>
    </row>
    <row r="4" spans="1:8" x14ac:dyDescent="0.25">
      <c r="B4">
        <v>11449189</v>
      </c>
      <c r="C4" s="20">
        <v>43740</v>
      </c>
      <c r="D4" s="20">
        <v>44824</v>
      </c>
      <c r="E4" t="s">
        <v>134</v>
      </c>
      <c r="F4" t="s">
        <v>139</v>
      </c>
      <c r="G4">
        <v>4</v>
      </c>
      <c r="H4" t="s">
        <v>138</v>
      </c>
    </row>
    <row r="5" spans="1:8" x14ac:dyDescent="0.25">
      <c r="B5">
        <v>11448803</v>
      </c>
      <c r="C5" s="20">
        <v>43836</v>
      </c>
      <c r="D5" s="20">
        <v>44824</v>
      </c>
      <c r="E5" t="s">
        <v>140</v>
      </c>
      <c r="F5" t="s">
        <v>141</v>
      </c>
      <c r="G5">
        <v>3</v>
      </c>
      <c r="H5" t="s">
        <v>142</v>
      </c>
    </row>
    <row r="6" spans="1:8" x14ac:dyDescent="0.25">
      <c r="B6">
        <v>11442272</v>
      </c>
      <c r="C6" s="20">
        <v>43902</v>
      </c>
      <c r="D6" s="20">
        <v>44817</v>
      </c>
      <c r="E6" t="s">
        <v>134</v>
      </c>
      <c r="F6" t="s">
        <v>143</v>
      </c>
      <c r="G6">
        <v>3</v>
      </c>
      <c r="H6" t="s">
        <v>144</v>
      </c>
    </row>
    <row r="7" spans="1:8" x14ac:dyDescent="0.25">
      <c r="B7">
        <v>11441702</v>
      </c>
      <c r="C7" s="20">
        <v>43594</v>
      </c>
      <c r="D7" s="20">
        <v>44817</v>
      </c>
      <c r="E7" t="s">
        <v>145</v>
      </c>
      <c r="G7">
        <v>3</v>
      </c>
      <c r="H7" t="s">
        <v>146</v>
      </c>
    </row>
    <row r="8" spans="1:8" x14ac:dyDescent="0.25">
      <c r="B8">
        <v>11436793</v>
      </c>
      <c r="C8" s="20">
        <v>44239</v>
      </c>
      <c r="D8" s="20">
        <v>44810</v>
      </c>
      <c r="E8" t="s">
        <v>147</v>
      </c>
      <c r="F8" t="s">
        <v>148</v>
      </c>
      <c r="G8">
        <v>3</v>
      </c>
      <c r="H8" t="s">
        <v>149</v>
      </c>
    </row>
    <row r="9" spans="1:8" x14ac:dyDescent="0.25">
      <c r="B9">
        <v>11435820</v>
      </c>
      <c r="C9" s="20">
        <v>43601</v>
      </c>
      <c r="D9" s="20">
        <v>44810</v>
      </c>
      <c r="E9" t="s">
        <v>134</v>
      </c>
      <c r="F9" t="s">
        <v>150</v>
      </c>
      <c r="G9">
        <v>3</v>
      </c>
      <c r="H9" t="s">
        <v>151</v>
      </c>
    </row>
    <row r="10" spans="1:8" x14ac:dyDescent="0.25">
      <c r="B10">
        <v>11435448</v>
      </c>
      <c r="C10" s="20">
        <v>44071</v>
      </c>
      <c r="D10" s="20">
        <v>44810</v>
      </c>
      <c r="E10" t="s">
        <v>147</v>
      </c>
      <c r="F10" t="s">
        <v>152</v>
      </c>
      <c r="G10">
        <v>3</v>
      </c>
      <c r="H10" t="s">
        <v>153</v>
      </c>
    </row>
    <row r="11" spans="1:8" x14ac:dyDescent="0.25">
      <c r="B11">
        <v>11431955</v>
      </c>
      <c r="C11" s="20">
        <v>43802</v>
      </c>
      <c r="D11" s="20">
        <v>44803</v>
      </c>
      <c r="E11" t="s">
        <v>145</v>
      </c>
      <c r="F11" t="s">
        <v>155</v>
      </c>
      <c r="G11">
        <v>3</v>
      </c>
      <c r="H11" t="s">
        <v>154</v>
      </c>
    </row>
    <row r="12" spans="1:8" x14ac:dyDescent="0.25">
      <c r="B12">
        <v>11430398</v>
      </c>
      <c r="C12" s="20">
        <v>44455</v>
      </c>
      <c r="D12" s="20">
        <v>44803</v>
      </c>
      <c r="E12" t="s">
        <v>156</v>
      </c>
      <c r="F12" t="s">
        <v>157</v>
      </c>
      <c r="G12">
        <v>3</v>
      </c>
      <c r="H12" t="s">
        <v>158</v>
      </c>
    </row>
    <row r="13" spans="1:8" x14ac:dyDescent="0.25">
      <c r="B13">
        <v>11430141</v>
      </c>
      <c r="C13" s="20">
        <v>43844</v>
      </c>
      <c r="D13" s="20">
        <v>44803</v>
      </c>
      <c r="E13" t="s">
        <v>134</v>
      </c>
      <c r="F13" t="s">
        <v>160</v>
      </c>
      <c r="G13">
        <v>4</v>
      </c>
      <c r="H13" t="s">
        <v>159</v>
      </c>
    </row>
    <row r="14" spans="1:8" x14ac:dyDescent="0.25">
      <c r="B14">
        <v>11430085</v>
      </c>
      <c r="C14" s="20">
        <v>44096</v>
      </c>
      <c r="D14" s="20">
        <v>44803</v>
      </c>
      <c r="E14" t="s">
        <v>145</v>
      </c>
      <c r="F14" t="s">
        <v>161</v>
      </c>
      <c r="G14">
        <v>3</v>
      </c>
      <c r="H14" t="s">
        <v>162</v>
      </c>
    </row>
    <row r="15" spans="1:8" x14ac:dyDescent="0.25">
      <c r="B15">
        <v>11425523</v>
      </c>
      <c r="C15" s="20">
        <v>43931</v>
      </c>
      <c r="D15" s="20">
        <v>44796</v>
      </c>
      <c r="E15" t="s">
        <v>140</v>
      </c>
      <c r="F15" t="s">
        <v>163</v>
      </c>
      <c r="G15">
        <v>3</v>
      </c>
      <c r="H15" t="s">
        <v>164</v>
      </c>
    </row>
    <row r="16" spans="1:8" x14ac:dyDescent="0.25">
      <c r="B16">
        <v>11423621</v>
      </c>
      <c r="C16" s="20">
        <v>43972</v>
      </c>
      <c r="D16" s="20">
        <v>44796</v>
      </c>
      <c r="E16" t="s">
        <v>165</v>
      </c>
      <c r="F16" t="s">
        <v>166</v>
      </c>
      <c r="G16">
        <v>3</v>
      </c>
      <c r="H16" t="s">
        <v>167</v>
      </c>
    </row>
    <row r="17" spans="2:8" x14ac:dyDescent="0.25">
      <c r="B17">
        <v>11423616</v>
      </c>
      <c r="C17" s="20">
        <v>43917</v>
      </c>
      <c r="D17" s="20">
        <v>44796</v>
      </c>
      <c r="E17" t="s">
        <v>156</v>
      </c>
      <c r="F17" t="s">
        <v>168</v>
      </c>
      <c r="G17">
        <v>4</v>
      </c>
      <c r="H17" t="s">
        <v>169</v>
      </c>
    </row>
    <row r="18" spans="2:8" x14ac:dyDescent="0.25">
      <c r="B18">
        <v>11423520</v>
      </c>
      <c r="C18" s="20">
        <v>44134</v>
      </c>
      <c r="D18" s="20">
        <v>44796</v>
      </c>
      <c r="E18" t="s">
        <v>165</v>
      </c>
      <c r="F18" t="s">
        <v>170</v>
      </c>
      <c r="G18">
        <v>3</v>
      </c>
      <c r="H18" t="s">
        <v>171</v>
      </c>
    </row>
    <row r="19" spans="2:8" x14ac:dyDescent="0.25">
      <c r="B19">
        <v>11423152</v>
      </c>
      <c r="C19" s="20">
        <v>43690</v>
      </c>
      <c r="D19" s="20">
        <v>44796</v>
      </c>
      <c r="E19" t="s">
        <v>147</v>
      </c>
      <c r="G19">
        <v>3</v>
      </c>
      <c r="H19" t="s">
        <v>172</v>
      </c>
    </row>
    <row r="20" spans="2:8" x14ac:dyDescent="0.25">
      <c r="B20">
        <v>11422669</v>
      </c>
      <c r="C20" s="20">
        <v>43623</v>
      </c>
      <c r="D20" s="20">
        <v>44796</v>
      </c>
      <c r="E20" t="s">
        <v>134</v>
      </c>
      <c r="F20" t="s">
        <v>173</v>
      </c>
      <c r="G20">
        <v>4</v>
      </c>
      <c r="H20" t="s">
        <v>174</v>
      </c>
    </row>
    <row r="21" spans="2:8" x14ac:dyDescent="0.25">
      <c r="B21">
        <v>11422373</v>
      </c>
      <c r="C21" s="20">
        <v>43868</v>
      </c>
      <c r="D21" s="20">
        <v>44796</v>
      </c>
      <c r="E21" t="s">
        <v>147</v>
      </c>
      <c r="F21" t="s">
        <v>176</v>
      </c>
      <c r="G21">
        <v>3</v>
      </c>
      <c r="H21" t="s">
        <v>175</v>
      </c>
    </row>
    <row r="22" spans="2:8" x14ac:dyDescent="0.25">
      <c r="B22">
        <v>11417054</v>
      </c>
      <c r="C22" s="20">
        <v>44272</v>
      </c>
      <c r="D22" s="20">
        <v>44789</v>
      </c>
      <c r="E22" t="s">
        <v>156</v>
      </c>
      <c r="F22" t="s">
        <v>177</v>
      </c>
      <c r="G22">
        <v>3</v>
      </c>
      <c r="H22" t="s">
        <v>178</v>
      </c>
    </row>
    <row r="23" spans="2:8" x14ac:dyDescent="0.25">
      <c r="B23">
        <v>11416239</v>
      </c>
      <c r="C23" s="20">
        <v>44195</v>
      </c>
      <c r="D23" s="20">
        <v>44789</v>
      </c>
      <c r="E23" t="s">
        <v>165</v>
      </c>
      <c r="F23" t="s">
        <v>179</v>
      </c>
      <c r="G23">
        <v>3</v>
      </c>
      <c r="H23" t="s">
        <v>180</v>
      </c>
    </row>
    <row r="24" spans="2:8" x14ac:dyDescent="0.25">
      <c r="B24">
        <v>11416075</v>
      </c>
      <c r="C24" s="20">
        <v>43915</v>
      </c>
      <c r="D24" s="20">
        <v>44789</v>
      </c>
      <c r="E24" t="s">
        <v>147</v>
      </c>
      <c r="F24" t="s">
        <v>181</v>
      </c>
      <c r="G24">
        <v>5</v>
      </c>
      <c r="H24" t="s">
        <v>182</v>
      </c>
    </row>
    <row r="25" spans="2:8" x14ac:dyDescent="0.25">
      <c r="B25">
        <v>11416067</v>
      </c>
      <c r="C25" s="20">
        <v>44452</v>
      </c>
      <c r="D25" s="20">
        <v>44789</v>
      </c>
      <c r="E25" t="s">
        <v>140</v>
      </c>
      <c r="F25" t="s">
        <v>183</v>
      </c>
      <c r="G25">
        <v>3</v>
      </c>
      <c r="H25" t="s">
        <v>184</v>
      </c>
    </row>
    <row r="26" spans="2:8" x14ac:dyDescent="0.25">
      <c r="B26">
        <v>11415880</v>
      </c>
      <c r="C26" s="20">
        <v>43483</v>
      </c>
      <c r="D26" s="20">
        <v>44789</v>
      </c>
      <c r="E26" t="s">
        <v>145</v>
      </c>
      <c r="F26" t="s">
        <v>185</v>
      </c>
      <c r="G26">
        <v>3</v>
      </c>
      <c r="H26" t="s">
        <v>186</v>
      </c>
    </row>
    <row r="27" spans="2:8" x14ac:dyDescent="0.25">
      <c r="B27">
        <v>11415808</v>
      </c>
      <c r="C27" s="20">
        <v>43818</v>
      </c>
      <c r="D27" s="20">
        <v>44789</v>
      </c>
      <c r="E27" t="s">
        <v>145</v>
      </c>
      <c r="F27" t="s">
        <v>188</v>
      </c>
      <c r="G27">
        <v>3</v>
      </c>
      <c r="H27" t="s">
        <v>187</v>
      </c>
    </row>
    <row r="28" spans="2:8" x14ac:dyDescent="0.25">
      <c r="B28" t="s">
        <v>189</v>
      </c>
      <c r="C28" s="20">
        <v>44537</v>
      </c>
      <c r="D28" s="20">
        <v>44782</v>
      </c>
      <c r="E28" t="s">
        <v>147</v>
      </c>
      <c r="F28" t="s">
        <v>190</v>
      </c>
      <c r="G28">
        <v>3</v>
      </c>
      <c r="H28" t="s">
        <v>191</v>
      </c>
    </row>
    <row r="29" spans="2:8" x14ac:dyDescent="0.25">
      <c r="B29">
        <v>11412511</v>
      </c>
      <c r="C29" s="20">
        <v>43956</v>
      </c>
      <c r="D29" s="20">
        <v>44782</v>
      </c>
      <c r="E29" t="s">
        <v>140</v>
      </c>
      <c r="F29" t="s">
        <v>192</v>
      </c>
      <c r="G29">
        <v>3</v>
      </c>
      <c r="H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2022-06-11T17:53:18Z</dcterms:created>
  <dcterms:modified xsi:type="dcterms:W3CDTF">2025-04-30T21:00:18Z</dcterms:modified>
</cp:coreProperties>
</file>