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B9462E6-2412-42FC-9F28-70D5BAB2FEFA}" xr6:coauthVersionLast="47" xr6:coauthVersionMax="47" xr10:uidLastSave="{00000000-0000-0000-0000-000000000000}"/>
  <bookViews>
    <workbookView xWindow="-51210" yWindow="4560" windowWidth="33420" windowHeight="13230" firstSheet="2" activeTab="4" xr2:uid="{00000000-000D-0000-FFFF-FFFF00000000}"/>
  </bookViews>
  <sheets>
    <sheet name="Master" sheetId="27" r:id="rId1"/>
    <sheet name="IP" sheetId="39" r:id="rId2"/>
    <sheet name="Trials" sheetId="46" r:id="rId3"/>
    <sheet name="Main" sheetId="1" r:id="rId4"/>
    <sheet name="Model" sheetId="2" r:id="rId5"/>
    <sheet name="Mounjaro-Zepbound" sheetId="30" r:id="rId6"/>
    <sheet name="GLP-1s" sheetId="33" r:id="rId7"/>
    <sheet name="Obesity" sheetId="34" r:id="rId8"/>
    <sheet name="Trulicity" sheetId="29" r:id="rId9"/>
    <sheet name="orforglipron" sheetId="43" r:id="rId10"/>
    <sheet name="retatrutide" sheetId="44" r:id="rId11"/>
    <sheet name="mazdutide" sheetId="45" r:id="rId12"/>
    <sheet name="Omvoh" sheetId="37" r:id="rId13"/>
    <sheet name="Kisunla" sheetId="35" r:id="rId14"/>
    <sheet name="insulin efsitora" sheetId="38" r:id="rId15"/>
    <sheet name="imlunestrant" sheetId="40" r:id="rId16"/>
    <sheet name="Ebglyss" sheetId="36" r:id="rId17"/>
    <sheet name="Jayprica" sheetId="28" r:id="rId18"/>
    <sheet name="Verzenio" sheetId="31" r:id="rId19"/>
    <sheet name="muvalaplin" sheetId="41" r:id="rId20"/>
    <sheet name="Alimta" sheetId="10" r:id="rId21"/>
    <sheet name="Cymbalta" sheetId="4" r:id="rId22"/>
    <sheet name="Jardiance" sheetId="32" r:id="rId23"/>
    <sheet name="Forteo" sheetId="6" r:id="rId24"/>
    <sheet name="Strattera" sheetId="5" r:id="rId25"/>
    <sheet name="Cialis" sheetId="9" r:id="rId26"/>
    <sheet name="Evista" sheetId="7" r:id="rId27"/>
    <sheet name="Gemzar" sheetId="23" r:id="rId28"/>
    <sheet name="Zyprexa" sheetId="3" r:id="rId29"/>
    <sheet name="remternetug" sheetId="42" r:id="rId30"/>
    <sheet name="Exenatide" sheetId="11" r:id="rId31"/>
    <sheet name="Effient" sheetId="14" r:id="rId32"/>
    <sheet name="Enzastaurin" sheetId="15" r:id="rId33"/>
    <sheet name="Arzoxifene" sheetId="16" r:id="rId34"/>
    <sheet name="LY2062430" sheetId="26" r:id="rId35"/>
    <sheet name="LY2140023" sheetId="24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V80" i="2" l="1"/>
  <c r="DT80" i="2"/>
  <c r="DV75" i="2"/>
  <c r="DU75" i="2"/>
  <c r="DU96" i="2" s="1"/>
  <c r="DT75" i="2"/>
  <c r="DV74" i="2"/>
  <c r="DU74" i="2"/>
  <c r="DT74" i="2"/>
  <c r="DV72" i="2"/>
  <c r="DT72" i="2"/>
  <c r="DS154" i="2"/>
  <c r="DS150" i="2"/>
  <c r="DS148" i="2"/>
  <c r="DS145" i="2"/>
  <c r="DS139" i="2"/>
  <c r="DS142" i="2"/>
  <c r="DS136" i="2"/>
  <c r="DS127" i="2"/>
  <c r="DS125" i="2"/>
  <c r="DS114" i="2"/>
  <c r="DS107" i="2"/>
  <c r="DS112" i="2"/>
  <c r="DS101" i="2"/>
  <c r="DS85" i="2"/>
  <c r="DS73" i="2"/>
  <c r="DR99" i="2"/>
  <c r="DV99" i="2"/>
  <c r="DU99" i="2"/>
  <c r="DT99" i="2"/>
  <c r="DS99" i="2"/>
  <c r="DV96" i="2"/>
  <c r="DT96" i="2"/>
  <c r="DS96" i="2"/>
  <c r="DV95" i="2"/>
  <c r="DU95" i="2"/>
  <c r="DT95" i="2"/>
  <c r="DS95" i="2"/>
  <c r="DV94" i="2"/>
  <c r="DT94" i="2"/>
  <c r="DS94" i="2"/>
  <c r="DV91" i="2"/>
  <c r="DU91" i="2"/>
  <c r="DT91" i="2"/>
  <c r="DS91" i="2"/>
  <c r="DV90" i="2"/>
  <c r="DU90" i="2"/>
  <c r="DT90" i="2"/>
  <c r="DS90" i="2"/>
  <c r="DV89" i="2"/>
  <c r="DU89" i="2"/>
  <c r="DT89" i="2"/>
  <c r="DS89" i="2"/>
  <c r="DV88" i="2"/>
  <c r="DU88" i="2"/>
  <c r="DT88" i="2"/>
  <c r="DS88" i="2"/>
  <c r="DV87" i="2"/>
  <c r="DU87" i="2"/>
  <c r="DT87" i="2"/>
  <c r="DS87" i="2"/>
  <c r="DV71" i="2"/>
  <c r="DU71" i="2"/>
  <c r="DT71" i="2"/>
  <c r="DS71" i="2"/>
  <c r="AE3" i="33"/>
  <c r="DR154" i="2"/>
  <c r="DR149" i="2"/>
  <c r="DR150" i="2" s="1"/>
  <c r="DR148" i="2"/>
  <c r="DR147" i="2"/>
  <c r="DR146" i="2"/>
  <c r="DR145" i="2"/>
  <c r="DR144" i="2"/>
  <c r="DR140" i="2"/>
  <c r="DR141" i="2"/>
  <c r="DR139" i="2"/>
  <c r="DR138" i="2"/>
  <c r="DR142" i="2"/>
  <c r="DR135" i="2"/>
  <c r="DR134" i="2"/>
  <c r="DR133" i="2"/>
  <c r="DR132" i="2"/>
  <c r="DR131" i="2"/>
  <c r="DR130" i="2"/>
  <c r="DR129" i="2"/>
  <c r="DR128" i="2"/>
  <c r="DR136" i="2"/>
  <c r="DR114" i="2"/>
  <c r="DR125" i="2"/>
  <c r="DR101" i="2"/>
  <c r="DR112" i="2"/>
  <c r="DR107" i="2"/>
  <c r="J6" i="1"/>
  <c r="J5" i="1"/>
  <c r="FL75" i="2"/>
  <c r="FK75" i="2"/>
  <c r="DT83" i="2"/>
  <c r="DU83" i="2" s="1"/>
  <c r="DV83" i="2" s="1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FS9" i="2" l="1"/>
  <c r="FL35" i="2"/>
  <c r="FL32" i="2"/>
  <c r="FL31" i="2"/>
  <c r="DV12" i="2"/>
  <c r="DU12" i="2"/>
  <c r="DT12" i="2"/>
  <c r="FK5" i="2"/>
  <c r="FK6" i="2"/>
  <c r="FK7" i="2"/>
  <c r="FT9" i="2" l="1"/>
  <c r="FU9" i="2" s="1"/>
  <c r="FV9" i="2" s="1"/>
  <c r="FK3" i="2"/>
  <c r="DQ24" i="2"/>
  <c r="DQ33" i="2"/>
  <c r="DU33" i="2" s="1"/>
  <c r="FL29" i="2"/>
  <c r="FL71" i="2" s="1"/>
  <c r="DQ114" i="2"/>
  <c r="DQ125" i="2" s="1"/>
  <c r="DQ101" i="2"/>
  <c r="DQ107" i="2"/>
  <c r="DQ112" i="2" s="1"/>
  <c r="DK71" i="2"/>
  <c r="DM72" i="2"/>
  <c r="DQ72" i="2"/>
  <c r="DR45" i="2"/>
  <c r="DR43" i="2"/>
  <c r="DR40" i="2"/>
  <c r="DR39" i="2"/>
  <c r="DR38" i="2"/>
  <c r="DR34" i="2"/>
  <c r="DT33" i="2"/>
  <c r="DU30" i="2"/>
  <c r="DT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U21" i="2"/>
  <c r="DT21" i="2"/>
  <c r="DU20" i="2"/>
  <c r="DT20" i="2"/>
  <c r="DU19" i="2"/>
  <c r="DT19" i="2"/>
  <c r="DU17" i="2"/>
  <c r="DT17" i="2"/>
  <c r="DU11" i="2"/>
  <c r="DT11" i="2"/>
  <c r="DT36" i="2" l="1"/>
  <c r="DU36" i="2" s="1"/>
  <c r="DV36" i="2" s="1"/>
  <c r="FK39" i="2"/>
  <c r="DT37" i="2"/>
  <c r="DU37" i="2" s="1"/>
  <c r="DV37" i="2" s="1"/>
  <c r="FL37" i="2" s="1"/>
  <c r="FK38" i="2"/>
  <c r="DT43" i="2"/>
  <c r="DU43" i="2" s="1"/>
  <c r="DV43" i="2" s="1"/>
  <c r="FL23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M37" i="2" l="1"/>
  <c r="FN37" i="2" s="1"/>
  <c r="FO37" i="2" s="1"/>
  <c r="FP37" i="2" s="1"/>
  <c r="FQ37" i="2" s="1"/>
  <c r="FR37" i="2" s="1"/>
  <c r="FS37" i="2" s="1"/>
  <c r="FT37" i="2" s="1"/>
  <c r="FU37" i="2" s="1"/>
  <c r="FV37" i="2" s="1"/>
  <c r="FL36" i="2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G14" i="33"/>
  <c r="G3" i="33" s="1"/>
  <c r="P3" i="33"/>
  <c r="Q3" i="33"/>
  <c r="BP3" i="33"/>
  <c r="BP22" i="33" s="1"/>
  <c r="BP24" i="33" s="1"/>
  <c r="BP25" i="33" s="1"/>
  <c r="AK10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H3" i="33" s="1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77" i="2" l="1"/>
  <c r="DS79" i="2" s="1"/>
  <c r="FN11" i="2"/>
  <c r="FM89" i="2"/>
  <c r="FN12" i="2"/>
  <c r="FM90" i="2"/>
  <c r="FO6" i="2"/>
  <c r="FO3" i="2" s="1"/>
  <c r="FN88" i="2"/>
  <c r="DU14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S81" i="2" l="1"/>
  <c r="DS82" i="2" s="1"/>
  <c r="DS92" i="2" s="1"/>
  <c r="DS97" i="2"/>
  <c r="DT85" i="2"/>
  <c r="DT73" i="2"/>
  <c r="DT77" i="2" s="1"/>
  <c r="DT79" i="2" s="1"/>
  <c r="FN17" i="2"/>
  <c r="FM18" i="2"/>
  <c r="FO12" i="2"/>
  <c r="FN90" i="2"/>
  <c r="FO11" i="2"/>
  <c r="FN89" i="2"/>
  <c r="FP6" i="2"/>
  <c r="FP3" i="2" s="1"/>
  <c r="FO88" i="2"/>
  <c r="DV14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FK85" i="2" l="1"/>
  <c r="FL85" i="2"/>
  <c r="DT81" i="2"/>
  <c r="DT82" i="2" s="1"/>
  <c r="DT92" i="2" s="1"/>
  <c r="DT97" i="2"/>
  <c r="DU85" i="2"/>
  <c r="DU73" i="2"/>
  <c r="DV85" i="2"/>
  <c r="DV73" i="2"/>
  <c r="DV77" i="2" s="1"/>
  <c r="DV79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DU77" i="2" l="1"/>
  <c r="DU79" i="2" s="1"/>
  <c r="DU80" i="2" s="1"/>
  <c r="DU94" i="2"/>
  <c r="DU72" i="2"/>
  <c r="DV81" i="2"/>
  <c r="DV82" i="2" s="1"/>
  <c r="DV97" i="2"/>
  <c r="DU81" i="2"/>
  <c r="DU82" i="2" s="1"/>
  <c r="DU92" i="2" s="1"/>
  <c r="DU97" i="2"/>
  <c r="DR82" i="2"/>
  <c r="DR127" i="2"/>
  <c r="FR6" i="2"/>
  <c r="FQ3" i="2"/>
  <c r="FP17" i="2"/>
  <c r="FO18" i="2"/>
  <c r="FQ12" i="2"/>
  <c r="FP90" i="2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DV92" i="2" l="1"/>
  <c r="FS6" i="2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M85" i="2" s="1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N85" i="2" s="1"/>
  <c r="FL76" i="2"/>
  <c r="FL77" i="2" s="1"/>
  <c r="FL95" i="2"/>
  <c r="FM74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O71" i="2"/>
  <c r="FO85" i="2" s="1"/>
  <c r="FM94" i="2"/>
  <c r="FN74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P73" i="2" l="1"/>
  <c r="FP85" i="2"/>
  <c r="FU17" i="2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R15" i="2"/>
  <c r="FP72" i="2"/>
  <c r="FP74" i="2"/>
  <c r="FP76" i="2" s="1"/>
  <c r="FP77" i="2" s="1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73" i="2" l="1"/>
  <c r="FQ72" i="2" s="1"/>
  <c r="FQ85" i="2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T15" i="2"/>
  <c r="FS71" i="2"/>
  <c r="FS85" i="2" s="1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R72" i="2" l="1"/>
  <c r="FS74" i="2"/>
  <c r="FS73" i="2"/>
  <c r="FS72" i="2" s="1"/>
  <c r="FU15" i="2"/>
  <c r="FT71" i="2"/>
  <c r="FT85" i="2" s="1"/>
  <c r="FR95" i="2"/>
  <c r="FR76" i="2"/>
  <c r="FR77" i="2" s="1"/>
  <c r="FL82" i="2"/>
  <c r="FL99" i="2"/>
  <c r="FD85" i="2"/>
  <c r="FA82" i="2"/>
  <c r="FT74" i="2" l="1"/>
  <c r="FT73" i="2"/>
  <c r="FT94" i="2" s="1"/>
  <c r="FV15" i="2"/>
  <c r="FV71" i="2" s="1"/>
  <c r="FU71" i="2"/>
  <c r="FU85" i="2" s="1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85" i="2" l="1"/>
  <c r="FV73" i="2"/>
  <c r="FV74" i="2"/>
  <c r="FV76" i="2" s="1"/>
  <c r="FT72" i="2"/>
  <c r="FU74" i="2"/>
  <c r="FU73" i="2"/>
  <c r="FU94" i="2" s="1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tc={B5A7069E-AFA2-4927-B60D-9C441412B492}</author>
    <author>tc={B8E5B058-4D76-41AB-AF1D-EE9BDB79C8F1}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tc={B67FF5F6-4925-4D70-814B-74FF0F7F0FA5}</author>
    <author>tc={E043D6AB-AC34-4707-B240-064C416613ED}</author>
    <author>tc={F1C29320-A832-47FE-9610-B0BA8742EEFB}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EI15" authorId="17" shapeId="0" xr:uid="{B5A7069E-AFA2-4927-B60D-9C441412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6/14/1996 - FDA approval</t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EQ16" authorId="18" shapeId="0" xr:uid="{B8E5B058-4D76-41AB-AF1D-EE9BDB79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8/19/2004 approval</t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9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20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21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2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3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21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4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5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6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7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8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21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9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30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31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2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3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4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5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6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7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8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9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40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41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2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3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4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5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6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7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DT71" authorId="48" shapeId="0" xr:uid="{B67FF5F6-4925-4D70-814B-74FF0F7F0FA5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14320</t>
      </text>
    </comment>
    <comment ref="DU71" authorId="49" shapeId="0" xr:uid="{E043D6AB-AC34-4707-B240-064C416613ED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15370m</t>
      </text>
    </comment>
    <comment ref="DV71" authorId="50" shapeId="0" xr:uid="{F1C29320-A832-47FE-9610-B0BA8742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17080m</t>
      </text>
    </comment>
    <comment ref="ES71" authorId="21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21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51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52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53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21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54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5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6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7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21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9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60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61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21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21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51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4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62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63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64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5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<sst xmlns="http://schemas.openxmlformats.org/spreadsheetml/2006/main" count="2091" uniqueCount="1270">
  <si>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</si>
  <si>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</si>
  <si>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</si>
  <si>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</si>
  <si>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</si>
  <si>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</si>
  <si>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</si>
  <si>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</si>
  <si>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</si>
  <si>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</si>
  <si>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</si>
  <si>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</si>
  <si>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</si>
  <si>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</si>
  <si>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</si>
  <si>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</si>
  <si>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</si>
  <si>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</si>
  <si>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</si>
  <si>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</si>
  <si>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</si>
  <si>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</si>
  <si>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</si>
  <si>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</si>
  <si>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</si>
  <si>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</si>
  <si>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</si>
  <si>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</si>
  <si>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</si>
  <si>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</si>
  <si>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</si>
  <si>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</si>
  <si>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</si>
  <si>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</si>
  <si>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</si>
  <si>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</si>
  <si>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</si>
  <si>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</si>
  <si>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</si>
  <si>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</si>
  <si>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</si>
  <si>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</si>
  <si>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</si>
  <si>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</si>
  <si>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</si>
  <si>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</si>
  <si>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</si>
  <si>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</si>
  <si>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</si>
  <si>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</si>
  <si>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</si>
  <si>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</si>
  <si>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</si>
  <si>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</si>
  <si>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</si>
  <si>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</si>
  <si>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</si>
  <si>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</si>
  <si>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</si>
  <si>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</si>
  <si>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</si>
  <si>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</si>
  <si>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</si>
  <si>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</si>
  <si>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</si>
  <si>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</si>
  <si>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</si>
  <si>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</si>
  <si>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</si>
  <si>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</si>
  <si>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</si>
  <si>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</si>
  <si>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</si>
  <si>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</si>
  <si>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</si>
  <si>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</si>
  <si>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</si>
  <si>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</si>
  <si>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</si>
  <si>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</si>
  <si>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</si>
  <si>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</si>
  <si>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</si>
  <si>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</si>
  <si>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</si>
  <si>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</si>
  <si>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</si>
  <si>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</si>
  <si>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</si>
  <si>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</si>
  <si>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</si>
  <si>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</si>
  <si>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</si>
  <si>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</si>
  <si>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</si>
  <si>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</si>
  <si>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</si>
  <si>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</si>
  <si>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</si>
  <si>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</si>
  <si>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</si>
  <si>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</si>
  <si>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</si>
  <si>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</si>
  <si>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</si>
  <si>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</si>
  <si>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</si>
  <si>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</si>
  <si>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</si>
  <si>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</si>
  <si>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</si>
  <si>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</si>
  <si>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</si>
  <si>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</si>
  <si>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</si>
  <si>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</si>
  <si>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</si>
  <si>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</si>
  <si>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</si>
  <si>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</si>
  <si>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</si>
  <si>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</si>
  <si>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</si>
  <si>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</si>
  <si>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</si>
  <si>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</si>
  <si>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</si>
  <si>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</si>
  <si>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</si>
  <si>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</si>
  <si>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</si>
  <si>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</si>
  <si>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</si>
  <si>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</si>
  <si>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</si>
  <si>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</si>
  <si>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</si>
  <si>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</si>
  <si>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</si>
  <si>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</si>
  <si>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</si>
  <si>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</si>
  <si>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</si>
  <si>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</si>
  <si>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</si>
  <si>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</si>
  <si>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</si>
  <si>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</si>
  <si>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</si>
  <si>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</si>
  <si>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</si>
  <si>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</si>
  <si>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</si>
  <si>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</si>
  <si>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</si>
  <si>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</si>
  <si>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</si>
  <si>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</si>
  <si>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</si>
  <si>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</si>
  <si>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</si>
  <si>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</si>
  <si>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</si>
  <si>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</si>
  <si>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</si>
  <si>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</si>
  <si>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</si>
  <si>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</si>
  <si>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</si>
  <si>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</si>
  <si>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</si>
  <si>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</si>
  <si>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</si>
  <si>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</si>
  <si>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</si>
  <si>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</si>
  <si>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</si>
  <si>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</si>
  <si>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</si>
  <si>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</si>
  <si>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</si>
  <si>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</si>
  <si>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</si>
  <si>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</si>
  <si>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</si>
  <si>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</si>
  <si>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</si>
  <si>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</si>
  <si>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</si>
  <si>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</si>
  <si>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</si>
  <si>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</si>
  <si>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</si>
  <si>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</si>
  <si>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</si>
  <si>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</si>
  <si>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</si>
  <si>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</si>
  <si>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</si>
  <si>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</si>
  <si>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</si>
  <si>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</si>
  <si>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</si>
  <si>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</si>
  <si>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</si>
  <si>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</si>
  <si>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</si>
  <si>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</si>
  <si>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</si>
  <si>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</si>
  <si>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</si>
  <si>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</si>
  <si>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</si>
  <si>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</si>
  <si>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</si>
  <si>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</si>
  <si>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</si>
  <si>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</si>
  <si>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</si>
  <si>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</si>
  <si>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</si>
  <si>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</si>
  <si>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</si>
  <si>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</si>
  <si>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</si>
  <si>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</si>
  <si>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</si>
  <si>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</si>
  <si>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</si>
  <si>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</si>
  <si>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</si>
  <si>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</si>
  <si>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</si>
  <si>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</si>
  <si>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</si>
  <si>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</si>
  <si>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</si>
  <si>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</si>
  <si>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</si>
  <si>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</si>
  <si>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</si>
  <si>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</si>
  <si>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</si>
  <si>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</si>
  <si>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</si>
  <si>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</si>
  <si>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</si>
  <si>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</si>
  <si>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</si>
  <si>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</si>
  <si>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</si>
  <si>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</si>
  <si>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</si>
  <si>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</si>
  <si>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</si>
  <si>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</si>
  <si>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</si>
  <si>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</si>
  <si>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</si>
  <si>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</si>
  <si>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</si>
  <si>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</si>
  <si>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</si>
  <si>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</si>
  <si>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</si>
  <si>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</si>
  <si>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</si>
  <si>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</si>
  <si>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</si>
  <si>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</si>
  <si>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</si>
  <si>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</si>
  <si>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</si>
  <si>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</si>
  <si>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</si>
  <si>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</si>
  <si>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</si>
  <si>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</si>
  <si>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</si>
  <si>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</si>
  <si>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</si>
  <si>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</si>
  <si>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</si>
  <si>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</si>
  <si>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</si>
  <si>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</si>
  <si>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</si>
  <si>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</si>
  <si>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</si>
  <si>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</si>
  <si>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</si>
  <si>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</si>
  <si>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</si>
  <si>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</si>
  <si>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</si>
  <si>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</si>
  <si>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</si>
  <si>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</si>
  <si>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</si>
  <si>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</si>
  <si>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</si>
  <si>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</si>
  <si>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</si>
  <si>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</si>
  <si>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</si>
  <si>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</si>
  <si>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</si>
  <si>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</si>
  <si>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</si>
  <si>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</si>
  <si>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</si>
  <si>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</si>
  <si>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</si>
  <si>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</si>
  <si>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</si>
  <si>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</si>
  <si>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</si>
  <si>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</si>
  <si>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</si>
  <si>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</si>
  <si>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</si>
  <si>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</si>
  <si>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</si>
  <si>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</si>
  <si>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</si>
  <si>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</si>
  <si>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</si>
  <si>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</si>
  <si>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</si>
  <si>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</si>
  <si>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</si>
  <si>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</si>
  <si>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</si>
  <si>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</si>
  <si>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</si>
  <si>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</si>
  <si>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</si>
  <si>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</si>
  <si>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</si>
  <si>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</si>
  <si>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</si>
  <si>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</si>
  <si>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</si>
  <si>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</si>
  <si>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</si>
  <si>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</si>
  <si>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</si>
  <si>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</si>
  <si>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</si>
  <si>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</si>
  <si>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</si>
  <si>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</si>
  <si>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</si>
  <si>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</si>
  <si>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</si>
  <si>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</si>
  <si>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</si>
  <si>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</si>
  <si>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</si>
  <si>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</si>
  <si>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</si>
  <si>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</si>
  <si>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</si>
  <si>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</si>
  <si>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</si>
  <si>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</si>
  <si>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</si>
  <si>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</si>
  <si>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</si>
  <si>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</si>
  <si>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</si>
  <si>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</si>
  <si>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</si>
  <si>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</si>
  <si>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</si>
  <si>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</si>
  <si>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</si>
  <si>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</si>
  <si>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</si>
  <si>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</si>
  <si>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</si>
  <si>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</si>
  <si>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</si>
  <si>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</si>
  <si>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</si>
  <si>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</si>
  <si>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</si>
  <si>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</si>
  <si>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</si>
  <si>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</si>
  <si>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</si>
  <si>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</si>
  <si>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</si>
  <si>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</si>
  <si>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</si>
  <si>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</si>
  <si>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</si>
  <si>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</si>
  <si>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</si>
  <si>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</si>
  <si>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</si>
  <si>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</si>
  <si>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</si>
  <si>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</si>
  <si>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</si>
  <si>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</si>
  <si>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</si>
  <si>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</si>
  <si>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</si>
  <si>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</si>
  <si>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</si>
  <si>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</si>
  <si>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</si>
  <si>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</si>
  <si>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</si>
  <si>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</si>
  <si>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</si>
  <si>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</si>
  <si>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</si>
  <si>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</si>
  <si>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</si>
  <si>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</si>
  <si>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</si>
  <si>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</si>
  <si>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</si>
  <si>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</si>
  <si>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</si>
  <si>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</si>
  <si>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</si>
  <si>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</si>
  <si>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</si>
  <si>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</si>
  <si>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</si>
  <si>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</si>
  <si>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</si>
  <si>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</si>
  <si>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</si>
  <si>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</si>
  <si>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</si>
  <si>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</si>
  <si>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</si>
  <si>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</si>
  <si>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</si>
  <si>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</si>
  <si>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</si>
  <si>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</si>
  <si>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</si>
  <si>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</si>
  <si>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</si>
  <si>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</si>
  <si>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</si>
  <si>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</si>
  <si>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</si>
  <si>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</si>
  <si>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</si>
  <si>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</si>
  <si>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</si>
  <si>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</si>
  <si>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</si>
  <si>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</si>
  <si>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</si>
  <si>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</si>
  <si>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</si>
  <si>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</si>
  <si>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</si>
  <si>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</si>
  <si>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</si>
  <si>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</si>
  <si>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</si>
  <si>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</si>
  <si>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</si>
  <si>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</si>
  <si>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</si>
  <si>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</si>
  <si>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</si>
  <si>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</si>
  <si>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</si>
  <si>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</si>
  <si>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</si>
  <si>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</si>
  <si>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</si>
  <si>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</si>
  <si>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</si>
  <si>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</si>
  <si>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</si>
  <si>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</si>
  <si>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</si>
  <si>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</si>
  <si>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</si>
  <si>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</si>
  <si>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</si>
  <si>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</si>
  <si>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</si>
  <si>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</si>
  <si>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</si>
  <si>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</si>
  <si>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</si>
  <si>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</si>
  <si>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</si>
  <si>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</si>
  <si>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</si>
  <si>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</si>
  <si>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</si>
  <si>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</si>
  <si>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</si>
  <si>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</si>
  <si>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</si>
  <si>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</si>
  <si>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</si>
  <si>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</si>
  <si>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</si>
  <si>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</si>
  <si>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</si>
  <si>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</si>
  <si>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</si>
  <si>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</si>
  <si>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</si>
  <si>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</si>
  <si>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</si>
  <si>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</si>
  <si>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</si>
  <si>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</si>
  <si>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</si>
  <si>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</si>
  <si>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</si>
  <si>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</si>
  <si>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</si>
  <si>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</si>
  <si>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</si>
  <si>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</si>
  <si>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</si>
  <si>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</si>
  <si>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</si>
  <si>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</si>
  <si>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</si>
  <si>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</si>
  <si>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</si>
  <si>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</si>
  <si>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</si>
  <si>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</si>
  <si>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</si>
  <si>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</si>
  <si>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</si>
  <si>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</si>
  <si>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</si>
  <si>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</si>
  <si>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</si>
  <si>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</si>
  <si>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</si>
  <si>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</si>
  <si>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</si>
  <si>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</si>
  <si>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</si>
  <si>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</si>
  <si>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</si>
  <si>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</si>
  <si>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</si>
  <si>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</si>
  <si>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</si>
  <si>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</si>
  <si>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</si>
  <si>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</si>
  <si>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</si>
  <si>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</si>
  <si>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</si>
  <si>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</si>
  <si>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</si>
  <si>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</si>
  <si>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</si>
  <si>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</si>
  <si>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</si>
  <si>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</si>
  <si>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</si>
  <si>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</si>
  <si>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</si>
  <si>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</si>
  <si>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</si>
  <si>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</si>
  <si>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</si>
  <si>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</si>
  <si>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</si>
  <si>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</si>
  <si>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</si>
  <si>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</si>
  <si>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</si>
  <si>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</si>
  <si>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</si>
  <si>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</si>
  <si>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</si>
  <si>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</si>
  <si>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</si>
  <si>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</si>
  <si>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</si>
  <si>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</si>
  <si>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</si>
  <si>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</si>
  <si>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</si>
  <si>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</si>
  <si>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</si>
  <si>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</si>
  <si>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</si>
  <si>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</si>
  <si>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</si>
  <si>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</si>
  <si>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</si>
  <si>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</si>
  <si>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</si>
  <si>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</si>
  <si>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</si>
  <si>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</si>
  <si>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</si>
  <si>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</si>
  <si>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</si>
  <si>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</si>
  <si>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</si>
  <si>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</si>
  <si>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</si>
  <si>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</si>
  <si>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</si>
  <si>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</si>
  <si>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</si>
  <si>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</si>
  <si>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</si>
  <si>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</si>
  <si>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</si>
  <si>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</si>
  <si>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</si>
  <si>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</si>
  <si>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</si>
  <si>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</si>
  <si>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</si>
  <si>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</si>
  <si>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</si>
  <si>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</si>
  <si>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</si>
  <si>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</si>
  <si>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</si>
  <si>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</si>
  <si>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</si>
  <si>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</si>
  <si>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</si>
  <si>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</si>
  <si>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</si>
  <si>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</si>
  <si>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</si>
  <si>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</si>
  <si>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</si>
  <si>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</si>
  <si>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</si>
  <si>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</si>
  <si>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</si>
  <si>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</si>
  <si>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</si>
  <si>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</si>
  <si>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</si>
  <si>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</si>
  <si>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</si>
  <si>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</si>
  <si>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</si>
  <si>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</si>
  <si>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</si>
  <si>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</si>
  <si>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</si>
  <si>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</si>
  <si>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</si>
  <si>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</si>
  <si>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</si>
  <si>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</si>
  <si>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</si>
  <si>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</si>
  <si>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</si>
  <si>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</si>
  <si>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</si>
  <si>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</si>
  <si>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</si>
  <si>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</si>
  <si>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</si>
  <si>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</si>
  <si>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</si>
  <si>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</si>
  <si>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</si>
  <si>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</si>
  <si>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</si>
  <si>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</si>
  <si>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</si>
  <si>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</si>
  <si>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</si>
  <si>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</si>
  <si>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</si>
  <si>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</si>
  <si>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</si>
  <si>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</si>
  <si>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</si>
  <si>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</si>
  <si>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</si>
  <si>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</si>
  <si>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</si>
  <si>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</si>
  <si>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</si>
  <si>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</si>
  <si>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</si>
  <si>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</si>
  <si>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</si>
  <si>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</si>
  <si>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</si>
  <si>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</si>
  <si>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</si>
  <si>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</si>
  <si>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</si>
  <si>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</si>
  <si>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</si>
  <si>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</si>
  <si>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</si>
  <si>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</si>
  <si>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</si>
  <si>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</si>
  <si>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</si>
  <si>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</si>
  <si>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</si>
  <si>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</si>
  <si>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</si>
  <si>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</si>
  <si>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</si>
  <si>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</si>
  <si>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</si>
  <si>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</si>
  <si>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</si>
  <si>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</si>
  <si>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</si>
  <si>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</si>
  <si>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</si>
  <si>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</si>
  <si>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</si>
  <si>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</si>
  <si>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</si>
  <si>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</si>
  <si>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</si>
  <si>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</si>
  <si>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</si>
  <si>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</si>
  <si>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</si>
  <si>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</si>
  <si>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</si>
  <si>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</si>
  <si>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</si>
  <si>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</si>
  <si>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</si>
  <si>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</si>
  <si>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</si>
  <si>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</si>
  <si>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</si>
  <si>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</si>
  <si>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</si>
  <si>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</si>
  <si>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</si>
  <si>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</si>
  <si>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</si>
  <si>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</si>
  <si>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</si>
  <si>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</si>
  <si>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</si>
  <si>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</si>
  <si>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</si>
  <si>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</si>
  <si>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</si>
  <si>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</si>
  <si>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</si>
  <si>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</si>
  <si>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</si>
  <si>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</si>
  <si>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</si>
  <si>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</si>
  <si>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</si>
  <si>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</si>
  <si>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</si>
  <si>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</si>
  <si>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</si>
  <si>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</si>
  <si>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</si>
  <si>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</si>
  <si>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</si>
  <si>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</si>
  <si>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</si>
  <si>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</si>
  <si>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</si>
  <si>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</si>
  <si>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</si>
  <si>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</si>
  <si>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</si>
  <si>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</si>
  <si>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</si>
  <si>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</si>
  <si>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</si>
  <si>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</si>
  <si>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</si>
  <si>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</si>
  <si>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</si>
  <si>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</si>
  <si>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</si>
  <si>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</si>
  <si>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</si>
  <si>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</si>
  <si>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</si>
  <si>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</si>
  <si>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</si>
  <si>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</si>
  <si>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</si>
  <si>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</si>
  <si>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</si>
  <si>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</si>
  <si>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</si>
  <si>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</si>
  <si>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</si>
  <si>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</si>
  <si>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</si>
  <si>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</si>
  <si>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</si>
  <si>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</si>
  <si>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</si>
  <si>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</si>
  <si>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</si>
  <si>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</si>
  <si>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</si>
  <si>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</si>
  <si>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</si>
  <si>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</si>
  <si>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</si>
  <si>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</si>
  <si>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</si>
  <si>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</si>
  <si>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</si>
  <si>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</si>
  <si>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</si>
  <si>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</si>
  <si>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</si>
  <si>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</si>
  <si>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</si>
  <si>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</si>
  <si>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</si>
  <si>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</si>
  <si>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</si>
  <si>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</si>
  <si>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</si>
  <si>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</si>
  <si>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</si>
  <si>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</si>
  <si>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</si>
  <si>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</si>
  <si>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</si>
  <si>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</si>
  <si>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</si>
  <si>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</si>
  <si>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</si>
  <si>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</si>
  <si>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</si>
  <si>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</si>
  <si>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</si>
  <si>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</si>
  <si>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</si>
  <si>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</si>
  <si>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</si>
  <si>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</si>
  <si>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</si>
  <si>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</si>
  <si>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</si>
  <si>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</si>
  <si>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</si>
  <si>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</si>
  <si>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</si>
  <si>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</si>
  <si>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</si>
  <si>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</si>
  <si>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</si>
  <si>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</si>
  <si>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</si>
  <si>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</si>
  <si>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</si>
  <si>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</si>
  <si>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</si>
  <si>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</si>
  <si>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</si>
  <si>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</si>
  <si>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</si>
  <si>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</si>
  <si>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</si>
  <si>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</si>
  <si>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</si>
  <si>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</si>
  <si>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</si>
  <si>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</si>
  <si>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</si>
  <si>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</si>
  <si>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</si>
  <si>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</si>
  <si>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</si>
  <si>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</si>
  <si>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</si>
  <si>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</si>
  <si>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</si>
  <si>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</si>
  <si>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</si>
  <si>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</si>
  <si>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</si>
  <si>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</si>
  <si>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</si>
  <si>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</si>
  <si>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</si>
  <si>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</si>
  <si>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</si>
  <si>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</si>
  <si>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</si>
  <si>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</si>
  <si>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</si>
  <si>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</si>
  <si>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</si>
  <si>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</si>
  <si>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</si>
  <si>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</si>
  <si>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</si>
  <si>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</si>
  <si>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</si>
  <si>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</si>
  <si>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</si>
  <si>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</si>
  <si>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</si>
  <si>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</si>
  <si>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</si>
  <si>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</si>
  <si>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</si>
  <si>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</si>
  <si>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</si>
  <si>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</si>
  <si>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</si>
  <si>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</si>
  <si>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</si>
  <si>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</si>
  <si>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</si>
  <si>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</si>
  <si>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</si>
  <si>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</si>
  <si>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</si>
  <si>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</si>
  <si>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</si>
  <si>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</si>
  <si>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</si>
  <si>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</si>
  <si>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</si>
  <si>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</si>
  <si>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</si>
  <si>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</si>
  <si>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</si>
  <si>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</si>
  <si>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</si>
  <si>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</si>
  <si>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</si>
  <si>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</si>
  <si>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</si>
  <si>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</si>
  <si>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</si>
  <si>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</si>
  <si>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</si>
  <si>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</si>
  <si>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</si>
  <si>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</si>
  <si>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</si>
  <si>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</si>
  <si>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</si>
  <si>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</si>
  <si>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</si>
  <si>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</si>
  <si>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</si>
  <si>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</si>
  <si>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</si>
  <si>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</si>
  <si>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</si>
  <si>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</si>
  <si>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</si>
  <si>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</si>
  <si>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</si>
  <si>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</si>
  <si>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</si>
  <si>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</si>
  <si>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</si>
  <si>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</si>
  <si>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</si>
  <si>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</si>
  <si>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</si>
  <si>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</si>
  <si>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</si>
  <si>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</si>
  <si>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</si>
  <si>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</si>
  <si>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</si>
  <si>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</si>
  <si>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</si>
  <si>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</si>
  <si>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</si>
  <si>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</si>
  <si>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</si>
  <si>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</si>
  <si>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</si>
  <si>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</si>
  <si>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</si>
  <si>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</si>
  <si>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</si>
  <si>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</si>
  <si>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</si>
  <si>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</si>
  <si>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</si>
  <si>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</si>
  <si>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</si>
  <si>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</si>
  <si>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</si>
  <si>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</si>
  <si>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</si>
  <si>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</si>
  <si>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</si>
  <si>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</si>
  <si>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</si>
  <si>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</si>
  <si>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</si>
  <si>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</si>
  <si>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</si>
  <si>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</si>
  <si>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</si>
  <si>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</si>
  <si>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</si>
  <si>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</si>
  <si>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</si>
  <si>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</si>
  <si>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</si>
  <si>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</si>
  <si>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</si>
  <si>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</si>
  <si>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</si>
  <si>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</si>
  <si>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</si>
  <si>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</si>
  <si>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</si>
  <si>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</si>
  <si>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</si>
  <si>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</si>
  <si>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</si>
  <si>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</si>
  <si>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</si>
  <si>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</si>
  <si>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</si>
  <si>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</si>
  <si>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</si>
  <si>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</si>
  <si>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</si>
  <si>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</si>
  <si>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</si>
  <si>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</si>
  <si>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</si>
  <si>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</si>
  <si>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</si>
  <si>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</si>
  <si>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</si>
  <si>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</si>
  <si>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</si>
  <si>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</si>
  <si>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</si>
  <si>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</si>
  <si>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</si>
  <si>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</si>
  <si>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</si>
  <si>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</si>
  <si>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</si>
  <si>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</si>
  <si>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</si>
  <si>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</si>
  <si>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</si>
  <si>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</si>
  <si>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</si>
  <si>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</si>
  <si>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</si>
  <si>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</si>
  <si>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</si>
  <si>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</si>
  <si>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</si>
  <si>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</si>
  <si>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</si>
  <si>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</si>
  <si>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</si>
  <si>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</si>
  <si>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</si>
  <si>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</si>
  <si>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</si>
  <si>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</si>
  <si>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</si>
  <si>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</si>
  <si>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</si>
  <si>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</si>
  <si>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</si>
  <si>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</si>
  <si>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</si>
  <si>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</si>
  <si>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</si>
  <si>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</si>
  <si>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</si>
  <si>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</si>
  <si>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</si>
  <si>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</si>
  <si>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</si>
  <si>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</si>
  <si>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</si>
  <si>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</si>
  <si>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</si>
  <si>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</si>
  <si>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</si>
  <si>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</si>
  <si>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</si>
  <si>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</si>
  <si>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</si>
  <si>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</si>
  <si>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</si>
  <si>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</si>
  <si>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</si>
  <si>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</si>
  <si>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</si>
  <si>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</si>
  <si>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</si>
  <si>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</si>
  <si>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</si>
  <si>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</si>
  <si>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</si>
  <si>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</si>
  <si>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</si>
  <si>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</si>
  <si>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</si>
  <si>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</si>
  <si>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</si>
  <si>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</si>
  <si>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</si>
  <si>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</si>
  <si>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</si>
  <si>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</si>
  <si>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</si>
  <si>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</si>
  <si>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</si>
  <si>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</si>
  <si>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</si>
  <si>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</si>
  <si>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</si>
  <si>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</si>
  <si>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</si>
  <si>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</si>
  <si>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</si>
  <si>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</si>
  <si>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</si>
  <si>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</si>
  <si>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</si>
  <si>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</si>
  <si>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</si>
  <si>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</si>
  <si>
    <t>Protein tyrosine-tyrosine analogs and methods of using the same</t>
  </si>
  <si>
    <t>GIP/GLP1 co-agonist compounds</t>
  </si>
  <si>
    <t>GLP-1, Glucagon Receptor agonist</t>
  </si>
  <si>
    <t>once-weekly</t>
  </si>
  <si>
    <t>fka IBI362, LY3305677</t>
  </si>
  <si>
    <t>oxyntomodulin analog with fatty acid chain</t>
  </si>
  <si>
    <t>Phase II n=248 China 24-week obesity. Nat Comm 2023</t>
  </si>
  <si>
    <t>Innovent has Chinese rights</t>
  </si>
  <si>
    <t xml:space="preserve">LY3537021 </t>
  </si>
  <si>
    <t>YAEGTFISDY SILLDKKHQA DFVEXLLEAG PSSGAPPPS - not 12252524</t>
  </si>
  <si>
    <t>Number</t>
  </si>
  <si>
    <t>n</t>
  </si>
  <si>
    <t>eloralintide (LY3841136)</t>
  </si>
  <si>
    <t>Healthy</t>
  </si>
  <si>
    <t>LY4100511 (DC-853)</t>
  </si>
  <si>
    <t>lepodisiran (LY3819469)</t>
  </si>
  <si>
    <t>tirzepatide (LY3298176)</t>
  </si>
  <si>
    <t>T1D</t>
  </si>
  <si>
    <t>Down</t>
  </si>
  <si>
    <t>IV</t>
  </si>
  <si>
    <t>LAE102</t>
  </si>
  <si>
    <t>galcanezumab</t>
  </si>
  <si>
    <t>Post-Traumatic Headache</t>
  </si>
  <si>
    <t>LY4064809 (STX-478)</t>
  </si>
  <si>
    <t>bimagrumab (LY3985863)</t>
  </si>
  <si>
    <t>LY3457263</t>
  </si>
  <si>
    <t>olomorasib (LY3537982)</t>
  </si>
  <si>
    <t>G12C NSCLC</t>
  </si>
  <si>
    <t>CLL/SLL, NHL</t>
  </si>
  <si>
    <t>pirtobrutinib (LY3527727)</t>
  </si>
  <si>
    <t>LY3549492</t>
  </si>
  <si>
    <t>Sarcoidosis</t>
  </si>
  <si>
    <t>Psoriatic Arthritis</t>
  </si>
  <si>
    <t>Pouchitis</t>
  </si>
  <si>
    <t>LY3541860</t>
  </si>
  <si>
    <t>Date</t>
  </si>
  <si>
    <t>retatrutide (LY3437943)</t>
  </si>
  <si>
    <t>cetuximab</t>
  </si>
  <si>
    <t>HNSCC</t>
  </si>
  <si>
    <t>Binge Eating</t>
  </si>
  <si>
    <t>abemaciclib</t>
  </si>
  <si>
    <t>ccRCC</t>
  </si>
  <si>
    <t>I/II</t>
  </si>
  <si>
    <t>Alcohol Use Disorder</t>
  </si>
  <si>
    <t>CLL</t>
  </si>
  <si>
    <t>TNG456</t>
  </si>
  <si>
    <t>Solid Tumors</t>
  </si>
  <si>
    <t>LY4006896</t>
  </si>
  <si>
    <t>S011806, DC-806, LY4100504</t>
  </si>
  <si>
    <t>Alopecia</t>
  </si>
  <si>
    <t>dulaglutide (LY2189265)</t>
  </si>
  <si>
    <t>ITP</t>
  </si>
  <si>
    <t>LY4060874</t>
  </si>
  <si>
    <t>AAVAnc80-hOTOF</t>
  </si>
  <si>
    <t>Hearing Loss</t>
  </si>
  <si>
    <t>LTFU</t>
  </si>
  <si>
    <t>UC</t>
  </si>
  <si>
    <t>LY4005130</t>
  </si>
  <si>
    <t>orforglipron (LY3502970)</t>
  </si>
  <si>
    <t>adolescents</t>
  </si>
  <si>
    <t>vs. tirzepatide</t>
  </si>
  <si>
    <t>LY4006895</t>
  </si>
  <si>
    <t>Alzheimer</t>
  </si>
  <si>
    <t>remternetug (LY3372993)</t>
  </si>
  <si>
    <t>OSA</t>
  </si>
  <si>
    <t>II/III</t>
  </si>
  <si>
    <t>14C-LY3866288</t>
  </si>
  <si>
    <t>LY3866288</t>
  </si>
  <si>
    <t>Ramadan</t>
  </si>
  <si>
    <t>LY4066434</t>
  </si>
  <si>
    <t>KRAS Solid Tumors</t>
  </si>
  <si>
    <t>LY3537031</t>
  </si>
  <si>
    <t>CKD</t>
  </si>
  <si>
    <t>terminated</t>
  </si>
  <si>
    <t>Ovarian</t>
  </si>
  <si>
    <t>LY4065967</t>
  </si>
  <si>
    <t>LY3841136</t>
  </si>
  <si>
    <t>Polyneuropathy</t>
  </si>
  <si>
    <t>LY3002813 (donanemab)</t>
  </si>
  <si>
    <t>Real-World</t>
  </si>
  <si>
    <t>LY4050784</t>
  </si>
  <si>
    <t>LY3532226</t>
  </si>
  <si>
    <t>R/R MCL</t>
  </si>
  <si>
    <t>mevidalen (LY3154207)</t>
  </si>
  <si>
    <t>subcutaneous pump</t>
  </si>
  <si>
    <t>N/A</t>
  </si>
  <si>
    <t>AAVAnc80-antiVEGF</t>
  </si>
  <si>
    <t>Vestibular Schwannoma</t>
  </si>
  <si>
    <t>azelaprag (BGE-105)</t>
  </si>
  <si>
    <t>LY4052031</t>
  </si>
  <si>
    <t>selpercatinib</t>
  </si>
  <si>
    <t>Thyroid Cancer</t>
  </si>
  <si>
    <t>Glioma</t>
  </si>
  <si>
    <t>LY4170156</t>
  </si>
  <si>
    <t>LY3985297</t>
  </si>
  <si>
    <t>MZL</t>
  </si>
  <si>
    <t>ASCVD</t>
  </si>
  <si>
    <t>mibavademab (REGN4461)</t>
  </si>
  <si>
    <t>LY900014</t>
  </si>
  <si>
    <t>India</t>
  </si>
  <si>
    <t>mTNBC</t>
  </si>
  <si>
    <t>Endometrial Cancer</t>
  </si>
  <si>
    <t>LY3209590</t>
  </si>
  <si>
    <t>pediatric</t>
  </si>
  <si>
    <t>plozasiran (ARO-APOC3)</t>
  </si>
  <si>
    <t>Hypertriglyceridemia</t>
  </si>
  <si>
    <t>Amylin agonist</t>
  </si>
  <si>
    <t>amylin agonist</t>
  </si>
  <si>
    <t>NPY agonist</t>
  </si>
  <si>
    <t>Activin mab</t>
  </si>
  <si>
    <t>oral GLP-1?</t>
  </si>
  <si>
    <t>GLP-1R agonist</t>
  </si>
  <si>
    <t>$50m upfront to Chugai. Created with ConfometRx</t>
  </si>
  <si>
    <t>oral 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</si>
</sst>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i/>
      <sz val="10"/>
      <color theme="0" tint="-0.34998626667073579"/>
      <name val="Arial"/>
      <family val="2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  <xf numFmtId="0" fontId="1" fillId="0" borderId="0" xfId="1" applyFill="1" applyBorder="1" applyAlignment="1" applyProtection="1"/>
    <xf numFmtId="14" fontId="0" fillId="0" borderId="0" xfId="0" applyNumberFormat="1" applyAlignment="1">
      <alignment horizontal="center"/>
    </xf>
    <xf numFmtId="14" fontId="4" fillId="0" borderId="0" xfId="0" applyNumberFormat="1" applyFont="1"/>
    <xf numFmtId="0" fontId="4" fillId="0" borderId="0" xfId="0" quotePrefix="1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14" fontId="17" fillId="0" borderId="0" xfId="0" applyNumberFormat="1" applyFont="1"/>
    <xf numFmtId="0" fontId="18" fillId="2" borderId="4" xfId="1" applyFont="1" applyFill="1" applyBorder="1" applyAlignment="1" applyProtection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123</xdr:col>
      <xdr:colOff>70956</xdr:colOff>
      <xdr:row>0</xdr:row>
      <xdr:rowOff>0</xdr:rowOff>
    </xdr:from>
    <xdr:to>
      <xdr:col>123</xdr:col>
      <xdr:colOff>70956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9637585" y="0"/>
          <a:ext cx="0" cy="2695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167</xdr:col>
      <xdr:colOff>9387</xdr:colOff>
      <xdr:row>0</xdr:row>
      <xdr:rowOff>0</xdr:rowOff>
    </xdr:from>
    <xdr:to>
      <xdr:col>167</xdr:col>
      <xdr:colOff>9387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79870300" y="0"/>
          <a:ext cx="0" cy="25430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493936</xdr:colOff>
      <xdr:row>2</xdr:row>
      <xdr:rowOff>1</xdr:rowOff>
    </xdr:from>
    <xdr:to>
      <xdr:col>15</xdr:col>
      <xdr:colOff>385481</xdr:colOff>
      <xdr:row>20</xdr:row>
      <xdr:rowOff>31937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E31FA17-B85A-E736-B1AE-984CB9F6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554" y="313766"/>
          <a:ext cx="3522251" cy="285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EI15" dT="2025-04-12T00:04:07.81" personId="{13399233-BA81-4949-9BE8-57EDDD85014C}" id="{B5A7069E-AFA2-4927-B60D-9C441412B492}">
    <text>6/14/1996 - FDA approval</text>
  </threadedComment>
  <threadedComment ref="EQ16" dT="2025-04-12T00:08:14.60" personId="{13399233-BA81-4949-9BE8-57EDDD85014C}" id="{B8E5B058-4D76-41AB-AF1D-EE9BDB79C8F1}">
    <text>8/19/2004 approval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DT71" dT="2025-05-06T13:01:02.35" personId="{13399233-BA81-4949-9BE8-57EDDD85014C}" id="{B67FF5F6-4925-4D70-814B-74FF0F7F0FA5}">
    <text>5/6/25 consensus: 14320</text>
  </threadedComment>
  <threadedComment ref="DU71" dT="2025-05-06T13:01:18.51" personId="{13399233-BA81-4949-9BE8-57EDDD85014C}" id="{E043D6AB-AC34-4707-B240-064C416613ED}">
    <text>5/6/25 consensus: 15370m</text>
  </threadedComment>
  <threadedComment ref="DV71" dT="2025-05-06T13:01:35.43" personId="{13399233-BA81-4949-9BE8-57EDDD85014C}" id="{F1C29320-A832-47FE-9610-B0BA8742EEFB}">
    <text>5/6/25 consensus: 17080m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  <col min="10" max="10" width="10.7109375" customWidth="1"/>
  </cols>
  <sheetData>
    <row r="1" spans="1:10" x14ac:dyDescent="0.2">
      <c r="A1" s="114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116">
        <v>36356</v>
      </c>
    </row>
    <row r="4" spans="1:10" x14ac:dyDescent="0.2">
      <c r="B4" s="38" t="s">
        <v>992</v>
      </c>
      <c r="C4" s="38"/>
      <c r="D4" s="38"/>
      <c r="E4" s="38"/>
      <c r="F4" s="38"/>
      <c r="G4" s="38"/>
      <c r="H4" s="38"/>
      <c r="J4" s="116">
        <v>39955</v>
      </c>
    </row>
    <row r="5" spans="1:10" x14ac:dyDescent="0.2">
      <c r="B5" s="114" t="s">
        <v>19</v>
      </c>
      <c r="C5" s="38" t="s">
        <v>228</v>
      </c>
      <c r="D5" s="53" t="s">
        <v>116</v>
      </c>
      <c r="F5" s="86">
        <v>1</v>
      </c>
      <c r="G5" s="115">
        <v>38021</v>
      </c>
      <c r="H5" s="53">
        <v>2016</v>
      </c>
      <c r="J5" s="83">
        <v>38218</v>
      </c>
    </row>
    <row r="6" spans="1:10" x14ac:dyDescent="0.2">
      <c r="B6" s="38" t="s">
        <v>987</v>
      </c>
      <c r="C6" s="38"/>
      <c r="D6" s="53"/>
      <c r="F6" s="86"/>
      <c r="G6" s="115"/>
      <c r="H6" s="53"/>
    </row>
    <row r="7" spans="1:10" x14ac:dyDescent="0.2">
      <c r="B7" s="38" t="s">
        <v>792</v>
      </c>
      <c r="C7" s="38" t="s">
        <v>793</v>
      </c>
      <c r="D7" s="71" t="s">
        <v>79</v>
      </c>
      <c r="F7" s="86"/>
      <c r="G7" s="115"/>
      <c r="H7" s="53"/>
    </row>
    <row r="8" spans="1:10" x14ac:dyDescent="0.2">
      <c r="B8" s="38" t="s">
        <v>758</v>
      </c>
      <c r="C8" s="38" t="s">
        <v>794</v>
      </c>
      <c r="D8" s="71" t="s">
        <v>795</v>
      </c>
      <c r="E8" s="38" t="s">
        <v>791</v>
      </c>
      <c r="F8" s="86"/>
      <c r="G8" s="115"/>
      <c r="H8" s="53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765</v>
      </c>
      <c r="D12" s="38"/>
      <c r="E12" s="38"/>
    </row>
    <row r="13" spans="1:10" x14ac:dyDescent="0.2">
      <c r="B13" s="114" t="s">
        <v>547</v>
      </c>
      <c r="C13" s="53" t="s">
        <v>40</v>
      </c>
      <c r="D13" s="53" t="s">
        <v>108</v>
      </c>
      <c r="E13" s="70">
        <v>1</v>
      </c>
      <c r="G13" s="53">
        <v>2016</v>
      </c>
      <c r="J13" s="115">
        <v>37946</v>
      </c>
    </row>
    <row r="14" spans="1:10" x14ac:dyDescent="0.2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">
      <c r="B15" s="110" t="s">
        <v>983</v>
      </c>
      <c r="C15" s="110"/>
      <c r="D15" s="38"/>
      <c r="E15" s="38"/>
      <c r="G15" s="38"/>
    </row>
    <row r="16" spans="1:10" x14ac:dyDescent="0.2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70">
        <v>1</v>
      </c>
      <c r="G17" s="115">
        <v>38202</v>
      </c>
      <c r="H17" s="71" t="s">
        <v>544</v>
      </c>
    </row>
    <row r="18" spans="2:8" x14ac:dyDescent="0.2">
      <c r="B18" s="38" t="s">
        <v>73</v>
      </c>
      <c r="C18" s="38"/>
      <c r="D18" s="38" t="s">
        <v>780</v>
      </c>
      <c r="E18" s="38"/>
      <c r="F18" s="70"/>
      <c r="G18" s="115"/>
      <c r="H18" s="71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800</v>
      </c>
      <c r="C20" s="110" t="s">
        <v>801</v>
      </c>
      <c r="D20" s="38" t="s">
        <v>194</v>
      </c>
      <c r="E20" s="38"/>
    </row>
    <row r="21" spans="2:8" x14ac:dyDescent="0.2">
      <c r="B21" s="38" t="s">
        <v>753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802</v>
      </c>
      <c r="D22" s="38" t="s">
        <v>776</v>
      </c>
      <c r="E22" s="38"/>
    </row>
    <row r="23" spans="2:8" x14ac:dyDescent="0.2">
      <c r="B23" s="110" t="s">
        <v>984</v>
      </c>
      <c r="C23" s="38"/>
      <c r="D23" s="38"/>
      <c r="E23" s="38"/>
    </row>
    <row r="24" spans="2:8" x14ac:dyDescent="0.2">
      <c r="B24" s="38" t="s">
        <v>773</v>
      </c>
      <c r="C24" s="38" t="s">
        <v>803</v>
      </c>
      <c r="D24" s="38"/>
      <c r="E24" s="38" t="s">
        <v>774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784</v>
      </c>
      <c r="C26" s="38"/>
      <c r="D26" s="38" t="s">
        <v>308</v>
      </c>
      <c r="E26" s="38"/>
      <c r="F26" s="38"/>
    </row>
    <row r="27" spans="2:8" x14ac:dyDescent="0.2">
      <c r="B27" s="38" t="s">
        <v>981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994</v>
      </c>
      <c r="C33" s="38"/>
      <c r="D33" s="38"/>
      <c r="E33" s="38"/>
    </row>
    <row r="34" spans="2:6" x14ac:dyDescent="0.2">
      <c r="B34" s="38" t="s">
        <v>990</v>
      </c>
      <c r="C34" s="38"/>
      <c r="D34" s="38"/>
      <c r="E34" s="38"/>
    </row>
    <row r="35" spans="2:6" x14ac:dyDescent="0.2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">
      <c r="B36" s="38" t="s">
        <v>985</v>
      </c>
      <c r="C36" s="38"/>
      <c r="D36" s="38"/>
      <c r="E36" s="38"/>
    </row>
    <row r="37" spans="2:6" x14ac:dyDescent="0.2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996</v>
      </c>
      <c r="C41" s="38"/>
      <c r="D41" s="38"/>
      <c r="E41" s="38"/>
    </row>
    <row r="42" spans="2:6" x14ac:dyDescent="0.2">
      <c r="B42" s="38" t="s">
        <v>756</v>
      </c>
      <c r="C42" s="110" t="s">
        <v>807</v>
      </c>
      <c r="D42" s="38"/>
      <c r="E42" s="38" t="s">
        <v>767</v>
      </c>
    </row>
    <row r="43" spans="2:6" x14ac:dyDescent="0.2">
      <c r="B43" s="38" t="s">
        <v>766</v>
      </c>
      <c r="C43" s="110" t="s">
        <v>807</v>
      </c>
      <c r="D43" s="38"/>
      <c r="E43" s="38" t="s">
        <v>767</v>
      </c>
    </row>
    <row r="44" spans="2:6" x14ac:dyDescent="0.2">
      <c r="B44" s="38" t="s">
        <v>771</v>
      </c>
      <c r="C44" s="110" t="s">
        <v>808</v>
      </c>
      <c r="D44" s="38"/>
      <c r="E44" s="38" t="s">
        <v>775</v>
      </c>
    </row>
    <row r="45" spans="2:6" x14ac:dyDescent="0.2">
      <c r="B45" s="38" t="s">
        <v>772</v>
      </c>
      <c r="C45" s="110" t="s">
        <v>809</v>
      </c>
      <c r="D45" s="38"/>
      <c r="E45" s="38" t="s">
        <v>775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">
      <c r="B49" s="38" t="s">
        <v>986</v>
      </c>
      <c r="C49" s="110"/>
      <c r="D49" s="38"/>
      <c r="E49" s="38"/>
      <c r="F49" s="38"/>
    </row>
    <row r="50" spans="2:10" x14ac:dyDescent="0.2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">
      <c r="B51" s="38" t="s">
        <v>812</v>
      </c>
      <c r="C51" s="110" t="s">
        <v>813</v>
      </c>
      <c r="D51" s="38"/>
      <c r="E51" s="38"/>
      <c r="F51" s="38"/>
    </row>
    <row r="52" spans="2:10" x14ac:dyDescent="0.2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988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993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995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989</v>
      </c>
      <c r="C68" s="38"/>
      <c r="D68" s="38"/>
      <c r="E68" s="38"/>
      <c r="F68" s="77"/>
    </row>
    <row r="69" spans="2:10" x14ac:dyDescent="0.2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991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">
      <c r="B116" s="1" t="s">
        <v>1072</v>
      </c>
      <c r="H116" s="38" t="s">
        <v>1073</v>
      </c>
    </row>
    <row r="117" spans="2:8" x14ac:dyDescent="0.2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">
      <c r="B118" s="1" t="s">
        <v>720</v>
      </c>
      <c r="D118" s="38" t="s">
        <v>445</v>
      </c>
      <c r="H118" s="38" t="s">
        <v>1087</v>
      </c>
    </row>
    <row r="119" spans="2:8" x14ac:dyDescent="0.2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3"/>
  <sheetViews>
    <sheetView zoomScale="115" zoomScaleNormal="115" workbookViewId="0">
      <selection activeCell="C33" sqref="C3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581</v>
      </c>
    </row>
    <row r="3" spans="1:3" x14ac:dyDescent="0.2">
      <c r="B3" s="38" t="s">
        <v>403</v>
      </c>
      <c r="C3" s="110" t="s">
        <v>564</v>
      </c>
    </row>
    <row r="4" spans="1:3" x14ac:dyDescent="0.2">
      <c r="B4" s="38" t="s">
        <v>1</v>
      </c>
      <c r="C4" s="38" t="s">
        <v>518</v>
      </c>
    </row>
    <row r="5" spans="1:3" x14ac:dyDescent="0.2">
      <c r="B5" s="38" t="s">
        <v>405</v>
      </c>
      <c r="C5" s="38" t="s">
        <v>1267</v>
      </c>
    </row>
    <row r="6" spans="1:3" x14ac:dyDescent="0.2">
      <c r="B6" s="38" t="s">
        <v>2</v>
      </c>
      <c r="C6" s="38" t="s">
        <v>1268</v>
      </c>
    </row>
    <row r="8" spans="1:3" x14ac:dyDescent="0.2">
      <c r="B8" s="38"/>
      <c r="C8" s="20" t="s">
        <v>1129</v>
      </c>
    </row>
    <row r="9" spans="1:3" x14ac:dyDescent="0.2">
      <c r="B9" s="38"/>
      <c r="C9" s="38" t="s">
        <v>1130</v>
      </c>
    </row>
    <row r="10" spans="1:3" x14ac:dyDescent="0.2">
      <c r="B10" s="38"/>
    </row>
    <row r="11" spans="1:3" x14ac:dyDescent="0.2">
      <c r="B11" s="38"/>
      <c r="C11" s="20" t="s">
        <v>1133</v>
      </c>
    </row>
    <row r="12" spans="1:3" x14ac:dyDescent="0.2">
      <c r="B12" s="38"/>
    </row>
    <row r="13" spans="1:3" x14ac:dyDescent="0.2">
      <c r="B13" s="38"/>
    </row>
    <row r="14" spans="1:3" x14ac:dyDescent="0.2">
      <c r="B14" s="38"/>
      <c r="C14" s="20" t="s">
        <v>1132</v>
      </c>
    </row>
    <row r="15" spans="1:3" x14ac:dyDescent="0.2">
      <c r="B15" s="38"/>
    </row>
    <row r="16" spans="1:3" x14ac:dyDescent="0.2">
      <c r="B16" s="38"/>
    </row>
    <row r="17" spans="2:3" x14ac:dyDescent="0.2">
      <c r="B17" s="38"/>
    </row>
    <row r="18" spans="2:3" x14ac:dyDescent="0.2">
      <c r="B18" s="38"/>
      <c r="C18" s="20" t="s">
        <v>1131</v>
      </c>
    </row>
    <row r="19" spans="2:3" x14ac:dyDescent="0.2">
      <c r="B19" s="38"/>
    </row>
    <row r="20" spans="2:3" x14ac:dyDescent="0.2">
      <c r="B20" s="38"/>
    </row>
    <row r="21" spans="2:3" x14ac:dyDescent="0.2">
      <c r="B21" s="38"/>
      <c r="C21" s="20" t="s">
        <v>1134</v>
      </c>
    </row>
    <row r="22" spans="2:3" x14ac:dyDescent="0.2">
      <c r="B22" s="38"/>
    </row>
    <row r="23" spans="2:3" x14ac:dyDescent="0.2">
      <c r="B23" s="38"/>
    </row>
    <row r="24" spans="2:3" x14ac:dyDescent="0.2">
      <c r="B24" s="38"/>
      <c r="C24" s="20" t="s">
        <v>1136</v>
      </c>
    </row>
    <row r="25" spans="2:3" x14ac:dyDescent="0.2">
      <c r="B25" s="38"/>
    </row>
    <row r="26" spans="2:3" x14ac:dyDescent="0.2">
      <c r="B26" s="38"/>
    </row>
    <row r="27" spans="2:3" x14ac:dyDescent="0.2">
      <c r="B27" s="38"/>
      <c r="C27" s="20" t="s">
        <v>1135</v>
      </c>
    </row>
    <row r="28" spans="2:3" x14ac:dyDescent="0.2">
      <c r="B28" s="38"/>
    </row>
    <row r="29" spans="2:3" x14ac:dyDescent="0.2">
      <c r="B29" s="38"/>
    </row>
    <row r="30" spans="2:3" x14ac:dyDescent="0.2">
      <c r="B30" s="38"/>
    </row>
    <row r="31" spans="2:3" x14ac:dyDescent="0.2">
      <c r="C31" s="20" t="s">
        <v>1128</v>
      </c>
    </row>
    <row r="32" spans="2:3" x14ac:dyDescent="0.2">
      <c r="C32" s="38" t="s">
        <v>1126</v>
      </c>
    </row>
    <row r="33" spans="3:3" x14ac:dyDescent="0.2">
      <c r="C33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583</v>
      </c>
    </row>
    <row r="3" spans="1:3" x14ac:dyDescent="0.2">
      <c r="B3" s="38" t="s">
        <v>403</v>
      </c>
      <c r="C3" s="38" t="s">
        <v>711</v>
      </c>
    </row>
    <row r="4" spans="1:3" x14ac:dyDescent="0.2">
      <c r="B4" s="38" t="s">
        <v>1</v>
      </c>
      <c r="C4" s="38" t="s">
        <v>1138</v>
      </c>
    </row>
    <row r="5" spans="1:3" x14ac:dyDescent="0.2">
      <c r="B5" s="38" t="s">
        <v>405</v>
      </c>
      <c r="C5" s="38" t="s">
        <v>1140</v>
      </c>
    </row>
    <row r="6" spans="1:3" x14ac:dyDescent="0.2">
      <c r="B6" s="38" t="s">
        <v>868</v>
      </c>
      <c r="C6" s="38" t="s">
        <v>1151</v>
      </c>
    </row>
    <row r="7" spans="1:3" x14ac:dyDescent="0.2">
      <c r="B7" s="38" t="s">
        <v>92</v>
      </c>
    </row>
    <row r="8" spans="1:3" x14ac:dyDescent="0.2">
      <c r="B8" s="38"/>
      <c r="C8" s="20" t="s">
        <v>1144</v>
      </c>
    </row>
    <row r="9" spans="1:3" x14ac:dyDescent="0.2">
      <c r="B9" s="38"/>
    </row>
    <row r="10" spans="1:3" x14ac:dyDescent="0.2">
      <c r="B10" s="38"/>
      <c r="C10" s="20" t="s">
        <v>1154</v>
      </c>
    </row>
    <row r="11" spans="1:3" x14ac:dyDescent="0.2">
      <c r="B11" s="38"/>
    </row>
    <row r="12" spans="1:3" x14ac:dyDescent="0.2">
      <c r="B12" s="38"/>
      <c r="C12" s="20" t="s">
        <v>1150</v>
      </c>
    </row>
    <row r="13" spans="1:3" x14ac:dyDescent="0.2">
      <c r="B13" s="38"/>
    </row>
    <row r="14" spans="1:3" x14ac:dyDescent="0.2">
      <c r="B14" s="38"/>
      <c r="C14" s="20" t="s">
        <v>1153</v>
      </c>
    </row>
    <row r="15" spans="1:3" x14ac:dyDescent="0.2">
      <c r="B15" s="38"/>
    </row>
    <row r="16" spans="1:3" x14ac:dyDescent="0.2">
      <c r="B16" s="38"/>
      <c r="C16" s="20" t="s">
        <v>1148</v>
      </c>
    </row>
    <row r="17" spans="2:3" x14ac:dyDescent="0.2">
      <c r="B17" s="38"/>
      <c r="C17" s="38" t="s">
        <v>1149</v>
      </c>
    </row>
    <row r="18" spans="2:3" x14ac:dyDescent="0.2">
      <c r="B18" s="38"/>
      <c r="C18" s="38"/>
    </row>
    <row r="19" spans="2:3" x14ac:dyDescent="0.2">
      <c r="B19" s="38"/>
      <c r="C19" s="20" t="s">
        <v>1152</v>
      </c>
    </row>
    <row r="20" spans="2:3" x14ac:dyDescent="0.2">
      <c r="B20" s="38"/>
      <c r="C20" s="38"/>
    </row>
    <row r="21" spans="2:3" x14ac:dyDescent="0.2">
      <c r="B21" s="38"/>
      <c r="C21" s="38"/>
    </row>
    <row r="22" spans="2:3" x14ac:dyDescent="0.2">
      <c r="B22" s="38"/>
    </row>
    <row r="23" spans="2:3" x14ac:dyDescent="0.2">
      <c r="B23" s="38"/>
      <c r="C23" s="20" t="s">
        <v>1146</v>
      </c>
    </row>
    <row r="24" spans="2:3" x14ac:dyDescent="0.2">
      <c r="B24" s="38"/>
    </row>
    <row r="25" spans="2:3" x14ac:dyDescent="0.2">
      <c r="B25" s="38"/>
      <c r="C25" s="20" t="s">
        <v>1147</v>
      </c>
    </row>
    <row r="26" spans="2:3" x14ac:dyDescent="0.2">
      <c r="B26" s="38"/>
    </row>
    <row r="27" spans="2:3" x14ac:dyDescent="0.2">
      <c r="B27" s="38"/>
      <c r="C27" s="20" t="s">
        <v>1145</v>
      </c>
    </row>
    <row r="28" spans="2:3" x14ac:dyDescent="0.2">
      <c r="B28" s="38"/>
    </row>
    <row r="29" spans="2:3" x14ac:dyDescent="0.2">
      <c r="B29" s="38"/>
    </row>
    <row r="30" spans="2:3" x14ac:dyDescent="0.2">
      <c r="C30" s="20" t="s">
        <v>1143</v>
      </c>
    </row>
    <row r="31" spans="2:3" x14ac:dyDescent="0.2">
      <c r="C31" s="38" t="s">
        <v>1141</v>
      </c>
    </row>
    <row r="32" spans="2:3" x14ac:dyDescent="0.2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E0F-F627-47A2-AF3B-2435D15ABCE7}">
  <dimension ref="A1:C10"/>
  <sheetViews>
    <sheetView zoomScale="145" zoomScaleNormal="145" workbookViewId="0">
      <selection activeCell="C5" sqref="C5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402</v>
      </c>
      <c r="C2" s="38" t="s">
        <v>1160</v>
      </c>
    </row>
    <row r="3" spans="1:3" x14ac:dyDescent="0.2">
      <c r="B3" t="s">
        <v>403</v>
      </c>
      <c r="C3" t="s">
        <v>562</v>
      </c>
    </row>
    <row r="4" spans="1:3" x14ac:dyDescent="0.2">
      <c r="B4" t="s">
        <v>1</v>
      </c>
      <c r="C4" t="s">
        <v>518</v>
      </c>
    </row>
    <row r="5" spans="1:3" x14ac:dyDescent="0.2">
      <c r="B5" t="s">
        <v>405</v>
      </c>
      <c r="C5" t="s">
        <v>1158</v>
      </c>
    </row>
    <row r="6" spans="1:3" x14ac:dyDescent="0.2">
      <c r="C6" s="38" t="s">
        <v>1161</v>
      </c>
    </row>
    <row r="7" spans="1:3" x14ac:dyDescent="0.2">
      <c r="B7" s="38" t="s">
        <v>2</v>
      </c>
      <c r="C7" s="38" t="s">
        <v>1163</v>
      </c>
    </row>
    <row r="8" spans="1:3" x14ac:dyDescent="0.2">
      <c r="B8" s="38" t="s">
        <v>137</v>
      </c>
      <c r="C8" s="38" t="s">
        <v>1159</v>
      </c>
    </row>
    <row r="9" spans="1:3" x14ac:dyDescent="0.2">
      <c r="B9" t="s">
        <v>92</v>
      </c>
    </row>
    <row r="10" spans="1:3" x14ac:dyDescent="0.2">
      <c r="C10" s="20" t="s">
        <v>1162</v>
      </c>
    </row>
  </sheetData>
  <hyperlinks>
    <hyperlink ref="A1" location="Main!A1" display="Main" xr:uid="{A55305EF-BC95-4576-9EEE-22BC3AA4D76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5546875" defaultRowHeight="12.75" x14ac:dyDescent="0.2"/>
  <cols>
    <col min="1" max="1" width="5" bestFit="1" customWidth="1"/>
    <col min="2" max="2" width="18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1013</v>
      </c>
    </row>
    <row r="3" spans="1:3" x14ac:dyDescent="0.2">
      <c r="B3" s="38" t="s">
        <v>403</v>
      </c>
      <c r="C3" s="38" t="s">
        <v>880</v>
      </c>
    </row>
    <row r="4" spans="1:3" x14ac:dyDescent="0.2">
      <c r="B4" s="38" t="s">
        <v>843</v>
      </c>
      <c r="C4" s="38" t="s">
        <v>1015</v>
      </c>
    </row>
    <row r="5" spans="1:3" x14ac:dyDescent="0.2">
      <c r="C5" s="38" t="s">
        <v>881</v>
      </c>
    </row>
    <row r="6" spans="1:3" x14ac:dyDescent="0.2">
      <c r="B6" s="38" t="s">
        <v>1018</v>
      </c>
      <c r="C6" s="38" t="s">
        <v>1020</v>
      </c>
    </row>
    <row r="7" spans="1:3" x14ac:dyDescent="0.2">
      <c r="C7" s="38" t="s">
        <v>1019</v>
      </c>
    </row>
    <row r="8" spans="1:3" x14ac:dyDescent="0.2">
      <c r="C8" s="38"/>
    </row>
    <row r="9" spans="1:3" x14ac:dyDescent="0.2">
      <c r="B9" s="38" t="s">
        <v>868</v>
      </c>
      <c r="C9" s="38" t="s">
        <v>885</v>
      </c>
    </row>
    <row r="10" spans="1:3" x14ac:dyDescent="0.2">
      <c r="B10" s="38" t="s">
        <v>1012</v>
      </c>
      <c r="C10" s="38" t="s">
        <v>1014</v>
      </c>
    </row>
    <row r="11" spans="1:3" x14ac:dyDescent="0.2">
      <c r="B11" s="38" t="s">
        <v>92</v>
      </c>
    </row>
    <row r="12" spans="1:3" x14ac:dyDescent="0.2">
      <c r="C12" s="20" t="s">
        <v>882</v>
      </c>
    </row>
    <row r="13" spans="1:3" x14ac:dyDescent="0.2">
      <c r="C13" s="38" t="s">
        <v>883</v>
      </c>
    </row>
    <row r="17" spans="3:3" x14ac:dyDescent="0.2">
      <c r="C17" s="20" t="s">
        <v>1021</v>
      </c>
    </row>
    <row r="18" spans="3:3" x14ac:dyDescent="0.2">
      <c r="C18" s="38" t="s">
        <v>884</v>
      </c>
    </row>
    <row r="21" spans="3:3" x14ac:dyDescent="0.2">
      <c r="C21" s="20" t="s">
        <v>1017</v>
      </c>
    </row>
    <row r="24" spans="3:3" x14ac:dyDescent="0.2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841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842</v>
      </c>
    </row>
    <row r="5" spans="1:3" x14ac:dyDescent="0.2">
      <c r="B5" s="38" t="s">
        <v>843</v>
      </c>
      <c r="C5" s="38" t="s">
        <v>844</v>
      </c>
    </row>
    <row r="6" spans="1:3" x14ac:dyDescent="0.2">
      <c r="B6" s="38"/>
      <c r="C6" s="38" t="s">
        <v>848</v>
      </c>
    </row>
    <row r="7" spans="1:3" x14ac:dyDescent="0.2">
      <c r="B7" s="38"/>
      <c r="C7" s="38" t="s">
        <v>872</v>
      </c>
    </row>
    <row r="8" spans="1:3" x14ac:dyDescent="0.2">
      <c r="B8" s="38"/>
      <c r="C8" s="38" t="s">
        <v>871</v>
      </c>
    </row>
    <row r="9" spans="1:3" x14ac:dyDescent="0.2">
      <c r="B9" s="38"/>
      <c r="C9" s="38" t="s">
        <v>1009</v>
      </c>
    </row>
    <row r="10" spans="1:3" x14ac:dyDescent="0.2">
      <c r="B10" s="38" t="s">
        <v>92</v>
      </c>
    </row>
    <row r="11" spans="1:3" x14ac:dyDescent="0.2">
      <c r="C11" s="20" t="s">
        <v>874</v>
      </c>
    </row>
    <row r="12" spans="1:3" x14ac:dyDescent="0.2">
      <c r="C12" s="38" t="s">
        <v>845</v>
      </c>
    </row>
    <row r="13" spans="1:3" x14ac:dyDescent="0.2">
      <c r="C13" s="38" t="s">
        <v>846</v>
      </c>
    </row>
    <row r="14" spans="1:3" x14ac:dyDescent="0.2">
      <c r="C14" s="38" t="s">
        <v>850</v>
      </c>
    </row>
    <row r="15" spans="1:3" x14ac:dyDescent="0.2">
      <c r="C15" s="38" t="s">
        <v>851</v>
      </c>
    </row>
    <row r="16" spans="1:3" x14ac:dyDescent="0.2">
      <c r="C16" s="38" t="s">
        <v>852</v>
      </c>
    </row>
    <row r="17" spans="3:3" x14ac:dyDescent="0.2">
      <c r="C17" s="38"/>
    </row>
    <row r="18" spans="3:3" x14ac:dyDescent="0.2">
      <c r="C18" s="20" t="s">
        <v>849</v>
      </c>
    </row>
    <row r="19" spans="3:3" x14ac:dyDescent="0.2">
      <c r="C19" s="38" t="s">
        <v>847</v>
      </c>
    </row>
    <row r="20" spans="3:3" x14ac:dyDescent="0.2">
      <c r="C20" s="38" t="s">
        <v>850</v>
      </c>
    </row>
    <row r="23" spans="3:3" x14ac:dyDescent="0.2">
      <c r="C23" s="38" t="s">
        <v>875</v>
      </c>
    </row>
    <row r="24" spans="3:3" x14ac:dyDescent="0.2">
      <c r="C24" s="38" t="s">
        <v>876</v>
      </c>
    </row>
    <row r="26" spans="3:3" x14ac:dyDescent="0.2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899</v>
      </c>
    </row>
    <row r="3" spans="1:3" x14ac:dyDescent="0.2">
      <c r="B3" s="38" t="s">
        <v>51</v>
      </c>
      <c r="C3" s="38" t="s">
        <v>900</v>
      </c>
    </row>
    <row r="4" spans="1:3" x14ac:dyDescent="0.2">
      <c r="B4" s="38" t="s">
        <v>868</v>
      </c>
      <c r="C4" s="38" t="s">
        <v>904</v>
      </c>
    </row>
    <row r="5" spans="1:3" x14ac:dyDescent="0.2">
      <c r="B5" s="38" t="s">
        <v>92</v>
      </c>
    </row>
    <row r="6" spans="1:3" x14ac:dyDescent="0.2">
      <c r="C6" s="20" t="s">
        <v>923</v>
      </c>
    </row>
    <row r="7" spans="1:3" x14ac:dyDescent="0.2">
      <c r="C7" s="38" t="s">
        <v>901</v>
      </c>
    </row>
    <row r="8" spans="1:3" x14ac:dyDescent="0.2">
      <c r="C8" s="38" t="s">
        <v>902</v>
      </c>
    </row>
    <row r="10" spans="1:3" x14ac:dyDescent="0.2">
      <c r="C10" s="20" t="s">
        <v>938</v>
      </c>
    </row>
    <row r="11" spans="1:3" x14ac:dyDescent="0.2">
      <c r="C11" s="38" t="s">
        <v>935</v>
      </c>
    </row>
    <row r="12" spans="1:3" x14ac:dyDescent="0.2">
      <c r="C12" s="38" t="s">
        <v>936</v>
      </c>
    </row>
    <row r="13" spans="1:3" x14ac:dyDescent="0.2">
      <c r="C13" s="38" t="s">
        <v>937</v>
      </c>
    </row>
    <row r="15" spans="1:3" x14ac:dyDescent="0.2">
      <c r="C15" s="20" t="s">
        <v>932</v>
      </c>
    </row>
    <row r="16" spans="1:3" x14ac:dyDescent="0.2">
      <c r="C16" s="38" t="s">
        <v>924</v>
      </c>
    </row>
    <row r="17" spans="3:3" x14ac:dyDescent="0.2">
      <c r="C17" s="38" t="s">
        <v>925</v>
      </c>
    </row>
    <row r="18" spans="3:3" x14ac:dyDescent="0.2">
      <c r="C18" s="38" t="s">
        <v>926</v>
      </c>
    </row>
    <row r="19" spans="3:3" x14ac:dyDescent="0.2">
      <c r="C19" s="38" t="s">
        <v>930</v>
      </c>
    </row>
    <row r="21" spans="3:3" x14ac:dyDescent="0.2">
      <c r="C21" s="20" t="s">
        <v>933</v>
      </c>
    </row>
    <row r="22" spans="3:3" x14ac:dyDescent="0.2">
      <c r="C22" s="38" t="s">
        <v>927</v>
      </c>
    </row>
    <row r="23" spans="3:3" x14ac:dyDescent="0.2">
      <c r="C23" s="38" t="s">
        <v>928</v>
      </c>
    </row>
    <row r="24" spans="3:3" x14ac:dyDescent="0.2">
      <c r="C24" s="38" t="s">
        <v>929</v>
      </c>
    </row>
    <row r="25" spans="3:3" x14ac:dyDescent="0.2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710937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1027</v>
      </c>
    </row>
    <row r="3" spans="1:3" x14ac:dyDescent="0.2">
      <c r="B3" s="38" t="s">
        <v>403</v>
      </c>
      <c r="C3" s="38" t="s">
        <v>998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1022</v>
      </c>
    </row>
    <row r="6" spans="1:3" x14ac:dyDescent="0.2">
      <c r="B6" s="38" t="s">
        <v>92</v>
      </c>
    </row>
    <row r="7" spans="1:3" x14ac:dyDescent="0.2">
      <c r="C7" s="20" t="s">
        <v>1023</v>
      </c>
    </row>
    <row r="8" spans="1:3" x14ac:dyDescent="0.2">
      <c r="C8" s="38" t="s">
        <v>1024</v>
      </c>
    </row>
    <row r="9" spans="1:3" x14ac:dyDescent="0.2">
      <c r="C9" s="38" t="s">
        <v>1025</v>
      </c>
    </row>
    <row r="10" spans="1:3" x14ac:dyDescent="0.2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853</v>
      </c>
    </row>
    <row r="3" spans="1:3" x14ac:dyDescent="0.2">
      <c r="B3" s="38" t="s">
        <v>403</v>
      </c>
      <c r="C3" s="38" t="s">
        <v>854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843</v>
      </c>
      <c r="C6" s="38" t="s">
        <v>870</v>
      </c>
    </row>
    <row r="7" spans="1:3" x14ac:dyDescent="0.2">
      <c r="B7" s="38" t="s">
        <v>2</v>
      </c>
      <c r="C7" s="38" t="s">
        <v>862</v>
      </c>
    </row>
    <row r="8" spans="1:3" x14ac:dyDescent="0.2">
      <c r="B8" s="38" t="s">
        <v>868</v>
      </c>
      <c r="C8" s="38" t="s">
        <v>869</v>
      </c>
    </row>
    <row r="9" spans="1:3" x14ac:dyDescent="0.2">
      <c r="B9" s="38" t="s">
        <v>92</v>
      </c>
    </row>
    <row r="10" spans="1:3" x14ac:dyDescent="0.2">
      <c r="C10" s="20" t="s">
        <v>866</v>
      </c>
    </row>
    <row r="11" spans="1:3" x14ac:dyDescent="0.2">
      <c r="C11" s="38" t="s">
        <v>855</v>
      </c>
    </row>
    <row r="13" spans="1:3" x14ac:dyDescent="0.2">
      <c r="C13" s="38" t="s">
        <v>856</v>
      </c>
    </row>
    <row r="14" spans="1:3" x14ac:dyDescent="0.2">
      <c r="C14" s="38" t="s">
        <v>859</v>
      </c>
    </row>
    <row r="15" spans="1:3" x14ac:dyDescent="0.2">
      <c r="C15" s="38" t="s">
        <v>860</v>
      </c>
    </row>
    <row r="16" spans="1:3" x14ac:dyDescent="0.2">
      <c r="C16" s="38"/>
    </row>
    <row r="17" spans="3:3" x14ac:dyDescent="0.2">
      <c r="C17" s="38" t="s">
        <v>861</v>
      </c>
    </row>
    <row r="19" spans="3:3" x14ac:dyDescent="0.2">
      <c r="C19" s="20" t="s">
        <v>857</v>
      </c>
    </row>
    <row r="20" spans="3:3" x14ac:dyDescent="0.2">
      <c r="C20" s="38" t="s">
        <v>896</v>
      </c>
    </row>
    <row r="22" spans="3:3" x14ac:dyDescent="0.2">
      <c r="C22" s="20" t="s">
        <v>858</v>
      </c>
    </row>
    <row r="25" spans="3:3" x14ac:dyDescent="0.2">
      <c r="C25" s="20" t="s">
        <v>863</v>
      </c>
    </row>
    <row r="28" spans="3:3" x14ac:dyDescent="0.2">
      <c r="C28" s="38" t="s">
        <v>865</v>
      </c>
    </row>
    <row r="29" spans="3:3" x14ac:dyDescent="0.2">
      <c r="C29" s="38"/>
    </row>
    <row r="30" spans="3:3" x14ac:dyDescent="0.2">
      <c r="C30" s="20" t="s">
        <v>892</v>
      </c>
    </row>
    <row r="31" spans="3:3" x14ac:dyDescent="0.2">
      <c r="C31" s="38" t="s">
        <v>891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1030</v>
      </c>
    </row>
    <row r="9" spans="1:3" x14ac:dyDescent="0.2">
      <c r="B9" s="38"/>
    </row>
    <row r="10" spans="1:3" x14ac:dyDescent="0.2">
      <c r="B10" s="38"/>
      <c r="C10" s="20" t="s">
        <v>1032</v>
      </c>
    </row>
    <row r="11" spans="1:3" x14ac:dyDescent="0.2">
      <c r="B11" s="38"/>
      <c r="C11" s="38" t="s">
        <v>1031</v>
      </c>
    </row>
    <row r="12" spans="1:3" x14ac:dyDescent="0.2">
      <c r="B12" s="38"/>
      <c r="C12" s="38" t="s">
        <v>1033</v>
      </c>
    </row>
    <row r="13" spans="1:3" x14ac:dyDescent="0.2">
      <c r="B13" s="38"/>
      <c r="C13" s="38"/>
    </row>
    <row r="14" spans="1:3" x14ac:dyDescent="0.2">
      <c r="B14" s="38"/>
    </row>
    <row r="15" spans="1:3" x14ac:dyDescent="0.2">
      <c r="C15" s="20" t="s">
        <v>535</v>
      </c>
    </row>
    <row r="16" spans="1:3" x14ac:dyDescent="0.2">
      <c r="C16" s="38" t="s">
        <v>536</v>
      </c>
    </row>
    <row r="17" spans="3:3" x14ac:dyDescent="0.2">
      <c r="C17" s="38" t="s">
        <v>537</v>
      </c>
    </row>
    <row r="18" spans="3:3" x14ac:dyDescent="0.2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5546875" defaultRowHeight="12.75" x14ac:dyDescent="0.2"/>
  <cols>
    <col min="1" max="1" width="5" bestFit="1" customWidth="1"/>
    <col min="2" max="2" width="10.28515625" customWidth="1"/>
  </cols>
  <sheetData>
    <row r="1" spans="1:5" x14ac:dyDescent="0.2">
      <c r="A1" s="13" t="s">
        <v>6</v>
      </c>
    </row>
    <row r="2" spans="1:5" x14ac:dyDescent="0.2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">
      <c r="B3" s="117">
        <v>12269857</v>
      </c>
      <c r="C3" s="38" t="s">
        <v>1156</v>
      </c>
      <c r="D3" s="38"/>
      <c r="E3" s="38"/>
    </row>
    <row r="4" spans="1:5" x14ac:dyDescent="0.2">
      <c r="B4" s="117">
        <v>12252524</v>
      </c>
      <c r="C4" s="38" t="s">
        <v>1157</v>
      </c>
      <c r="D4" s="38"/>
      <c r="E4" s="38"/>
    </row>
    <row r="5" spans="1:5" x14ac:dyDescent="0.2">
      <c r="B5">
        <v>12122750</v>
      </c>
      <c r="C5" s="38" t="s">
        <v>945</v>
      </c>
      <c r="D5" s="38" t="s">
        <v>943</v>
      </c>
      <c r="E5" s="38" t="s">
        <v>194</v>
      </c>
    </row>
    <row r="6" spans="1:5" x14ac:dyDescent="0.2">
      <c r="B6">
        <v>12115210</v>
      </c>
      <c r="C6" s="38" t="s">
        <v>946</v>
      </c>
      <c r="D6" s="38" t="s">
        <v>947</v>
      </c>
      <c r="E6" s="38" t="s">
        <v>948</v>
      </c>
    </row>
    <row r="7" spans="1:5" x14ac:dyDescent="0.2">
      <c r="B7">
        <v>12102610</v>
      </c>
      <c r="C7" s="38" t="s">
        <v>949</v>
      </c>
      <c r="D7" s="38" t="s">
        <v>950</v>
      </c>
    </row>
    <row r="8" spans="1:5" x14ac:dyDescent="0.2">
      <c r="B8">
        <v>12083324</v>
      </c>
      <c r="C8" s="110"/>
      <c r="D8" s="38"/>
      <c r="E8" s="38"/>
    </row>
    <row r="9" spans="1:5" x14ac:dyDescent="0.2">
      <c r="B9">
        <v>12071423</v>
      </c>
      <c r="C9" s="110" t="s">
        <v>952</v>
      </c>
      <c r="D9" s="38" t="s">
        <v>951</v>
      </c>
      <c r="E9" s="38" t="s">
        <v>956</v>
      </c>
    </row>
    <row r="10" spans="1:5" x14ac:dyDescent="0.2">
      <c r="B10">
        <v>12060356</v>
      </c>
      <c r="C10" s="110" t="s">
        <v>954</v>
      </c>
      <c r="D10" s="38" t="s">
        <v>955</v>
      </c>
      <c r="E10" s="38" t="s">
        <v>445</v>
      </c>
    </row>
    <row r="11" spans="1:5" x14ac:dyDescent="0.2">
      <c r="B11">
        <v>12059557</v>
      </c>
      <c r="C11" s="38" t="s">
        <v>957</v>
      </c>
    </row>
    <row r="12" spans="1:5" x14ac:dyDescent="0.2">
      <c r="B12">
        <v>12059452</v>
      </c>
      <c r="C12" s="38" t="s">
        <v>953</v>
      </c>
      <c r="D12" s="38" t="s">
        <v>117</v>
      </c>
    </row>
    <row r="13" spans="1:5" x14ac:dyDescent="0.2">
      <c r="B13">
        <v>12042634</v>
      </c>
      <c r="C13" s="110" t="s">
        <v>959</v>
      </c>
    </row>
    <row r="14" spans="1:5" x14ac:dyDescent="0.2">
      <c r="B14">
        <v>12037406</v>
      </c>
      <c r="C14" s="110" t="s">
        <v>958</v>
      </c>
    </row>
    <row r="15" spans="1:5" x14ac:dyDescent="0.2">
      <c r="B15">
        <v>12037387</v>
      </c>
      <c r="C15" s="110" t="s">
        <v>960</v>
      </c>
    </row>
    <row r="16" spans="1:5" x14ac:dyDescent="0.2">
      <c r="B16">
        <v>12037322</v>
      </c>
      <c r="C16" s="38" t="s">
        <v>961</v>
      </c>
    </row>
    <row r="17" spans="2:3" x14ac:dyDescent="0.2">
      <c r="B17">
        <v>12023470</v>
      </c>
      <c r="C17" s="38" t="s">
        <v>962</v>
      </c>
    </row>
    <row r="18" spans="2:3" x14ac:dyDescent="0.2">
      <c r="B18">
        <v>12011574</v>
      </c>
      <c r="C18" s="38" t="s">
        <v>963</v>
      </c>
    </row>
    <row r="19" spans="2:3" x14ac:dyDescent="0.2">
      <c r="B19">
        <v>12005235</v>
      </c>
      <c r="C19" s="38" t="s">
        <v>964</v>
      </c>
    </row>
    <row r="20" spans="2:3" x14ac:dyDescent="0.2">
      <c r="B20">
        <v>11999722</v>
      </c>
      <c r="C20" s="38" t="s">
        <v>965</v>
      </c>
    </row>
    <row r="21" spans="2:3" x14ac:dyDescent="0.2">
      <c r="B21">
        <v>11993608</v>
      </c>
      <c r="C21" s="38" t="s">
        <v>966</v>
      </c>
    </row>
    <row r="22" spans="2:3" x14ac:dyDescent="0.2">
      <c r="B22">
        <v>11976136</v>
      </c>
      <c r="C22" s="38" t="s">
        <v>967</v>
      </c>
    </row>
    <row r="23" spans="2:3" x14ac:dyDescent="0.2">
      <c r="B23">
        <v>11976114</v>
      </c>
      <c r="C23" s="38" t="s">
        <v>968</v>
      </c>
    </row>
    <row r="24" spans="2:3" x14ac:dyDescent="0.2">
      <c r="B24">
        <v>11970485</v>
      </c>
      <c r="C24" s="38" t="s">
        <v>969</v>
      </c>
    </row>
    <row r="25" spans="2:3" x14ac:dyDescent="0.2">
      <c r="B25">
        <v>11964968</v>
      </c>
      <c r="C25" s="38" t="s">
        <v>970</v>
      </c>
    </row>
    <row r="26" spans="2:3" x14ac:dyDescent="0.2">
      <c r="B26">
        <v>11957882</v>
      </c>
      <c r="C26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1050</v>
      </c>
    </row>
    <row r="3" spans="1:3" x14ac:dyDescent="0.2">
      <c r="B3" s="38" t="s">
        <v>403</v>
      </c>
      <c r="C3" s="38" t="s">
        <v>713</v>
      </c>
    </row>
    <row r="4" spans="1:3" x14ac:dyDescent="0.2">
      <c r="B4" s="38" t="s">
        <v>1</v>
      </c>
      <c r="C4" s="38" t="s">
        <v>1053</v>
      </c>
    </row>
    <row r="5" spans="1:3" x14ac:dyDescent="0.2">
      <c r="B5" s="38" t="s">
        <v>405</v>
      </c>
      <c r="C5" s="38" t="s">
        <v>1052</v>
      </c>
    </row>
    <row r="6" spans="1:3" x14ac:dyDescent="0.2">
      <c r="B6" s="38" t="s">
        <v>868</v>
      </c>
      <c r="C6" s="38" t="s">
        <v>1045</v>
      </c>
    </row>
    <row r="7" spans="1:3" x14ac:dyDescent="0.2">
      <c r="B7" s="38" t="s">
        <v>3</v>
      </c>
      <c r="C7" s="38" t="s">
        <v>1054</v>
      </c>
    </row>
    <row r="8" spans="1:3" x14ac:dyDescent="0.2">
      <c r="B8" s="38" t="s">
        <v>92</v>
      </c>
    </row>
    <row r="9" spans="1:3" x14ac:dyDescent="0.2">
      <c r="C9" s="20" t="s">
        <v>1051</v>
      </c>
    </row>
    <row r="10" spans="1:3" x14ac:dyDescent="0.2">
      <c r="C10" s="38" t="s">
        <v>1046</v>
      </c>
    </row>
    <row r="11" spans="1:3" x14ac:dyDescent="0.2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560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DB93-BD17-453B-B782-30617E1E32E9}">
  <dimension ref="A1:H106"/>
  <sheetViews>
    <sheetView zoomScale="145" zoomScaleNormal="145"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D93" sqref="D93"/>
    </sheetView>
  </sheetViews>
  <sheetFormatPr defaultRowHeight="12.75" x14ac:dyDescent="0.2"/>
  <cols>
    <col min="1" max="1" width="5" bestFit="1" customWidth="1"/>
    <col min="2" max="2" width="14" style="118" customWidth="1"/>
    <col min="3" max="3" width="24.85546875" customWidth="1"/>
    <col min="4" max="4" width="15.42578125" bestFit="1" customWidth="1"/>
    <col min="5" max="5" width="9.140625" style="118"/>
    <col min="6" max="6" width="10.5703125" customWidth="1"/>
    <col min="7" max="7" width="11.5703125" customWidth="1"/>
  </cols>
  <sheetData>
    <row r="1" spans="1:8" x14ac:dyDescent="0.2">
      <c r="A1" s="38" t="s">
        <v>6</v>
      </c>
    </row>
    <row r="2" spans="1:8" x14ac:dyDescent="0.2">
      <c r="B2" s="119" t="s">
        <v>1166</v>
      </c>
      <c r="C2" s="38" t="s">
        <v>0</v>
      </c>
      <c r="D2" s="38" t="s">
        <v>1</v>
      </c>
      <c r="E2" s="119" t="s">
        <v>1167</v>
      </c>
      <c r="F2" s="38" t="s">
        <v>5</v>
      </c>
      <c r="G2" s="38" t="s">
        <v>1191</v>
      </c>
      <c r="H2" s="38" t="s">
        <v>944</v>
      </c>
    </row>
    <row r="3" spans="1:8" x14ac:dyDescent="0.2">
      <c r="B3" s="119">
        <v>6921759</v>
      </c>
      <c r="C3" s="38" t="s">
        <v>854</v>
      </c>
      <c r="D3" s="38" t="s">
        <v>467</v>
      </c>
      <c r="E3" s="118">
        <v>206</v>
      </c>
      <c r="F3" s="38" t="s">
        <v>47</v>
      </c>
      <c r="G3" s="83">
        <v>45757</v>
      </c>
    </row>
    <row r="4" spans="1:8" x14ac:dyDescent="0.2">
      <c r="B4" s="118">
        <v>6916091</v>
      </c>
      <c r="C4" s="38" t="s">
        <v>1168</v>
      </c>
      <c r="D4" s="38" t="s">
        <v>518</v>
      </c>
      <c r="E4" s="118">
        <v>36</v>
      </c>
      <c r="F4" s="38" t="s">
        <v>119</v>
      </c>
      <c r="G4" s="83">
        <v>45755</v>
      </c>
      <c r="H4" s="38" t="s">
        <v>1263</v>
      </c>
    </row>
    <row r="5" spans="1:8" x14ac:dyDescent="0.2">
      <c r="B5" s="118">
        <v>6916065</v>
      </c>
      <c r="C5" s="38" t="s">
        <v>1168</v>
      </c>
      <c r="D5" s="38" t="s">
        <v>518</v>
      </c>
      <c r="E5" s="118">
        <v>188</v>
      </c>
      <c r="F5" s="38" t="s">
        <v>119</v>
      </c>
      <c r="G5" s="83">
        <v>45755</v>
      </c>
      <c r="H5" s="38" t="s">
        <v>1263</v>
      </c>
    </row>
    <row r="6" spans="1:8" x14ac:dyDescent="0.2">
      <c r="B6" s="118">
        <v>6916143</v>
      </c>
      <c r="C6" s="38" t="s">
        <v>1170</v>
      </c>
      <c r="D6" s="38" t="s">
        <v>1169</v>
      </c>
      <c r="E6" s="118">
        <v>48</v>
      </c>
      <c r="F6" s="38" t="s">
        <v>119</v>
      </c>
      <c r="G6" s="83">
        <v>45755</v>
      </c>
    </row>
    <row r="7" spans="1:8" x14ac:dyDescent="0.2">
      <c r="B7" s="118">
        <v>6916078</v>
      </c>
      <c r="C7" s="38" t="s">
        <v>1171</v>
      </c>
      <c r="D7" s="38" t="s">
        <v>1169</v>
      </c>
      <c r="E7" s="118">
        <v>33</v>
      </c>
      <c r="F7" s="38" t="s">
        <v>119</v>
      </c>
      <c r="G7" s="83">
        <v>45755</v>
      </c>
    </row>
    <row r="8" spans="1:8" x14ac:dyDescent="0.2">
      <c r="B8" s="118">
        <v>6914895</v>
      </c>
      <c r="C8" s="38" t="s">
        <v>1172</v>
      </c>
      <c r="D8" s="38" t="s">
        <v>1173</v>
      </c>
      <c r="E8" s="118">
        <v>905</v>
      </c>
      <c r="F8" s="38" t="s">
        <v>47</v>
      </c>
      <c r="G8" s="83">
        <v>45753</v>
      </c>
    </row>
    <row r="9" spans="1:8" x14ac:dyDescent="0.2">
      <c r="B9" s="118">
        <v>6911944</v>
      </c>
      <c r="C9" s="38" t="s">
        <v>481</v>
      </c>
      <c r="D9" s="38" t="s">
        <v>1174</v>
      </c>
      <c r="E9" s="118">
        <v>60</v>
      </c>
      <c r="F9" s="38" t="s">
        <v>1175</v>
      </c>
      <c r="G9" s="83">
        <v>45751</v>
      </c>
    </row>
    <row r="10" spans="1:8" x14ac:dyDescent="0.2">
      <c r="B10" s="118">
        <v>6908707</v>
      </c>
      <c r="C10" s="38" t="s">
        <v>1176</v>
      </c>
      <c r="D10" s="38" t="s">
        <v>1169</v>
      </c>
      <c r="E10" s="118">
        <v>32</v>
      </c>
      <c r="F10" s="38" t="s">
        <v>119</v>
      </c>
      <c r="G10" s="83">
        <v>45750</v>
      </c>
    </row>
    <row r="11" spans="1:8" s="126" customFormat="1" x14ac:dyDescent="0.2">
      <c r="B11" s="125">
        <v>6901518</v>
      </c>
      <c r="C11" s="126" t="s">
        <v>1177</v>
      </c>
      <c r="D11" s="126" t="s">
        <v>1178</v>
      </c>
      <c r="E11" s="125">
        <v>25</v>
      </c>
      <c r="F11" s="126" t="s">
        <v>1175</v>
      </c>
      <c r="G11" s="127">
        <v>45746</v>
      </c>
    </row>
    <row r="12" spans="1:8" x14ac:dyDescent="0.2">
      <c r="B12" s="118">
        <v>6901336</v>
      </c>
      <c r="C12" s="38" t="s">
        <v>1179</v>
      </c>
      <c r="D12" s="38" t="s">
        <v>1169</v>
      </c>
      <c r="E12" s="118">
        <v>8</v>
      </c>
      <c r="F12" s="38" t="s">
        <v>119</v>
      </c>
      <c r="G12" s="83">
        <v>45744</v>
      </c>
    </row>
    <row r="13" spans="1:8" x14ac:dyDescent="0.2">
      <c r="B13" s="118">
        <v>6901349</v>
      </c>
      <c r="C13" s="38" t="s">
        <v>1180</v>
      </c>
      <c r="D13" s="38" t="s">
        <v>518</v>
      </c>
      <c r="E13" s="118">
        <v>180</v>
      </c>
      <c r="F13" s="38" t="s">
        <v>105</v>
      </c>
      <c r="G13" s="83">
        <v>45744</v>
      </c>
      <c r="H13" s="38" t="s">
        <v>1265</v>
      </c>
    </row>
    <row r="14" spans="1:8" s="38" customFormat="1" x14ac:dyDescent="0.2">
      <c r="B14" s="119">
        <v>6897475</v>
      </c>
      <c r="C14" s="38" t="s">
        <v>1181</v>
      </c>
      <c r="D14" s="38" t="s">
        <v>518</v>
      </c>
      <c r="E14" s="119">
        <v>240</v>
      </c>
      <c r="F14" s="38" t="s">
        <v>105</v>
      </c>
      <c r="G14" s="116">
        <v>45743</v>
      </c>
      <c r="H14" s="38" t="s">
        <v>1264</v>
      </c>
    </row>
    <row r="15" spans="1:8" x14ac:dyDescent="0.2">
      <c r="B15" s="118">
        <v>6890611</v>
      </c>
      <c r="C15" s="38" t="s">
        <v>1180</v>
      </c>
      <c r="D15" s="38" t="s">
        <v>1169</v>
      </c>
      <c r="E15" s="118">
        <v>100</v>
      </c>
      <c r="F15" s="38" t="s">
        <v>119</v>
      </c>
      <c r="G15" s="83">
        <v>45740</v>
      </c>
      <c r="H15" s="38" t="s">
        <v>1265</v>
      </c>
    </row>
    <row r="16" spans="1:8" s="38" customFormat="1" x14ac:dyDescent="0.2">
      <c r="B16" s="119">
        <v>6890598</v>
      </c>
      <c r="C16" s="38" t="s">
        <v>1182</v>
      </c>
      <c r="D16" s="38" t="s">
        <v>1183</v>
      </c>
      <c r="E16" s="119">
        <v>700</v>
      </c>
      <c r="F16" s="38" t="s">
        <v>47</v>
      </c>
      <c r="G16" s="116">
        <v>45740</v>
      </c>
    </row>
    <row r="17" spans="2:8" s="126" customFormat="1" x14ac:dyDescent="0.2">
      <c r="B17" s="125">
        <v>6876662</v>
      </c>
      <c r="C17" s="126" t="s">
        <v>532</v>
      </c>
      <c r="D17" s="126" t="s">
        <v>1184</v>
      </c>
      <c r="E17" s="125">
        <v>279</v>
      </c>
      <c r="F17" s="126" t="s">
        <v>1175</v>
      </c>
      <c r="G17" s="127">
        <v>45730</v>
      </c>
    </row>
    <row r="18" spans="2:8" s="126" customFormat="1" x14ac:dyDescent="0.2">
      <c r="B18" s="125">
        <v>6876649</v>
      </c>
      <c r="C18" s="126" t="s">
        <v>1185</v>
      </c>
      <c r="D18" s="126" t="s">
        <v>1184</v>
      </c>
      <c r="E18" s="125">
        <v>279</v>
      </c>
      <c r="F18" s="126" t="s">
        <v>1175</v>
      </c>
      <c r="G18" s="127">
        <v>45730</v>
      </c>
    </row>
    <row r="19" spans="2:8" s="55" customFormat="1" x14ac:dyDescent="0.2">
      <c r="B19" s="123">
        <v>6869018</v>
      </c>
      <c r="C19" s="55" t="s">
        <v>1186</v>
      </c>
      <c r="D19" s="55" t="s">
        <v>1108</v>
      </c>
      <c r="E19" s="123">
        <v>90</v>
      </c>
      <c r="F19" s="55" t="s">
        <v>119</v>
      </c>
      <c r="G19" s="124">
        <v>45727</v>
      </c>
      <c r="H19" s="55" t="s">
        <v>1266</v>
      </c>
    </row>
    <row r="20" spans="2:8" s="126" customFormat="1" x14ac:dyDescent="0.2">
      <c r="B20" s="125">
        <v>6868381</v>
      </c>
      <c r="C20" s="126" t="s">
        <v>441</v>
      </c>
      <c r="D20" s="126" t="s">
        <v>1187</v>
      </c>
      <c r="E20" s="125">
        <v>10</v>
      </c>
      <c r="F20" s="126" t="s">
        <v>105</v>
      </c>
      <c r="G20" s="127">
        <v>45726</v>
      </c>
    </row>
    <row r="21" spans="2:8" s="126" customFormat="1" x14ac:dyDescent="0.2">
      <c r="B21" s="125">
        <v>6864026</v>
      </c>
      <c r="C21" s="126" t="s">
        <v>1172</v>
      </c>
      <c r="D21" s="126" t="s">
        <v>1188</v>
      </c>
      <c r="E21" s="125">
        <v>200</v>
      </c>
      <c r="F21" s="126" t="s">
        <v>1175</v>
      </c>
      <c r="G21" s="127">
        <v>45723</v>
      </c>
    </row>
    <row r="22" spans="2:8" s="126" customFormat="1" x14ac:dyDescent="0.2">
      <c r="B22" s="125">
        <v>6864403</v>
      </c>
      <c r="C22" s="126" t="s">
        <v>880</v>
      </c>
      <c r="D22" s="126" t="s">
        <v>1189</v>
      </c>
      <c r="E22" s="125">
        <v>25</v>
      </c>
      <c r="F22" s="126" t="s">
        <v>1175</v>
      </c>
      <c r="G22" s="127">
        <v>45723</v>
      </c>
    </row>
    <row r="23" spans="2:8" s="55" customFormat="1" x14ac:dyDescent="0.2">
      <c r="B23" s="123">
        <v>6859294</v>
      </c>
      <c r="C23" s="55" t="s">
        <v>1190</v>
      </c>
      <c r="D23" s="55" t="s">
        <v>239</v>
      </c>
      <c r="E23" s="123">
        <v>40</v>
      </c>
      <c r="F23" s="55" t="s">
        <v>105</v>
      </c>
      <c r="G23" s="124">
        <v>45721</v>
      </c>
    </row>
    <row r="24" spans="2:8" s="55" customFormat="1" x14ac:dyDescent="0.2">
      <c r="B24" s="123">
        <v>6859268</v>
      </c>
      <c r="C24" s="55" t="s">
        <v>1192</v>
      </c>
      <c r="D24" s="55" t="s">
        <v>518</v>
      </c>
      <c r="E24" s="123">
        <v>586</v>
      </c>
      <c r="F24" s="55" t="s">
        <v>47</v>
      </c>
      <c r="G24" s="124">
        <v>45721</v>
      </c>
    </row>
    <row r="25" spans="2:8" s="126" customFormat="1" x14ac:dyDescent="0.2">
      <c r="B25" s="125">
        <v>6857942</v>
      </c>
      <c r="C25" s="126" t="s">
        <v>1172</v>
      </c>
      <c r="D25" s="126" t="s">
        <v>1188</v>
      </c>
      <c r="E25" s="125">
        <v>200</v>
      </c>
      <c r="F25" s="126" t="s">
        <v>1175</v>
      </c>
      <c r="G25" s="127">
        <v>45721</v>
      </c>
    </row>
    <row r="26" spans="2:8" s="126" customFormat="1" x14ac:dyDescent="0.2">
      <c r="B26" s="125">
        <v>6855212</v>
      </c>
      <c r="C26" s="126" t="s">
        <v>1193</v>
      </c>
      <c r="D26" s="126" t="s">
        <v>1194</v>
      </c>
      <c r="E26" s="125">
        <v>21</v>
      </c>
      <c r="F26" s="126" t="s">
        <v>105</v>
      </c>
      <c r="G26" s="127">
        <v>45719</v>
      </c>
    </row>
    <row r="27" spans="2:8" s="126" customFormat="1" x14ac:dyDescent="0.2">
      <c r="B27" s="125">
        <v>6847399</v>
      </c>
      <c r="C27" s="126" t="s">
        <v>1172</v>
      </c>
      <c r="D27" s="126" t="s">
        <v>1195</v>
      </c>
      <c r="E27" s="125">
        <v>105</v>
      </c>
      <c r="F27" s="126" t="s">
        <v>105</v>
      </c>
      <c r="G27" s="127">
        <v>45714</v>
      </c>
    </row>
    <row r="28" spans="2:8" x14ac:dyDescent="0.2">
      <c r="B28" s="125">
        <v>6839872</v>
      </c>
      <c r="C28" s="126" t="s">
        <v>532</v>
      </c>
      <c r="D28" s="126" t="s">
        <v>519</v>
      </c>
      <c r="E28" s="125">
        <v>60</v>
      </c>
      <c r="F28" s="126" t="s">
        <v>105</v>
      </c>
      <c r="G28" s="127">
        <v>45709</v>
      </c>
    </row>
    <row r="29" spans="2:8" x14ac:dyDescent="0.2">
      <c r="B29" s="125">
        <v>6835972</v>
      </c>
      <c r="C29" s="126" t="s">
        <v>1196</v>
      </c>
      <c r="D29" s="126" t="s">
        <v>1197</v>
      </c>
      <c r="E29" s="125">
        <v>43</v>
      </c>
      <c r="F29" s="126" t="s">
        <v>1198</v>
      </c>
      <c r="G29" s="127">
        <v>45707</v>
      </c>
    </row>
    <row r="30" spans="2:8" s="38" customFormat="1" x14ac:dyDescent="0.2">
      <c r="B30" s="118">
        <v>6824051</v>
      </c>
      <c r="C30" s="38" t="s">
        <v>564</v>
      </c>
      <c r="D30" s="38" t="s">
        <v>518</v>
      </c>
      <c r="E30" s="118">
        <v>120</v>
      </c>
      <c r="F30" s="38" t="s">
        <v>119</v>
      </c>
      <c r="G30" s="83">
        <v>45701</v>
      </c>
    </row>
    <row r="31" spans="2:8" x14ac:dyDescent="0.2">
      <c r="B31" s="118">
        <v>6817356</v>
      </c>
      <c r="C31" s="38" t="s">
        <v>562</v>
      </c>
      <c r="D31" s="38" t="s">
        <v>1199</v>
      </c>
      <c r="E31" s="118">
        <v>300</v>
      </c>
      <c r="F31" s="38" t="s">
        <v>105</v>
      </c>
      <c r="G31" s="83">
        <v>45698</v>
      </c>
    </row>
    <row r="32" spans="2:8" x14ac:dyDescent="0.2">
      <c r="B32" s="118">
        <v>6812715</v>
      </c>
      <c r="C32" s="38" t="s">
        <v>532</v>
      </c>
      <c r="D32" s="38" t="s">
        <v>1200</v>
      </c>
      <c r="E32" s="118">
        <v>40</v>
      </c>
      <c r="F32" s="38" t="s">
        <v>105</v>
      </c>
      <c r="G32" s="83">
        <v>45694</v>
      </c>
    </row>
    <row r="33" spans="2:7" x14ac:dyDescent="0.2">
      <c r="B33" s="118">
        <v>6810544</v>
      </c>
      <c r="C33" s="38" t="s">
        <v>1201</v>
      </c>
      <c r="D33" s="38" t="s">
        <v>1202</v>
      </c>
      <c r="E33" s="118">
        <v>191</v>
      </c>
      <c r="F33" s="38" t="s">
        <v>1198</v>
      </c>
      <c r="G33" s="83">
        <v>45693</v>
      </c>
    </row>
    <row r="34" spans="2:7" x14ac:dyDescent="0.2">
      <c r="B34" s="118">
        <v>6808802</v>
      </c>
      <c r="C34" s="38" t="s">
        <v>1192</v>
      </c>
      <c r="D34" s="38" t="s">
        <v>1169</v>
      </c>
      <c r="E34" s="118">
        <v>30</v>
      </c>
      <c r="F34" s="38" t="s">
        <v>119</v>
      </c>
      <c r="G34" s="83">
        <v>45693</v>
      </c>
    </row>
    <row r="35" spans="2:7" x14ac:dyDescent="0.2">
      <c r="B35" s="118">
        <v>6809400</v>
      </c>
      <c r="C35" s="38" t="s">
        <v>1203</v>
      </c>
      <c r="D35" s="38" t="s">
        <v>759</v>
      </c>
      <c r="E35" s="118">
        <v>127</v>
      </c>
      <c r="F35" s="38" t="s">
        <v>119</v>
      </c>
      <c r="G35" s="83">
        <v>45693</v>
      </c>
    </row>
    <row r="36" spans="2:7" x14ac:dyDescent="0.2">
      <c r="B36" s="118">
        <v>6808815</v>
      </c>
      <c r="C36" s="38" t="s">
        <v>1204</v>
      </c>
      <c r="D36" s="38" t="s">
        <v>445</v>
      </c>
      <c r="E36" s="118">
        <v>104</v>
      </c>
      <c r="F36" s="38" t="s">
        <v>119</v>
      </c>
      <c r="G36" s="83">
        <v>45693</v>
      </c>
    </row>
    <row r="37" spans="2:7" x14ac:dyDescent="0.2">
      <c r="B37" s="118">
        <v>6797310</v>
      </c>
      <c r="C37" s="38" t="s">
        <v>441</v>
      </c>
      <c r="D37" s="38" t="s">
        <v>1205</v>
      </c>
      <c r="E37" s="118">
        <v>30</v>
      </c>
      <c r="F37" s="38" t="s">
        <v>105</v>
      </c>
      <c r="G37" s="83">
        <v>45685</v>
      </c>
    </row>
    <row r="38" spans="2:7" x14ac:dyDescent="0.2">
      <c r="B38" s="118">
        <v>6739122</v>
      </c>
      <c r="C38" s="38" t="s">
        <v>1206</v>
      </c>
      <c r="D38" s="38" t="s">
        <v>1108</v>
      </c>
      <c r="E38" s="118">
        <v>55</v>
      </c>
      <c r="F38" s="38" t="s">
        <v>47</v>
      </c>
      <c r="G38" s="83">
        <v>45644</v>
      </c>
    </row>
    <row r="39" spans="2:7" x14ac:dyDescent="0.2">
      <c r="B39" s="118">
        <v>6721013</v>
      </c>
      <c r="C39" s="38" t="s">
        <v>532</v>
      </c>
      <c r="D39" s="38" t="s">
        <v>1207</v>
      </c>
      <c r="E39" s="118">
        <v>58</v>
      </c>
      <c r="F39" s="38" t="s">
        <v>1198</v>
      </c>
      <c r="G39" s="83">
        <v>45632</v>
      </c>
    </row>
    <row r="40" spans="2:7" x14ac:dyDescent="0.2">
      <c r="B40" s="118">
        <v>6719128</v>
      </c>
      <c r="C40" s="38" t="s">
        <v>1182</v>
      </c>
      <c r="D40" s="38" t="s">
        <v>1169</v>
      </c>
      <c r="E40" s="118">
        <v>48</v>
      </c>
      <c r="F40" s="38" t="s">
        <v>119</v>
      </c>
      <c r="G40" s="83">
        <v>45631</v>
      </c>
    </row>
    <row r="41" spans="2:7" x14ac:dyDescent="0.2">
      <c r="B41" s="118">
        <v>6709820</v>
      </c>
      <c r="C41" s="38" t="s">
        <v>1208</v>
      </c>
      <c r="D41" s="38" t="s">
        <v>1169</v>
      </c>
      <c r="E41" s="118">
        <v>132</v>
      </c>
      <c r="F41" s="38" t="s">
        <v>119</v>
      </c>
      <c r="G41" s="83">
        <v>45625</v>
      </c>
    </row>
    <row r="42" spans="2:7" x14ac:dyDescent="0.2">
      <c r="B42" s="118">
        <v>6704763</v>
      </c>
      <c r="C42" s="38" t="s">
        <v>564</v>
      </c>
      <c r="D42" s="38" t="s">
        <v>1169</v>
      </c>
      <c r="E42" s="118">
        <v>27</v>
      </c>
      <c r="F42" s="38" t="s">
        <v>119</v>
      </c>
      <c r="G42" s="83">
        <v>45622</v>
      </c>
    </row>
    <row r="43" spans="2:7" x14ac:dyDescent="0.2">
      <c r="B43" s="118">
        <v>6696456</v>
      </c>
      <c r="C43" s="38" t="s">
        <v>1209</v>
      </c>
      <c r="D43" s="38" t="s">
        <v>1210</v>
      </c>
      <c r="E43" s="118">
        <v>30</v>
      </c>
      <c r="F43" s="38" t="s">
        <v>1211</v>
      </c>
      <c r="G43" s="83">
        <v>45616</v>
      </c>
    </row>
    <row r="44" spans="2:7" x14ac:dyDescent="0.2">
      <c r="B44" s="118">
        <v>6696014</v>
      </c>
      <c r="C44" s="38" t="s">
        <v>880</v>
      </c>
      <c r="D44" s="38" t="s">
        <v>1212</v>
      </c>
      <c r="E44" s="118">
        <v>100</v>
      </c>
      <c r="F44" s="38" t="s">
        <v>1211</v>
      </c>
      <c r="G44" s="83">
        <v>45615</v>
      </c>
    </row>
    <row r="45" spans="2:7" x14ac:dyDescent="0.2">
      <c r="B45" s="118">
        <v>6692348</v>
      </c>
      <c r="C45" s="38" t="s">
        <v>564</v>
      </c>
      <c r="D45" s="38" t="s">
        <v>1169</v>
      </c>
      <c r="E45" s="118">
        <v>80</v>
      </c>
      <c r="F45" s="38" t="s">
        <v>119</v>
      </c>
      <c r="G45" s="83">
        <v>45614</v>
      </c>
    </row>
    <row r="46" spans="2:7" x14ac:dyDescent="0.2">
      <c r="B46" s="118">
        <v>6690996</v>
      </c>
      <c r="C46" s="38" t="s">
        <v>1213</v>
      </c>
      <c r="D46" s="38" t="s">
        <v>1169</v>
      </c>
      <c r="E46" s="119">
        <v>140</v>
      </c>
      <c r="F46" s="38" t="s">
        <v>119</v>
      </c>
      <c r="G46" s="83">
        <v>45611</v>
      </c>
    </row>
    <row r="47" spans="2:7" x14ac:dyDescent="0.2">
      <c r="B47" s="118">
        <v>6683508</v>
      </c>
      <c r="C47" s="38" t="s">
        <v>1186</v>
      </c>
      <c r="D47" s="38" t="s">
        <v>518</v>
      </c>
      <c r="E47" s="118">
        <v>275</v>
      </c>
      <c r="F47" s="38" t="s">
        <v>105</v>
      </c>
      <c r="G47" s="83">
        <v>45608</v>
      </c>
    </row>
    <row r="48" spans="2:7" x14ac:dyDescent="0.2">
      <c r="B48" s="118">
        <v>6678269</v>
      </c>
      <c r="C48" s="38" t="s">
        <v>1196</v>
      </c>
      <c r="D48" s="38" t="s">
        <v>487</v>
      </c>
      <c r="E48" s="118">
        <v>28</v>
      </c>
      <c r="F48" s="38" t="s">
        <v>119</v>
      </c>
      <c r="G48" s="83">
        <v>45603</v>
      </c>
    </row>
    <row r="49" spans="2:8" x14ac:dyDescent="0.2">
      <c r="B49" s="118">
        <v>6672939</v>
      </c>
      <c r="C49" s="38" t="s">
        <v>1214</v>
      </c>
      <c r="D49" s="38" t="s">
        <v>518</v>
      </c>
      <c r="E49" s="118">
        <v>125</v>
      </c>
      <c r="F49" s="38" t="s">
        <v>47</v>
      </c>
      <c r="G49" s="83">
        <v>45600</v>
      </c>
      <c r="H49" s="38" t="s">
        <v>1215</v>
      </c>
    </row>
    <row r="50" spans="2:8" s="55" customFormat="1" x14ac:dyDescent="0.2">
      <c r="B50" s="123">
        <v>6662383</v>
      </c>
      <c r="C50" s="55" t="s">
        <v>1192</v>
      </c>
      <c r="D50" s="55" t="s">
        <v>518</v>
      </c>
      <c r="E50" s="123">
        <v>800</v>
      </c>
      <c r="F50" s="55" t="s">
        <v>47</v>
      </c>
      <c r="G50" s="124">
        <v>45593</v>
      </c>
      <c r="H50" s="55" t="s">
        <v>1216</v>
      </c>
    </row>
    <row r="51" spans="2:8" s="55" customFormat="1" x14ac:dyDescent="0.2">
      <c r="B51" s="123">
        <v>6657768</v>
      </c>
      <c r="C51" s="55" t="s">
        <v>1217</v>
      </c>
      <c r="D51" s="55" t="s">
        <v>1218</v>
      </c>
      <c r="E51" s="123">
        <v>68</v>
      </c>
      <c r="F51" s="55" t="s">
        <v>119</v>
      </c>
      <c r="G51" s="124">
        <v>45589</v>
      </c>
    </row>
    <row r="52" spans="2:8" s="55" customFormat="1" x14ac:dyDescent="0.2">
      <c r="B52" s="123">
        <v>6653153</v>
      </c>
      <c r="C52" s="55" t="s">
        <v>1219</v>
      </c>
      <c r="D52" s="55" t="s">
        <v>1218</v>
      </c>
      <c r="E52" s="123">
        <v>1200</v>
      </c>
      <c r="F52" s="55" t="s">
        <v>47</v>
      </c>
      <c r="G52" s="124">
        <v>45587</v>
      </c>
    </row>
    <row r="53" spans="2:8" s="55" customFormat="1" x14ac:dyDescent="0.2">
      <c r="B53" s="123">
        <v>6649045</v>
      </c>
      <c r="C53" s="55" t="s">
        <v>1214</v>
      </c>
      <c r="D53" s="55" t="s">
        <v>1220</v>
      </c>
      <c r="E53" s="123">
        <v>600</v>
      </c>
      <c r="F53" s="55" t="s">
        <v>47</v>
      </c>
      <c r="G53" s="124">
        <v>45583</v>
      </c>
    </row>
    <row r="54" spans="2:8" s="55" customFormat="1" x14ac:dyDescent="0.2">
      <c r="B54" s="123">
        <v>6647498</v>
      </c>
      <c r="C54" s="55" t="s">
        <v>1219</v>
      </c>
      <c r="D54" s="55" t="s">
        <v>1218</v>
      </c>
      <c r="E54" s="123">
        <v>280</v>
      </c>
      <c r="F54" s="55" t="s">
        <v>1221</v>
      </c>
      <c r="G54" s="124">
        <v>45582</v>
      </c>
    </row>
    <row r="55" spans="2:8" x14ac:dyDescent="0.2">
      <c r="B55" s="118">
        <v>6644378</v>
      </c>
      <c r="C55" s="38" t="s">
        <v>1222</v>
      </c>
      <c r="D55" s="38" t="s">
        <v>1169</v>
      </c>
      <c r="E55" s="118">
        <v>15</v>
      </c>
      <c r="F55" s="38" t="s">
        <v>119</v>
      </c>
      <c r="G55" s="83">
        <v>45581</v>
      </c>
    </row>
    <row r="56" spans="2:8" x14ac:dyDescent="0.2">
      <c r="B56" s="118">
        <v>6643728</v>
      </c>
      <c r="C56" s="38" t="s">
        <v>1180</v>
      </c>
      <c r="D56" s="38" t="s">
        <v>518</v>
      </c>
      <c r="E56" s="118">
        <v>240</v>
      </c>
      <c r="F56" s="38" t="s">
        <v>105</v>
      </c>
      <c r="G56" s="83">
        <v>45581</v>
      </c>
    </row>
    <row r="57" spans="2:8" x14ac:dyDescent="0.2">
      <c r="B57" s="118">
        <v>6641037</v>
      </c>
      <c r="C57" s="38" t="s">
        <v>1223</v>
      </c>
      <c r="D57" s="38" t="s">
        <v>1169</v>
      </c>
      <c r="E57" s="118">
        <v>15</v>
      </c>
      <c r="F57" s="38" t="s">
        <v>119</v>
      </c>
      <c r="G57" s="83">
        <v>45580</v>
      </c>
    </row>
    <row r="58" spans="2:8" s="121" customFormat="1" x14ac:dyDescent="0.2">
      <c r="B58" s="120">
        <v>6635057</v>
      </c>
      <c r="C58" s="121" t="s">
        <v>1172</v>
      </c>
      <c r="D58" s="121" t="s">
        <v>1108</v>
      </c>
      <c r="E58" s="120">
        <v>180</v>
      </c>
      <c r="F58" s="121" t="s">
        <v>1175</v>
      </c>
      <c r="G58" s="122">
        <v>45575</v>
      </c>
      <c r="H58" s="121" t="s">
        <v>1224</v>
      </c>
    </row>
    <row r="59" spans="2:8" s="121" customFormat="1" x14ac:dyDescent="0.2">
      <c r="B59" s="120">
        <v>6630325</v>
      </c>
      <c r="C59" s="121" t="s">
        <v>1196</v>
      </c>
      <c r="D59" s="121" t="s">
        <v>1202</v>
      </c>
      <c r="E59" s="120">
        <v>30</v>
      </c>
      <c r="F59" s="121" t="s">
        <v>105</v>
      </c>
      <c r="G59" s="122">
        <v>45573</v>
      </c>
    </row>
    <row r="60" spans="2:8" x14ac:dyDescent="0.2">
      <c r="B60" s="118">
        <v>6627088</v>
      </c>
      <c r="C60" s="38" t="s">
        <v>1170</v>
      </c>
      <c r="D60" s="38" t="s">
        <v>1169</v>
      </c>
      <c r="E60" s="118">
        <v>24</v>
      </c>
      <c r="F60" s="38" t="s">
        <v>119</v>
      </c>
      <c r="G60" s="83">
        <v>45569</v>
      </c>
    </row>
    <row r="61" spans="2:8" s="55" customFormat="1" x14ac:dyDescent="0.2">
      <c r="B61" s="123">
        <v>6607185</v>
      </c>
      <c r="C61" s="55" t="s">
        <v>1225</v>
      </c>
      <c r="D61" s="55" t="s">
        <v>1226</v>
      </c>
      <c r="E61" s="123">
        <v>750</v>
      </c>
      <c r="F61" s="55" t="s">
        <v>119</v>
      </c>
      <c r="G61" s="124">
        <v>45558</v>
      </c>
    </row>
    <row r="62" spans="2:8" x14ac:dyDescent="0.2">
      <c r="B62" s="118">
        <v>6606106</v>
      </c>
      <c r="C62" s="38" t="s">
        <v>1227</v>
      </c>
      <c r="D62" s="38" t="s">
        <v>518</v>
      </c>
      <c r="E62" s="118">
        <v>230</v>
      </c>
      <c r="F62" s="38" t="s">
        <v>119</v>
      </c>
      <c r="G62" s="83">
        <v>45555</v>
      </c>
    </row>
    <row r="63" spans="2:8" x14ac:dyDescent="0.2">
      <c r="B63" s="118">
        <v>6598631</v>
      </c>
      <c r="C63" s="38" t="s">
        <v>716</v>
      </c>
      <c r="D63" s="38" t="s">
        <v>1228</v>
      </c>
      <c r="E63" s="118">
        <v>8</v>
      </c>
      <c r="F63" s="38" t="s">
        <v>105</v>
      </c>
      <c r="G63" s="83">
        <v>45554</v>
      </c>
      <c r="H63" s="38" t="s">
        <v>1229</v>
      </c>
    </row>
    <row r="64" spans="2:8" x14ac:dyDescent="0.2">
      <c r="B64" s="118">
        <v>6588296</v>
      </c>
      <c r="C64" s="38" t="s">
        <v>444</v>
      </c>
      <c r="D64" s="38" t="s">
        <v>1188</v>
      </c>
      <c r="E64" s="118">
        <v>250</v>
      </c>
      <c r="F64" s="38" t="s">
        <v>47</v>
      </c>
      <c r="G64" s="83">
        <v>45554</v>
      </c>
    </row>
    <row r="65" spans="2:7" x14ac:dyDescent="0.2">
      <c r="B65" s="118">
        <v>6598943</v>
      </c>
      <c r="C65" s="38" t="s">
        <v>721</v>
      </c>
      <c r="D65" s="38" t="s">
        <v>1212</v>
      </c>
      <c r="E65" s="118">
        <v>140</v>
      </c>
      <c r="F65" s="38" t="s">
        <v>105</v>
      </c>
      <c r="G65" s="83">
        <v>45554</v>
      </c>
    </row>
    <row r="66" spans="2:7" x14ac:dyDescent="0.2">
      <c r="B66" s="118">
        <v>6602219</v>
      </c>
      <c r="C66" s="38" t="s">
        <v>1170</v>
      </c>
      <c r="D66" s="38" t="s">
        <v>445</v>
      </c>
      <c r="E66" s="118">
        <v>220</v>
      </c>
      <c r="F66" s="38" t="s">
        <v>105</v>
      </c>
      <c r="G66" s="83">
        <v>45554</v>
      </c>
    </row>
    <row r="67" spans="2:7" x14ac:dyDescent="0.2">
      <c r="B67" s="118">
        <v>6594679</v>
      </c>
      <c r="C67" s="38" t="s">
        <v>1196</v>
      </c>
      <c r="D67" s="38" t="s">
        <v>1230</v>
      </c>
      <c r="E67" s="118">
        <v>73</v>
      </c>
      <c r="F67" s="38" t="s">
        <v>1198</v>
      </c>
      <c r="G67" s="83">
        <v>45554</v>
      </c>
    </row>
    <row r="68" spans="2:7" x14ac:dyDescent="0.2">
      <c r="B68" s="118">
        <v>6594159</v>
      </c>
      <c r="C68" s="38" t="s">
        <v>1231</v>
      </c>
      <c r="D68" s="38" t="s">
        <v>1169</v>
      </c>
      <c r="E68" s="118">
        <v>59</v>
      </c>
      <c r="F68" s="38" t="s">
        <v>119</v>
      </c>
      <c r="G68" s="83">
        <v>45554</v>
      </c>
    </row>
    <row r="69" spans="2:7" x14ac:dyDescent="0.2">
      <c r="B69" s="118">
        <v>6586515</v>
      </c>
      <c r="C69" s="38" t="s">
        <v>1096</v>
      </c>
      <c r="D69" s="38" t="s">
        <v>1097</v>
      </c>
      <c r="E69" s="118">
        <v>540</v>
      </c>
      <c r="F69" s="38" t="s">
        <v>119</v>
      </c>
      <c r="G69" s="83">
        <v>45554</v>
      </c>
    </row>
    <row r="70" spans="2:7" x14ac:dyDescent="0.2">
      <c r="B70" s="118">
        <v>6588478</v>
      </c>
      <c r="C70" s="38" t="s">
        <v>532</v>
      </c>
      <c r="D70" s="38" t="s">
        <v>519</v>
      </c>
      <c r="E70" s="118">
        <v>249</v>
      </c>
      <c r="F70" s="38" t="s">
        <v>105</v>
      </c>
      <c r="G70" s="83">
        <v>45554</v>
      </c>
    </row>
    <row r="71" spans="2:7" x14ac:dyDescent="0.2">
      <c r="B71" s="118">
        <v>6603571</v>
      </c>
      <c r="C71" s="38" t="s">
        <v>1168</v>
      </c>
      <c r="D71" s="38" t="s">
        <v>518</v>
      </c>
      <c r="E71" s="118">
        <v>350</v>
      </c>
      <c r="F71" s="38" t="s">
        <v>105</v>
      </c>
      <c r="G71" s="83">
        <v>45554</v>
      </c>
    </row>
    <row r="72" spans="2:7" x14ac:dyDescent="0.2">
      <c r="B72" s="118">
        <v>6588283</v>
      </c>
      <c r="C72" s="38" t="s">
        <v>444</v>
      </c>
      <c r="D72" s="38" t="s">
        <v>445</v>
      </c>
      <c r="E72" s="118">
        <v>250</v>
      </c>
      <c r="F72" s="38" t="s">
        <v>47</v>
      </c>
      <c r="G72" s="83">
        <v>45554</v>
      </c>
    </row>
    <row r="73" spans="2:7" x14ac:dyDescent="0.2">
      <c r="B73" s="118">
        <v>6584916</v>
      </c>
      <c r="C73" s="38" t="s">
        <v>1214</v>
      </c>
      <c r="D73" s="38" t="s">
        <v>518</v>
      </c>
      <c r="E73" s="118">
        <v>300</v>
      </c>
      <c r="F73" s="38" t="s">
        <v>47</v>
      </c>
      <c r="G73" s="83">
        <v>45540</v>
      </c>
    </row>
    <row r="74" spans="2:7" x14ac:dyDescent="0.2">
      <c r="B74" s="118">
        <v>6568042</v>
      </c>
      <c r="C74" s="38" t="s">
        <v>1092</v>
      </c>
      <c r="D74" s="38" t="s">
        <v>1233</v>
      </c>
      <c r="E74" s="118">
        <v>450</v>
      </c>
      <c r="F74" s="38" t="s">
        <v>105</v>
      </c>
      <c r="G74" s="83">
        <v>45527</v>
      </c>
    </row>
    <row r="75" spans="2:7" x14ac:dyDescent="0.2">
      <c r="B75" s="118">
        <v>6566170</v>
      </c>
      <c r="C75" s="38" t="s">
        <v>1234</v>
      </c>
      <c r="D75" s="38" t="s">
        <v>1218</v>
      </c>
      <c r="E75" s="118">
        <v>3060</v>
      </c>
      <c r="F75" s="38" t="s">
        <v>1235</v>
      </c>
      <c r="G75" s="83">
        <v>45526</v>
      </c>
    </row>
    <row r="76" spans="2:7" x14ac:dyDescent="0.2">
      <c r="B76" s="118">
        <v>6565195</v>
      </c>
      <c r="C76" s="38" t="s">
        <v>1094</v>
      </c>
      <c r="D76" s="38" t="s">
        <v>759</v>
      </c>
      <c r="E76" s="118">
        <v>108</v>
      </c>
      <c r="F76" s="38" t="s">
        <v>119</v>
      </c>
      <c r="G76" s="83">
        <v>45525</v>
      </c>
    </row>
    <row r="77" spans="2:7" x14ac:dyDescent="0.2">
      <c r="B77" s="118">
        <v>6561685</v>
      </c>
      <c r="C77" s="38" t="s">
        <v>1236</v>
      </c>
      <c r="D77" s="38" t="s">
        <v>1202</v>
      </c>
      <c r="E77" s="118">
        <v>160</v>
      </c>
      <c r="F77" s="38" t="s">
        <v>119</v>
      </c>
      <c r="G77" s="83">
        <v>45524</v>
      </c>
    </row>
    <row r="78" spans="2:7" x14ac:dyDescent="0.2">
      <c r="B78" s="118">
        <v>6557356</v>
      </c>
      <c r="C78" s="38" t="s">
        <v>1237</v>
      </c>
      <c r="D78" s="38" t="s">
        <v>518</v>
      </c>
      <c r="E78" s="118">
        <v>105</v>
      </c>
      <c r="F78" s="38" t="s">
        <v>119</v>
      </c>
      <c r="G78" s="83">
        <v>45520</v>
      </c>
    </row>
    <row r="79" spans="2:7" s="121" customFormat="1" x14ac:dyDescent="0.2">
      <c r="B79" s="120">
        <v>6553872</v>
      </c>
      <c r="C79" s="121" t="s">
        <v>532</v>
      </c>
      <c r="D79" s="121" t="s">
        <v>1238</v>
      </c>
      <c r="E79" s="120">
        <v>60</v>
      </c>
      <c r="F79" s="121" t="s">
        <v>105</v>
      </c>
      <c r="G79" s="122">
        <v>45518</v>
      </c>
    </row>
    <row r="80" spans="2:7" x14ac:dyDescent="0.2">
      <c r="B80" s="118">
        <v>6538116</v>
      </c>
      <c r="C80" s="38" t="s">
        <v>1239</v>
      </c>
      <c r="D80" s="38" t="s">
        <v>1218</v>
      </c>
      <c r="E80" s="118">
        <v>300</v>
      </c>
      <c r="F80" s="38" t="s">
        <v>105</v>
      </c>
      <c r="G80" s="83">
        <v>45509</v>
      </c>
    </row>
    <row r="81" spans="2:8" s="121" customFormat="1" x14ac:dyDescent="0.2">
      <c r="B81" s="120">
        <v>6516913</v>
      </c>
      <c r="C81" s="121" t="s">
        <v>1240</v>
      </c>
      <c r="D81" s="121" t="s">
        <v>1169</v>
      </c>
      <c r="E81" s="120">
        <v>32</v>
      </c>
      <c r="F81" s="121" t="s">
        <v>1241</v>
      </c>
      <c r="G81" s="122">
        <v>45497</v>
      </c>
    </row>
    <row r="82" spans="2:8" x14ac:dyDescent="0.2">
      <c r="B82" s="118">
        <v>6517888</v>
      </c>
      <c r="C82" s="38" t="s">
        <v>1242</v>
      </c>
      <c r="D82" s="38" t="s">
        <v>1243</v>
      </c>
      <c r="E82" s="118">
        <v>27</v>
      </c>
      <c r="F82" s="38" t="s">
        <v>1198</v>
      </c>
      <c r="G82" s="83">
        <v>45497</v>
      </c>
    </row>
    <row r="83" spans="2:8" x14ac:dyDescent="0.2">
      <c r="B83" s="118">
        <v>6515418</v>
      </c>
      <c r="C83" s="38" t="s">
        <v>1244</v>
      </c>
      <c r="D83" s="38" t="s">
        <v>518</v>
      </c>
      <c r="E83" s="118">
        <v>204</v>
      </c>
      <c r="F83" s="38" t="s">
        <v>105</v>
      </c>
      <c r="G83" s="83">
        <v>45496</v>
      </c>
      <c r="H83" s="38" t="s">
        <v>1229</v>
      </c>
    </row>
    <row r="84" spans="2:8" x14ac:dyDescent="0.2">
      <c r="B84" s="118">
        <v>6503679</v>
      </c>
      <c r="C84" s="38" t="s">
        <v>1170</v>
      </c>
      <c r="D84" s="38" t="s">
        <v>1169</v>
      </c>
      <c r="E84" s="118">
        <v>49</v>
      </c>
      <c r="F84" s="38" t="s">
        <v>119</v>
      </c>
      <c r="G84" s="83">
        <v>45489</v>
      </c>
    </row>
    <row r="85" spans="2:8" x14ac:dyDescent="0.2">
      <c r="B85" s="118">
        <v>6475729</v>
      </c>
      <c r="C85" s="38" t="s">
        <v>880</v>
      </c>
      <c r="D85" s="38" t="s">
        <v>1169</v>
      </c>
      <c r="E85" s="118">
        <v>484</v>
      </c>
      <c r="F85" s="38" t="s">
        <v>119</v>
      </c>
      <c r="G85" s="83">
        <v>45469</v>
      </c>
    </row>
    <row r="86" spans="2:8" x14ac:dyDescent="0.2">
      <c r="B86" s="118">
        <v>6465069</v>
      </c>
      <c r="C86" s="38" t="s">
        <v>1245</v>
      </c>
      <c r="D86" s="38" t="s">
        <v>1202</v>
      </c>
      <c r="E86" s="118">
        <v>420</v>
      </c>
      <c r="F86" s="38" t="s">
        <v>119</v>
      </c>
      <c r="G86" s="83">
        <v>45461</v>
      </c>
    </row>
    <row r="87" spans="2:8" s="121" customFormat="1" x14ac:dyDescent="0.2">
      <c r="B87" s="120">
        <v>6458036</v>
      </c>
      <c r="C87" s="121" t="s">
        <v>1246</v>
      </c>
      <c r="D87" s="121" t="s">
        <v>1247</v>
      </c>
      <c r="E87" s="120">
        <v>13</v>
      </c>
      <c r="F87" s="121" t="s">
        <v>105</v>
      </c>
      <c r="G87" s="122">
        <v>45456</v>
      </c>
    </row>
    <row r="88" spans="2:8" x14ac:dyDescent="0.2">
      <c r="B88" s="118">
        <v>6444165</v>
      </c>
      <c r="C88" s="38" t="s">
        <v>854</v>
      </c>
      <c r="D88" s="38" t="s">
        <v>467</v>
      </c>
      <c r="E88" s="118">
        <v>55</v>
      </c>
      <c r="F88" s="38" t="s">
        <v>47</v>
      </c>
      <c r="G88" s="83">
        <v>45448</v>
      </c>
    </row>
    <row r="89" spans="2:8" s="121" customFormat="1" x14ac:dyDescent="0.2">
      <c r="B89" s="125">
        <v>6440980</v>
      </c>
      <c r="C89" s="126" t="s">
        <v>1214</v>
      </c>
      <c r="D89" s="126" t="s">
        <v>518</v>
      </c>
      <c r="E89" s="125">
        <v>508</v>
      </c>
      <c r="F89" s="126" t="s">
        <v>119</v>
      </c>
      <c r="G89" s="127">
        <v>45447</v>
      </c>
    </row>
    <row r="90" spans="2:8" s="121" customFormat="1" x14ac:dyDescent="0.2">
      <c r="B90" s="125">
        <v>6439277</v>
      </c>
      <c r="C90" s="126" t="s">
        <v>1172</v>
      </c>
      <c r="D90" s="126" t="s">
        <v>518</v>
      </c>
      <c r="E90" s="125">
        <v>300</v>
      </c>
      <c r="F90" s="126" t="s">
        <v>47</v>
      </c>
      <c r="G90" s="127">
        <v>45446</v>
      </c>
    </row>
    <row r="91" spans="2:8" s="121" customFormat="1" x14ac:dyDescent="0.2">
      <c r="B91" s="125">
        <v>6413706</v>
      </c>
      <c r="C91" s="126" t="s">
        <v>1196</v>
      </c>
      <c r="D91" s="126" t="s">
        <v>1248</v>
      </c>
      <c r="E91" s="125">
        <v>45</v>
      </c>
      <c r="F91" s="126" t="s">
        <v>105</v>
      </c>
      <c r="G91" s="127">
        <v>45426</v>
      </c>
    </row>
    <row r="92" spans="2:8" x14ac:dyDescent="0.2">
      <c r="B92" s="118">
        <v>6400472</v>
      </c>
      <c r="C92" s="38" t="s">
        <v>1249</v>
      </c>
      <c r="D92" s="38" t="s">
        <v>1202</v>
      </c>
      <c r="E92" s="118">
        <v>360</v>
      </c>
      <c r="F92" s="38" t="s">
        <v>119</v>
      </c>
      <c r="G92" s="83">
        <v>45418</v>
      </c>
    </row>
    <row r="93" spans="2:8" x14ac:dyDescent="0.2">
      <c r="B93" s="118">
        <v>6395012</v>
      </c>
      <c r="C93" s="38" t="s">
        <v>1250</v>
      </c>
      <c r="D93" s="38" t="s">
        <v>1169</v>
      </c>
      <c r="E93" s="118">
        <v>153</v>
      </c>
      <c r="F93" s="38" t="s">
        <v>119</v>
      </c>
      <c r="G93" s="83">
        <v>45413</v>
      </c>
    </row>
    <row r="94" spans="2:8" s="121" customFormat="1" x14ac:dyDescent="0.2">
      <c r="B94" s="120">
        <v>6390956</v>
      </c>
      <c r="C94" s="121" t="s">
        <v>532</v>
      </c>
      <c r="D94" s="121" t="s">
        <v>1251</v>
      </c>
      <c r="E94" s="120">
        <v>23</v>
      </c>
      <c r="F94" s="121" t="s">
        <v>105</v>
      </c>
      <c r="G94" s="122">
        <v>45412</v>
      </c>
    </row>
    <row r="95" spans="2:8" x14ac:dyDescent="0.2">
      <c r="B95" s="118">
        <v>6383390</v>
      </c>
      <c r="C95" s="38" t="s">
        <v>1192</v>
      </c>
      <c r="D95" s="38" t="s">
        <v>1252</v>
      </c>
      <c r="E95" s="118">
        <v>10000</v>
      </c>
      <c r="F95" s="38" t="s">
        <v>47</v>
      </c>
      <c r="G95" s="83">
        <v>45407</v>
      </c>
    </row>
    <row r="96" spans="2:8" x14ac:dyDescent="0.2">
      <c r="B96" s="118">
        <v>6373146</v>
      </c>
      <c r="C96" s="38" t="s">
        <v>1253</v>
      </c>
      <c r="D96" s="38" t="s">
        <v>518</v>
      </c>
      <c r="E96" s="118">
        <v>360</v>
      </c>
      <c r="F96" s="38" t="s">
        <v>105</v>
      </c>
      <c r="G96" s="83">
        <v>45400</v>
      </c>
    </row>
    <row r="97" spans="2:8" x14ac:dyDescent="0.2">
      <c r="B97" s="118">
        <v>6370715</v>
      </c>
      <c r="C97" s="38" t="s">
        <v>1254</v>
      </c>
      <c r="D97" s="38" t="s">
        <v>1108</v>
      </c>
      <c r="E97" s="118">
        <v>112</v>
      </c>
      <c r="F97" s="38" t="s">
        <v>1175</v>
      </c>
      <c r="G97" s="83">
        <v>45399</v>
      </c>
      <c r="H97" s="38" t="s">
        <v>1255</v>
      </c>
    </row>
    <row r="98" spans="2:8" x14ac:dyDescent="0.2">
      <c r="B98" s="125">
        <v>6370728</v>
      </c>
      <c r="C98" s="126" t="s">
        <v>564</v>
      </c>
      <c r="D98" s="126" t="s">
        <v>1169</v>
      </c>
      <c r="E98" s="125">
        <v>30</v>
      </c>
      <c r="F98" s="126" t="s">
        <v>119</v>
      </c>
      <c r="G98" s="127">
        <v>45399</v>
      </c>
    </row>
    <row r="99" spans="2:8" x14ac:dyDescent="0.2">
      <c r="B99" s="125">
        <v>6365788</v>
      </c>
      <c r="C99" s="126" t="s">
        <v>1196</v>
      </c>
      <c r="D99" s="126" t="s">
        <v>1256</v>
      </c>
      <c r="E99" s="125">
        <v>53</v>
      </c>
      <c r="F99" s="126" t="s">
        <v>105</v>
      </c>
      <c r="G99" s="127">
        <v>45397</v>
      </c>
    </row>
    <row r="100" spans="2:8" x14ac:dyDescent="0.2">
      <c r="B100" s="125">
        <v>6366347</v>
      </c>
      <c r="C100" s="126" t="s">
        <v>1196</v>
      </c>
      <c r="D100" s="126" t="s">
        <v>1257</v>
      </c>
      <c r="E100" s="125">
        <v>76</v>
      </c>
      <c r="F100" s="126" t="s">
        <v>105</v>
      </c>
      <c r="G100" s="127">
        <v>45397</v>
      </c>
    </row>
    <row r="101" spans="2:8" x14ac:dyDescent="0.2">
      <c r="B101" s="118">
        <v>6362265</v>
      </c>
      <c r="C101" s="38" t="s">
        <v>1258</v>
      </c>
      <c r="D101" s="38" t="s">
        <v>1108</v>
      </c>
      <c r="E101" s="118">
        <v>22</v>
      </c>
      <c r="F101" s="38" t="s">
        <v>119</v>
      </c>
      <c r="G101" s="83">
        <v>45394</v>
      </c>
      <c r="H101" s="38" t="s">
        <v>1259</v>
      </c>
    </row>
    <row r="102" spans="2:8" x14ac:dyDescent="0.2">
      <c r="B102" s="118">
        <v>6354660</v>
      </c>
      <c r="C102" s="38" t="s">
        <v>1192</v>
      </c>
      <c r="D102" s="38" t="s">
        <v>1108</v>
      </c>
      <c r="E102" s="118">
        <v>480</v>
      </c>
      <c r="F102" s="38" t="s">
        <v>47</v>
      </c>
      <c r="G102" s="83">
        <v>45391</v>
      </c>
    </row>
    <row r="103" spans="2:8" x14ac:dyDescent="0.2">
      <c r="B103" s="118">
        <v>6347003</v>
      </c>
      <c r="C103" s="38" t="s">
        <v>1260</v>
      </c>
      <c r="D103" s="38" t="s">
        <v>1261</v>
      </c>
      <c r="E103" s="118">
        <v>405</v>
      </c>
      <c r="F103" s="38" t="s">
        <v>47</v>
      </c>
      <c r="G103" s="83">
        <v>45386</v>
      </c>
    </row>
    <row r="104" spans="2:8" x14ac:dyDescent="0.2">
      <c r="B104" s="118">
        <v>6347133</v>
      </c>
      <c r="C104" s="38" t="s">
        <v>1260</v>
      </c>
      <c r="D104" s="38" t="s">
        <v>1261</v>
      </c>
      <c r="E104" s="118">
        <v>1328</v>
      </c>
      <c r="F104" s="38" t="s">
        <v>47</v>
      </c>
      <c r="G104" s="83">
        <v>45386</v>
      </c>
    </row>
    <row r="105" spans="2:8" x14ac:dyDescent="0.2">
      <c r="B105" s="118">
        <v>6345794</v>
      </c>
      <c r="C105" s="38" t="s">
        <v>1170</v>
      </c>
      <c r="D105" s="38" t="s">
        <v>1169</v>
      </c>
      <c r="E105" s="118">
        <v>50</v>
      </c>
      <c r="F105" s="38" t="s">
        <v>119</v>
      </c>
      <c r="G105" s="83">
        <v>45385</v>
      </c>
    </row>
    <row r="106" spans="2:8" x14ac:dyDescent="0.2">
      <c r="B106" s="118">
        <v>6345066</v>
      </c>
      <c r="C106" s="38" t="s">
        <v>1232</v>
      </c>
      <c r="D106" s="38" t="s">
        <v>518</v>
      </c>
      <c r="E106" s="118">
        <v>96</v>
      </c>
      <c r="F106" s="38" t="s">
        <v>119</v>
      </c>
      <c r="G106" s="83">
        <v>45385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1079</v>
      </c>
    </row>
    <row r="3" spans="1:3" x14ac:dyDescent="0.2">
      <c r="B3" s="38" t="s">
        <v>403</v>
      </c>
      <c r="C3" s="38" t="s">
        <v>727</v>
      </c>
    </row>
    <row r="4" spans="1:3" x14ac:dyDescent="0.2">
      <c r="B4" s="38" t="s">
        <v>1</v>
      </c>
      <c r="C4" s="38" t="s">
        <v>120</v>
      </c>
    </row>
    <row r="5" spans="1:3" x14ac:dyDescent="0.2">
      <c r="B5" s="38" t="s">
        <v>405</v>
      </c>
      <c r="C5" s="38" t="s">
        <v>1082</v>
      </c>
    </row>
    <row r="6" spans="1:3" x14ac:dyDescent="0.2">
      <c r="B6" s="38" t="s">
        <v>92</v>
      </c>
    </row>
    <row r="7" spans="1:3" x14ac:dyDescent="0.2">
      <c r="C7" s="20" t="s">
        <v>1083</v>
      </c>
    </row>
    <row r="11" spans="1:3" x14ac:dyDescent="0.2">
      <c r="C11" s="20" t="s">
        <v>1081</v>
      </c>
    </row>
    <row r="12" spans="1:3" x14ac:dyDescent="0.2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zoomScaleNormal="100" workbookViewId="0">
      <selection activeCell="J3" sqref="J3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776.5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948.16999899999996</v>
      </c>
      <c r="K3" s="39" t="s">
        <v>516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736254.00422349991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f>3268.4+154.8+3215.9</f>
        <v>6639.1</v>
      </c>
      <c r="K5" s="39" t="s">
        <v>516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f>5117.1+28527.1</f>
        <v>33644.199999999997</v>
      </c>
      <c r="K6" s="39" t="s">
        <v>516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763259.10422349989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">
      <c r="B26" s="14" t="s">
        <v>565</v>
      </c>
      <c r="C26" s="37" t="s">
        <v>708</v>
      </c>
      <c r="D26" s="37" t="s">
        <v>806</v>
      </c>
      <c r="E26" s="11">
        <v>1</v>
      </c>
      <c r="F26" s="37" t="s">
        <v>47</v>
      </c>
      <c r="G26" s="7"/>
      <c r="I26" s="21" t="s">
        <v>1075</v>
      </c>
    </row>
    <row r="27" spans="2:9" x14ac:dyDescent="0.2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2"/>
      <c r="I27" s="21" t="s">
        <v>1076</v>
      </c>
    </row>
    <row r="28" spans="2:9" x14ac:dyDescent="0.2">
      <c r="B28" s="128" t="s">
        <v>711</v>
      </c>
      <c r="C28" s="129" t="s">
        <v>712</v>
      </c>
      <c r="D28" s="129" t="s">
        <v>1139</v>
      </c>
      <c r="E28" s="130">
        <v>1</v>
      </c>
      <c r="F28" s="129" t="s">
        <v>47</v>
      </c>
      <c r="G28" s="112"/>
      <c r="H28" s="19"/>
      <c r="I28" s="21" t="s">
        <v>1077</v>
      </c>
    </row>
    <row r="29" spans="2:9" x14ac:dyDescent="0.2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x14ac:dyDescent="0.2">
      <c r="B32" s="14" t="s">
        <v>562</v>
      </c>
      <c r="C32" s="37" t="s">
        <v>518</v>
      </c>
      <c r="D32" s="37" t="s">
        <v>457</v>
      </c>
      <c r="E32" s="40"/>
      <c r="F32" s="37" t="s">
        <v>105</v>
      </c>
      <c r="G32" s="112"/>
      <c r="I32" s="16" t="s">
        <v>558</v>
      </c>
    </row>
    <row r="33" spans="2:9" x14ac:dyDescent="0.2">
      <c r="B33" s="36" t="s">
        <v>563</v>
      </c>
      <c r="C33" s="37" t="s">
        <v>518</v>
      </c>
      <c r="D33" s="37" t="s">
        <v>1265</v>
      </c>
      <c r="E33" s="11"/>
      <c r="F33" s="37" t="s">
        <v>105</v>
      </c>
      <c r="G33" s="7"/>
      <c r="I33" s="21" t="s">
        <v>559</v>
      </c>
    </row>
    <row r="34" spans="2:9" x14ac:dyDescent="0.2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">
      <c r="B35" s="36" t="s">
        <v>710</v>
      </c>
      <c r="C35" s="37" t="s">
        <v>518</v>
      </c>
      <c r="D35" s="37" t="s">
        <v>1262</v>
      </c>
      <c r="E35" s="11"/>
      <c r="F35" s="37" t="s">
        <v>105</v>
      </c>
      <c r="G35" s="7"/>
    </row>
    <row r="36" spans="2:9" x14ac:dyDescent="0.2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">
      <c r="B50" s="113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">
      <c r="B56" s="113" t="s">
        <v>1104</v>
      </c>
      <c r="C56" s="37" t="s">
        <v>518</v>
      </c>
      <c r="D56" s="37" t="s">
        <v>1105</v>
      </c>
      <c r="E56" s="11"/>
      <c r="F56" s="37" t="s">
        <v>119</v>
      </c>
      <c r="G56" s="44" t="s">
        <v>1165</v>
      </c>
    </row>
    <row r="57" spans="2:7" x14ac:dyDescent="0.2">
      <c r="B57" s="113" t="s">
        <v>1164</v>
      </c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">
      <c r="B58" s="113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">
      <c r="B59" s="113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">
      <c r="B60" s="113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">
      <c r="B61" s="113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">
      <c r="B62" s="113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">
      <c r="B63" s="113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">
      <c r="B64" s="113"/>
      <c r="C64" s="37" t="s">
        <v>1113</v>
      </c>
      <c r="D64" s="37"/>
      <c r="E64" s="11"/>
      <c r="F64" s="37" t="s">
        <v>119</v>
      </c>
      <c r="G64" s="7"/>
    </row>
    <row r="65" spans="2:9" x14ac:dyDescent="0.2">
      <c r="B65" s="113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">
      <c r="B66" s="113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">
      <c r="B67" s="113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">
      <c r="B68" s="113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">
      <c r="B69" s="113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">
      <c r="B70" s="113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">
      <c r="B71" s="113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">
      <c r="B72" s="113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">
      <c r="B73" s="113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">
      <c r="B74" s="113"/>
      <c r="C74" s="37" t="s">
        <v>1114</v>
      </c>
      <c r="D74" s="37"/>
      <c r="E74" s="11"/>
      <c r="F74" s="37" t="s">
        <v>119</v>
      </c>
      <c r="G74" s="7"/>
    </row>
    <row r="75" spans="2:9" x14ac:dyDescent="0.2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x14ac:dyDescent="0.2">
      <c r="E80" s="33" t="s">
        <v>1001</v>
      </c>
    </row>
    <row r="81" spans="5:5" x14ac:dyDescent="0.2">
      <c r="E81" s="33" t="s">
        <v>1002</v>
      </c>
    </row>
    <row r="82" spans="5:5" x14ac:dyDescent="0.2">
      <c r="E82" s="33" t="s">
        <v>1003</v>
      </c>
    </row>
    <row r="83" spans="5:5" x14ac:dyDescent="0.2">
      <c r="E83" s="33" t="s">
        <v>1008</v>
      </c>
    </row>
    <row r="84" spans="5:5" x14ac:dyDescent="0.2">
      <c r="E84" s="33" t="s">
        <v>1010</v>
      </c>
    </row>
    <row r="85" spans="5:5" x14ac:dyDescent="0.2">
      <c r="E85" s="33" t="s">
        <v>1011</v>
      </c>
    </row>
    <row r="86" spans="5:5" x14ac:dyDescent="0.2">
      <c r="E86" s="33" t="s">
        <v>1028</v>
      </c>
    </row>
    <row r="87" spans="5:5" x14ac:dyDescent="0.2">
      <c r="E87" s="33" t="s">
        <v>1029</v>
      </c>
    </row>
    <row r="88" spans="5:5" x14ac:dyDescent="0.2">
      <c r="E88" s="33" t="s">
        <v>1034</v>
      </c>
    </row>
    <row r="89" spans="5:5" x14ac:dyDescent="0.2">
      <c r="E89" s="33" t="s">
        <v>1035</v>
      </c>
    </row>
    <row r="90" spans="5:5" x14ac:dyDescent="0.2">
      <c r="E90" s="33" t="s">
        <v>1036</v>
      </c>
    </row>
    <row r="91" spans="5:5" x14ac:dyDescent="0.2">
      <c r="E91" s="33" t="s">
        <v>1038</v>
      </c>
    </row>
    <row r="92" spans="5:5" x14ac:dyDescent="0.2">
      <c r="E92" s="33" t="s">
        <v>1043</v>
      </c>
    </row>
    <row r="93" spans="5:5" x14ac:dyDescent="0.2">
      <c r="E93" s="33" t="s">
        <v>1044</v>
      </c>
    </row>
    <row r="94" spans="5:5" x14ac:dyDescent="0.2">
      <c r="E94" s="33" t="s">
        <v>1062</v>
      </c>
    </row>
    <row r="95" spans="5:5" x14ac:dyDescent="0.2">
      <c r="E95" s="33" t="s">
        <v>1063</v>
      </c>
    </row>
    <row r="96" spans="5:5" x14ac:dyDescent="0.2">
      <c r="E96" s="33" t="s">
        <v>1064</v>
      </c>
    </row>
    <row r="97" spans="5:6" x14ac:dyDescent="0.2">
      <c r="E97" s="33" t="s">
        <v>1069</v>
      </c>
    </row>
    <row r="98" spans="5:6" x14ac:dyDescent="0.2">
      <c r="E98" s="33" t="s">
        <v>1074</v>
      </c>
    </row>
    <row r="99" spans="5:6" x14ac:dyDescent="0.2">
      <c r="E99" s="33" t="s">
        <v>890</v>
      </c>
    </row>
    <row r="100" spans="5:6" x14ac:dyDescent="0.2">
      <c r="E100" s="33" t="s">
        <v>888</v>
      </c>
    </row>
    <row r="101" spans="5:6" x14ac:dyDescent="0.2">
      <c r="E101" s="33" t="s">
        <v>877</v>
      </c>
      <c r="F101" s="33"/>
    </row>
    <row r="102" spans="5:6" x14ac:dyDescent="0.2">
      <c r="E102" s="33" t="s">
        <v>878</v>
      </c>
      <c r="F102" s="34"/>
    </row>
    <row r="103" spans="5:6" x14ac:dyDescent="0.2">
      <c r="E103" s="33" t="s">
        <v>886</v>
      </c>
      <c r="F103" s="34"/>
    </row>
    <row r="104" spans="5:6" x14ac:dyDescent="0.2">
      <c r="E104" s="33" t="s">
        <v>887</v>
      </c>
      <c r="F104" s="34"/>
    </row>
    <row r="105" spans="5:6" x14ac:dyDescent="0.2">
      <c r="E105" s="33" t="s">
        <v>889</v>
      </c>
      <c r="F105" s="34"/>
    </row>
    <row r="106" spans="5:6" x14ac:dyDescent="0.2">
      <c r="E106" s="33" t="s">
        <v>893</v>
      </c>
      <c r="F106" s="34"/>
    </row>
    <row r="107" spans="5:6" x14ac:dyDescent="0.2">
      <c r="E107" s="33" t="s">
        <v>894</v>
      </c>
      <c r="F107" s="34"/>
    </row>
    <row r="108" spans="5:6" x14ac:dyDescent="0.2">
      <c r="E108" s="33" t="s">
        <v>897</v>
      </c>
      <c r="F108" s="34"/>
    </row>
    <row r="109" spans="5:6" x14ac:dyDescent="0.2">
      <c r="E109" s="33" t="s">
        <v>898</v>
      </c>
      <c r="F109" s="34"/>
    </row>
    <row r="110" spans="5:6" x14ac:dyDescent="0.2">
      <c r="E110" s="33" t="s">
        <v>921</v>
      </c>
      <c r="F110" s="34"/>
    </row>
    <row r="111" spans="5:6" x14ac:dyDescent="0.2">
      <c r="E111" s="33" t="s">
        <v>920</v>
      </c>
      <c r="F111" s="34"/>
    </row>
    <row r="112" spans="5:6" x14ac:dyDescent="0.2">
      <c r="E112" s="33" t="s">
        <v>934</v>
      </c>
      <c r="F112" s="34"/>
    </row>
    <row r="113" spans="2:6" x14ac:dyDescent="0.2">
      <c r="E113" s="33" t="s">
        <v>922</v>
      </c>
      <c r="F113" s="34"/>
    </row>
    <row r="114" spans="2:6" x14ac:dyDescent="0.2">
      <c r="E114" s="33" t="s">
        <v>939</v>
      </c>
      <c r="F114" s="34"/>
    </row>
    <row r="115" spans="2:6" x14ac:dyDescent="0.2">
      <c r="E115" s="33" t="s">
        <v>940</v>
      </c>
      <c r="F115" s="34"/>
    </row>
    <row r="116" spans="2:6" x14ac:dyDescent="0.2">
      <c r="E116" s="33" t="s">
        <v>914</v>
      </c>
      <c r="F116" s="34"/>
    </row>
    <row r="117" spans="2:6" x14ac:dyDescent="0.2">
      <c r="E117" s="33" t="s">
        <v>915</v>
      </c>
      <c r="F117" s="34"/>
    </row>
    <row r="118" spans="2:6" x14ac:dyDescent="0.2">
      <c r="E118" s="33" t="s">
        <v>909</v>
      </c>
      <c r="F118" s="34"/>
    </row>
    <row r="119" spans="2:6" x14ac:dyDescent="0.2">
      <c r="E119" s="33" t="s">
        <v>908</v>
      </c>
      <c r="F119" s="34"/>
    </row>
    <row r="120" spans="2:6" x14ac:dyDescent="0.2">
      <c r="E120" s="33" t="s">
        <v>905</v>
      </c>
      <c r="F120" s="34"/>
    </row>
    <row r="121" spans="2:6" x14ac:dyDescent="0.2">
      <c r="B121" s="74"/>
      <c r="C121" s="74"/>
      <c r="E121" s="33" t="s">
        <v>741</v>
      </c>
      <c r="F121" s="33"/>
    </row>
    <row r="122" spans="2:6" x14ac:dyDescent="0.2">
      <c r="B122" s="74"/>
      <c r="C122" s="74"/>
      <c r="E122" s="33" t="s">
        <v>1000</v>
      </c>
      <c r="F122" s="33"/>
    </row>
    <row r="123" spans="2:6" x14ac:dyDescent="0.2">
      <c r="B123" s="75"/>
      <c r="E123" s="21" t="s">
        <v>542</v>
      </c>
      <c r="F123" s="33"/>
    </row>
    <row r="124" spans="2:6" x14ac:dyDescent="0.2">
      <c r="B124" s="75"/>
      <c r="C124" s="75"/>
      <c r="E124" s="21" t="s">
        <v>529</v>
      </c>
    </row>
    <row r="125" spans="2:6" x14ac:dyDescent="0.2">
      <c r="B125" s="75"/>
      <c r="C125" s="75"/>
      <c r="E125" s="21" t="s">
        <v>503</v>
      </c>
    </row>
    <row r="126" spans="2:6" x14ac:dyDescent="0.2">
      <c r="B126" s="75"/>
      <c r="C126" s="75"/>
    </row>
    <row r="127" spans="2:6" x14ac:dyDescent="0.2">
      <c r="B127" s="75"/>
      <c r="C127" s="75"/>
    </row>
    <row r="128" spans="2:6" x14ac:dyDescent="0.2">
      <c r="B128" s="76"/>
      <c r="C128" s="75"/>
    </row>
    <row r="129" spans="2:3" x14ac:dyDescent="0.2">
      <c r="B129" s="76"/>
      <c r="C129" s="75"/>
    </row>
    <row r="130" spans="2:3" x14ac:dyDescent="0.2">
      <c r="B130" s="76"/>
      <c r="C130" s="75"/>
    </row>
    <row r="131" spans="2:3" x14ac:dyDescent="0.2">
      <c r="B131" s="75"/>
      <c r="C131" s="75"/>
    </row>
    <row r="132" spans="2:3" x14ac:dyDescent="0.2">
      <c r="B132" s="75"/>
      <c r="C132" s="75"/>
    </row>
    <row r="133" spans="2:3" x14ac:dyDescent="0.2">
      <c r="B133" s="76"/>
      <c r="C133" s="75"/>
    </row>
    <row r="134" spans="2:3" x14ac:dyDescent="0.2">
      <c r="B134" s="75"/>
    </row>
    <row r="135" spans="2:3" x14ac:dyDescent="0.2">
      <c r="B135" s="75"/>
    </row>
    <row r="137" spans="2:3" x14ac:dyDescent="0.2">
      <c r="B137" s="75"/>
    </row>
    <row r="138" spans="2:3" x14ac:dyDescent="0.2">
      <c r="C138" s="75"/>
    </row>
    <row r="140" spans="2:3" x14ac:dyDescent="0.2">
      <c r="B140" s="75"/>
    </row>
    <row r="142" spans="2:3" x14ac:dyDescent="0.2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  <hyperlink ref="B32" location="mazdutide!A1" display="mazdutide" xr:uid="{03BEA250-562C-4129-990A-C83E72EE4F29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tabSelected="1" zoomScale="175" zoomScaleNormal="175" workbookViewId="0">
      <pane xSplit="2" ySplit="2" topLeftCell="DM76" activePane="bottomRight" state="frozen"/>
      <selection pane="topRight" activeCell="C1" sqref="C1"/>
      <selection pane="bottomLeft" activeCell="A3" sqref="A3"/>
      <selection pane="bottomRight" activeCell="DS87" sqref="DS87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1" width="7.85546875" style="47" customWidth="1"/>
    <col min="122" max="126" width="8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8" width="7.7109375" customWidth="1"/>
    <col min="181" max="181" width="9.42578125" bestFit="1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7248.9</v>
      </c>
      <c r="DT3" s="52">
        <f t="shared" si="4"/>
        <v>7948.9</v>
      </c>
      <c r="DU3" s="52">
        <f t="shared" si="4"/>
        <v>8648.9</v>
      </c>
      <c r="DV3" s="52">
        <f t="shared" si="4"/>
        <v>9348.9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33195.599999999999</v>
      </c>
      <c r="FM3" s="56">
        <f t="shared" ref="FM3:FV3" si="6">SUM(FM5:FM9)</f>
        <v>44705.36</v>
      </c>
      <c r="FN3" s="56">
        <f t="shared" si="6"/>
        <v>62072.719999999987</v>
      </c>
      <c r="FO3" s="56">
        <f t="shared" si="6"/>
        <v>78619.379199999996</v>
      </c>
      <c r="FP3" s="56">
        <f t="shared" si="6"/>
        <v>90150.58623999999</v>
      </c>
      <c r="FQ3" s="56">
        <f t="shared" si="6"/>
        <v>101951.06015999999</v>
      </c>
      <c r="FR3" s="56">
        <f t="shared" si="6"/>
        <v>104120.182048</v>
      </c>
      <c r="FS3" s="56">
        <f t="shared" si="6"/>
        <v>107175.98131392</v>
      </c>
      <c r="FT3" s="56">
        <f t="shared" si="6"/>
        <v>111087.71582137601</v>
      </c>
      <c r="FU3" s="56">
        <f t="shared" si="6"/>
        <v>115834.99687881602</v>
      </c>
      <c r="FV3" s="56">
        <f t="shared" si="6"/>
        <v>114607.18448394563</v>
      </c>
    </row>
    <row r="4" spans="1:178" s="102" customFormat="1" ht="6" customHeigh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v>1095.2</v>
      </c>
      <c r="DT5" s="52">
        <f>+DS5-100</f>
        <v>995.2</v>
      </c>
      <c r="DU5" s="52">
        <f>+DT5-100</f>
        <v>895.2</v>
      </c>
      <c r="DV5" s="52">
        <f>+DU5-100</f>
        <v>795.2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3780.8</v>
      </c>
      <c r="FM5" s="49">
        <f>+FL5*0.8</f>
        <v>3024.6400000000003</v>
      </c>
      <c r="FN5" s="49">
        <f t="shared" ref="FN5:FQ5" si="7">+FM5*0.8</f>
        <v>2419.7120000000004</v>
      </c>
      <c r="FO5" s="49">
        <f t="shared" si="7"/>
        <v>1935.7696000000005</v>
      </c>
      <c r="FP5" s="49">
        <f t="shared" si="7"/>
        <v>1548.6156800000006</v>
      </c>
      <c r="FQ5" s="49">
        <f t="shared" si="7"/>
        <v>1238.8925440000005</v>
      </c>
      <c r="FR5" s="49">
        <f t="shared" ref="FR5:FV5" si="8">+FQ5*0.8</f>
        <v>991.11403520000044</v>
      </c>
      <c r="FS5" s="49">
        <f t="shared" si="8"/>
        <v>792.89122816000042</v>
      </c>
      <c r="FT5" s="49">
        <f t="shared" si="8"/>
        <v>634.31298252800036</v>
      </c>
      <c r="FU5" s="49">
        <f t="shared" si="8"/>
        <v>507.45038602240032</v>
      </c>
      <c r="FV5" s="49">
        <f t="shared" si="8"/>
        <v>405.96030881792029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v>3841.8</v>
      </c>
      <c r="DT6" s="52">
        <f>+DS6+500</f>
        <v>4341.8</v>
      </c>
      <c r="DU6" s="52">
        <f>+DT6+500</f>
        <v>4841.8</v>
      </c>
      <c r="DV6" s="52">
        <f>+DU6+500</f>
        <v>5341.8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18367.2</v>
      </c>
      <c r="FM6" s="49">
        <f t="shared" ref="FM6:FN7" si="11">FL6*1.4</f>
        <v>25714.079999999998</v>
      </c>
      <c r="FN6" s="49">
        <f t="shared" si="11"/>
        <v>35999.711999999992</v>
      </c>
      <c r="FO6" s="49">
        <f>FN6*1.2</f>
        <v>43199.654399999992</v>
      </c>
      <c r="FP6" s="49">
        <f t="shared" ref="FP6:FP7" si="12">FO6*1.1</f>
        <v>47519.619839999992</v>
      </c>
      <c r="FQ6" s="49">
        <f>+FP6*1.1</f>
        <v>52271.581823999994</v>
      </c>
      <c r="FR6" s="49">
        <f>+FQ6*0.9</f>
        <v>47044.423641599999</v>
      </c>
      <c r="FS6" s="49">
        <f>+FR6*0.9</f>
        <v>42339.981277439998</v>
      </c>
      <c r="FT6" s="49">
        <f>+FS6*0.9</f>
        <v>38105.983149695996</v>
      </c>
      <c r="FU6" s="49">
        <f>+FT6*0.9</f>
        <v>34295.384834726399</v>
      </c>
      <c r="FV6" s="49">
        <f>+FU6*0.9</f>
        <v>30865.84635125376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v>2311.9</v>
      </c>
      <c r="DT7" s="52">
        <f>DS7+300</f>
        <v>2611.9</v>
      </c>
      <c r="DU7" s="52">
        <f>DT7+300</f>
        <v>2911.9</v>
      </c>
      <c r="DV7" s="52">
        <f>DU7+300</f>
        <v>3211.9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11047.6</v>
      </c>
      <c r="FM7" s="49">
        <f t="shared" si="11"/>
        <v>15466.64</v>
      </c>
      <c r="FN7" s="49">
        <f t="shared" si="11"/>
        <v>21653.295999999998</v>
      </c>
      <c r="FO7" s="49">
        <f>FN7*1.2</f>
        <v>25983.955199999997</v>
      </c>
      <c r="FP7" s="49">
        <f t="shared" si="12"/>
        <v>28582.350719999999</v>
      </c>
      <c r="FQ7" s="49">
        <f>+FP7*1.1</f>
        <v>31440.585792000002</v>
      </c>
      <c r="FR7" s="49">
        <f t="shared" ref="FR7:FV7" si="13">+FQ7*1.1</f>
        <v>34584.644371200004</v>
      </c>
      <c r="FS7" s="49">
        <f t="shared" si="13"/>
        <v>38043.108808320008</v>
      </c>
      <c r="FT7" s="49">
        <f t="shared" si="13"/>
        <v>41847.419689152011</v>
      </c>
      <c r="FU7" s="49">
        <f t="shared" si="13"/>
        <v>46032.16165806722</v>
      </c>
      <c r="FV7" s="49">
        <f t="shared" si="13"/>
        <v>50635.377823873947</v>
      </c>
    </row>
    <row r="8" spans="1:178" s="49" customFormat="1" x14ac:dyDescent="0.2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v>761.9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3949.46</v>
      </c>
      <c r="FM11" s="49">
        <f>+FL11*1.2</f>
        <v>4739.3519999999999</v>
      </c>
      <c r="FN11" s="49">
        <f>+FM11*1.1</f>
        <v>5213.2872000000007</v>
      </c>
      <c r="FO11" s="49">
        <f>+FN11*1.1</f>
        <v>5734.6159200000011</v>
      </c>
      <c r="FP11" s="49">
        <f>+FO11*1.1</f>
        <v>6308.0775120000017</v>
      </c>
      <c r="FQ11" s="49">
        <f>+FP11*1.05</f>
        <v>6623.4813876000017</v>
      </c>
      <c r="FR11" s="49">
        <f t="shared" ref="FR11:FV11" si="21">+FQ11*1.05</f>
        <v>6954.6554569800019</v>
      </c>
      <c r="FS11" s="49">
        <f t="shared" si="21"/>
        <v>7302.3882298290018</v>
      </c>
      <c r="FT11" s="49">
        <f t="shared" si="21"/>
        <v>7667.5076413204524</v>
      </c>
      <c r="FU11" s="49">
        <f t="shared" si="21"/>
        <v>8050.8830233864755</v>
      </c>
      <c r="FV11" s="49">
        <f t="shared" si="21"/>
        <v>8453.4271745557999</v>
      </c>
    </row>
    <row r="12" spans="1:178" x14ac:dyDescent="0.2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v>1158.9000000000001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5840.9400000000005</v>
      </c>
      <c r="FM12" s="49">
        <f>+FL12*1.01</f>
        <v>5899.349400000001</v>
      </c>
      <c r="FN12" s="49">
        <f>+FM12*1.01</f>
        <v>5958.3428940000013</v>
      </c>
      <c r="FO12" s="49">
        <f>+FN12*1.01</f>
        <v>6017.9263229400012</v>
      </c>
      <c r="FP12" s="49">
        <f>+FO12*1.01</f>
        <v>6078.1055861694012</v>
      </c>
      <c r="FQ12" s="49">
        <f>+FP12*0.1</f>
        <v>607.81055861694017</v>
      </c>
      <c r="FR12" s="49">
        <f t="shared" ref="FR12:FV12" si="22">+FQ12*0.1</f>
        <v>60.781055861694021</v>
      </c>
      <c r="FS12" s="49">
        <f t="shared" si="22"/>
        <v>6.0781055861694027</v>
      </c>
      <c r="FT12" s="49">
        <f t="shared" si="22"/>
        <v>0.60781055861694033</v>
      </c>
      <c r="FU12" s="49">
        <f t="shared" si="22"/>
        <v>6.0781055861694036E-2</v>
      </c>
      <c r="FV12" s="49">
        <f t="shared" si="22"/>
        <v>6.0781055861694041E-3</v>
      </c>
    </row>
    <row r="13" spans="1:178" x14ac:dyDescent="0.2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v>1198.4000000000001</v>
      </c>
      <c r="DS14" s="51">
        <v>1014.4</v>
      </c>
      <c r="DT14" s="51">
        <f t="shared" ref="DT14:DV14" si="24">+DS14+20</f>
        <v>1034.4000000000001</v>
      </c>
      <c r="DU14" s="51">
        <f t="shared" si="24"/>
        <v>1054.4000000000001</v>
      </c>
      <c r="DV14" s="51">
        <f t="shared" si="24"/>
        <v>1074.4000000000001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3340.9</v>
      </c>
      <c r="FL14" s="49">
        <f t="shared" si="20"/>
        <v>4177.6000000000004</v>
      </c>
      <c r="FM14" s="49">
        <f>+FL14*1.2</f>
        <v>5013.12</v>
      </c>
      <c r="FN14" s="49">
        <f>+FM14*1.1</f>
        <v>5514.4320000000007</v>
      </c>
      <c r="FO14" s="49">
        <f>+FN14*1.1</f>
        <v>6065.8752000000013</v>
      </c>
      <c r="FP14" s="49">
        <f>+FO14*1.1</f>
        <v>6672.4627200000023</v>
      </c>
      <c r="FQ14" s="49">
        <f>+FP14*0.1</f>
        <v>667.24627200000032</v>
      </c>
      <c r="FR14" s="49">
        <f t="shared" ref="FR14:FV14" si="25">+FQ14*0.1</f>
        <v>66.724627200000029</v>
      </c>
      <c r="FS14" s="49">
        <f t="shared" si="25"/>
        <v>6.6724627200000031</v>
      </c>
      <c r="FT14" s="49">
        <f t="shared" si="25"/>
        <v>0.66724627200000031</v>
      </c>
      <c r="FU14" s="49">
        <f t="shared" si="25"/>
        <v>6.6724627200000039E-2</v>
      </c>
      <c r="FV14" s="49">
        <f t="shared" si="25"/>
        <v>6.6724627200000046E-3</v>
      </c>
    </row>
    <row r="15" spans="1:178" x14ac:dyDescent="0.2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v>537.20000000000005</v>
      </c>
      <c r="DT15" s="51">
        <f>+DS15-5</f>
        <v>532.20000000000005</v>
      </c>
      <c r="DU15" s="51">
        <f>+DT15-5</f>
        <v>527.20000000000005</v>
      </c>
      <c r="DV15" s="51">
        <f>+DU15-5</f>
        <v>522.20000000000005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2118.8000000000002</v>
      </c>
      <c r="FM15" s="49">
        <f t="shared" ref="FM15:FQ15" si="26">+FL15*0.95</f>
        <v>2012.8600000000001</v>
      </c>
      <c r="FN15" s="49">
        <f t="shared" si="26"/>
        <v>1912.2170000000001</v>
      </c>
      <c r="FO15" s="49">
        <f t="shared" si="26"/>
        <v>1816.6061500000001</v>
      </c>
      <c r="FP15" s="49">
        <f t="shared" si="26"/>
        <v>1725.7758425</v>
      </c>
      <c r="FQ15" s="49">
        <f t="shared" si="26"/>
        <v>1639.4870503749999</v>
      </c>
      <c r="FR15" s="49">
        <f t="shared" ref="FR15" si="27">+FQ15*0.95</f>
        <v>1557.5126978562498</v>
      </c>
      <c r="FS15" s="49">
        <f t="shared" ref="FS15" si="28">+FR15*0.95</f>
        <v>1479.6370629634373</v>
      </c>
      <c r="FT15" s="49">
        <f t="shared" ref="FT15" si="29">+FS15*0.95</f>
        <v>1405.6552098152654</v>
      </c>
      <c r="FU15" s="49">
        <f t="shared" ref="FU15" si="30">+FT15*0.95</f>
        <v>1335.372449324502</v>
      </c>
      <c r="FV15" s="49">
        <f t="shared" ref="FV15" si="31">+FU15*0.95</f>
        <v>1268.6038268582768</v>
      </c>
    </row>
    <row r="16" spans="1:178" x14ac:dyDescent="0.2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v>28.2</v>
      </c>
      <c r="DT16" s="51">
        <f>+DS16-1</f>
        <v>27.2</v>
      </c>
      <c r="DU16" s="51">
        <f>+DT16-1</f>
        <v>26.2</v>
      </c>
      <c r="DV16" s="51">
        <f>+DU16-1</f>
        <v>25.2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106.8</v>
      </c>
      <c r="FM16" s="49">
        <f t="shared" ref="FM16:FQ16" si="32">+FL16*0.5</f>
        <v>53.4</v>
      </c>
      <c r="FN16" s="49">
        <f t="shared" si="32"/>
        <v>26.7</v>
      </c>
      <c r="FO16" s="49">
        <f t="shared" si="32"/>
        <v>13.35</v>
      </c>
      <c r="FP16" s="49">
        <f t="shared" si="32"/>
        <v>6.6749999999999998</v>
      </c>
      <c r="FQ16" s="49">
        <f t="shared" si="32"/>
        <v>3.3374999999999999</v>
      </c>
      <c r="FR16" s="49">
        <f t="shared" ref="FR16" si="33">+FQ16*0.5</f>
        <v>1.66875</v>
      </c>
      <c r="FS16" s="49">
        <f t="shared" ref="FS16" si="34">+FR16*0.5</f>
        <v>0.83437499999999998</v>
      </c>
      <c r="FT16" s="49">
        <f t="shared" ref="FT16" si="35">+FS16*0.5</f>
        <v>0.41718749999999999</v>
      </c>
      <c r="FU16" s="49">
        <f t="shared" ref="FU16" si="36">+FT16*0.5</f>
        <v>0.20859374999999999</v>
      </c>
      <c r="FV16" s="49">
        <f t="shared" ref="FV16" si="37">+FU16*0.5</f>
        <v>0.104296875</v>
      </c>
    </row>
    <row r="17" spans="1:178" x14ac:dyDescent="0.2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v>173.2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792</v>
      </c>
      <c r="FM17" s="49">
        <f t="shared" ref="FM17:FQ17" si="43">+FL17*0.95</f>
        <v>752.4</v>
      </c>
      <c r="FN17" s="49">
        <f t="shared" si="43"/>
        <v>714.78</v>
      </c>
      <c r="FO17" s="49">
        <f t="shared" si="43"/>
        <v>679.04099999999994</v>
      </c>
      <c r="FP17" s="49">
        <f t="shared" si="43"/>
        <v>645.08894999999995</v>
      </c>
      <c r="FQ17" s="49">
        <f t="shared" si="43"/>
        <v>612.83450249999987</v>
      </c>
      <c r="FR17" s="49">
        <f t="shared" ref="FR17" si="44">+FQ17*0.95</f>
        <v>582.19277737499988</v>
      </c>
      <c r="FS17" s="49">
        <f t="shared" ref="FS17" si="45">+FR17*0.95</f>
        <v>553.08313850624984</v>
      </c>
      <c r="FT17" s="49">
        <f t="shared" ref="FT17" si="46">+FS17*0.95</f>
        <v>525.42898158093737</v>
      </c>
      <c r="FU17" s="49">
        <f t="shared" ref="FU17" si="47">+FT17*0.95</f>
        <v>499.1575325018905</v>
      </c>
      <c r="FV17" s="49">
        <f t="shared" ref="FV17" si="48">+FU17*0.95</f>
        <v>474.19965587679593</v>
      </c>
    </row>
    <row r="18" spans="1:178" x14ac:dyDescent="0.2">
      <c r="A18" s="102"/>
      <c r="B18" s="38" t="s">
        <v>565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49"/>
      <c r="FM18" s="49">
        <f>+FM17*0.5</f>
        <v>376.2</v>
      </c>
      <c r="FN18" s="49">
        <f t="shared" ref="FN18:FV18" si="49">+FN17*0.5</f>
        <v>357.39</v>
      </c>
      <c r="FO18" s="49">
        <f t="shared" si="49"/>
        <v>339.52049999999997</v>
      </c>
      <c r="FP18" s="49">
        <f t="shared" si="49"/>
        <v>322.54447499999998</v>
      </c>
      <c r="FQ18" s="49">
        <f t="shared" si="49"/>
        <v>306.41725124999994</v>
      </c>
      <c r="FR18" s="49">
        <f t="shared" si="49"/>
        <v>291.09638868749994</v>
      </c>
      <c r="FS18" s="49">
        <f t="shared" si="49"/>
        <v>276.54156925312492</v>
      </c>
      <c r="FT18" s="49">
        <f t="shared" si="49"/>
        <v>262.71449079046869</v>
      </c>
      <c r="FU18" s="49">
        <f t="shared" si="49"/>
        <v>249.57876625094525</v>
      </c>
      <c r="FV18" s="49">
        <f t="shared" si="49"/>
        <v>237.09982793839796</v>
      </c>
    </row>
    <row r="19" spans="1:178" x14ac:dyDescent="0.2">
      <c r="A19" s="102"/>
      <c r="B19" s="38" t="s">
        <v>373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v>228.7</v>
      </c>
      <c r="DT19" s="51">
        <f t="shared" ref="DR19:DV33" si="50">+DP19</f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950.7</v>
      </c>
      <c r="FM19" s="49">
        <f t="shared" ref="FM19:FP19" si="51">+FL19*1.01</f>
        <v>960.20700000000011</v>
      </c>
      <c r="FN19" s="49">
        <f t="shared" si="51"/>
        <v>969.80907000000013</v>
      </c>
      <c r="FO19" s="49">
        <f t="shared" si="51"/>
        <v>979.5071607000001</v>
      </c>
      <c r="FP19" s="49">
        <f t="shared" si="51"/>
        <v>989.30223230700005</v>
      </c>
      <c r="FQ19" s="49">
        <f>+FP19*0.1</f>
        <v>98.930223230700008</v>
      </c>
      <c r="FR19" s="49">
        <f t="shared" ref="FR19:FV19" si="52">+FQ19*0.1</f>
        <v>9.8930223230700012</v>
      </c>
      <c r="FS19" s="49">
        <f t="shared" si="52"/>
        <v>0.98930223230700021</v>
      </c>
      <c r="FT19" s="49">
        <f t="shared" si="52"/>
        <v>9.8930223230700026E-2</v>
      </c>
      <c r="FU19" s="49">
        <f t="shared" si="52"/>
        <v>9.8930223230700026E-3</v>
      </c>
      <c r="FV19" s="49">
        <f t="shared" si="52"/>
        <v>9.8930223230700031E-4</v>
      </c>
    </row>
    <row r="20" spans="1:178" x14ac:dyDescent="0.2">
      <c r="A20" s="102"/>
      <c r="B20" s="38" t="s">
        <v>370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v>224.9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963.4</v>
      </c>
      <c r="FM20" s="49">
        <f t="shared" ref="FM20:FQ20" si="53">+FL20*0.95</f>
        <v>915.2299999999999</v>
      </c>
      <c r="FN20" s="49">
        <f t="shared" si="53"/>
        <v>869.46849999999984</v>
      </c>
      <c r="FO20" s="49">
        <f t="shared" si="53"/>
        <v>825.99507499999982</v>
      </c>
      <c r="FP20" s="49">
        <f t="shared" si="53"/>
        <v>784.69532124999978</v>
      </c>
      <c r="FQ20" s="49">
        <f t="shared" si="53"/>
        <v>745.46055518749972</v>
      </c>
      <c r="FR20" s="49">
        <f t="shared" ref="FR20" si="54">+FQ20*0.95</f>
        <v>708.18752742812467</v>
      </c>
      <c r="FS20" s="49">
        <f t="shared" ref="FS20" si="55">+FR20*0.95</f>
        <v>672.77815105671846</v>
      </c>
      <c r="FT20" s="49">
        <f t="shared" ref="FT20" si="56">+FS20*0.95</f>
        <v>639.13924350388254</v>
      </c>
      <c r="FU20" s="49">
        <f t="shared" ref="FU20" si="57">+FT20*0.95</f>
        <v>607.18228132868842</v>
      </c>
      <c r="FV20" s="49">
        <f t="shared" ref="FV20" si="58">+FU20*0.95</f>
        <v>576.82316726225395</v>
      </c>
    </row>
    <row r="21" spans="1:178" x14ac:dyDescent="0.2">
      <c r="A21" s="102"/>
      <c r="B21" t="s">
        <v>18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v>69.900000000000006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327.90000000000003</v>
      </c>
      <c r="FM21" s="49">
        <f t="shared" ref="FM21:FQ22" si="60">+FL21*0.9</f>
        <v>295.11</v>
      </c>
      <c r="FN21" s="49">
        <f t="shared" si="60"/>
        <v>265.59900000000005</v>
      </c>
      <c r="FO21" s="49">
        <f t="shared" si="60"/>
        <v>239.03910000000005</v>
      </c>
      <c r="FP21" s="49">
        <f t="shared" si="60"/>
        <v>215.13519000000005</v>
      </c>
      <c r="FQ21" s="49">
        <f t="shared" si="60"/>
        <v>193.62167100000005</v>
      </c>
      <c r="FR21" s="49">
        <f t="shared" ref="FR21:FR22" si="61">+FQ21*0.9</f>
        <v>174.25950390000006</v>
      </c>
      <c r="FS21" s="49">
        <f t="shared" ref="FS21:FS22" si="62">+FR21*0.9</f>
        <v>156.83355351000006</v>
      </c>
      <c r="FT21" s="49">
        <f t="shared" ref="FT21:FT22" si="63">+FS21*0.9</f>
        <v>141.15019815900007</v>
      </c>
      <c r="FU21" s="49">
        <f t="shared" ref="FU21:FU22" si="64">+FT21*0.9</f>
        <v>127.03517834310007</v>
      </c>
      <c r="FV21" s="49">
        <f t="shared" ref="FV21:FV22" si="65">+FU21*0.9</f>
        <v>114.33166050879007</v>
      </c>
    </row>
    <row r="22" spans="1:178" x14ac:dyDescent="0.2">
      <c r="A22" s="102"/>
      <c r="B22" s="38" t="s">
        <v>366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v>173.6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701.19999999999993</v>
      </c>
      <c r="FM22" s="49">
        <f t="shared" si="60"/>
        <v>631.07999999999993</v>
      </c>
      <c r="FN22" s="49">
        <f t="shared" si="60"/>
        <v>567.97199999999998</v>
      </c>
      <c r="FO22" s="49">
        <f t="shared" si="60"/>
        <v>511.1748</v>
      </c>
      <c r="FP22" s="49">
        <f t="shared" si="60"/>
        <v>460.05732</v>
      </c>
      <c r="FQ22" s="49">
        <f t="shared" si="60"/>
        <v>414.05158800000004</v>
      </c>
      <c r="FR22" s="49">
        <f t="shared" si="61"/>
        <v>372.64642920000006</v>
      </c>
      <c r="FS22" s="49">
        <f t="shared" si="62"/>
        <v>335.38178628000009</v>
      </c>
      <c r="FT22" s="49">
        <f t="shared" si="63"/>
        <v>301.84360765200006</v>
      </c>
      <c r="FU22" s="49">
        <f t="shared" si="64"/>
        <v>271.65924688680008</v>
      </c>
      <c r="FV22" s="49">
        <f t="shared" si="65"/>
        <v>244.49332219812007</v>
      </c>
    </row>
    <row r="23" spans="1:178" x14ac:dyDescent="0.2">
      <c r="A23" s="102"/>
      <c r="B23" s="38" t="s">
        <v>375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v>124.6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784.17100000000005</v>
      </c>
      <c r="FM23" s="49">
        <f t="shared" ref="FM23:FQ23" si="70">+FL23*1.01</f>
        <v>792.01271000000008</v>
      </c>
      <c r="FN23" s="49">
        <f t="shared" si="70"/>
        <v>799.93283710000014</v>
      </c>
      <c r="FO23" s="49">
        <f t="shared" si="70"/>
        <v>807.93216547100019</v>
      </c>
      <c r="FP23" s="49">
        <f t="shared" si="70"/>
        <v>816.01148712571023</v>
      </c>
      <c r="FQ23" s="49">
        <f t="shared" si="70"/>
        <v>824.1716019969673</v>
      </c>
      <c r="FR23" s="49">
        <f t="shared" ref="FR23" si="71">+FQ23*1.01</f>
        <v>832.41331801693696</v>
      </c>
      <c r="FS23" s="49">
        <f t="shared" ref="FS23" si="72">+FR23*1.01</f>
        <v>840.73745119710634</v>
      </c>
      <c r="FT23" s="49">
        <f t="shared" ref="FT23" si="73">+FS23*1.01</f>
        <v>849.1448257090774</v>
      </c>
      <c r="FU23" s="49">
        <f t="shared" ref="FU23" si="74">+FT23*1.01</f>
        <v>857.63627396616823</v>
      </c>
      <c r="FV23" s="49">
        <f t="shared" ref="FV23" si="75">+FU23*1.01</f>
        <v>866.21263670582994</v>
      </c>
    </row>
    <row r="24" spans="1:178" x14ac:dyDescent="0.2">
      <c r="A24" s="102"/>
      <c r="B24" s="38" t="s">
        <v>367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v>-15.7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301.40000000000009</v>
      </c>
      <c r="FM24" s="49">
        <f t="shared" ref="FM24:FQ24" si="79">+FL24*0.9</f>
        <v>271.2600000000001</v>
      </c>
      <c r="FN24" s="49">
        <f t="shared" si="79"/>
        <v>244.1340000000001</v>
      </c>
      <c r="FO24" s="49">
        <f t="shared" si="79"/>
        <v>219.7206000000001</v>
      </c>
      <c r="FP24" s="49">
        <f t="shared" si="79"/>
        <v>197.74854000000011</v>
      </c>
      <c r="FQ24" s="49">
        <f t="shared" si="79"/>
        <v>177.9736860000001</v>
      </c>
      <c r="FR24" s="49">
        <f t="shared" ref="FR24:FR33" si="80">+FQ24*0.9</f>
        <v>160.1763174000001</v>
      </c>
      <c r="FS24" s="49">
        <f t="shared" ref="FS24:FS33" si="81">+FR24*0.9</f>
        <v>144.15868566000009</v>
      </c>
      <c r="FT24" s="49">
        <f t="shared" ref="FT24:FT33" si="82">+FS24*0.9</f>
        <v>129.74281709400009</v>
      </c>
      <c r="FU24" s="49">
        <f t="shared" ref="FU24:FU33" si="83">+FT24*0.9</f>
        <v>116.76853538460009</v>
      </c>
      <c r="FV24" s="49">
        <f t="shared" ref="FV24:FV33" si="84">+FU24*0.9</f>
        <v>105.09168184614008</v>
      </c>
    </row>
    <row r="25" spans="1:178" x14ac:dyDescent="0.2">
      <c r="A25" s="102"/>
      <c r="B25" s="38" t="s">
        <v>256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v>149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607</v>
      </c>
      <c r="FM25" s="49">
        <f t="shared" ref="FM25:FQ25" si="85">+FL25*0.9</f>
        <v>546.30000000000007</v>
      </c>
      <c r="FN25" s="49">
        <f t="shared" si="85"/>
        <v>491.67000000000007</v>
      </c>
      <c r="FO25" s="49">
        <f t="shared" si="85"/>
        <v>442.5030000000001</v>
      </c>
      <c r="FP25" s="49">
        <f t="shared" si="85"/>
        <v>398.25270000000012</v>
      </c>
      <c r="FQ25" s="49">
        <f t="shared" si="85"/>
        <v>358.42743000000013</v>
      </c>
      <c r="FR25" s="49">
        <f t="shared" si="80"/>
        <v>322.58468700000014</v>
      </c>
      <c r="FS25" s="49">
        <f t="shared" si="81"/>
        <v>290.32621830000016</v>
      </c>
      <c r="FT25" s="49">
        <f t="shared" si="82"/>
        <v>261.29359647000018</v>
      </c>
      <c r="FU25" s="49">
        <f t="shared" si="83"/>
        <v>235.16423682300018</v>
      </c>
      <c r="FV25" s="49">
        <f t="shared" si="84"/>
        <v>211.64781314070018</v>
      </c>
    </row>
    <row r="26" spans="1:178" x14ac:dyDescent="0.2">
      <c r="A26" s="102"/>
      <c r="B26" t="s">
        <v>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v>46.9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255</v>
      </c>
      <c r="FM26" s="49">
        <f t="shared" ref="FM26:FQ26" si="86">+FL26*0.9</f>
        <v>229.5</v>
      </c>
      <c r="FN26" s="49">
        <f t="shared" si="86"/>
        <v>206.55</v>
      </c>
      <c r="FO26" s="49">
        <f t="shared" si="86"/>
        <v>185.89500000000001</v>
      </c>
      <c r="FP26" s="49">
        <f t="shared" si="86"/>
        <v>167.30550000000002</v>
      </c>
      <c r="FQ26" s="49">
        <f t="shared" si="86"/>
        <v>150.57495000000003</v>
      </c>
      <c r="FR26" s="49">
        <f t="shared" si="80"/>
        <v>135.51745500000004</v>
      </c>
      <c r="FS26" s="49">
        <f t="shared" si="81"/>
        <v>121.96570950000005</v>
      </c>
      <c r="FT26" s="49">
        <f t="shared" si="82"/>
        <v>109.76913855000004</v>
      </c>
      <c r="FU26" s="49">
        <f t="shared" si="83"/>
        <v>98.79222469500003</v>
      </c>
      <c r="FV26" s="49">
        <f t="shared" si="84"/>
        <v>88.913002225500023</v>
      </c>
    </row>
    <row r="27" spans="1:178" x14ac:dyDescent="0.2">
      <c r="A27" s="102"/>
      <c r="B27" t="s">
        <v>16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v>66.599999999999994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371.10000000000008</v>
      </c>
      <c r="FM27" s="49">
        <f t="shared" ref="FM27:FQ27" si="87">+FL27*0.9</f>
        <v>333.99000000000007</v>
      </c>
      <c r="FN27" s="49">
        <f t="shared" si="87"/>
        <v>300.59100000000007</v>
      </c>
      <c r="FO27" s="49">
        <f t="shared" si="87"/>
        <v>270.53190000000006</v>
      </c>
      <c r="FP27" s="49">
        <f t="shared" si="87"/>
        <v>243.47871000000006</v>
      </c>
      <c r="FQ27" s="49">
        <f t="shared" si="87"/>
        <v>219.13083900000007</v>
      </c>
      <c r="FR27" s="49">
        <f t="shared" si="80"/>
        <v>197.21775510000006</v>
      </c>
      <c r="FS27" s="49">
        <f t="shared" si="81"/>
        <v>177.49597959000005</v>
      </c>
      <c r="FT27" s="49">
        <f t="shared" si="82"/>
        <v>159.74638163100005</v>
      </c>
      <c r="FU27" s="49">
        <f t="shared" si="83"/>
        <v>143.77174346790005</v>
      </c>
      <c r="FV27" s="49">
        <f t="shared" si="84"/>
        <v>129.39456912111004</v>
      </c>
    </row>
    <row r="28" spans="1:178" x14ac:dyDescent="0.2">
      <c r="A28" s="102"/>
      <c r="B28" t="s">
        <v>78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v>11.8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187.10000000000002</v>
      </c>
      <c r="FM28" s="49">
        <f t="shared" ref="FM28:FQ28" si="88">+FL28*0.9</f>
        <v>168.39000000000001</v>
      </c>
      <c r="FN28" s="49">
        <f t="shared" si="88"/>
        <v>151.55100000000002</v>
      </c>
      <c r="FO28" s="49">
        <f t="shared" si="88"/>
        <v>136.39590000000001</v>
      </c>
      <c r="FP28" s="49">
        <f t="shared" si="88"/>
        <v>122.75631000000001</v>
      </c>
      <c r="FQ28" s="49">
        <f t="shared" si="88"/>
        <v>110.48067900000001</v>
      </c>
      <c r="FR28" s="49">
        <f t="shared" si="80"/>
        <v>99.432611100000017</v>
      </c>
      <c r="FS28" s="49">
        <f t="shared" si="81"/>
        <v>89.489349990000022</v>
      </c>
      <c r="FT28" s="49">
        <f t="shared" si="82"/>
        <v>80.54041499100002</v>
      </c>
      <c r="FU28" s="49">
        <f t="shared" si="83"/>
        <v>72.486373491900025</v>
      </c>
      <c r="FV28" s="49">
        <f t="shared" si="84"/>
        <v>65.23773614271002</v>
      </c>
    </row>
    <row r="29" spans="1:178" x14ac:dyDescent="0.2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/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0</v>
      </c>
      <c r="FM29" s="49">
        <f t="shared" ref="FM29:FQ29" si="89">+FL29*0.9</f>
        <v>0</v>
      </c>
      <c r="FN29" s="49">
        <f t="shared" si="89"/>
        <v>0</v>
      </c>
      <c r="FO29" s="49">
        <f t="shared" si="89"/>
        <v>0</v>
      </c>
      <c r="FP29" s="49">
        <f t="shared" si="89"/>
        <v>0</v>
      </c>
      <c r="FQ29" s="49">
        <f t="shared" si="89"/>
        <v>0</v>
      </c>
      <c r="FR29" s="49">
        <f t="shared" si="80"/>
        <v>0</v>
      </c>
      <c r="FS29" s="49">
        <f t="shared" si="81"/>
        <v>0</v>
      </c>
      <c r="FT29" s="49">
        <f t="shared" si="82"/>
        <v>0</v>
      </c>
      <c r="FU29" s="49">
        <f t="shared" si="83"/>
        <v>0</v>
      </c>
      <c r="FV29" s="49">
        <f t="shared" si="84"/>
        <v>0</v>
      </c>
    </row>
    <row r="30" spans="1:178" x14ac:dyDescent="0.2">
      <c r="A30" s="102"/>
      <c r="B30" s="38" t="s">
        <v>371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v>137.5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524.29999999999995</v>
      </c>
      <c r="FM30" s="49">
        <f t="shared" ref="FM30:FQ30" si="90">+FL30*0.9</f>
        <v>471.86999999999995</v>
      </c>
      <c r="FN30" s="49">
        <f t="shared" si="90"/>
        <v>424.68299999999994</v>
      </c>
      <c r="FO30" s="49">
        <f t="shared" si="90"/>
        <v>382.21469999999994</v>
      </c>
      <c r="FP30" s="49">
        <f t="shared" si="90"/>
        <v>343.99322999999993</v>
      </c>
      <c r="FQ30" s="49">
        <f t="shared" si="90"/>
        <v>309.59390699999994</v>
      </c>
      <c r="FR30" s="49">
        <f t="shared" si="80"/>
        <v>278.63451629999997</v>
      </c>
      <c r="FS30" s="49">
        <f t="shared" si="81"/>
        <v>250.77106466999999</v>
      </c>
      <c r="FT30" s="49">
        <f t="shared" si="82"/>
        <v>225.69395820299999</v>
      </c>
      <c r="FU30" s="49">
        <f t="shared" si="83"/>
        <v>203.12456238269999</v>
      </c>
      <c r="FV30" s="49">
        <f t="shared" si="84"/>
        <v>182.81210614443</v>
      </c>
    </row>
    <row r="31" spans="1:178" x14ac:dyDescent="0.2">
      <c r="A31" s="102"/>
      <c r="B31" t="s">
        <v>14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31.2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165.3</v>
      </c>
      <c r="FM31" s="49">
        <f t="shared" ref="FM31:FQ31" si="91">+FL31*0.9</f>
        <v>148.77000000000001</v>
      </c>
      <c r="FN31" s="49">
        <f t="shared" si="91"/>
        <v>133.893</v>
      </c>
      <c r="FO31" s="49">
        <f t="shared" si="91"/>
        <v>120.50370000000001</v>
      </c>
      <c r="FP31" s="49">
        <f t="shared" si="91"/>
        <v>108.45333000000001</v>
      </c>
      <c r="FQ31" s="49">
        <f t="shared" si="91"/>
        <v>97.607997000000012</v>
      </c>
      <c r="FR31" s="49">
        <f t="shared" si="80"/>
        <v>87.847197300000019</v>
      </c>
      <c r="FS31" s="49">
        <f t="shared" si="81"/>
        <v>79.062477570000013</v>
      </c>
      <c r="FT31" s="49">
        <f t="shared" si="82"/>
        <v>71.15622981300001</v>
      </c>
      <c r="FU31" s="49">
        <f t="shared" si="83"/>
        <v>64.040606831700018</v>
      </c>
      <c r="FV31" s="49">
        <f t="shared" si="84"/>
        <v>57.636546148530016</v>
      </c>
    </row>
    <row r="32" spans="1:178" x14ac:dyDescent="0.2">
      <c r="A32" s="102"/>
      <c r="B32" t="s">
        <v>492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76.3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351.4</v>
      </c>
      <c r="FM32" s="49">
        <f t="shared" ref="FM32:FQ32" si="92">+FL32*0.9</f>
        <v>316.26</v>
      </c>
      <c r="FN32" s="49">
        <f t="shared" si="92"/>
        <v>284.63400000000001</v>
      </c>
      <c r="FO32" s="49">
        <f t="shared" si="92"/>
        <v>256.17060000000004</v>
      </c>
      <c r="FP32" s="49">
        <f t="shared" si="92"/>
        <v>230.55354000000003</v>
      </c>
      <c r="FQ32" s="49">
        <f t="shared" si="92"/>
        <v>207.49818600000003</v>
      </c>
      <c r="FR32" s="49">
        <f t="shared" si="80"/>
        <v>186.74836740000003</v>
      </c>
      <c r="FS32" s="49">
        <f t="shared" si="81"/>
        <v>168.07353066000005</v>
      </c>
      <c r="FT32" s="49">
        <f t="shared" si="82"/>
        <v>151.26617759400006</v>
      </c>
      <c r="FU32" s="49">
        <f t="shared" si="83"/>
        <v>136.13955983460005</v>
      </c>
      <c r="FV32" s="49">
        <f t="shared" si="84"/>
        <v>122.52560385114005</v>
      </c>
    </row>
    <row r="33" spans="1:178" x14ac:dyDescent="0.2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97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v>89.3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467</v>
      </c>
      <c r="FM33" s="49">
        <f t="shared" ref="FM33:FQ33" si="93">+FL33*0.9</f>
        <v>420.3</v>
      </c>
      <c r="FN33" s="49">
        <f t="shared" si="93"/>
        <v>378.27000000000004</v>
      </c>
      <c r="FO33" s="49">
        <f t="shared" si="93"/>
        <v>340.44300000000004</v>
      </c>
      <c r="FP33" s="49">
        <f t="shared" si="93"/>
        <v>306.39870000000002</v>
      </c>
      <c r="FQ33" s="49">
        <f t="shared" si="93"/>
        <v>275.75883000000005</v>
      </c>
      <c r="FR33" s="49">
        <f t="shared" si="80"/>
        <v>248.18294700000004</v>
      </c>
      <c r="FS33" s="49">
        <f t="shared" si="81"/>
        <v>223.36465230000005</v>
      </c>
      <c r="FT33" s="49">
        <f t="shared" si="82"/>
        <v>201.02818707000006</v>
      </c>
      <c r="FU33" s="49">
        <f t="shared" si="83"/>
        <v>180.92536836300005</v>
      </c>
      <c r="FV33" s="49">
        <f t="shared" si="84"/>
        <v>162.83283152670003</v>
      </c>
    </row>
    <row r="34" spans="1:178" x14ac:dyDescent="0.2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97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v>91</v>
      </c>
      <c r="DT34" s="51">
        <f>+DS34+5</f>
        <v>96</v>
      </c>
      <c r="DU34" s="51">
        <f>+DT34+5</f>
        <v>101</v>
      </c>
      <c r="DV34" s="51">
        <f>+DU34+5</f>
        <v>106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394</v>
      </c>
      <c r="FM34" s="49">
        <f t="shared" ref="FM34:FP34" si="94">+FL34*1.3</f>
        <v>512.20000000000005</v>
      </c>
      <c r="FN34" s="49">
        <f t="shared" si="94"/>
        <v>665.86000000000013</v>
      </c>
      <c r="FO34" s="49">
        <f t="shared" si="94"/>
        <v>865.61800000000017</v>
      </c>
      <c r="FP34" s="49">
        <f t="shared" si="94"/>
        <v>1125.3034000000002</v>
      </c>
      <c r="FQ34" s="49">
        <f>+FP34*0.1</f>
        <v>112.53034000000002</v>
      </c>
      <c r="FR34" s="49">
        <f t="shared" ref="FR34:FV34" si="95">+FQ34*0.1</f>
        <v>11.253034000000003</v>
      </c>
      <c r="FS34" s="49">
        <f t="shared" si="95"/>
        <v>1.1253034000000004</v>
      </c>
      <c r="FT34" s="49">
        <f t="shared" si="95"/>
        <v>0.11253034000000005</v>
      </c>
      <c r="FU34" s="49">
        <f t="shared" si="95"/>
        <v>1.1253034000000006E-2</v>
      </c>
      <c r="FV34" s="49">
        <f t="shared" si="95"/>
        <v>1.1253034000000006E-3</v>
      </c>
    </row>
    <row r="35" spans="1:178" x14ac:dyDescent="0.2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97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97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v>21.5</v>
      </c>
      <c r="DT36" s="51">
        <f t="shared" ref="DT36:DV37" si="97">+DS36+25</f>
        <v>46.5</v>
      </c>
      <c r="DU36" s="51">
        <f t="shared" si="97"/>
        <v>71.5</v>
      </c>
      <c r="DV36" s="51">
        <f t="shared" si="97"/>
        <v>96.5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236</v>
      </c>
      <c r="FM36" s="49">
        <f>+FL36*1.1</f>
        <v>259.60000000000002</v>
      </c>
      <c r="FN36" s="49">
        <f t="shared" ref="FN36:FV36" si="98">+FM36*1.1</f>
        <v>285.56000000000006</v>
      </c>
      <c r="FO36" s="49">
        <f t="shared" si="98"/>
        <v>314.1160000000001</v>
      </c>
      <c r="FP36" s="49">
        <f t="shared" si="98"/>
        <v>345.52760000000012</v>
      </c>
      <c r="FQ36" s="49">
        <f t="shared" si="98"/>
        <v>380.08036000000016</v>
      </c>
      <c r="FR36" s="49">
        <f t="shared" si="98"/>
        <v>418.08839600000022</v>
      </c>
      <c r="FS36" s="49">
        <f t="shared" si="98"/>
        <v>459.89723560000027</v>
      </c>
      <c r="FT36" s="49">
        <f t="shared" si="98"/>
        <v>505.88695916000034</v>
      </c>
      <c r="FU36" s="49">
        <f t="shared" si="98"/>
        <v>556.47565507600041</v>
      </c>
      <c r="FV36" s="49">
        <f t="shared" si="98"/>
        <v>612.12322058360053</v>
      </c>
    </row>
    <row r="37" spans="1:178" x14ac:dyDescent="0.2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97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v>37.200000000000003</v>
      </c>
      <c r="DT37" s="51">
        <f t="shared" si="97"/>
        <v>62.2</v>
      </c>
      <c r="DU37" s="51">
        <f t="shared" si="97"/>
        <v>87.2</v>
      </c>
      <c r="DV37" s="51">
        <f t="shared" si="97"/>
        <v>112.2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298.8</v>
      </c>
      <c r="FM37" s="49">
        <f>+FL37*1.9</f>
        <v>567.72</v>
      </c>
      <c r="FN37" s="49">
        <f>+FM37*1.5</f>
        <v>851.58</v>
      </c>
      <c r="FO37" s="49">
        <f>+FN37*1.1</f>
        <v>936.73800000000017</v>
      </c>
      <c r="FP37" s="49">
        <f t="shared" ref="FP37:FV37" si="100">+FO37*1.1</f>
        <v>1030.4118000000003</v>
      </c>
      <c r="FQ37" s="49">
        <f t="shared" si="100"/>
        <v>1133.4529800000005</v>
      </c>
      <c r="FR37" s="49">
        <f t="shared" si="100"/>
        <v>1246.7982780000007</v>
      </c>
      <c r="FS37" s="49">
        <f t="shared" si="100"/>
        <v>1371.4781058000008</v>
      </c>
      <c r="FT37" s="49">
        <f t="shared" si="100"/>
        <v>1508.6259163800009</v>
      </c>
      <c r="FU37" s="49">
        <f t="shared" si="100"/>
        <v>1659.4885080180011</v>
      </c>
      <c r="FV37" s="49">
        <f t="shared" si="100"/>
        <v>1825.4373588198014</v>
      </c>
    </row>
    <row r="38" spans="1:178" x14ac:dyDescent="0.2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97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v>92</v>
      </c>
      <c r="DT38" s="51">
        <f>+DS38+10</f>
        <v>102</v>
      </c>
      <c r="DU38" s="51">
        <f>+DT38+10</f>
        <v>112</v>
      </c>
      <c r="DV38" s="51">
        <f>+DU38+10</f>
        <v>122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428</v>
      </c>
      <c r="FM38" s="49">
        <f t="shared" ref="FM38:FU38" si="101">+FL38*1.1</f>
        <v>470.8</v>
      </c>
      <c r="FN38" s="49">
        <f t="shared" si="101"/>
        <v>517.88000000000011</v>
      </c>
      <c r="FO38" s="49">
        <f t="shared" si="101"/>
        <v>569.66800000000012</v>
      </c>
      <c r="FP38" s="49">
        <f t="shared" si="101"/>
        <v>626.63480000000015</v>
      </c>
      <c r="FQ38" s="49">
        <f t="shared" si="101"/>
        <v>689.2982800000002</v>
      </c>
      <c r="FR38" s="49">
        <f t="shared" si="101"/>
        <v>758.22810800000025</v>
      </c>
      <c r="FS38" s="49">
        <f t="shared" si="101"/>
        <v>834.05091880000032</v>
      </c>
      <c r="FT38" s="49">
        <f t="shared" si="101"/>
        <v>917.45601068000042</v>
      </c>
      <c r="FU38" s="49">
        <f t="shared" si="101"/>
        <v>1009.2016117480006</v>
      </c>
      <c r="FV38" s="49">
        <f>+FU38*0.1</f>
        <v>100.92016117480006</v>
      </c>
    </row>
    <row r="39" spans="1:178" x14ac:dyDescent="0.2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97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v>19</v>
      </c>
      <c r="DT39" s="51">
        <f>+DS39</f>
        <v>19</v>
      </c>
      <c r="DU39" s="51">
        <f>+DT39</f>
        <v>19</v>
      </c>
      <c r="DV39" s="51">
        <f>+DU39</f>
        <v>19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76</v>
      </c>
      <c r="FM39" s="49">
        <f>+FL39*1.1</f>
        <v>83.600000000000009</v>
      </c>
      <c r="FN39" s="49">
        <f t="shared" ref="FN39:FV39" si="102">+FM39*1.1</f>
        <v>91.960000000000022</v>
      </c>
      <c r="FO39" s="49">
        <f t="shared" si="102"/>
        <v>101.15600000000003</v>
      </c>
      <c r="FP39" s="49">
        <f t="shared" si="102"/>
        <v>111.27160000000005</v>
      </c>
      <c r="FQ39" s="49">
        <f t="shared" si="102"/>
        <v>122.39876000000007</v>
      </c>
      <c r="FR39" s="49">
        <f t="shared" si="102"/>
        <v>134.63863600000008</v>
      </c>
      <c r="FS39" s="49">
        <f t="shared" si="102"/>
        <v>148.1024996000001</v>
      </c>
      <c r="FT39" s="49">
        <f t="shared" si="102"/>
        <v>162.91274956000012</v>
      </c>
      <c r="FU39" s="49">
        <f t="shared" si="102"/>
        <v>179.20402451600015</v>
      </c>
      <c r="FV39" s="49">
        <f t="shared" si="102"/>
        <v>197.12442696760019</v>
      </c>
    </row>
    <row r="40" spans="1:178" x14ac:dyDescent="0.2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97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v>60.2</v>
      </c>
      <c r="DT40" s="51">
        <f>+DS40+5</f>
        <v>65.2</v>
      </c>
      <c r="DU40" s="51">
        <f>+DT40+5</f>
        <v>70.2</v>
      </c>
      <c r="DV40" s="51">
        <f>+DU40+5</f>
        <v>75.2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270.8</v>
      </c>
      <c r="FM40" s="49">
        <f t="shared" ref="FM40:FV40" si="103">+FL40*1.1</f>
        <v>297.88000000000005</v>
      </c>
      <c r="FN40" s="49">
        <f t="shared" si="103"/>
        <v>327.66800000000006</v>
      </c>
      <c r="FO40" s="49">
        <f t="shared" si="103"/>
        <v>360.43480000000011</v>
      </c>
      <c r="FP40" s="49">
        <f t="shared" si="103"/>
        <v>396.47828000000015</v>
      </c>
      <c r="FQ40" s="49">
        <f t="shared" si="103"/>
        <v>436.12610800000022</v>
      </c>
      <c r="FR40" s="49">
        <f t="shared" si="103"/>
        <v>479.7387188000003</v>
      </c>
      <c r="FS40" s="49">
        <f t="shared" si="103"/>
        <v>527.7125906800004</v>
      </c>
      <c r="FT40" s="49">
        <f t="shared" si="103"/>
        <v>580.48384974800047</v>
      </c>
      <c r="FU40" s="49">
        <f t="shared" si="103"/>
        <v>638.53223472280058</v>
      </c>
      <c r="FV40" s="49">
        <f t="shared" si="103"/>
        <v>702.38545819508067</v>
      </c>
    </row>
    <row r="41" spans="1:178" x14ac:dyDescent="0.2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97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97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97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v>5.4</v>
      </c>
      <c r="DT43" s="52">
        <f>+DS43</f>
        <v>5.4</v>
      </c>
      <c r="DU43" s="52">
        <f>+DT43</f>
        <v>5.4</v>
      </c>
      <c r="DV43" s="52">
        <f>+DU43</f>
        <v>5.4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21.6</v>
      </c>
      <c r="FM43" s="49"/>
      <c r="FN43" s="49"/>
      <c r="FO43" s="49"/>
      <c r="FP43" s="49"/>
      <c r="FQ43" s="49"/>
    </row>
    <row r="44" spans="1:178" x14ac:dyDescent="0.2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97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97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v>64.599999999999994</v>
      </c>
      <c r="DT45" s="51">
        <f>+DS45</f>
        <v>64.599999999999994</v>
      </c>
      <c r="DU45" s="51">
        <f>+DT45</f>
        <v>64.599999999999994</v>
      </c>
      <c r="DV45" s="51">
        <f>+DU45</f>
        <v>64.599999999999994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258.39999999999998</v>
      </c>
    </row>
    <row r="46" spans="1:178" ht="1.5" customHeight="1" x14ac:dyDescent="0.2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97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ht="1.5" customHeight="1" x14ac:dyDescent="0.2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97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ht="1.5" customHeight="1" x14ac:dyDescent="0.2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97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ht="1.5" customHeight="1" x14ac:dyDescent="0.2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9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ht="1.5" customHeight="1" x14ac:dyDescent="0.2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ht="1.5" customHeight="1" x14ac:dyDescent="0.2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ht="1.5" customHeight="1" x14ac:dyDescent="0.2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ht="1.5" customHeight="1" x14ac:dyDescent="0.2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ht="1.5" customHeight="1" x14ac:dyDescent="0.2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ht="1.5" customHeight="1" x14ac:dyDescent="0.2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ht="1.5" customHeight="1" x14ac:dyDescent="0.2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ht="1.5" customHeight="1" x14ac:dyDescent="0.2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ht="1.5" customHeight="1" x14ac:dyDescent="0.2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ht="1.5" customHeight="1" x14ac:dyDescent="0.2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ht="1.5" customHeight="1" x14ac:dyDescent="0.2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ht="1.5" customHeight="1" x14ac:dyDescent="0.2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ht="1.5" customHeight="1" x14ac:dyDescent="0.2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ht="1.5" customHeight="1" x14ac:dyDescent="0.2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ht="1.5" customHeight="1" x14ac:dyDescent="0.2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ht="1.5" customHeight="1" x14ac:dyDescent="0.2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x14ac:dyDescent="0.2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13767.610000000002</v>
      </c>
      <c r="DS71" s="56">
        <f>SUM(DS5:DS46)</f>
        <v>12728.2</v>
      </c>
      <c r="DT71" s="56">
        <f>SUM(DT5:DT46)</f>
        <v>14350.630000000003</v>
      </c>
      <c r="DU71" s="56">
        <f>SUM(DU5:DU46)</f>
        <v>15263.440000000006</v>
      </c>
      <c r="DV71" s="56">
        <f>SUM(DV5:DV46)</f>
        <v>16779.501000000004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7">SUM(EO11:EO70)</f>
        <v>11156.2</v>
      </c>
      <c r="EP71" s="56">
        <f t="shared" si="117"/>
        <v>12585</v>
      </c>
      <c r="EQ71" s="56">
        <f t="shared" si="117"/>
        <v>13859</v>
      </c>
      <c r="ER71" s="56">
        <f t="shared" si="117"/>
        <v>14650</v>
      </c>
      <c r="ES71" s="56">
        <f t="shared" si="117"/>
        <v>15783.499999999998</v>
      </c>
      <c r="ET71" s="56">
        <f t="shared" si="117"/>
        <v>18565.199999999997</v>
      </c>
      <c r="EU71" s="56">
        <f t="shared" si="117"/>
        <v>19604.942499999997</v>
      </c>
      <c r="EV71" s="56">
        <f t="shared" si="117"/>
        <v>20974.425124999998</v>
      </c>
      <c r="EW71" s="56">
        <f t="shared" si="117"/>
        <v>21893.8</v>
      </c>
      <c r="EX71" s="56">
        <f t="shared" si="117"/>
        <v>23877.3</v>
      </c>
      <c r="EY71" s="56">
        <f t="shared" si="117"/>
        <v>22001.5</v>
      </c>
      <c r="EZ71" s="56">
        <f t="shared" si="117"/>
        <v>23113.100000000002</v>
      </c>
      <c r="FA71" s="56">
        <f t="shared" ref="FA71:FV71" si="118">SUM(FA5:FA70)</f>
        <v>19615.7</v>
      </c>
      <c r="FB71" s="56">
        <f t="shared" si="118"/>
        <v>20030.3</v>
      </c>
      <c r="FC71" s="56">
        <f t="shared" si="118"/>
        <v>21623.4</v>
      </c>
      <c r="FD71" s="56">
        <f t="shared" si="118"/>
        <v>19974.200000000004</v>
      </c>
      <c r="FE71" s="56">
        <f t="shared" si="118"/>
        <v>21493.1</v>
      </c>
      <c r="FF71" s="56">
        <f t="shared" si="118"/>
        <v>22319.3</v>
      </c>
      <c r="FG71" s="56">
        <f t="shared" si="118"/>
        <v>24539.899999999998</v>
      </c>
      <c r="FH71" s="56">
        <f t="shared" si="118"/>
        <v>28318.499999999996</v>
      </c>
      <c r="FI71" s="56">
        <f t="shared" si="118"/>
        <v>28541.400000000005</v>
      </c>
      <c r="FJ71" s="56">
        <f t="shared" si="118"/>
        <v>32110.2</v>
      </c>
      <c r="FK71" s="56">
        <f>SUM(FK5:FK70)</f>
        <v>45165.30999999999</v>
      </c>
      <c r="FL71" s="56">
        <f>SUM(FL5:FL70)</f>
        <v>59121.771000000015</v>
      </c>
      <c r="FM71" s="56">
        <f t="shared" si="118"/>
        <v>72444.121110000022</v>
      </c>
      <c r="FN71" s="56">
        <f t="shared" si="118"/>
        <v>90899.134501100038</v>
      </c>
      <c r="FO71" s="56">
        <f t="shared" si="118"/>
        <v>108552.07179411099</v>
      </c>
      <c r="FP71" s="56">
        <f t="shared" si="118"/>
        <v>121429.08591635212</v>
      </c>
      <c r="FQ71" s="56">
        <f t="shared" si="118"/>
        <v>120068.84365375708</v>
      </c>
      <c r="FR71" s="56">
        <f t="shared" si="118"/>
        <v>121197.30062722854</v>
      </c>
      <c r="FS71" s="56">
        <f t="shared" si="118"/>
        <v>124495.01082417414</v>
      </c>
      <c r="FT71" s="56">
        <f t="shared" si="118"/>
        <v>128847.80611174495</v>
      </c>
      <c r="FU71" s="56">
        <f t="shared" si="118"/>
        <v>134127.97412164914</v>
      </c>
      <c r="FV71" s="56">
        <f t="shared" si="118"/>
        <v>131506.57743378668</v>
      </c>
    </row>
    <row r="72" spans="1:178" x14ac:dyDescent="0.2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19">+DR71-DR73</f>
        <v>2615.8459000000003</v>
      </c>
      <c r="DS72" s="51">
        <v>2224.1999999999998</v>
      </c>
      <c r="DT72" s="51">
        <f>+DT71-DT73</f>
        <v>2726.6196999999993</v>
      </c>
      <c r="DU72" s="51">
        <f>+DU71-DU73</f>
        <v>2900.0536000000011</v>
      </c>
      <c r="DV72" s="51">
        <f>+DV71-DV73</f>
        <v>3188.1051900000002</v>
      </c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0">EZ71-EZ73</f>
        <v>23113.100000000002</v>
      </c>
      <c r="FA72" s="51">
        <f t="shared" si="120"/>
        <v>19615.7</v>
      </c>
      <c r="FB72" s="51"/>
      <c r="FC72" s="51"/>
      <c r="FD72" s="51">
        <v>4447.7</v>
      </c>
      <c r="FE72" s="51">
        <v>4681.7</v>
      </c>
      <c r="FF72" s="49">
        <f t="shared" ref="FF72" si="121">SUM(CU72:CX72)</f>
        <v>4431.6000000000004</v>
      </c>
      <c r="FG72" s="49">
        <f t="shared" ref="FG72" si="122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8212.7458999999999</v>
      </c>
      <c r="FL72" s="49">
        <f t="shared" ref="FL72:FQ72" si="123">FL71-FL73</f>
        <v>12415.571909999999</v>
      </c>
      <c r="FM72" s="49">
        <f t="shared" si="123"/>
        <v>15213.265433100001</v>
      </c>
      <c r="FN72" s="49">
        <f t="shared" si="123"/>
        <v>19088.818245230999</v>
      </c>
      <c r="FO72" s="49">
        <f t="shared" si="123"/>
        <v>22795.9350767633</v>
      </c>
      <c r="FP72" s="49">
        <f t="shared" si="123"/>
        <v>25500.108042433945</v>
      </c>
      <c r="FQ72" s="49">
        <f t="shared" si="123"/>
        <v>18010.32654806356</v>
      </c>
      <c r="FR72" s="49">
        <f t="shared" ref="FR72:FU72" si="124">FR71-FR73</f>
        <v>18179.595094084289</v>
      </c>
      <c r="FS72" s="49">
        <f t="shared" si="124"/>
        <v>18674.251623626129</v>
      </c>
      <c r="FT72" s="49">
        <f t="shared" si="124"/>
        <v>19327.170916761752</v>
      </c>
      <c r="FU72" s="49">
        <f t="shared" si="124"/>
        <v>20119.196118247375</v>
      </c>
      <c r="FV72" s="49">
        <f>FV71-FV73</f>
        <v>19725.986615068003</v>
      </c>
    </row>
    <row r="73" spans="1:178" x14ac:dyDescent="0.2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5">AP71-AP72</f>
        <v>2455.1000000000004</v>
      </c>
      <c r="AQ73" s="51">
        <f t="shared" si="125"/>
        <v>2350.4366336633661</v>
      </c>
      <c r="AR73" s="51">
        <f t="shared" si="125"/>
        <v>2459.3999999999996</v>
      </c>
      <c r="AS73" s="51">
        <f t="shared" si="125"/>
        <v>2498.5333333333338</v>
      </c>
      <c r="AT73" s="51">
        <f t="shared" si="125"/>
        <v>2752.2000000000007</v>
      </c>
      <c r="AU73" s="51">
        <f t="shared" si="125"/>
        <v>2631.3</v>
      </c>
      <c r="AV73" s="51">
        <f t="shared" si="125"/>
        <v>2787.1</v>
      </c>
      <c r="AW73" s="51">
        <f t="shared" si="125"/>
        <v>3033.6000000000004</v>
      </c>
      <c r="AX73" s="51">
        <f t="shared" si="125"/>
        <v>4613.9000000000005</v>
      </c>
      <c r="AY73" s="51">
        <f t="shared" ref="AY73:BG73" si="126">AY71-AY72</f>
        <v>3386.4000000000005</v>
      </c>
      <c r="AZ73" s="51">
        <f t="shared" si="126"/>
        <v>3194.9</v>
      </c>
      <c r="BA73" s="51">
        <f t="shared" si="126"/>
        <v>4844.6999999999989</v>
      </c>
      <c r="BB73" s="51">
        <f t="shared" si="126"/>
        <v>5392.9000000000005</v>
      </c>
      <c r="BC73" s="51">
        <f t="shared" si="126"/>
        <v>5130.5000000000009</v>
      </c>
      <c r="BD73" s="51">
        <f t="shared" si="126"/>
        <v>5502.5999999999985</v>
      </c>
      <c r="BE73" s="51">
        <f t="shared" si="126"/>
        <v>5641.7000000000007</v>
      </c>
      <c r="BF73" s="51">
        <f t="shared" si="126"/>
        <v>4310.8999999999996</v>
      </c>
      <c r="BG73" s="51">
        <f t="shared" si="126"/>
        <v>4075.4</v>
      </c>
      <c r="BH73" s="51">
        <f t="shared" ref="BH73:BM73" si="127">BH71-BH72</f>
        <v>4166.1000000000004</v>
      </c>
      <c r="BI73" s="51">
        <f t="shared" si="127"/>
        <v>4510.1000000000004</v>
      </c>
      <c r="BJ73" s="51">
        <f t="shared" si="127"/>
        <v>4502.7</v>
      </c>
      <c r="BK73" s="51">
        <f t="shared" si="127"/>
        <v>4363</v>
      </c>
      <c r="BL73" s="51">
        <f t="shared" si="127"/>
        <v>4724.8</v>
      </c>
      <c r="BM73" s="51">
        <f t="shared" si="127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8">+BW71-BW72</f>
        <v>4443.7</v>
      </c>
      <c r="BX73" s="51">
        <f t="shared" si="128"/>
        <v>4764.5</v>
      </c>
      <c r="BY73" s="51">
        <f t="shared" si="128"/>
        <v>4574.5</v>
      </c>
      <c r="BZ73" s="51">
        <f t="shared" si="128"/>
        <v>4422.3</v>
      </c>
      <c r="CA73" s="51">
        <f t="shared" ref="CA73" si="129">CA71-CA72</f>
        <v>3460.4000000000005</v>
      </c>
      <c r="CB73" s="51">
        <f t="shared" ref="CB73:CC73" si="130">CB71-CB72</f>
        <v>3745.9000000000005</v>
      </c>
      <c r="CC73" s="51">
        <f t="shared" si="130"/>
        <v>3608.6000000000004</v>
      </c>
      <c r="CD73" s="51">
        <f t="shared" ref="CD73" si="131">CD71-CD72</f>
        <v>3868.2000000000003</v>
      </c>
      <c r="CE73" s="51">
        <f t="shared" ref="CE73:CF73" si="132">CE71-CE72</f>
        <v>3452</v>
      </c>
      <c r="CF73" s="51">
        <f t="shared" si="132"/>
        <v>3944.7999999999997</v>
      </c>
      <c r="CG73" s="51">
        <f t="shared" ref="CG73:CI73" si="133">CG71-CG72</f>
        <v>3722.7999999999997</v>
      </c>
      <c r="CH73" s="51">
        <f t="shared" si="133"/>
        <v>3986.4000000000005</v>
      </c>
      <c r="CI73" s="51">
        <f t="shared" si="133"/>
        <v>3542.1000000000004</v>
      </c>
      <c r="CJ73" s="51">
        <f t="shared" ref="CJ73:CK73" si="134">CJ71-CJ72</f>
        <v>4106.3999999999996</v>
      </c>
      <c r="CK73" s="51">
        <f t="shared" si="134"/>
        <v>3790.7999999999997</v>
      </c>
      <c r="CL73" s="51">
        <f t="shared" ref="CL73:CM73" si="135">CL71-CL72</f>
        <v>4294.5</v>
      </c>
      <c r="CM73" s="51">
        <f t="shared" si="135"/>
        <v>3880.4</v>
      </c>
      <c r="CN73" s="51">
        <f t="shared" ref="CN73:CP73" si="136">CN71-CN72</f>
        <v>4252.6000000000004</v>
      </c>
      <c r="CO73" s="51">
        <f t="shared" si="136"/>
        <v>4071.7</v>
      </c>
      <c r="CP73" s="51">
        <f t="shared" si="136"/>
        <v>4515.7999999999993</v>
      </c>
      <c r="CQ73" s="51">
        <f t="shared" ref="CQ73:CR73" si="137">CQ71-CQ72</f>
        <v>3392.5</v>
      </c>
      <c r="CR73" s="51">
        <f t="shared" si="137"/>
        <v>4652.5</v>
      </c>
      <c r="CS73" s="51">
        <f t="shared" ref="CS73:CT73" si="138">CS71-CS72</f>
        <v>4499.5999999999995</v>
      </c>
      <c r="CT73" s="51">
        <f t="shared" si="138"/>
        <v>4844.9000000000005</v>
      </c>
      <c r="CU73" s="51">
        <f t="shared" ref="CU73:DG73" si="139">CU71-CU72</f>
        <v>4081.5999999999976</v>
      </c>
      <c r="CV73" s="51">
        <f t="shared" si="139"/>
        <v>4563.5000000000009</v>
      </c>
      <c r="CW73" s="51">
        <f t="shared" si="139"/>
        <v>4358.2000000000007</v>
      </c>
      <c r="CX73" s="51">
        <f t="shared" si="139"/>
        <v>4884.3999999999996</v>
      </c>
      <c r="CY73" s="51">
        <f t="shared" si="139"/>
        <v>4703.2999999999975</v>
      </c>
      <c r="CZ73" s="51">
        <f t="shared" si="139"/>
        <v>4380.1999999999989</v>
      </c>
      <c r="DA73" s="51">
        <f t="shared" si="139"/>
        <v>4540.6999999999989</v>
      </c>
      <c r="DB73" s="51">
        <f t="shared" si="139"/>
        <v>5720.2999999999993</v>
      </c>
      <c r="DC73" s="51">
        <f t="shared" si="139"/>
        <v>5134.2000000000007</v>
      </c>
      <c r="DD73" s="51">
        <f t="shared" si="139"/>
        <v>5341.9999999999973</v>
      </c>
      <c r="DE73" s="51">
        <f t="shared" si="139"/>
        <v>5351.199999999998</v>
      </c>
      <c r="DF73" s="51">
        <f t="shared" si="139"/>
        <v>5949.7</v>
      </c>
      <c r="DG73" s="51">
        <f t="shared" si="139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0">+DL71-DL72</f>
        <v>6052.1999999999989</v>
      </c>
      <c r="DM73" s="51">
        <f t="shared" si="140"/>
        <v>6343.699999999998</v>
      </c>
      <c r="DN73" s="51">
        <f t="shared" si="140"/>
        <v>7807.3000000000011</v>
      </c>
      <c r="DO73" s="51">
        <f t="shared" si="140"/>
        <v>7233.9</v>
      </c>
      <c r="DP73" s="51">
        <f t="shared" si="140"/>
        <v>9271.5999999999985</v>
      </c>
      <c r="DQ73" s="51">
        <f t="shared" si="140"/>
        <v>9407.8000000000047</v>
      </c>
      <c r="DR73" s="51">
        <f t="shared" ref="DR73" si="141">+DR71*0.81</f>
        <v>11151.764100000002</v>
      </c>
      <c r="DS73" s="51">
        <f>+DS71-DS72</f>
        <v>10504</v>
      </c>
      <c r="DT73" s="51">
        <f>+DT71*0.81</f>
        <v>11624.010300000004</v>
      </c>
      <c r="DU73" s="51">
        <f>+DU71*0.81</f>
        <v>12363.386400000005</v>
      </c>
      <c r="DV73" s="51">
        <f>+DV71*0.81</f>
        <v>13591.395810000004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2">+EL71-EL72</f>
        <v>7904.9</v>
      </c>
      <c r="EM73" s="49">
        <f t="shared" si="142"/>
        <v>8806.5</v>
      </c>
      <c r="EN73" s="49">
        <f t="shared" si="142"/>
        <v>9469</v>
      </c>
      <c r="EO73" s="51">
        <f t="shared" ref="EO73:ES73" si="143">EO71-EO72</f>
        <v>8979.2000000000007</v>
      </c>
      <c r="EP73" s="51">
        <f t="shared" si="143"/>
        <v>9910</v>
      </c>
      <c r="EQ73" s="51">
        <f t="shared" si="143"/>
        <v>10635</v>
      </c>
      <c r="ER73" s="51">
        <f t="shared" si="143"/>
        <v>11176</v>
      </c>
      <c r="ES73" s="51">
        <f t="shared" si="143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4">EZ71*EZ94</f>
        <v>0</v>
      </c>
      <c r="FA73" s="51">
        <f t="shared" si="144"/>
        <v>0</v>
      </c>
      <c r="FB73" s="51"/>
      <c r="FC73" s="51"/>
      <c r="FD73" s="51">
        <f t="shared" ref="FD73:FE73" si="145">+FD71-FD72</f>
        <v>15526.500000000004</v>
      </c>
      <c r="FE73" s="51">
        <f t="shared" si="145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36952.564099999989</v>
      </c>
      <c r="FL73" s="51">
        <f t="shared" ref="FL73:FO73" si="146">FL71*0.79</f>
        <v>46706.199090000016</v>
      </c>
      <c r="FM73" s="51">
        <f t="shared" si="146"/>
        <v>57230.855676900021</v>
      </c>
      <c r="FN73" s="51">
        <f t="shared" si="146"/>
        <v>71810.316255869038</v>
      </c>
      <c r="FO73" s="51">
        <f t="shared" si="146"/>
        <v>85756.13671734769</v>
      </c>
      <c r="FP73" s="51">
        <f>FP71*0.79</f>
        <v>95928.977873918178</v>
      </c>
      <c r="FQ73" s="51">
        <f>FQ71*0.85</f>
        <v>102058.51710569352</v>
      </c>
      <c r="FR73" s="51">
        <f t="shared" ref="FR73:FU73" si="147">FR71*0.85</f>
        <v>103017.70553314425</v>
      </c>
      <c r="FS73" s="51">
        <f t="shared" si="147"/>
        <v>105820.75920054801</v>
      </c>
      <c r="FT73" s="51">
        <f t="shared" si="147"/>
        <v>109520.6351949832</v>
      </c>
      <c r="FU73" s="51">
        <f t="shared" si="147"/>
        <v>114008.77800340176</v>
      </c>
      <c r="FV73" s="51">
        <f>FV71*0.85</f>
        <v>111780.59081871867</v>
      </c>
    </row>
    <row r="74" spans="1:178" x14ac:dyDescent="0.2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8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49">+DN74*1.1</f>
        <v>2117.06</v>
      </c>
      <c r="DS74" s="51">
        <v>2468.8000000000002</v>
      </c>
      <c r="DT74" s="51">
        <f t="shared" ref="DT74:DV75" si="150">+DP74*1.1</f>
        <v>2329.0300000000002</v>
      </c>
      <c r="DU74" s="51">
        <f t="shared" si="150"/>
        <v>3007.51</v>
      </c>
      <c r="DV74" s="51">
        <f t="shared" si="150"/>
        <v>2328.7660000000001</v>
      </c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14780.442750000004</v>
      </c>
      <c r="FM74" s="49">
        <f t="shared" si="155"/>
        <v>18111.030277500005</v>
      </c>
      <c r="FN74" s="49">
        <f t="shared" si="155"/>
        <v>22724.783625275009</v>
      </c>
      <c r="FO74" s="49">
        <f t="shared" si="155"/>
        <v>27138.017948527748</v>
      </c>
      <c r="FP74" s="49">
        <f t="shared" si="155"/>
        <v>30357.271479088031</v>
      </c>
      <c r="FQ74" s="49">
        <f>+FQ71*0.25</f>
        <v>30017.21091343927</v>
      </c>
      <c r="FR74" s="49">
        <f t="shared" ref="FR74:FU74" si="156">+FR71*0.25</f>
        <v>30299.325156807135</v>
      </c>
      <c r="FS74" s="49">
        <f t="shared" si="156"/>
        <v>31123.752706043535</v>
      </c>
      <c r="FT74" s="49">
        <f>+FT71*0.25</f>
        <v>32211.951527936239</v>
      </c>
      <c r="FU74" s="49">
        <f t="shared" si="156"/>
        <v>33531.993530412285</v>
      </c>
      <c r="FV74" s="49">
        <f>+FV71*0.25</f>
        <v>32876.644358446669</v>
      </c>
    </row>
    <row r="75" spans="1:178" x14ac:dyDescent="0.2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8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49"/>
        <v>2818.9700000000003</v>
      </c>
      <c r="DS75" s="51">
        <v>2733.7</v>
      </c>
      <c r="DT75" s="51">
        <f t="shared" si="150"/>
        <v>2812.5899999999997</v>
      </c>
      <c r="DU75" s="51">
        <f t="shared" si="150"/>
        <v>2309.7800000000002</v>
      </c>
      <c r="DV75" s="51">
        <f t="shared" si="150"/>
        <v>3100.8670000000006</v>
      </c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5202.5</v>
      </c>
      <c r="DT76" s="51">
        <f t="shared" si="174"/>
        <v>5141.62</v>
      </c>
      <c r="DU76" s="51">
        <f t="shared" si="174"/>
        <v>5317.2900000000009</v>
      </c>
      <c r="DV76" s="51">
        <f t="shared" si="174"/>
        <v>5429.6330000000007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24878.897450000004</v>
      </c>
      <c r="FM76" s="51">
        <f t="shared" ref="FM76" si="181">FM75+FM74</f>
        <v>18111.030277500005</v>
      </c>
      <c r="FN76" s="51">
        <f t="shared" ref="FN76" si="182">FN75+FN74</f>
        <v>22724.783625275009</v>
      </c>
      <c r="FO76" s="51">
        <f t="shared" ref="FO76" si="183">FO75+FO74</f>
        <v>27138.017948527748</v>
      </c>
      <c r="FP76" s="51">
        <f>FP75+FP74</f>
        <v>30357.271479088031</v>
      </c>
      <c r="FQ76" s="51">
        <f>FQ75+FQ74</f>
        <v>30017.21091343927</v>
      </c>
      <c r="FR76" s="51">
        <f t="shared" ref="FR76:FU76" si="184">FR75+FR74</f>
        <v>30299.325156807135</v>
      </c>
      <c r="FS76" s="51">
        <f t="shared" si="184"/>
        <v>31123.752706043535</v>
      </c>
      <c r="FT76" s="51">
        <f t="shared" si="184"/>
        <v>32211.951527936239</v>
      </c>
      <c r="FU76" s="51">
        <f t="shared" si="184"/>
        <v>33531.993530412285</v>
      </c>
      <c r="FV76" s="51">
        <f>FV75+FV74</f>
        <v>32876.644358446669</v>
      </c>
    </row>
    <row r="77" spans="1:178" x14ac:dyDescent="0.2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6215.7341000000015</v>
      </c>
      <c r="DS77" s="51">
        <f t="shared" ref="DS77:DV77" si="204">DS73-DS76</f>
        <v>5301.5</v>
      </c>
      <c r="DT77" s="51">
        <f t="shared" si="204"/>
        <v>6482.3903000000037</v>
      </c>
      <c r="DU77" s="51">
        <f t="shared" si="204"/>
        <v>7046.096400000004</v>
      </c>
      <c r="DV77" s="51">
        <f t="shared" si="204"/>
        <v>8161.7628100000029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18033.434099999988</v>
      </c>
      <c r="FL77" s="51">
        <f t="shared" ref="FL77" si="210">+FL73-FL76</f>
        <v>21827.301640000012</v>
      </c>
      <c r="FM77" s="51">
        <f t="shared" ref="FM77" si="211">+FM73-FM76</f>
        <v>39119.825399400012</v>
      </c>
      <c r="FN77" s="51">
        <f t="shared" ref="FN77" si="212">+FN73-FN76</f>
        <v>49085.532630594025</v>
      </c>
      <c r="FO77" s="51">
        <f t="shared" ref="FO77" si="213">+FO73-FO76</f>
        <v>58618.118768819942</v>
      </c>
      <c r="FP77" s="51">
        <f>+FP73-FP76</f>
        <v>65571.706394830151</v>
      </c>
      <c r="FQ77" s="51">
        <f>+FQ73-FQ76</f>
        <v>72041.306192254255</v>
      </c>
      <c r="FR77" s="51">
        <f t="shared" ref="FR77:FU77" si="214">+FR73-FR76</f>
        <v>72718.380376337125</v>
      </c>
      <c r="FS77" s="51">
        <f t="shared" si="214"/>
        <v>74697.006494504472</v>
      </c>
      <c r="FT77" s="51">
        <f t="shared" si="214"/>
        <v>77308.683667046964</v>
      </c>
      <c r="FU77" s="51">
        <f t="shared" si="214"/>
        <v>80476.784472989471</v>
      </c>
      <c r="FV77" s="51">
        <f>+FV73-FV76</f>
        <v>78903.946460272011</v>
      </c>
    </row>
    <row r="78" spans="1:178" x14ac:dyDescent="0.2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-82.47293348000025</v>
      </c>
      <c r="FM78" s="49">
        <f t="shared" si="218"/>
        <v>265.44432582431995</v>
      </c>
      <c r="FN78" s="49">
        <f t="shared" si="218"/>
        <v>895.60864142790922</v>
      </c>
      <c r="FO78" s="49">
        <f t="shared" si="218"/>
        <v>1695.3069017802604</v>
      </c>
      <c r="FP78" s="49">
        <f t="shared" si="218"/>
        <v>2660.321712509864</v>
      </c>
      <c r="FQ78" s="49">
        <f t="shared" si="218"/>
        <v>3752.0341622273045</v>
      </c>
      <c r="FR78" s="49">
        <f t="shared" ref="FR78:FU78" si="219">+FQ99*$FY$97</f>
        <v>4964.7276078990089</v>
      </c>
      <c r="FS78" s="49">
        <f t="shared" si="219"/>
        <v>6207.657335646787</v>
      </c>
      <c r="FT78" s="49">
        <f t="shared" si="219"/>
        <v>7502.1319569292073</v>
      </c>
      <c r="FU78" s="49">
        <f t="shared" si="219"/>
        <v>8859.105006912825</v>
      </c>
      <c r="FV78" s="49">
        <f>+FU99*$FY$97</f>
        <v>10288.479238591262</v>
      </c>
    </row>
    <row r="79" spans="1:178" x14ac:dyDescent="0.2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6215.7341000000015</v>
      </c>
      <c r="DS79" s="51">
        <f t="shared" si="234"/>
        <v>5301.5</v>
      </c>
      <c r="DT79" s="51">
        <f t="shared" si="234"/>
        <v>6482.3903000000037</v>
      </c>
      <c r="DU79" s="51">
        <f t="shared" si="234"/>
        <v>7046.096400000004</v>
      </c>
      <c r="DV79" s="51">
        <f t="shared" si="234"/>
        <v>8161.7628100000029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17583.434099999988</v>
      </c>
      <c r="FL79" s="51">
        <f t="shared" si="239"/>
        <v>21744.828706520013</v>
      </c>
      <c r="FM79" s="51">
        <f t="shared" si="239"/>
        <v>39385.269725224331</v>
      </c>
      <c r="FN79" s="51">
        <f t="shared" si="239"/>
        <v>49981.141272021938</v>
      </c>
      <c r="FO79" s="51">
        <f t="shared" si="239"/>
        <v>60313.425670600205</v>
      </c>
      <c r="FP79" s="51">
        <f t="shared" si="239"/>
        <v>68232.028107340011</v>
      </c>
      <c r="FQ79" s="51">
        <f>FQ77+FQ78</f>
        <v>75793.340354481566</v>
      </c>
      <c r="FR79" s="51">
        <f t="shared" ref="FR79:FU79" si="240">FR77+FR78</f>
        <v>77683.107984236136</v>
      </c>
      <c r="FS79" s="51">
        <f t="shared" si="240"/>
        <v>80904.663830151258</v>
      </c>
      <c r="FT79" s="51">
        <f t="shared" si="240"/>
        <v>84810.815623976174</v>
      </c>
      <c r="FU79" s="51">
        <f t="shared" si="240"/>
        <v>89335.889479902296</v>
      </c>
      <c r="FV79" s="51">
        <f>FV77+FV78</f>
        <v>89192.42569886327</v>
      </c>
    </row>
    <row r="80" spans="1:178" x14ac:dyDescent="0.2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932.36011500000018</v>
      </c>
      <c r="DS80" s="51">
        <v>696.8</v>
      </c>
      <c r="DT80" s="51">
        <f>+DT79*0.2</f>
        <v>1296.4780600000008</v>
      </c>
      <c r="DU80" s="51">
        <f>+DU79*0.2</f>
        <v>1409.2192800000009</v>
      </c>
      <c r="DV80" s="51">
        <f>+DV79*0.2</f>
        <v>1632.3525620000007</v>
      </c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2461.6807739999986</v>
      </c>
      <c r="FL80" s="51">
        <f t="shared" ref="FL80:FP80" si="245">FL79*0.2</f>
        <v>4348.9657413040031</v>
      </c>
      <c r="FM80" s="51">
        <f t="shared" si="245"/>
        <v>7877.0539450448669</v>
      </c>
      <c r="FN80" s="51">
        <f t="shared" si="245"/>
        <v>9996.2282544043883</v>
      </c>
      <c r="FO80" s="51">
        <f t="shared" si="245"/>
        <v>12062.685134120042</v>
      </c>
      <c r="FP80" s="51">
        <f t="shared" si="245"/>
        <v>13646.405621468002</v>
      </c>
      <c r="FQ80" s="51">
        <f>FQ79*0.2</f>
        <v>15158.668070896314</v>
      </c>
      <c r="FR80" s="51">
        <f t="shared" ref="FR80:FT80" si="246">FR79*0.2</f>
        <v>15536.621596847228</v>
      </c>
      <c r="FS80" s="51">
        <f t="shared" si="246"/>
        <v>16180.932766030252</v>
      </c>
      <c r="FT80" s="51">
        <f t="shared" si="246"/>
        <v>16962.163124795235</v>
      </c>
      <c r="FU80" s="51">
        <f>FU79*0.2</f>
        <v>17867.177895980461</v>
      </c>
      <c r="FV80" s="51">
        <f>FV79*0.2</f>
        <v>17838.485139772656</v>
      </c>
    </row>
    <row r="81" spans="1:251" x14ac:dyDescent="0.2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5283.3739850000011</v>
      </c>
      <c r="DS81" s="51">
        <f t="shared" ref="DS81:DV81" si="265">+DS79-DS80</f>
        <v>4604.7</v>
      </c>
      <c r="DT81" s="51">
        <f t="shared" si="265"/>
        <v>5185.9122400000033</v>
      </c>
      <c r="DU81" s="51">
        <f t="shared" si="265"/>
        <v>5636.8771200000028</v>
      </c>
      <c r="DV81" s="51">
        <f t="shared" si="265"/>
        <v>6529.410248000002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15121.753325999989</v>
      </c>
      <c r="FL81" s="51">
        <f t="shared" ref="FL81:FO81" si="270">+FL79-FL80</f>
        <v>17395.862965216009</v>
      </c>
      <c r="FM81" s="51">
        <f t="shared" si="270"/>
        <v>31508.215780179464</v>
      </c>
      <c r="FN81" s="51">
        <f t="shared" si="270"/>
        <v>39984.913017617553</v>
      </c>
      <c r="FO81" s="51">
        <f t="shared" si="270"/>
        <v>48250.740536480167</v>
      </c>
      <c r="FP81" s="51">
        <f>+FP79-FP80</f>
        <v>54585.622485872009</v>
      </c>
      <c r="FQ81" s="51">
        <f>+FQ79-FQ80</f>
        <v>60634.672283585256</v>
      </c>
      <c r="FR81" s="51">
        <f t="shared" ref="FR81:FT81" si="271">+FR79-FR80</f>
        <v>62146.486387388912</v>
      </c>
      <c r="FS81" s="51">
        <f t="shared" si="271"/>
        <v>64723.731064121006</v>
      </c>
      <c r="FT81" s="51">
        <f t="shared" si="271"/>
        <v>67848.652499180942</v>
      </c>
      <c r="FU81" s="51">
        <f>+FU79-FU80</f>
        <v>71468.711583921831</v>
      </c>
      <c r="FV81" s="51">
        <f>+FV79-FV80</f>
        <v>71353.94055909061</v>
      </c>
      <c r="FW81" s="54">
        <f t="shared" ref="FW81:HB81" si="272">+FV81*(1+$FY$98)</f>
        <v>71353.94055909061</v>
      </c>
      <c r="FX81" s="54">
        <f t="shared" si="272"/>
        <v>71353.94055909061</v>
      </c>
      <c r="FY81" s="54">
        <f t="shared" si="272"/>
        <v>71353.94055909061</v>
      </c>
      <c r="FZ81" s="54">
        <f t="shared" si="272"/>
        <v>71353.94055909061</v>
      </c>
      <c r="GA81" s="54">
        <f t="shared" si="272"/>
        <v>71353.94055909061</v>
      </c>
      <c r="GB81" s="54">
        <f t="shared" si="272"/>
        <v>71353.94055909061</v>
      </c>
      <c r="GC81" s="54">
        <f t="shared" si="272"/>
        <v>71353.94055909061</v>
      </c>
      <c r="GD81" s="54">
        <f t="shared" si="272"/>
        <v>71353.94055909061</v>
      </c>
      <c r="GE81" s="54">
        <f t="shared" si="272"/>
        <v>71353.94055909061</v>
      </c>
      <c r="GF81" s="54">
        <f t="shared" si="272"/>
        <v>71353.94055909061</v>
      </c>
      <c r="GG81" s="54">
        <f t="shared" si="272"/>
        <v>71353.94055909061</v>
      </c>
      <c r="GH81" s="54">
        <f t="shared" si="272"/>
        <v>71353.94055909061</v>
      </c>
      <c r="GI81" s="54">
        <f t="shared" si="272"/>
        <v>71353.94055909061</v>
      </c>
      <c r="GJ81" s="54">
        <f t="shared" si="272"/>
        <v>71353.94055909061</v>
      </c>
      <c r="GK81" s="54">
        <f t="shared" si="272"/>
        <v>71353.94055909061</v>
      </c>
      <c r="GL81" s="54">
        <f t="shared" si="272"/>
        <v>71353.94055909061</v>
      </c>
      <c r="GM81" s="54">
        <f t="shared" si="272"/>
        <v>71353.94055909061</v>
      </c>
      <c r="GN81" s="54">
        <f t="shared" si="272"/>
        <v>71353.94055909061</v>
      </c>
      <c r="GO81" s="54">
        <f t="shared" si="272"/>
        <v>71353.94055909061</v>
      </c>
      <c r="GP81" s="54">
        <f t="shared" si="272"/>
        <v>71353.94055909061</v>
      </c>
      <c r="GQ81" s="54">
        <f t="shared" si="272"/>
        <v>71353.94055909061</v>
      </c>
      <c r="GR81" s="54">
        <f t="shared" si="272"/>
        <v>71353.94055909061</v>
      </c>
      <c r="GS81" s="54">
        <f t="shared" si="272"/>
        <v>71353.94055909061</v>
      </c>
      <c r="GT81" s="54">
        <f t="shared" si="272"/>
        <v>71353.94055909061</v>
      </c>
      <c r="GU81" s="54">
        <f t="shared" si="272"/>
        <v>71353.94055909061</v>
      </c>
      <c r="GV81" s="54">
        <f t="shared" si="272"/>
        <v>71353.94055909061</v>
      </c>
      <c r="GW81" s="54">
        <f t="shared" si="272"/>
        <v>71353.94055909061</v>
      </c>
      <c r="GX81" s="54">
        <f t="shared" si="272"/>
        <v>71353.94055909061</v>
      </c>
      <c r="GY81" s="54">
        <f t="shared" si="272"/>
        <v>71353.94055909061</v>
      </c>
      <c r="GZ81" s="54">
        <f t="shared" si="272"/>
        <v>71353.94055909061</v>
      </c>
      <c r="HA81" s="54">
        <f t="shared" si="272"/>
        <v>71353.94055909061</v>
      </c>
      <c r="HB81" s="54">
        <f t="shared" si="272"/>
        <v>71353.94055909061</v>
      </c>
      <c r="HC81" s="54">
        <f t="shared" ref="HC81:IH81" si="273">+HB81*(1+$FY$98)</f>
        <v>71353.94055909061</v>
      </c>
      <c r="HD81" s="54">
        <f t="shared" si="273"/>
        <v>71353.94055909061</v>
      </c>
      <c r="HE81" s="54">
        <f t="shared" si="273"/>
        <v>71353.94055909061</v>
      </c>
      <c r="HF81" s="54">
        <f t="shared" si="273"/>
        <v>71353.94055909061</v>
      </c>
      <c r="HG81" s="54">
        <f t="shared" si="273"/>
        <v>71353.94055909061</v>
      </c>
      <c r="HH81" s="54">
        <f t="shared" si="273"/>
        <v>71353.94055909061</v>
      </c>
      <c r="HI81" s="54">
        <f t="shared" si="273"/>
        <v>71353.94055909061</v>
      </c>
      <c r="HJ81" s="54">
        <f t="shared" si="273"/>
        <v>71353.94055909061</v>
      </c>
      <c r="HK81" s="54">
        <f t="shared" si="273"/>
        <v>71353.94055909061</v>
      </c>
      <c r="HL81" s="54">
        <f t="shared" si="273"/>
        <v>71353.94055909061</v>
      </c>
      <c r="HM81" s="54">
        <f t="shared" si="273"/>
        <v>71353.94055909061</v>
      </c>
      <c r="HN81" s="54">
        <f t="shared" si="273"/>
        <v>71353.94055909061</v>
      </c>
      <c r="HO81" s="54">
        <f t="shared" si="273"/>
        <v>71353.94055909061</v>
      </c>
      <c r="HP81" s="54">
        <f t="shared" si="273"/>
        <v>71353.94055909061</v>
      </c>
      <c r="HQ81" s="54">
        <f t="shared" si="273"/>
        <v>71353.94055909061</v>
      </c>
      <c r="HR81" s="54">
        <f t="shared" si="273"/>
        <v>71353.94055909061</v>
      </c>
      <c r="HS81" s="54">
        <f t="shared" si="273"/>
        <v>71353.94055909061</v>
      </c>
      <c r="HT81" s="54">
        <f t="shared" si="273"/>
        <v>71353.94055909061</v>
      </c>
      <c r="HU81" s="54">
        <f t="shared" si="273"/>
        <v>71353.94055909061</v>
      </c>
      <c r="HV81" s="54">
        <f t="shared" si="273"/>
        <v>71353.94055909061</v>
      </c>
      <c r="HW81" s="54">
        <f t="shared" si="273"/>
        <v>71353.94055909061</v>
      </c>
      <c r="HX81" s="54">
        <f t="shared" si="273"/>
        <v>71353.94055909061</v>
      </c>
      <c r="HY81" s="54">
        <f t="shared" si="273"/>
        <v>71353.94055909061</v>
      </c>
      <c r="HZ81" s="54">
        <f t="shared" si="273"/>
        <v>71353.94055909061</v>
      </c>
      <c r="IA81" s="54">
        <f t="shared" si="273"/>
        <v>71353.94055909061</v>
      </c>
      <c r="IB81" s="54">
        <f t="shared" si="273"/>
        <v>71353.94055909061</v>
      </c>
      <c r="IC81" s="54">
        <f t="shared" si="273"/>
        <v>71353.94055909061</v>
      </c>
      <c r="ID81" s="54">
        <f t="shared" si="273"/>
        <v>71353.94055909061</v>
      </c>
      <c r="IE81" s="54">
        <f t="shared" si="273"/>
        <v>71353.94055909061</v>
      </c>
      <c r="IF81" s="54">
        <f t="shared" si="273"/>
        <v>71353.94055909061</v>
      </c>
      <c r="IG81" s="54">
        <f t="shared" si="273"/>
        <v>71353.94055909061</v>
      </c>
      <c r="IH81" s="54">
        <f t="shared" si="273"/>
        <v>71353.94055909061</v>
      </c>
      <c r="II81" s="54">
        <f t="shared" ref="II81:IQ81" si="274">+IH81*(1+$FY$98)</f>
        <v>71353.94055909061</v>
      </c>
      <c r="IJ81" s="54">
        <f t="shared" si="274"/>
        <v>71353.94055909061</v>
      </c>
      <c r="IK81" s="54">
        <f t="shared" si="274"/>
        <v>71353.94055909061</v>
      </c>
      <c r="IL81" s="54">
        <f t="shared" si="274"/>
        <v>71353.94055909061</v>
      </c>
      <c r="IM81" s="54">
        <f t="shared" si="274"/>
        <v>71353.94055909061</v>
      </c>
      <c r="IN81" s="54">
        <f t="shared" si="274"/>
        <v>71353.94055909061</v>
      </c>
      <c r="IO81" s="54">
        <f t="shared" si="274"/>
        <v>71353.94055909061</v>
      </c>
      <c r="IP81" s="54">
        <f t="shared" si="274"/>
        <v>71353.94055909061</v>
      </c>
      <c r="IQ81" s="54">
        <f t="shared" si="274"/>
        <v>71353.94055909061</v>
      </c>
    </row>
    <row r="82" spans="1:251" s="58" customFormat="1" x14ac:dyDescent="0.2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5.8440588335495818</v>
      </c>
      <c r="DS82" s="59">
        <f t="shared" ref="DS82:DV82" si="292">DS81/DS83</f>
        <v>5.1129247168554297</v>
      </c>
      <c r="DT82" s="59">
        <f t="shared" si="292"/>
        <v>5.758285853875198</v>
      </c>
      <c r="DU82" s="59">
        <f t="shared" si="292"/>
        <v>6.2590241172551666</v>
      </c>
      <c r="DV82" s="59">
        <f t="shared" si="292"/>
        <v>7.2500668976238085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16.7223497551654</v>
      </c>
      <c r="FL82" s="59">
        <f t="shared" si="296"/>
        <v>19.237167709719522</v>
      </c>
      <c r="FM82" s="59">
        <f t="shared" si="296"/>
        <v>34.843274657275217</v>
      </c>
      <c r="FN82" s="59">
        <f t="shared" si="296"/>
        <v>44.217207224298505</v>
      </c>
      <c r="FO82" s="59">
        <f t="shared" si="296"/>
        <v>53.357950087008241</v>
      </c>
      <c r="FP82" s="59">
        <f t="shared" si="296"/>
        <v>60.363362047622211</v>
      </c>
      <c r="FQ82" s="59">
        <f t="shared" si="296"/>
        <v>67.05268730131823</v>
      </c>
      <c r="FR82" s="59">
        <f t="shared" ref="FR82:FU82" si="297">FR81/FR83</f>
        <v>68.724522812953566</v>
      </c>
      <c r="FS82" s="59">
        <f t="shared" si="297"/>
        <v>71.57456182363174</v>
      </c>
      <c r="FT82" s="59">
        <f t="shared" si="297"/>
        <v>75.030247686767581</v>
      </c>
      <c r="FU82" s="59">
        <f t="shared" si="297"/>
        <v>79.033480172071847</v>
      </c>
      <c r="FV82" s="59">
        <f>FV81/FV83</f>
        <v>78.90656094666123</v>
      </c>
    </row>
    <row r="83" spans="1:251" x14ac:dyDescent="0.2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11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v>904.05899999999997</v>
      </c>
      <c r="DS83" s="51">
        <v>900.6</v>
      </c>
      <c r="DT83" s="51">
        <f t="shared" ref="DR83:DV83" si="299">+DS83</f>
        <v>900.6</v>
      </c>
      <c r="DU83" s="51">
        <f t="shared" si="299"/>
        <v>900.6</v>
      </c>
      <c r="DV83" s="51">
        <f t="shared" si="299"/>
        <v>900.6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904.28400000000011</v>
      </c>
      <c r="FL83" s="49">
        <f t="shared" ref="FL83:FQ83" si="301">+FK83</f>
        <v>904.28400000000011</v>
      </c>
      <c r="FM83" s="49">
        <f t="shared" si="301"/>
        <v>904.28400000000011</v>
      </c>
      <c r="FN83" s="49">
        <f t="shared" si="301"/>
        <v>904.28400000000011</v>
      </c>
      <c r="FO83" s="49">
        <f t="shared" si="301"/>
        <v>904.28400000000011</v>
      </c>
      <c r="FP83" s="49">
        <f t="shared" si="301"/>
        <v>904.28400000000011</v>
      </c>
      <c r="FQ83" s="49">
        <f t="shared" si="301"/>
        <v>904.28400000000011</v>
      </c>
      <c r="FR83" s="49">
        <f t="shared" ref="FR83" si="302">+FQ83</f>
        <v>904.28400000000011</v>
      </c>
      <c r="FS83" s="49">
        <f t="shared" ref="FS83" si="303">+FR83</f>
        <v>904.28400000000011</v>
      </c>
      <c r="FT83" s="49">
        <f t="shared" ref="FT83" si="304">+FS83</f>
        <v>904.28400000000011</v>
      </c>
      <c r="FU83" s="49">
        <f t="shared" ref="FU83" si="305">+FT83</f>
        <v>904.28400000000011</v>
      </c>
      <c r="FV83" s="49">
        <f>+FU83</f>
        <v>904.28400000000011</v>
      </c>
    </row>
    <row r="84" spans="1:251" x14ac:dyDescent="0.2">
      <c r="A84" s="102"/>
      <c r="AW84" s="51"/>
    </row>
    <row r="85" spans="1:251" s="55" customFormat="1" x14ac:dyDescent="0.2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0.45438133167129724</v>
      </c>
      <c r="DS85" s="61">
        <f>DS71/DO71-1</f>
        <v>0.45161547848499728</v>
      </c>
      <c r="DT85" s="61">
        <f t="shared" si="327"/>
        <v>0.26966388562025045</v>
      </c>
      <c r="DU85" s="61">
        <f t="shared" si="327"/>
        <v>0.3343100916147983</v>
      </c>
      <c r="DV85" s="61">
        <f t="shared" si="327"/>
        <v>0.21876643803826523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J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 t="shared" ref="FK85:FV85" si="336">FK71/FJ71-1</f>
        <v>0.40657205498564286</v>
      </c>
      <c r="FL85" s="62">
        <f t="shared" si="336"/>
        <v>0.3090084181864361</v>
      </c>
      <c r="FM85" s="62">
        <f t="shared" si="336"/>
        <v>0.2253374668022039</v>
      </c>
      <c r="FN85" s="62">
        <f t="shared" si="336"/>
        <v>0.25474825435562543</v>
      </c>
      <c r="FO85" s="62">
        <f t="shared" si="336"/>
        <v>0.19420357949389855</v>
      </c>
      <c r="FP85" s="62">
        <f t="shared" si="336"/>
        <v>0.11862522667153486</v>
      </c>
      <c r="FQ85" s="62">
        <f t="shared" si="336"/>
        <v>-1.1201947641540033E-2</v>
      </c>
      <c r="FR85" s="62">
        <f t="shared" si="336"/>
        <v>9.3984162679670025E-3</v>
      </c>
      <c r="FS85" s="62">
        <f t="shared" si="336"/>
        <v>2.7209436017791244E-2</v>
      </c>
      <c r="FT85" s="62">
        <f t="shared" si="336"/>
        <v>3.4963612266505351E-2</v>
      </c>
      <c r="FU85" s="62">
        <f t="shared" si="336"/>
        <v>4.0979882927342226E-2</v>
      </c>
      <c r="FV85" s="62">
        <f t="shared" si="336"/>
        <v>-1.9543996731695601E-2</v>
      </c>
    </row>
    <row r="86" spans="1:251" s="55" customFormat="1" x14ac:dyDescent="0.2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>
        <v>0.47</v>
      </c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>
        <f t="shared" ref="DS87" si="338">+DS5/DO5-1</f>
        <v>-0.24795715168577892</v>
      </c>
      <c r="DT87" s="66">
        <f t="shared" ref="DT87" si="339">+DT5/DP5-1</f>
        <v>-0.20102761721258822</v>
      </c>
      <c r="DU87" s="66">
        <f t="shared" ref="DU87" si="340">+DU5/DQ5-1</f>
        <v>-0.31212540341171047</v>
      </c>
      <c r="DV87" s="66">
        <f t="shared" ref="DV87" si="341">+DV5/DR5-1</f>
        <v>-0.36394176931690925</v>
      </c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42">+FB5/FA5-1</f>
        <v>23.3921568627451</v>
      </c>
      <c r="FC87" s="96">
        <f t="shared" si="342"/>
        <v>2.719855305466238</v>
      </c>
      <c r="FD87" s="96">
        <f t="shared" si="342"/>
        <v>1.1931928687196112</v>
      </c>
      <c r="FE87" s="96">
        <f t="shared" si="342"/>
        <v>0.57606660754754158</v>
      </c>
      <c r="FF87" s="96">
        <f t="shared" si="342"/>
        <v>0.29030039698665222</v>
      </c>
      <c r="FG87" s="96">
        <f t="shared" si="342"/>
        <v>0.22782111536411676</v>
      </c>
      <c r="FH87" s="96">
        <f t="shared" si="342"/>
        <v>0.2769425042421374</v>
      </c>
      <c r="FI87" s="96">
        <f t="shared" si="342"/>
        <v>0.14957198924565041</v>
      </c>
      <c r="FJ87" s="96">
        <f t="shared" si="342"/>
        <v>-4.1304873786929819E-2</v>
      </c>
      <c r="FK87" s="96">
        <f t="shared" ref="FK87" si="343">+FK5/FJ5-1</f>
        <v>-0.26344199088678588</v>
      </c>
      <c r="FL87" s="96">
        <f t="shared" ref="FL87" si="344">+FL5/FK5-1</f>
        <v>-0.28032740078043206</v>
      </c>
      <c r="FM87" s="96">
        <f t="shared" ref="FM87" si="345">+FM5/FL5-1</f>
        <v>-0.19999999999999996</v>
      </c>
      <c r="FN87" s="96">
        <f t="shared" ref="FN87" si="346">+FN5/FM5-1</f>
        <v>-0.19999999999999996</v>
      </c>
      <c r="FO87" s="96">
        <f t="shared" ref="FO87" si="347">+FO5/FN5-1</f>
        <v>-0.19999999999999996</v>
      </c>
      <c r="FP87" s="96">
        <f t="shared" ref="FP87" si="348">+FP5/FO5-1</f>
        <v>-0.19999999999999996</v>
      </c>
      <c r="FQ87" s="96">
        <f t="shared" ref="FQ87" si="349">+FQ5/FP5-1</f>
        <v>-0.19999999999999996</v>
      </c>
      <c r="FR87" s="96">
        <f t="shared" ref="FR87" si="350">+FR5/FQ5-1</f>
        <v>-0.19999999999999996</v>
      </c>
      <c r="FS87" s="96">
        <f t="shared" ref="FS87" si="351">+FS5/FR5-1</f>
        <v>-0.19999999999999996</v>
      </c>
      <c r="FT87" s="96">
        <f t="shared" ref="FT87" si="352">+FT5/FS5-1</f>
        <v>-0.19999999999999996</v>
      </c>
      <c r="FU87" s="96">
        <f t="shared" ref="FU87" si="353">+FU5/FT5-1</f>
        <v>-0.19999999999999996</v>
      </c>
      <c r="FV87" s="96">
        <f t="shared" ref="FV87" si="354">+FV5/FU5-1</f>
        <v>-0.19999999999999996</v>
      </c>
    </row>
    <row r="88" spans="1:251" s="38" customFormat="1" x14ac:dyDescent="0.2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>
        <f t="shared" ref="DS88:DV88" si="355">DS6/DO6-1</f>
        <v>1.126653750345973</v>
      </c>
      <c r="DT88" s="66">
        <f t="shared" si="355"/>
        <v>0.4047495793969198</v>
      </c>
      <c r="DU88" s="66">
        <f t="shared" si="355"/>
        <v>0.55549844186718933</v>
      </c>
      <c r="DV88" s="66">
        <f t="shared" si="355"/>
        <v>0.51321492308999761</v>
      </c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6">FL6/FK6-1</f>
        <v>0.59159799308498195</v>
      </c>
      <c r="FM88" s="96">
        <f t="shared" si="356"/>
        <v>0.39999999999999991</v>
      </c>
      <c r="FN88" s="96">
        <f t="shared" si="356"/>
        <v>0.39999999999999991</v>
      </c>
      <c r="FO88" s="96">
        <f t="shared" si="356"/>
        <v>0.19999999999999996</v>
      </c>
      <c r="FP88" s="96">
        <f t="shared" si="356"/>
        <v>0.10000000000000009</v>
      </c>
      <c r="FQ88" s="96">
        <f t="shared" si="356"/>
        <v>0.10000000000000009</v>
      </c>
      <c r="FR88" s="96">
        <f t="shared" si="356"/>
        <v>-9.9999999999999867E-2</v>
      </c>
      <c r="FS88" s="96">
        <f t="shared" si="356"/>
        <v>-9.9999999999999978E-2</v>
      </c>
      <c r="FT88" s="96">
        <f t="shared" si="356"/>
        <v>-0.10000000000000009</v>
      </c>
      <c r="FU88" s="96">
        <f t="shared" si="356"/>
        <v>-9.9999999999999978E-2</v>
      </c>
      <c r="FV88" s="96">
        <f t="shared" si="356"/>
        <v>-9.9999999999999978E-2</v>
      </c>
    </row>
    <row r="89" spans="1:251" s="38" customFormat="1" x14ac:dyDescent="0.2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7">+CN11/CJ11-1</f>
        <v>6.1865284974093253</v>
      </c>
      <c r="CO89" s="66">
        <f t="shared" si="357"/>
        <v>3.6553846153846159</v>
      </c>
      <c r="CP89" s="66">
        <f t="shared" si="357"/>
        <v>1.8140293637846656</v>
      </c>
      <c r="CQ89" s="66">
        <f t="shared" si="357"/>
        <v>0.51656314699792971</v>
      </c>
      <c r="CR89" s="66">
        <f t="shared" si="357"/>
        <v>0.58687815428983425</v>
      </c>
      <c r="CS89" s="66">
        <f t="shared" si="357"/>
        <v>0.74421678783873069</v>
      </c>
      <c r="CT89" s="66">
        <f t="shared" si="357"/>
        <v>0.77971014492753632</v>
      </c>
      <c r="CU89" s="66">
        <f t="shared" si="357"/>
        <v>0.72354948805460761</v>
      </c>
      <c r="CV89" s="66">
        <f t="shared" si="357"/>
        <v>0.607451158564289</v>
      </c>
      <c r="CW89" s="66">
        <f t="shared" si="357"/>
        <v>0.28836680560818495</v>
      </c>
      <c r="CX89" s="66">
        <f t="shared" si="357"/>
        <v>0.36840390879478835</v>
      </c>
      <c r="CY89" s="66">
        <f t="shared" si="357"/>
        <v>0.75643564356435644</v>
      </c>
      <c r="CZ89" s="66">
        <f t="shared" si="357"/>
        <v>0.11701526286037311</v>
      </c>
      <c r="DA89" s="66">
        <f t="shared" si="357"/>
        <v>0.33676470588235285</v>
      </c>
      <c r="DB89" s="66">
        <f t="shared" si="357"/>
        <v>0.17900499880980725</v>
      </c>
      <c r="DC89" s="66">
        <f t="shared" si="357"/>
        <v>-9.0868094701240132E-2</v>
      </c>
      <c r="DD89" s="66">
        <f t="shared" si="357"/>
        <v>0.44003036437246967</v>
      </c>
      <c r="DE89" s="66">
        <f t="shared" si="357"/>
        <v>0.304950495049505</v>
      </c>
      <c r="DF89" s="66">
        <f t="shared" si="357"/>
        <v>0.30708661417322825</v>
      </c>
      <c r="DG89" s="66">
        <f t="shared" si="357"/>
        <v>0.21056547619047628</v>
      </c>
      <c r="DH89" s="66">
        <f t="shared" si="357"/>
        <v>6.519065190651907E-2</v>
      </c>
      <c r="DI89" s="66">
        <f t="shared" si="357"/>
        <v>0.14634968807958182</v>
      </c>
      <c r="DJ89" s="66">
        <f t="shared" si="357"/>
        <v>9.3296261970960748E-2</v>
      </c>
      <c r="DK89" s="66">
        <f t="shared" si="357"/>
        <v>7.9696783446015163E-2</v>
      </c>
      <c r="DL89" s="66">
        <f t="shared" si="357"/>
        <v>0.16116793137578345</v>
      </c>
      <c r="DM89" s="66">
        <f t="shared" si="357"/>
        <v>9.4572731284012557E-2</v>
      </c>
      <c r="DN89" s="66">
        <f t="shared" si="357"/>
        <v>0.10850522746538571</v>
      </c>
      <c r="DO89" s="66">
        <f t="shared" si="357"/>
        <v>0.14629981024667926</v>
      </c>
      <c r="DP89" s="66">
        <f t="shared" si="357"/>
        <v>0.17161528626225331</v>
      </c>
      <c r="DQ89" s="66">
        <f t="shared" si="357"/>
        <v>0.18194033861865089</v>
      </c>
      <c r="DR89" s="66">
        <f t="shared" si="357"/>
        <v>0.21335712464950296</v>
      </c>
      <c r="DS89" s="66">
        <f t="shared" ref="DS89:DS90" si="358">+DS11/DO11-1</f>
        <v>0.26121503062406881</v>
      </c>
      <c r="DT89" s="66">
        <f t="shared" ref="DT89:DT90" si="359">+DT11/DP11-1</f>
        <v>0.19999999999999996</v>
      </c>
      <c r="DU89" s="66">
        <f t="shared" ref="DU89:DU90" si="360">+DU11/DQ11-1</f>
        <v>0.19999999999999996</v>
      </c>
      <c r="DV89" s="66">
        <f t="shared" ref="DV89:DV90" si="361">+DV11/DR11-1</f>
        <v>0.19999999999999996</v>
      </c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62">+FE11/FD11-1</f>
        <v>0.67680200321945971</v>
      </c>
      <c r="FF89" s="96">
        <f t="shared" si="362"/>
        <v>0.45749333333333353</v>
      </c>
      <c r="FG89" s="96">
        <f t="shared" si="362"/>
        <v>0.3089139344262295</v>
      </c>
      <c r="FH89" s="96">
        <f t="shared" si="362"/>
        <v>0.23723790886217522</v>
      </c>
      <c r="FI89" s="96">
        <f t="shared" si="362"/>
        <v>0.12165582067968184</v>
      </c>
      <c r="FJ89" s="96">
        <f t="shared" si="362"/>
        <v>0.11188557614826755</v>
      </c>
      <c r="FK89" s="96">
        <f t="shared" si="362"/>
        <v>0.18143276443091638</v>
      </c>
      <c r="FL89" s="96">
        <f t="shared" si="362"/>
        <v>0.21134216660532457</v>
      </c>
      <c r="FM89" s="96">
        <f t="shared" si="362"/>
        <v>0.19999999999999996</v>
      </c>
      <c r="FN89" s="96">
        <f t="shared" si="362"/>
        <v>0.10000000000000009</v>
      </c>
      <c r="FO89" s="96">
        <f t="shared" si="362"/>
        <v>0.10000000000000009</v>
      </c>
      <c r="FP89" s="96">
        <f t="shared" si="362"/>
        <v>0.10000000000000009</v>
      </c>
      <c r="FQ89" s="96">
        <f t="shared" si="362"/>
        <v>5.0000000000000044E-2</v>
      </c>
      <c r="FR89" s="96">
        <f t="shared" si="362"/>
        <v>5.0000000000000044E-2</v>
      </c>
      <c r="FS89" s="96">
        <f t="shared" si="362"/>
        <v>5.0000000000000044E-2</v>
      </c>
      <c r="FT89" s="96">
        <f t="shared" si="362"/>
        <v>5.0000000000000044E-2</v>
      </c>
      <c r="FU89" s="96">
        <f t="shared" si="362"/>
        <v>5.0000000000000044E-2</v>
      </c>
      <c r="FV89" s="96">
        <f t="shared" si="362"/>
        <v>5.0000000000000044E-2</v>
      </c>
    </row>
    <row r="90" spans="1:251" s="38" customFormat="1" x14ac:dyDescent="0.2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63">+CT12/CP12-1</f>
        <v>2.9571428571428569</v>
      </c>
      <c r="CU90" s="66">
        <f t="shared" si="363"/>
        <v>2.6835016835016838</v>
      </c>
      <c r="CV90" s="66">
        <f t="shared" si="363"/>
        <v>1.3206239168110918</v>
      </c>
      <c r="CW90" s="66">
        <f t="shared" si="363"/>
        <v>0.86035502958579868</v>
      </c>
      <c r="CX90" s="66">
        <f t="shared" si="363"/>
        <v>1.1552346570397112</v>
      </c>
      <c r="CY90" s="66">
        <f t="shared" si="363"/>
        <v>0.71846435100548445</v>
      </c>
      <c r="CZ90" s="66">
        <f t="shared" si="363"/>
        <v>0.55787901418969366</v>
      </c>
      <c r="DA90" s="66">
        <f t="shared" si="363"/>
        <v>0.49109414758269732</v>
      </c>
      <c r="DB90" s="66">
        <f t="shared" si="363"/>
        <v>0.57230597431602481</v>
      </c>
      <c r="DC90" s="66">
        <f t="shared" si="363"/>
        <v>0.43085106382978733</v>
      </c>
      <c r="DD90" s="66">
        <f t="shared" si="363"/>
        <v>0.63614573346116976</v>
      </c>
      <c r="DE90" s="66">
        <f t="shared" si="363"/>
        <v>0.43131399317406149</v>
      </c>
      <c r="DF90" s="66">
        <f t="shared" si="363"/>
        <v>0.43501420454545459</v>
      </c>
      <c r="DG90" s="66">
        <f t="shared" si="363"/>
        <v>0.7449814126394052</v>
      </c>
      <c r="DH90" s="66">
        <f t="shared" si="363"/>
        <v>0.72428948139466742</v>
      </c>
      <c r="DI90" s="66">
        <f t="shared" si="363"/>
        <v>0.84113263785394943</v>
      </c>
      <c r="DJ90" s="66">
        <f t="shared" si="363"/>
        <v>0.99950507300173208</v>
      </c>
      <c r="DK90" s="66">
        <f t="shared" si="363"/>
        <v>0.59970174691095024</v>
      </c>
      <c r="DL90" s="66">
        <f t="shared" si="363"/>
        <v>0.57485131690739166</v>
      </c>
      <c r="DM90" s="66">
        <f t="shared" si="363"/>
        <v>0.68398899141978298</v>
      </c>
      <c r="DN90" s="66">
        <f t="shared" si="363"/>
        <v>0.41757425742574261</v>
      </c>
      <c r="DO90" s="66">
        <f t="shared" si="363"/>
        <v>0.39872153415900913</v>
      </c>
      <c r="DP90" s="66">
        <f t="shared" si="363"/>
        <v>0.43709538195943054</v>
      </c>
      <c r="DQ90" s="66">
        <f t="shared" si="363"/>
        <v>0.31638146510286469</v>
      </c>
      <c r="DR90" s="66">
        <f t="shared" si="363"/>
        <v>0.35777894185437398</v>
      </c>
      <c r="DS90" s="66">
        <f t="shared" si="358"/>
        <v>0.1033990288489004</v>
      </c>
      <c r="DT90" s="66">
        <f t="shared" si="359"/>
        <v>0.10000000000000009</v>
      </c>
      <c r="DU90" s="66">
        <f t="shared" si="360"/>
        <v>0.10000000000000009</v>
      </c>
      <c r="DV90" s="66">
        <f t="shared" si="361"/>
        <v>0.10000000000000009</v>
      </c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64">+FE12/FD12-1</f>
        <v>11.142857142857142</v>
      </c>
      <c r="FF90" s="96">
        <f t="shared" si="364"/>
        <v>1.2729411764705882</v>
      </c>
      <c r="FG90" s="96">
        <f t="shared" si="364"/>
        <v>0.57453416149068315</v>
      </c>
      <c r="FH90" s="96">
        <f t="shared" si="364"/>
        <v>0.47918036379574858</v>
      </c>
      <c r="FI90" s="96">
        <f t="shared" si="364"/>
        <v>0.83983998814727023</v>
      </c>
      <c r="FJ90" s="96">
        <f t="shared" si="364"/>
        <v>0.55552423900789139</v>
      </c>
      <c r="FK90" s="96">
        <f t="shared" si="364"/>
        <v>0.3736184091320891</v>
      </c>
      <c r="FL90" s="96">
        <f t="shared" si="364"/>
        <v>0.10067273446774849</v>
      </c>
      <c r="FM90" s="96">
        <f t="shared" si="364"/>
        <v>1.0000000000000009E-2</v>
      </c>
      <c r="FN90" s="96">
        <f t="shared" si="364"/>
        <v>1.0000000000000009E-2</v>
      </c>
      <c r="FO90" s="96">
        <f t="shared" si="364"/>
        <v>1.0000000000000009E-2</v>
      </c>
      <c r="FP90" s="96">
        <f t="shared" si="364"/>
        <v>1.0000000000000009E-2</v>
      </c>
      <c r="FQ90" s="96">
        <f t="shared" si="364"/>
        <v>-0.9</v>
      </c>
      <c r="FR90" s="96">
        <f t="shared" si="364"/>
        <v>-0.9</v>
      </c>
      <c r="FS90" s="96">
        <f t="shared" si="364"/>
        <v>-0.9</v>
      </c>
      <c r="FT90" s="96">
        <f t="shared" si="364"/>
        <v>-0.9</v>
      </c>
      <c r="FU90" s="96">
        <f t="shared" si="364"/>
        <v>-0.9</v>
      </c>
      <c r="FV90" s="96">
        <f t="shared" si="364"/>
        <v>-0.9</v>
      </c>
    </row>
    <row r="91" spans="1:251" s="38" customFormat="1" x14ac:dyDescent="0.2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65">+CI14/CE14-1</f>
        <v>0.97927461139896388</v>
      </c>
      <c r="CJ91" s="66">
        <f t="shared" si="365"/>
        <v>2.612612612612613</v>
      </c>
      <c r="CK91" s="66">
        <f t="shared" si="365"/>
        <v>2.0844155844155843</v>
      </c>
      <c r="CL91" s="66">
        <f t="shared" si="365"/>
        <v>4.212328767123287</v>
      </c>
      <c r="CM91" s="66">
        <f t="shared" si="365"/>
        <v>0.93717277486910988</v>
      </c>
      <c r="CN91" s="66">
        <f t="shared" si="365"/>
        <v>1.57356608478803</v>
      </c>
      <c r="CO91" s="66">
        <f t="shared" si="365"/>
        <v>1.6778947368421053</v>
      </c>
      <c r="CP91" s="66">
        <f t="shared" si="365"/>
        <v>0.88173455978975035</v>
      </c>
      <c r="CQ91" s="66">
        <f t="shared" si="365"/>
        <v>1.0405405405405403</v>
      </c>
      <c r="CR91" s="66">
        <f t="shared" si="365"/>
        <v>0.42635658914728669</v>
      </c>
      <c r="CS91" s="66">
        <f t="shared" si="365"/>
        <v>0.31210691823899372</v>
      </c>
      <c r="CT91" s="66">
        <f t="shared" ref="CT91:DC91" si="366">+CT14/CP14-1</f>
        <v>0.34916201117318435</v>
      </c>
      <c r="CU91" s="66">
        <f t="shared" si="366"/>
        <v>0.34834437086092707</v>
      </c>
      <c r="CV91" s="66">
        <f t="shared" si="366"/>
        <v>0.57540760869565233</v>
      </c>
      <c r="CW91" s="66">
        <f t="shared" si="366"/>
        <v>0.44218094667465535</v>
      </c>
      <c r="CX91" s="66">
        <f t="shared" si="366"/>
        <v>0.38716356107660466</v>
      </c>
      <c r="CY91" s="66">
        <f t="shared" si="366"/>
        <v>0.31385068762278978</v>
      </c>
      <c r="CZ91" s="66">
        <f t="shared" si="366"/>
        <v>0.1297973264338077</v>
      </c>
      <c r="DA91" s="66">
        <f t="shared" si="366"/>
        <v>0.29123390112172842</v>
      </c>
      <c r="DB91" s="66">
        <f t="shared" si="366"/>
        <v>0.17014925373134338</v>
      </c>
      <c r="DC91" s="66">
        <f t="shared" si="366"/>
        <v>0.16635514018691588</v>
      </c>
      <c r="DD91" s="66">
        <f t="shared" ref="DD91:DM91" si="367">+DD14/CZ14-1</f>
        <v>0.36068702290076327</v>
      </c>
      <c r="DE91" s="66">
        <f t="shared" si="367"/>
        <v>0.25611325611325597</v>
      </c>
      <c r="DF91" s="66">
        <f t="shared" si="367"/>
        <v>0.37723214285714279</v>
      </c>
      <c r="DG91" s="66">
        <f t="shared" si="367"/>
        <v>0.34423076923076912</v>
      </c>
      <c r="DH91" s="66">
        <f t="shared" si="367"/>
        <v>0.29312762973352036</v>
      </c>
      <c r="DI91" s="66">
        <f t="shared" si="367"/>
        <v>0.46849385245901631</v>
      </c>
      <c r="DJ91" s="66">
        <f t="shared" si="367"/>
        <v>0.41768927992590865</v>
      </c>
      <c r="DK91" s="66">
        <f t="shared" si="367"/>
        <v>0.37696709585121613</v>
      </c>
      <c r="DL91" s="66">
        <f t="shared" si="367"/>
        <v>0.44967462039045536</v>
      </c>
      <c r="DM91" s="66">
        <f t="shared" si="367"/>
        <v>0.22239665096807948</v>
      </c>
      <c r="DN91" s="66">
        <f t="shared" ref="DN91:DR91" si="368">+DN14/DJ14-1</f>
        <v>0.30344602319124636</v>
      </c>
      <c r="DO91" s="66">
        <f t="shared" si="368"/>
        <v>0.18874458874458866</v>
      </c>
      <c r="DP91" s="66">
        <f t="shared" si="368"/>
        <v>0.15157863235074087</v>
      </c>
      <c r="DQ91" s="66">
        <f t="shared" si="368"/>
        <v>-2.0547945205479423E-2</v>
      </c>
      <c r="DR91" s="66">
        <f t="shared" si="368"/>
        <v>0.50156621977195837</v>
      </c>
      <c r="DS91" s="66">
        <f t="shared" ref="DS91" si="369">+DS14/DO14-1</f>
        <v>0.47764020393299345</v>
      </c>
      <c r="DT91" s="66">
        <f t="shared" ref="DT91" si="370">+DT14/DP14-1</f>
        <v>0.34407484407484423</v>
      </c>
      <c r="DU91" s="66">
        <f t="shared" ref="DU91" si="371">+DU14/DQ14-1</f>
        <v>0.53613053613053641</v>
      </c>
      <c r="DV91" s="66">
        <f t="shared" ref="DV91" si="372">+DV14/DR14-1</f>
        <v>-0.10347129506008013</v>
      </c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73">AU82/AQ82-1</f>
        <v>0.24227833061457504</v>
      </c>
      <c r="AV92" s="66">
        <f t="shared" si="373"/>
        <v>0.54656637892619053</v>
      </c>
      <c r="AW92" s="66">
        <f t="shared" si="373"/>
        <v>0.33969062540056982</v>
      </c>
      <c r="AX92" s="66">
        <f t="shared" si="373"/>
        <v>2.3042448332134815</v>
      </c>
      <c r="AY92" s="66">
        <f t="shared" si="373"/>
        <v>0.78264619506510846</v>
      </c>
      <c r="AZ92" s="66">
        <f t="shared" si="373"/>
        <v>-8.2925871665907591E-2</v>
      </c>
      <c r="BA92" s="66">
        <f t="shared" si="373"/>
        <v>2.2085042842024705</v>
      </c>
      <c r="BB92" s="66">
        <f t="shared" si="373"/>
        <v>0.1870513600647703</v>
      </c>
      <c r="BC92" s="66">
        <f t="shared" si="373"/>
        <v>1.731425100430636</v>
      </c>
      <c r="BD92" s="66">
        <f t="shared" si="373"/>
        <v>3.7362930227057349</v>
      </c>
      <c r="BE92" s="66">
        <f t="shared" si="373"/>
        <v>0.17487628448498183</v>
      </c>
      <c r="BF92" s="66">
        <f t="shared" si="373"/>
        <v>-0.52026113261404561</v>
      </c>
      <c r="BG92" s="66">
        <f t="shared" si="373"/>
        <v>-0.57728356037442752</v>
      </c>
      <c r="BH92" s="66">
        <f t="shared" si="373"/>
        <v>-0.60384987633693532</v>
      </c>
      <c r="BI92" s="66">
        <f t="shared" si="373"/>
        <v>-0.45386568723743781</v>
      </c>
      <c r="BJ92" s="66">
        <f t="shared" si="373"/>
        <v>-0.17935478589422826</v>
      </c>
      <c r="BK92" s="66">
        <f t="shared" si="373"/>
        <v>0.1144033426114861</v>
      </c>
      <c r="BL92" s="66">
        <f t="shared" si="373"/>
        <v>0.28860862968049394</v>
      </c>
      <c r="BM92" s="66">
        <f t="shared" si="373"/>
        <v>-0.10728645122357194</v>
      </c>
      <c r="BN92" s="66">
        <f t="shared" si="373"/>
        <v>0.24088397214917667</v>
      </c>
      <c r="BO92" s="66">
        <f t="shared" si="373"/>
        <v>5.1382705842108578E-2</v>
      </c>
      <c r="BP92" s="66">
        <f t="shared" si="373"/>
        <v>-6.5788977619371525E-2</v>
      </c>
      <c r="BQ92" s="66">
        <f t="shared" si="373"/>
        <v>-7.1925548393590666E-2</v>
      </c>
      <c r="BR92" s="66">
        <f t="shared" si="373"/>
        <v>-0.22750132460794636</v>
      </c>
      <c r="BS92" s="66">
        <f t="shared" si="373"/>
        <v>-0.25615165684029639</v>
      </c>
      <c r="BT92" s="66">
        <f t="shared" si="373"/>
        <v>-0.28127885987742418</v>
      </c>
      <c r="BU92" s="66">
        <f t="shared" si="373"/>
        <v>-0.29593098547977148</v>
      </c>
      <c r="BV92" s="66">
        <f t="shared" si="373"/>
        <v>6.4600727857465623E-2</v>
      </c>
      <c r="BW92" s="66">
        <f t="shared" si="373"/>
        <v>6.9797382424570564E-2</v>
      </c>
      <c r="BX92" s="66">
        <f t="shared" si="373"/>
        <v>0.41810682529532461</v>
      </c>
      <c r="BY92" s="66">
        <f t="shared" si="373"/>
        <v>0.39984491447748982</v>
      </c>
      <c r="BZ92" s="66">
        <f t="shared" ref="BZ92" si="374">+BZ82/BV82-1</f>
        <v>-0.17908617525056403</v>
      </c>
      <c r="CA92" s="66">
        <f t="shared" ref="CA92" si="375">+CA82/BW82-1</f>
        <v>-0.38848476873388582</v>
      </c>
      <c r="CB92" s="66">
        <f t="shared" ref="CB92" si="376">+CB82/BX82-1</f>
        <v>-0.50355974944012782</v>
      </c>
      <c r="CC92" s="66">
        <f t="shared" ref="CC92" si="377">+CC82/BY82-1</f>
        <v>-0.6268077871262776</v>
      </c>
      <c r="CD92" s="66">
        <f t="shared" ref="CD92:CH92" si="378">+CD82/BZ82-1</f>
        <v>-0.18783940646311048</v>
      </c>
      <c r="CE92" s="66">
        <f t="shared" si="378"/>
        <v>0.10295041397840432</v>
      </c>
      <c r="CF92" s="66">
        <f t="shared" si="378"/>
        <v>0.91139320767904608</v>
      </c>
      <c r="CG92" s="66">
        <f t="shared" si="378"/>
        <v>0.5169613768087753</v>
      </c>
      <c r="CH92" s="66">
        <f t="shared" si="378"/>
        <v>6.3626988700353992E-2</v>
      </c>
      <c r="CI92" s="66">
        <f t="shared" ref="CI92" si="379">+CI82/CE82-1</f>
        <v>0.23250916922393094</v>
      </c>
      <c r="CJ92" s="66">
        <f t="shared" ref="CJ92" si="380">+CJ82/CF82-1</f>
        <v>-0.21073591805089609</v>
      </c>
      <c r="CK92" s="66">
        <f t="shared" ref="CK92" si="381">+CK82/CG82-1</f>
        <v>0.15419301941534758</v>
      </c>
      <c r="CL92" s="66">
        <f t="shared" ref="CL92" si="382">+CL82/CH82-1</f>
        <v>0.3170296226644651</v>
      </c>
      <c r="CM92" s="66">
        <f t="shared" ref="CM92" si="383">+CM82/CI82-1</f>
        <v>-6.9289455650238252E-2</v>
      </c>
      <c r="CN92" s="66">
        <f t="shared" ref="CN92:CQ92" si="384">+CN82/CJ82-1</f>
        <v>1.0684769275743689E-2</v>
      </c>
      <c r="CO92" s="66">
        <f t="shared" si="384"/>
        <v>0.39398235910848012</v>
      </c>
      <c r="CP92" s="66">
        <f t="shared" si="384"/>
        <v>0.22523961679788629</v>
      </c>
      <c r="CQ92" s="66">
        <f t="shared" si="384"/>
        <v>-0.46882860755108235</v>
      </c>
      <c r="CR92" s="66">
        <f t="shared" ref="CR92" si="385">+CR82/CN82-1</f>
        <v>0.49230638070497101</v>
      </c>
      <c r="CS92" s="66">
        <f t="shared" ref="CS92" si="386">+CS82/CO82-1</f>
        <v>0.24713714508369033</v>
      </c>
      <c r="CT92" s="66">
        <f t="shared" ref="CT92" si="387">+CT82/CP82-1</f>
        <v>0.43212564887758509</v>
      </c>
      <c r="CU92" s="66">
        <f t="shared" ref="CU92" si="388">+CU82/CQ82-1</f>
        <v>1.7513420507993556</v>
      </c>
      <c r="CV92" s="66">
        <f t="shared" ref="CV92:DF92" si="389">+CV82/CR82-1</f>
        <v>8.6392868503512688E-2</v>
      </c>
      <c r="CW92" s="66">
        <f t="shared" si="389"/>
        <v>0.11845562103386764</v>
      </c>
      <c r="CX92" s="66">
        <f t="shared" si="389"/>
        <v>-2.3716548886028588E-2</v>
      </c>
      <c r="CY92" s="66">
        <f t="shared" si="389"/>
        <v>0.41134642228191165</v>
      </c>
      <c r="CZ92" s="66">
        <f t="shared" si="389"/>
        <v>-6.1677293908494524E-2</v>
      </c>
      <c r="DA92" s="66">
        <f t="shared" si="389"/>
        <v>-9.3928791890615648E-2</v>
      </c>
      <c r="DB92" s="66">
        <f t="shared" si="389"/>
        <v>0.40022763994078892</v>
      </c>
      <c r="DC92" s="66">
        <f t="shared" si="389"/>
        <v>0.24076955289661717</v>
      </c>
      <c r="DD92" s="66">
        <f t="shared" si="389"/>
        <v>0.38318594312768117</v>
      </c>
      <c r="DE92" s="66">
        <f t="shared" si="389"/>
        <v>0.45580624220564636</v>
      </c>
      <c r="DF92" s="66">
        <f t="shared" si="389"/>
        <v>0.17005727482444555</v>
      </c>
      <c r="DG92" s="66">
        <f>+DG82/DC82-1</f>
        <v>0.43758303199128945</v>
      </c>
      <c r="DH92" s="66">
        <f t="shared" ref="DH92:DN92" si="390">+DH82/DD82-1</f>
        <v>1.1450043970479884E-2</v>
      </c>
      <c r="DI92" s="66">
        <f t="shared" si="390"/>
        <v>2.3716730966681032E-2</v>
      </c>
      <c r="DJ92" s="66">
        <f t="shared" si="390"/>
        <v>-7.6791808189561661E-2</v>
      </c>
      <c r="DK92" s="66">
        <f t="shared" si="390"/>
        <v>-0.40528199841427992</v>
      </c>
      <c r="DL92" s="66">
        <f t="shared" si="390"/>
        <v>-0.130248576662779</v>
      </c>
      <c r="DM92" s="66">
        <f t="shared" si="390"/>
        <v>0.53275212509008574</v>
      </c>
      <c r="DN92" s="66">
        <f t="shared" si="390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91">+DQ82/DM82-1</f>
        <v>0.52147164221158615</v>
      </c>
      <c r="DR92" s="66">
        <f t="shared" ref="DR92" si="392">+DR82/DN82-1</f>
        <v>0.774635461168379</v>
      </c>
      <c r="DS92" s="66">
        <f t="shared" ref="DS92" si="393">+DS82/DO82-1</f>
        <v>0.93496004729225857</v>
      </c>
      <c r="DT92" s="66">
        <f t="shared" ref="DT92" si="394">+DT82/DP82-1</f>
        <v>0.4065149829267809</v>
      </c>
      <c r="DU92" s="66">
        <f t="shared" ref="DU92" si="395">+DU82/DQ82-1</f>
        <v>0.40987252221790138</v>
      </c>
      <c r="DV92" s="66">
        <f t="shared" ref="DV92" si="396">+DV82/DR82-1</f>
        <v>0.24058759573100352</v>
      </c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97">EO82/EN82-1</f>
        <v>-7.8712768439495151E-2</v>
      </c>
      <c r="EP92" s="67">
        <f t="shared" si="397"/>
        <v>-1.0147762349246858E-2</v>
      </c>
      <c r="EQ92" s="67">
        <f t="shared" si="397"/>
        <v>8.8659943146997877E-2</v>
      </c>
      <c r="ER92" s="67">
        <f t="shared" si="397"/>
        <v>1.8914666658705448E-2</v>
      </c>
      <c r="ES92" s="67">
        <f t="shared" si="397"/>
        <v>0.18158561537982321</v>
      </c>
      <c r="ET92" s="67">
        <f t="shared" si="397"/>
        <v>0.36697720609951956</v>
      </c>
      <c r="EU92" s="67">
        <f t="shared" si="397"/>
        <v>0.82971846943568472</v>
      </c>
      <c r="EV92" s="67">
        <f t="shared" si="397"/>
        <v>-0.49685325768272748</v>
      </c>
      <c r="EW92" s="67">
        <f t="shared" si="397"/>
        <v>-0.14043421391571609</v>
      </c>
      <c r="EX92" s="67">
        <f t="shared" si="397"/>
        <v>9.3314477344200064E-2</v>
      </c>
      <c r="EY92" s="67">
        <f t="shared" si="397"/>
        <v>-0.27187767535042584</v>
      </c>
      <c r="EZ92" s="67">
        <f t="shared" si="397"/>
        <v>-2.5724967872223239</v>
      </c>
      <c r="FA92" s="67">
        <f t="shared" si="397"/>
        <v>-0.19999999999999984</v>
      </c>
      <c r="FB92" s="67">
        <f t="shared" si="397"/>
        <v>-1</v>
      </c>
      <c r="FC92" s="67" t="e">
        <f t="shared" si="397"/>
        <v>#DIV/0!</v>
      </c>
      <c r="FD92" s="67" t="e">
        <f t="shared" si="397"/>
        <v>#DIV/0!</v>
      </c>
      <c r="FE92" s="67">
        <f t="shared" si="397"/>
        <v>0.32373313187086694</v>
      </c>
      <c r="FF92" s="67">
        <f t="shared" si="397"/>
        <v>9.1367282249790627E-2</v>
      </c>
      <c r="FG92" s="67"/>
      <c r="FH92" s="67"/>
    </row>
    <row r="93" spans="1:251" x14ac:dyDescent="0.2">
      <c r="A93" s="102"/>
      <c r="FE93" s="47"/>
      <c r="FF93" s="47"/>
      <c r="FG93" s="47"/>
      <c r="FH93" s="47"/>
    </row>
    <row r="94" spans="1:251" x14ac:dyDescent="0.2">
      <c r="A94" s="102"/>
      <c r="B94" t="s">
        <v>123</v>
      </c>
      <c r="AP94" s="64">
        <f t="shared" ref="AP94:BB94" si="398">AP73/AP71</f>
        <v>0.73930980486629738</v>
      </c>
      <c r="AQ94" s="64">
        <f t="shared" si="398"/>
        <v>0.73235178068634854</v>
      </c>
      <c r="AR94" s="64">
        <f t="shared" si="398"/>
        <v>0.73840333863752361</v>
      </c>
      <c r="AS94" s="64">
        <f t="shared" si="398"/>
        <v>0.74711692764659565</v>
      </c>
      <c r="AT94" s="64">
        <f t="shared" si="398"/>
        <v>0.75394477317554254</v>
      </c>
      <c r="AU94" s="64">
        <f t="shared" si="398"/>
        <v>0.76540229216359301</v>
      </c>
      <c r="AV94" s="64">
        <f t="shared" si="398"/>
        <v>0.76398673281982399</v>
      </c>
      <c r="AW94" s="64">
        <f t="shared" si="398"/>
        <v>0.76998832428042041</v>
      </c>
      <c r="AX94" s="64">
        <f t="shared" si="398"/>
        <v>0.81222054008379396</v>
      </c>
      <c r="AY94" s="64">
        <f t="shared" si="398"/>
        <v>0.78590823644085506</v>
      </c>
      <c r="AZ94" s="64">
        <f t="shared" si="398"/>
        <v>0.76181506032714963</v>
      </c>
      <c r="BA94" s="64">
        <f t="shared" si="398"/>
        <v>0.82123302764734796</v>
      </c>
      <c r="BB94" s="64">
        <f t="shared" si="398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99">BG73/BG71</f>
        <v>0.83310846723087617</v>
      </c>
      <c r="BH94" s="64">
        <f t="shared" si="399"/>
        <v>0.81472572601936055</v>
      </c>
      <c r="BI94" s="64">
        <f t="shared" si="399"/>
        <v>0.81087738223660555</v>
      </c>
      <c r="BJ94" s="64">
        <f t="shared" si="399"/>
        <v>0.75879676440849342</v>
      </c>
      <c r="BK94" s="64">
        <f t="shared" si="399"/>
        <v>0.79536961079208823</v>
      </c>
      <c r="BL94" s="64">
        <f t="shared" si="399"/>
        <v>0.82189016647241986</v>
      </c>
      <c r="BM94" s="64">
        <f t="shared" si="399"/>
        <v>0.82535191341868852</v>
      </c>
      <c r="BN94" s="64">
        <f t="shared" si="399"/>
        <v>0.80084690974915962</v>
      </c>
      <c r="BO94" s="64">
        <f t="shared" si="399"/>
        <v>0.79790039731470075</v>
      </c>
      <c r="BP94" s="64">
        <f t="shared" si="399"/>
        <v>0.80360798362333674</v>
      </c>
      <c r="BQ94" s="64">
        <f t="shared" si="399"/>
        <v>0.78235552447097467</v>
      </c>
      <c r="BR94" s="64">
        <f t="shared" si="399"/>
        <v>0.78143965075322874</v>
      </c>
      <c r="BS94" s="64">
        <f t="shared" si="399"/>
        <v>0.78618092246180205</v>
      </c>
      <c r="BT94" s="64">
        <f t="shared" si="399"/>
        <v>0.79525042406927948</v>
      </c>
      <c r="BU94" s="64">
        <f t="shared" si="399"/>
        <v>0.77885163068442809</v>
      </c>
      <c r="BV94" s="64">
        <f t="shared" si="399"/>
        <v>0.79045876487670585</v>
      </c>
      <c r="BW94" s="64">
        <f t="shared" si="399"/>
        <v>0.79323455908604068</v>
      </c>
      <c r="BX94" s="64">
        <f t="shared" si="399"/>
        <v>0.80349764743578933</v>
      </c>
      <c r="BY94" s="64">
        <f t="shared" si="399"/>
        <v>0.79245054221667877</v>
      </c>
      <c r="BZ94" s="64">
        <f t="shared" si="399"/>
        <v>0.76131042556121742</v>
      </c>
      <c r="CA94" s="64">
        <f t="shared" ref="CA94:CB94" si="400">CA73/CA71</f>
        <v>0.73891225897375679</v>
      </c>
      <c r="CB94" s="64">
        <f t="shared" si="400"/>
        <v>0.75895534484155935</v>
      </c>
      <c r="CC94" s="64">
        <f t="shared" ref="CC94:CD94" si="401">CC73/CC71</f>
        <v>0.74013454754286656</v>
      </c>
      <c r="CD94" s="64">
        <f t="shared" si="401"/>
        <v>0.75531603303848638</v>
      </c>
      <c r="CE94" s="64">
        <f t="shared" ref="CE94" si="402">CE73/CE71</f>
        <v>0.74321269403836632</v>
      </c>
      <c r="CF94" s="64">
        <f t="shared" ref="CF94" si="403">CF73/CF71</f>
        <v>0.79233534858497201</v>
      </c>
      <c r="CG94" s="64">
        <f t="shared" ref="CG94" si="404">CG73/CG71</f>
        <v>0.75060991592233395</v>
      </c>
      <c r="CH94" s="64">
        <f t="shared" ref="CH94" si="405">CH73/CH71</f>
        <v>0.7415730337078652</v>
      </c>
      <c r="CI94" s="64">
        <f t="shared" ref="CI94:CJ94" si="406">CI73/CI71</f>
        <v>0.72806314361472535</v>
      </c>
      <c r="CJ94" s="64">
        <f t="shared" si="406"/>
        <v>0.75976909413854343</v>
      </c>
      <c r="CK94" s="64">
        <f t="shared" ref="CK94:CL94" si="407">CK73/CK71</f>
        <v>0.73016545640156405</v>
      </c>
      <c r="CL94" s="64">
        <f t="shared" si="407"/>
        <v>0.74550820241298499</v>
      </c>
      <c r="CM94" s="64">
        <f t="shared" ref="CM94:CN94" si="408">CM73/CM71</f>
        <v>0.74219153453321351</v>
      </c>
      <c r="CN94" s="64">
        <f t="shared" si="408"/>
        <v>0.73014782892364749</v>
      </c>
      <c r="CO94" s="64">
        <f t="shared" ref="CO94:CQ94" si="409">CO73/CO71</f>
        <v>0.71963591375044178</v>
      </c>
      <c r="CP94" s="64">
        <f t="shared" si="409"/>
        <v>0.73300112000259698</v>
      </c>
      <c r="CQ94" s="64">
        <f t="shared" si="409"/>
        <v>0.68344816471251857</v>
      </c>
      <c r="CR94" s="64">
        <f t="shared" ref="CR94" si="410">CR73/CR71</f>
        <v>0.7320776686807654</v>
      </c>
      <c r="CS94" s="64">
        <f t="shared" ref="CS94" si="411">CS73/CS71</f>
        <v>0.74227552417558851</v>
      </c>
      <c r="CT94" s="64">
        <f t="shared" ref="CT94:CU94" si="412">CT73/CT71</f>
        <v>0.75247724660640514</v>
      </c>
      <c r="CU94" s="64">
        <f t="shared" si="412"/>
        <v>0.80155535044480652</v>
      </c>
      <c r="CV94" s="64">
        <f t="shared" ref="CV94:CW94" si="413">CV73/CV71</f>
        <v>0.80959054782855522</v>
      </c>
      <c r="CW94" s="64">
        <f t="shared" si="413"/>
        <v>0.79578570646021263</v>
      </c>
      <c r="CX94" s="64">
        <f t="shared" ref="CX94:CY94" si="414">CX73/CX71</f>
        <v>0.79891393241519193</v>
      </c>
      <c r="CY94" s="64">
        <f t="shared" si="414"/>
        <v>0.80263831530086338</v>
      </c>
      <c r="CZ94" s="64">
        <f t="shared" ref="CZ94:DF94" si="415">CZ73/CZ71</f>
        <v>0.79648688947885227</v>
      </c>
      <c r="DA94" s="64">
        <f t="shared" si="415"/>
        <v>0.79098003692993768</v>
      </c>
      <c r="DB94" s="64">
        <f t="shared" si="415"/>
        <v>0.76884719291407366</v>
      </c>
      <c r="DC94" s="64">
        <f t="shared" si="415"/>
        <v>0.75440813447748922</v>
      </c>
      <c r="DD94" s="64">
        <f t="shared" si="415"/>
        <v>0.7925816023738872</v>
      </c>
      <c r="DE94" s="64">
        <f t="shared" si="415"/>
        <v>0.79007825188247449</v>
      </c>
      <c r="DF94" s="64">
        <f t="shared" si="415"/>
        <v>0.74372179652245651</v>
      </c>
      <c r="DG94" s="64">
        <f>DG73/DG71</f>
        <v>0.76088654434642322</v>
      </c>
      <c r="DH94" s="64">
        <f t="shared" ref="DH94:DN94" si="416">DH73/DH71</f>
        <v>0.79820897362783039</v>
      </c>
      <c r="DI94" s="64">
        <f t="shared" si="416"/>
        <v>0.77251314557372319</v>
      </c>
      <c r="DJ94" s="64">
        <f t="shared" si="416"/>
        <v>0.80498226488996016</v>
      </c>
      <c r="DK94" s="64">
        <f t="shared" si="416"/>
        <v>0.78435964483779197</v>
      </c>
      <c r="DL94" s="64">
        <f t="shared" si="416"/>
        <v>0.78262556250969839</v>
      </c>
      <c r="DM94" s="64">
        <f t="shared" si="416"/>
        <v>0.78523772389122004</v>
      </c>
      <c r="DN94" s="64">
        <f t="shared" si="416"/>
        <v>0.82474673314811486</v>
      </c>
      <c r="DO94" s="64">
        <f t="shared" ref="DO94:DR94" si="417">DO73/DO71</f>
        <v>0.82500598747761822</v>
      </c>
      <c r="DP94" s="64">
        <f t="shared" si="417"/>
        <v>0.82029957443796608</v>
      </c>
      <c r="DQ94" s="64">
        <f t="shared" si="417"/>
        <v>0.82241765158402691</v>
      </c>
      <c r="DR94" s="64">
        <f t="shared" si="417"/>
        <v>0.81</v>
      </c>
      <c r="DS94" s="64">
        <f t="shared" ref="DS94:DV94" si="418">DS73/DS71</f>
        <v>0.82525416005405317</v>
      </c>
      <c r="DT94" s="64">
        <f t="shared" si="418"/>
        <v>0.81</v>
      </c>
      <c r="DU94" s="64">
        <f t="shared" si="418"/>
        <v>0.81</v>
      </c>
      <c r="DV94" s="64">
        <f t="shared" si="418"/>
        <v>0.81</v>
      </c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19">FF73/FF71</f>
        <v>0.80144538583199287</v>
      </c>
      <c r="FG94" s="64">
        <f t="shared" ref="FG94:FV94" si="420">FG73/FG71</f>
        <v>0.78828764583392763</v>
      </c>
      <c r="FH94" s="64">
        <f t="shared" si="420"/>
        <v>0.7690061267369388</v>
      </c>
      <c r="FI94" s="64">
        <f t="shared" si="420"/>
        <v>0.78347943688816957</v>
      </c>
      <c r="FJ94" s="64">
        <f t="shared" si="420"/>
        <v>0.79520837615461759</v>
      </c>
      <c r="FK94" s="64">
        <f>FK73/FK71</f>
        <v>0.81816252561977321</v>
      </c>
      <c r="FL94" s="64">
        <f t="shared" si="420"/>
        <v>0.79</v>
      </c>
      <c r="FM94" s="64">
        <f t="shared" si="420"/>
        <v>0.79</v>
      </c>
      <c r="FN94" s="64">
        <f t="shared" si="420"/>
        <v>0.79000000000000015</v>
      </c>
      <c r="FO94" s="64">
        <f t="shared" si="420"/>
        <v>0.79</v>
      </c>
      <c r="FP94" s="64">
        <f t="shared" si="420"/>
        <v>0.79</v>
      </c>
      <c r="FQ94" s="64">
        <f t="shared" si="420"/>
        <v>0.85</v>
      </c>
      <c r="FR94" s="64">
        <f t="shared" si="420"/>
        <v>0.85</v>
      </c>
      <c r="FS94" s="64">
        <f t="shared" si="420"/>
        <v>0.85</v>
      </c>
      <c r="FT94" s="64">
        <f t="shared" si="420"/>
        <v>0.85</v>
      </c>
      <c r="FU94" s="64">
        <f t="shared" si="420"/>
        <v>0.85</v>
      </c>
      <c r="FV94" s="64">
        <f t="shared" si="420"/>
        <v>0.85</v>
      </c>
    </row>
    <row r="95" spans="1:251" x14ac:dyDescent="0.2">
      <c r="A95" s="102"/>
      <c r="B95" t="s">
        <v>59</v>
      </c>
      <c r="AP95" s="64">
        <f t="shared" ref="AP95:BZ95" si="421">AP74/AP71</f>
        <v>0.33064321850156586</v>
      </c>
      <c r="AQ95" s="64">
        <f t="shared" si="421"/>
        <v>0.33962346804642624</v>
      </c>
      <c r="AR95" s="64">
        <f t="shared" si="421"/>
        <v>0.34410184045395864</v>
      </c>
      <c r="AS95" s="64">
        <f t="shared" si="421"/>
        <v>0.32022287121113957</v>
      </c>
      <c r="AT95" s="64">
        <f t="shared" si="421"/>
        <v>0.32599167214551827</v>
      </c>
      <c r="AU95" s="64">
        <f t="shared" si="421"/>
        <v>0.3324800744662284</v>
      </c>
      <c r="AV95" s="64">
        <f t="shared" si="421"/>
        <v>0.33935473260053178</v>
      </c>
      <c r="AW95" s="64">
        <f t="shared" si="421"/>
        <v>0.33054977410020808</v>
      </c>
      <c r="AX95" s="64">
        <f t="shared" si="421"/>
        <v>0.25034327359785935</v>
      </c>
      <c r="AY95" s="64">
        <f t="shared" si="421"/>
        <v>0.31024159298196752</v>
      </c>
      <c r="AZ95" s="64">
        <f t="shared" si="421"/>
        <v>0.36356049406266394</v>
      </c>
      <c r="BA95" s="64">
        <f t="shared" si="421"/>
        <v>0.25050429711999733</v>
      </c>
      <c r="BB95" s="64">
        <f t="shared" si="421"/>
        <v>0.26340819418815725</v>
      </c>
      <c r="BC95" s="64">
        <f t="shared" si="421"/>
        <v>0.24840590855202022</v>
      </c>
      <c r="BD95" s="64">
        <f t="shared" si="421"/>
        <v>0.25361378384426048</v>
      </c>
      <c r="BE95" s="64">
        <f t="shared" si="421"/>
        <v>0.24264002707116478</v>
      </c>
      <c r="BF95" s="64">
        <f t="shared" si="421"/>
        <v>0.32983398906055078</v>
      </c>
      <c r="BG95" s="64">
        <f t="shared" si="421"/>
        <v>0.31260476716137209</v>
      </c>
      <c r="BH95" s="64">
        <f t="shared" si="421"/>
        <v>0.33405690818421824</v>
      </c>
      <c r="BI95" s="64">
        <f t="shared" si="421"/>
        <v>0.30596907587198846</v>
      </c>
      <c r="BJ95" s="64">
        <f t="shared" si="421"/>
        <v>0.32917087967644082</v>
      </c>
      <c r="BK95" s="64">
        <f t="shared" si="421"/>
        <v>0.29430316288396685</v>
      </c>
      <c r="BL95" s="64">
        <f t="shared" si="421"/>
        <v>0.3053559935289718</v>
      </c>
      <c r="BM95" s="64">
        <f t="shared" si="421"/>
        <v>0.2997276649925727</v>
      </c>
      <c r="BN95" s="64">
        <f t="shared" si="421"/>
        <v>0.32142164468580292</v>
      </c>
      <c r="BO95" s="64">
        <f t="shared" si="421"/>
        <v>0.30581244006028224</v>
      </c>
      <c r="BP95" s="64">
        <f t="shared" si="421"/>
        <v>0.32673362333674522</v>
      </c>
      <c r="BQ95" s="64">
        <f t="shared" si="421"/>
        <v>0.31193376815601565</v>
      </c>
      <c r="BR95" s="64">
        <f t="shared" si="421"/>
        <v>0.35278554065450696</v>
      </c>
      <c r="BS95" s="64">
        <f t="shared" si="421"/>
        <v>0.32976938454947874</v>
      </c>
      <c r="BT95" s="64">
        <f t="shared" si="421"/>
        <v>0.34480849924113921</v>
      </c>
      <c r="BU95" s="64">
        <f t="shared" si="421"/>
        <v>0.32290307762976572</v>
      </c>
      <c r="BV95" s="64">
        <f t="shared" si="421"/>
        <v>0.33194568008997366</v>
      </c>
      <c r="BW95" s="64">
        <f t="shared" si="421"/>
        <v>0.29489468047126027</v>
      </c>
      <c r="BX95" s="64">
        <f t="shared" si="421"/>
        <v>0.3149569118167867</v>
      </c>
      <c r="BY95" s="64">
        <f t="shared" si="421"/>
        <v>0.28624883068288121</v>
      </c>
      <c r="BZ95" s="64">
        <f t="shared" si="421"/>
        <v>0.3363173116650599</v>
      </c>
      <c r="CA95" s="64">
        <f t="shared" ref="CA95:CB95" si="422">CA74/CA71</f>
        <v>0.31707629561615169</v>
      </c>
      <c r="CB95" s="64">
        <f t="shared" si="422"/>
        <v>0.33712213307399302</v>
      </c>
      <c r="CC95" s="64">
        <f t="shared" ref="CC95:CD95" si="423">CC74/CC71</f>
        <v>0.34295266223644266</v>
      </c>
      <c r="CD95" s="64">
        <f t="shared" si="423"/>
        <v>0.35145373245074496</v>
      </c>
      <c r="CE95" s="64">
        <f t="shared" ref="CE95" si="424">CE74/CE71</f>
        <v>0.32800826748767414</v>
      </c>
      <c r="CF95" s="64">
        <f t="shared" ref="CF95" si="425">CF74/CF71</f>
        <v>0.32847932191134233</v>
      </c>
      <c r="CG95" s="64">
        <f t="shared" ref="CG95" si="426">CG74/CG71</f>
        <v>0.31770066737907537</v>
      </c>
      <c r="CH95" s="64">
        <f t="shared" ref="CH95" si="427">CH74/CH71</f>
        <v>0.33454870154029315</v>
      </c>
      <c r="CI95" s="64">
        <f t="shared" ref="CI95:CJ95" si="428">CI74/CI71</f>
        <v>0.30295369057162236</v>
      </c>
      <c r="CJ95" s="64">
        <f t="shared" si="428"/>
        <v>0.30021462403789223</v>
      </c>
      <c r="CK95" s="64">
        <f t="shared" ref="CK95:CL95" si="429">CK74/CK71</f>
        <v>0.30151973342065225</v>
      </c>
      <c r="CL95" s="64">
        <f t="shared" si="429"/>
        <v>0.31075427480253448</v>
      </c>
      <c r="CM95" s="64">
        <f t="shared" ref="CM95:CN95" si="430">CM74/CM71</f>
        <v>0.29984889925979763</v>
      </c>
      <c r="CN95" s="64">
        <f t="shared" si="430"/>
        <v>0.29710008069639271</v>
      </c>
      <c r="CO95" s="64">
        <f t="shared" ref="CO95:CQ95" si="431">CO74/CO71</f>
        <v>0.27898550724637683</v>
      </c>
      <c r="CP95" s="64">
        <f t="shared" si="431"/>
        <v>0.29274270780917755</v>
      </c>
      <c r="CQ95" s="64">
        <f t="shared" si="431"/>
        <v>0.30218783996131993</v>
      </c>
      <c r="CR95" s="64">
        <f t="shared" ref="CR95" si="432">CR74/CR71</f>
        <v>0.26021210976837866</v>
      </c>
      <c r="CS95" s="64">
        <f t="shared" ref="CS95" si="433">CS74/CS71</f>
        <v>0.26668206337946848</v>
      </c>
      <c r="CT95" s="64">
        <f t="shared" ref="CT95:CU95" si="434">CT74/CT71</f>
        <v>0.28911564625850339</v>
      </c>
      <c r="CU95" s="64">
        <f t="shared" si="434"/>
        <v>0.29793209088588218</v>
      </c>
      <c r="CV95" s="64">
        <f t="shared" ref="CV95:CW95" si="435">CV74/CV71</f>
        <v>0.28141853533919947</v>
      </c>
      <c r="CW95" s="64">
        <f t="shared" si="435"/>
        <v>0.25787897600701165</v>
      </c>
      <c r="CX95" s="64">
        <f t="shared" ref="CX95:CY95" si="436">CX74/CX71</f>
        <v>0.27774869966305737</v>
      </c>
      <c r="CY95" s="64">
        <f t="shared" si="436"/>
        <v>0.26444588552510334</v>
      </c>
      <c r="CZ95" s="64">
        <f t="shared" ref="CZ95:DF95" si="437">CZ74/CZ71</f>
        <v>0.26341055387860496</v>
      </c>
      <c r="DA95" s="64">
        <f t="shared" si="437"/>
        <v>0.27333379786085082</v>
      </c>
      <c r="DB95" s="64">
        <f t="shared" si="437"/>
        <v>0.20885471969462779</v>
      </c>
      <c r="DC95" s="64">
        <f t="shared" si="437"/>
        <v>0.23157399788409544</v>
      </c>
      <c r="DD95" s="64">
        <f t="shared" si="437"/>
        <v>0.25010385756676567</v>
      </c>
      <c r="DE95" s="64">
        <f t="shared" si="437"/>
        <v>0.23296914218219408</v>
      </c>
      <c r="DF95" s="64">
        <f t="shared" si="437"/>
        <v>0.19900248753109415</v>
      </c>
      <c r="DG95" s="64">
        <f>DG74/DG71</f>
        <v>0.1994724779452248</v>
      </c>
      <c r="DH95" s="64">
        <f t="shared" ref="DH95:DN95" si="438">DH74/DH71</f>
        <v>0.27464973257910874</v>
      </c>
      <c r="DI95" s="64">
        <f t="shared" si="438"/>
        <v>0.232543398400922</v>
      </c>
      <c r="DJ95" s="64">
        <f t="shared" si="438"/>
        <v>0.22503731905394483</v>
      </c>
      <c r="DK95" s="64">
        <f t="shared" si="438"/>
        <v>0.25131461739605188</v>
      </c>
      <c r="DL95" s="64">
        <f t="shared" si="438"/>
        <v>0.24897843066259767</v>
      </c>
      <c r="DM95" s="64">
        <f t="shared" si="438"/>
        <v>0.19980937527077383</v>
      </c>
      <c r="DN95" s="64">
        <f t="shared" si="438"/>
        <v>0.20331069161129478</v>
      </c>
      <c r="DO95" s="64">
        <f t="shared" ref="DO95:DR95" si="439">DO74/DO71</f>
        <v>0.22264292964428684</v>
      </c>
      <c r="DP95" s="64">
        <f t="shared" si="439"/>
        <v>0.18732692188592109</v>
      </c>
      <c r="DQ95" s="64">
        <f t="shared" si="439"/>
        <v>0.23901146933351972</v>
      </c>
      <c r="DR95" s="64">
        <f t="shared" si="439"/>
        <v>0.15377106120815448</v>
      </c>
      <c r="DS95" s="64">
        <f t="shared" ref="DS95:DV95" si="440">DS74/DS71</f>
        <v>0.19396301126632204</v>
      </c>
      <c r="DT95" s="64">
        <f t="shared" si="440"/>
        <v>0.16229461703075054</v>
      </c>
      <c r="DU95" s="64">
        <f t="shared" si="440"/>
        <v>0.19704011677577263</v>
      </c>
      <c r="DV95" s="64">
        <f t="shared" si="440"/>
        <v>0.13878636796171706</v>
      </c>
      <c r="EN95" s="64">
        <f t="shared" ref="EN95:FG95" si="441">EN74/EN71</f>
        <v>0.29383437956832059</v>
      </c>
      <c r="EO95" s="64">
        <f t="shared" si="441"/>
        <v>0.30691454079346014</v>
      </c>
      <c r="EP95" s="64">
        <f t="shared" si="441"/>
        <v>0.32220897894318634</v>
      </c>
      <c r="EQ95" s="64">
        <f t="shared" si="441"/>
        <v>0.30911321163143085</v>
      </c>
      <c r="ER95" s="64">
        <f t="shared" si="441"/>
        <v>0.30696245733788396</v>
      </c>
      <c r="ES95" s="64">
        <f t="shared" si="441"/>
        <v>0.30107390629454817</v>
      </c>
      <c r="ET95" s="64">
        <f t="shared" si="441"/>
        <v>0.26364165212332757</v>
      </c>
      <c r="EU95" s="64">
        <f t="shared" si="441"/>
        <v>0.33758834028714957</v>
      </c>
      <c r="EV95" s="64">
        <f t="shared" si="441"/>
        <v>0.32861448926124026</v>
      </c>
      <c r="EW95" s="64">
        <f t="shared" si="441"/>
        <v>0.32216426568252204</v>
      </c>
      <c r="EX95" s="64">
        <f t="shared" si="441"/>
        <v>0.33001637538582668</v>
      </c>
      <c r="EY95" s="64">
        <f t="shared" si="441"/>
        <v>0.34149944321978049</v>
      </c>
      <c r="EZ95" s="64">
        <f t="shared" si="441"/>
        <v>0.30882162063937763</v>
      </c>
      <c r="FA95" s="64">
        <f t="shared" si="441"/>
        <v>0.2911066135799385</v>
      </c>
      <c r="FB95" s="64">
        <f t="shared" si="441"/>
        <v>0</v>
      </c>
      <c r="FC95" s="64">
        <f t="shared" si="441"/>
        <v>0</v>
      </c>
      <c r="FD95" s="64">
        <f t="shared" si="441"/>
        <v>0.29950636320853891</v>
      </c>
      <c r="FE95" s="64">
        <f t="shared" si="441"/>
        <v>0.27800084678338632</v>
      </c>
      <c r="FF95" s="64">
        <f t="shared" ref="FF95" si="442">FF74/FF71</f>
        <v>0.27840478868064855</v>
      </c>
      <c r="FG95" s="64">
        <f t="shared" si="441"/>
        <v>0.24943866926923092</v>
      </c>
      <c r="FH95" s="64">
        <f>FH74/FH71</f>
        <v>0.22711654925225563</v>
      </c>
      <c r="FI95" s="64">
        <f t="shared" ref="FI95:FV95" si="443">FI74/FI71</f>
        <v>0.23114493332492445</v>
      </c>
      <c r="FJ95" s="64">
        <f t="shared" si="443"/>
        <v>0.22464512833928157</v>
      </c>
      <c r="FK95" s="64">
        <f t="shared" si="443"/>
        <v>0.19751132008171762</v>
      </c>
      <c r="FL95" s="64">
        <f t="shared" si="443"/>
        <v>0.25</v>
      </c>
      <c r="FM95" s="64">
        <f t="shared" si="443"/>
        <v>0.25</v>
      </c>
      <c r="FN95" s="64">
        <f t="shared" si="443"/>
        <v>0.25</v>
      </c>
      <c r="FO95" s="64">
        <f t="shared" si="443"/>
        <v>0.25</v>
      </c>
      <c r="FP95" s="64">
        <f t="shared" si="443"/>
        <v>0.25</v>
      </c>
      <c r="FQ95" s="64">
        <f t="shared" si="443"/>
        <v>0.25</v>
      </c>
      <c r="FR95" s="64">
        <f t="shared" si="443"/>
        <v>0.25</v>
      </c>
      <c r="FS95" s="64">
        <f t="shared" si="443"/>
        <v>0.25</v>
      </c>
      <c r="FT95" s="64">
        <f t="shared" si="443"/>
        <v>0.25</v>
      </c>
      <c r="FU95" s="64">
        <f t="shared" si="443"/>
        <v>0.25</v>
      </c>
      <c r="FV95" s="64">
        <f t="shared" si="443"/>
        <v>0.25</v>
      </c>
    </row>
    <row r="96" spans="1:251" x14ac:dyDescent="0.2">
      <c r="A96" s="102"/>
      <c r="B96" t="s">
        <v>60</v>
      </c>
      <c r="AP96" s="64">
        <f t="shared" ref="AP96:BZ96" si="444">AP75/AP71</f>
        <v>0.21259937364490483</v>
      </c>
      <c r="AQ96" s="64">
        <f t="shared" si="444"/>
        <v>0.2187299766684323</v>
      </c>
      <c r="AR96" s="64">
        <f t="shared" si="444"/>
        <v>0.22890083165700903</v>
      </c>
      <c r="AS96" s="64">
        <f t="shared" si="444"/>
        <v>0.2245656702582555</v>
      </c>
      <c r="AT96" s="64">
        <f t="shared" si="444"/>
        <v>0.22189349112426032</v>
      </c>
      <c r="AU96" s="64">
        <f t="shared" si="444"/>
        <v>0.21554482517889348</v>
      </c>
      <c r="AV96" s="64">
        <f t="shared" si="444"/>
        <v>0.21243935199144762</v>
      </c>
      <c r="AW96" s="64">
        <f t="shared" si="444"/>
        <v>0.20021320879232446</v>
      </c>
      <c r="AX96" s="64">
        <f t="shared" si="444"/>
        <v>0.15667359081787136</v>
      </c>
      <c r="AY96" s="64">
        <f t="shared" si="444"/>
        <v>0.19359929448351085</v>
      </c>
      <c r="AZ96" s="64">
        <f t="shared" si="444"/>
        <v>0.20372931470265629</v>
      </c>
      <c r="BA96" s="64">
        <f t="shared" si="444"/>
        <v>0.14315257742444021</v>
      </c>
      <c r="BB96" s="64">
        <f t="shared" si="444"/>
        <v>0.14306074380785214</v>
      </c>
      <c r="BC96" s="64">
        <f t="shared" si="444"/>
        <v>0.14052036271588322</v>
      </c>
      <c r="BD96" s="64">
        <f t="shared" si="444"/>
        <v>0.14194077720593723</v>
      </c>
      <c r="BE96" s="64">
        <f t="shared" si="444"/>
        <v>0.14021097853433181</v>
      </c>
      <c r="BF96" s="64">
        <f t="shared" si="444"/>
        <v>0.19884847903272238</v>
      </c>
      <c r="BG96" s="64">
        <f t="shared" si="444"/>
        <v>0.19365059896152745</v>
      </c>
      <c r="BH96" s="64">
        <f t="shared" si="444"/>
        <v>0.20346142563801703</v>
      </c>
      <c r="BI96" s="64">
        <f t="shared" si="444"/>
        <v>0.20174397698669541</v>
      </c>
      <c r="BJ96" s="64">
        <f t="shared" si="444"/>
        <v>0.2050387596899225</v>
      </c>
      <c r="BK96" s="64">
        <f t="shared" si="444"/>
        <v>0.1894266703126424</v>
      </c>
      <c r="BL96" s="64">
        <f t="shared" si="444"/>
        <v>0.20651625584914851</v>
      </c>
      <c r="BM96" s="64">
        <f t="shared" si="444"/>
        <v>0.2157105467921058</v>
      </c>
      <c r="BN96" s="64">
        <f t="shared" si="444"/>
        <v>0.23243147142487713</v>
      </c>
      <c r="BO96" s="64">
        <f t="shared" si="444"/>
        <v>0.19249212220852172</v>
      </c>
      <c r="BP96" s="64">
        <f t="shared" si="444"/>
        <v>0.20160568065506657</v>
      </c>
      <c r="BQ96" s="64">
        <f t="shared" si="444"/>
        <v>0.20834078821099203</v>
      </c>
      <c r="BR96" s="64">
        <f t="shared" si="444"/>
        <v>0.22411654788087243</v>
      </c>
      <c r="BS96" s="64">
        <f t="shared" si="444"/>
        <v>0.20553691275167782</v>
      </c>
      <c r="BT96" s="64">
        <f t="shared" si="444"/>
        <v>0.23581823051513262</v>
      </c>
      <c r="BU96" s="64">
        <f t="shared" si="444"/>
        <v>0.24672485071198896</v>
      </c>
      <c r="BV96" s="64">
        <f t="shared" si="444"/>
        <v>0.2455978379467208</v>
      </c>
      <c r="BW96" s="64">
        <f t="shared" si="444"/>
        <v>0.24064619778650481</v>
      </c>
      <c r="BX96" s="64">
        <f t="shared" si="444"/>
        <v>0.22436210938158763</v>
      </c>
      <c r="BY96" s="64">
        <f t="shared" si="444"/>
        <v>0.23860998510203374</v>
      </c>
      <c r="BZ96" s="64">
        <f t="shared" si="444"/>
        <v>0.25399394022861865</v>
      </c>
      <c r="CA96" s="64">
        <f t="shared" ref="CA96:CB96" si="445">CA75/CA71</f>
        <v>0.23687301146676343</v>
      </c>
      <c r="CB96" s="64">
        <f t="shared" si="445"/>
        <v>0.24219952994570063</v>
      </c>
      <c r="CC96" s="64">
        <f t="shared" ref="CC96:CD96" si="446">CC75/CC71</f>
        <v>0.25498400196898841</v>
      </c>
      <c r="CD96" s="64">
        <f t="shared" si="446"/>
        <v>0.2315232460508074</v>
      </c>
      <c r="CE96" s="64">
        <f t="shared" ref="CE96" si="447">CE75/CE71</f>
        <v>0.22376041509677697</v>
      </c>
      <c r="CF96" s="64">
        <f t="shared" ref="CF96" si="448">CF75/CF71</f>
        <v>0.23490067688352381</v>
      </c>
      <c r="CG96" s="64">
        <f t="shared" ref="CG96" si="449">CG75/CG71</f>
        <v>0.230538137387342</v>
      </c>
      <c r="CH96" s="64">
        <f t="shared" ref="CH96" si="450">CH75/CH71</f>
        <v>0.26865838232011308</v>
      </c>
      <c r="CI96" s="64">
        <f t="shared" ref="CI96:CJ96" si="451">CI75/CI71</f>
        <v>0.25097120305851883</v>
      </c>
      <c r="CJ96" s="64">
        <f t="shared" si="451"/>
        <v>0.24716918294849025</v>
      </c>
      <c r="CK96" s="64">
        <f t="shared" ref="CK96:CL96" si="452">CK75/CK71</f>
        <v>0.23814935377621976</v>
      </c>
      <c r="CL96" s="64">
        <f t="shared" si="452"/>
        <v>0.25181841854005726</v>
      </c>
      <c r="CM96" s="64">
        <f t="shared" ref="CM96:CN96" si="453">CM75/CM71</f>
        <v>0.24067096379320235</v>
      </c>
      <c r="CN96" s="64">
        <f t="shared" si="453"/>
        <v>0.21841251309170198</v>
      </c>
      <c r="CO96" s="64">
        <f t="shared" ref="CO96:CQ96" si="454">CO75/CO71</f>
        <v>0.23683280311063981</v>
      </c>
      <c r="CP96" s="64">
        <f t="shared" si="454"/>
        <v>0.24135244371581155</v>
      </c>
      <c r="CQ96" s="64">
        <f t="shared" si="454"/>
        <v>0.23709657923365166</v>
      </c>
      <c r="CR96" s="64">
        <f t="shared" ref="CR96" si="455">CR75/CR71</f>
        <v>0.20976523162134944</v>
      </c>
      <c r="CS96" s="64">
        <f t="shared" ref="CS96" si="456">CS75/CS71</f>
        <v>0.22159718900014846</v>
      </c>
      <c r="CT96" s="64">
        <f t="shared" ref="CT96:CU96" si="457">CT75/CT71</f>
        <v>0.22579442735998506</v>
      </c>
      <c r="CU96" s="64">
        <f t="shared" si="457"/>
        <v>0.2416488285776007</v>
      </c>
      <c r="CV96" s="64">
        <f t="shared" ref="CV96:CW96" si="458">CV75/CV71</f>
        <v>0.24875816065852963</v>
      </c>
      <c r="CW96" s="64">
        <f t="shared" si="458"/>
        <v>0.25214549172844464</v>
      </c>
      <c r="CX96" s="64">
        <f t="shared" ref="CX96:CY96" si="459">CX75/CX71</f>
        <v>0.25866073473126372</v>
      </c>
      <c r="CY96" s="64">
        <f t="shared" si="459"/>
        <v>0.23756783507969564</v>
      </c>
      <c r="CZ96" s="64">
        <f t="shared" ref="CZ96:DF96" si="460">CZ75/CZ71</f>
        <v>0.25279121358693685</v>
      </c>
      <c r="DA96" s="64">
        <f t="shared" si="460"/>
        <v>0.25526948402606009</v>
      </c>
      <c r="DB96" s="64">
        <f t="shared" si="460"/>
        <v>0.24703969032674294</v>
      </c>
      <c r="DC96" s="64">
        <f t="shared" si="460"/>
        <v>0.24569472199365225</v>
      </c>
      <c r="DD96" s="64">
        <f t="shared" si="460"/>
        <v>0.24818991097922857</v>
      </c>
      <c r="DE96" s="64">
        <f t="shared" si="460"/>
        <v>0.25231064520891783</v>
      </c>
      <c r="DF96" s="64">
        <f t="shared" si="460"/>
        <v>0.24492806160077002</v>
      </c>
      <c r="DG96" s="64">
        <f>DG75/DG71</f>
        <v>0.20615613116349343</v>
      </c>
      <c r="DH96" s="64">
        <f t="shared" ref="DH96:DN96" si="461">DH75/DH71</f>
        <v>0.25048166587031234</v>
      </c>
      <c r="DI96" s="64">
        <f t="shared" si="461"/>
        <v>0.25972772455521143</v>
      </c>
      <c r="DJ96" s="64">
        <f t="shared" si="461"/>
        <v>0.27333981566441606</v>
      </c>
      <c r="DK96" s="64">
        <f t="shared" si="461"/>
        <v>0.28520732162868884</v>
      </c>
      <c r="DL96" s="64">
        <f t="shared" si="461"/>
        <v>0.3047250814669219</v>
      </c>
      <c r="DM96" s="64">
        <f t="shared" si="461"/>
        <v>0.22316709371557311</v>
      </c>
      <c r="DN96" s="64">
        <f t="shared" si="461"/>
        <v>0.27071823204419887</v>
      </c>
      <c r="DO96" s="64">
        <f t="shared" ref="DO96:DR96" si="462">DO75/DO71</f>
        <v>0.28771825781508392</v>
      </c>
      <c r="DP96" s="64">
        <f t="shared" si="462"/>
        <v>0.22622028364903959</v>
      </c>
      <c r="DQ96" s="64">
        <f t="shared" si="462"/>
        <v>0.18356178753758998</v>
      </c>
      <c r="DR96" s="64">
        <f t="shared" si="462"/>
        <v>0.20475376626734776</v>
      </c>
      <c r="DS96" s="64">
        <f t="shared" ref="DS96:DV96" si="463">DS75/DS71</f>
        <v>0.21477506638802027</v>
      </c>
      <c r="DT96" s="64">
        <f t="shared" si="463"/>
        <v>0.1959906986661909</v>
      </c>
      <c r="DU96" s="64">
        <f t="shared" si="463"/>
        <v>0.15132761684128868</v>
      </c>
      <c r="DV96" s="64">
        <f t="shared" si="463"/>
        <v>0.18480090677309177</v>
      </c>
      <c r="FE96" s="53"/>
      <c r="FF96" s="64">
        <f t="shared" ref="FF96" si="464">+FF75/FF71</f>
        <v>0.25067990483572516</v>
      </c>
      <c r="FG96" s="64">
        <f t="shared" ref="FG96" si="465">+FG75/FG71</f>
        <v>0.24799204560735785</v>
      </c>
      <c r="FH96" s="64">
        <f t="shared" ref="FH96" si="46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">
      <c r="A97" s="102"/>
      <c r="B97" t="s">
        <v>206</v>
      </c>
      <c r="AP97" s="64">
        <f t="shared" ref="AP97:BB97" si="467">AP80/AP79</f>
        <v>0.31935573451818922</v>
      </c>
      <c r="AQ97" s="64">
        <f t="shared" si="467"/>
        <v>0.31638030092874975</v>
      </c>
      <c r="AR97" s="64">
        <f t="shared" si="467"/>
        <v>0.34428978701995655</v>
      </c>
      <c r="AS97" s="64">
        <f t="shared" si="467"/>
        <v>0.29423607160050752</v>
      </c>
      <c r="AT97" s="64">
        <f t="shared" si="467"/>
        <v>0.23286362550752307</v>
      </c>
      <c r="AU97" s="64">
        <f t="shared" si="467"/>
        <v>0.2848710381111253</v>
      </c>
      <c r="AV97" s="64">
        <f t="shared" si="467"/>
        <v>0.2667153818048959</v>
      </c>
      <c r="AW97" s="64">
        <f t="shared" si="467"/>
        <v>0.23525647861789473</v>
      </c>
      <c r="AX97" s="64">
        <f t="shared" si="467"/>
        <v>9.6808646985944338E-2</v>
      </c>
      <c r="AY97" s="64">
        <f t="shared" si="467"/>
        <v>0.20547180346175317</v>
      </c>
      <c r="AZ97" s="64">
        <f t="shared" si="467"/>
        <v>0.32179549902152643</v>
      </c>
      <c r="BA97" s="64">
        <f t="shared" si="467"/>
        <v>0.10236373532384734</v>
      </c>
      <c r="BB97" s="64">
        <f t="shared" si="46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68">BG80/BG79</f>
        <v>0.24231121580944903</v>
      </c>
      <c r="BH97" s="64">
        <f t="shared" si="468"/>
        <v>0.24831347782402755</v>
      </c>
      <c r="BI97" s="64">
        <f t="shared" si="468"/>
        <v>7.8861236336688664E-2</v>
      </c>
      <c r="BJ97" s="64">
        <f t="shared" si="468"/>
        <v>0.21005613091944028</v>
      </c>
      <c r="BK97" s="64">
        <f t="shared" si="468"/>
        <v>0.27264573991031388</v>
      </c>
      <c r="BL97" s="64">
        <f t="shared" si="468"/>
        <v>0.22206943966998971</v>
      </c>
      <c r="BM97" s="64">
        <f t="shared" si="468"/>
        <v>0.21555204493593119</v>
      </c>
      <c r="BN97" s="64">
        <f t="shared" si="468"/>
        <v>0.16120365394948946</v>
      </c>
      <c r="BO97" s="64">
        <f t="shared" si="468"/>
        <v>0.20900931998619257</v>
      </c>
      <c r="BP97" s="64">
        <f t="shared" si="468"/>
        <v>0.20076941572493406</v>
      </c>
      <c r="BQ97" s="64">
        <f t="shared" si="468"/>
        <v>0.17926565874730019</v>
      </c>
      <c r="BR97" s="64">
        <f t="shared" si="468"/>
        <v>0.19874390546235837</v>
      </c>
      <c r="BS97" s="64">
        <f t="shared" si="468"/>
        <v>0.24435454211107024</v>
      </c>
      <c r="BT97" s="64">
        <f t="shared" si="468"/>
        <v>0.22108814846056535</v>
      </c>
      <c r="BU97" s="64">
        <f t="shared" si="468"/>
        <v>0.22108127084430404</v>
      </c>
      <c r="BV97" s="64">
        <f t="shared" si="468"/>
        <v>0.15225254850378164</v>
      </c>
      <c r="BW97" s="64">
        <f t="shared" si="468"/>
        <v>0.27284418573169084</v>
      </c>
      <c r="BX97" s="64">
        <f t="shared" si="468"/>
        <v>0.1955778003041054</v>
      </c>
      <c r="BY97" s="64">
        <f t="shared" si="468"/>
        <v>0.20503502048367916</v>
      </c>
      <c r="BZ97" s="64">
        <f t="shared" si="468"/>
        <v>0.18196328810853948</v>
      </c>
      <c r="CA97" s="64">
        <f t="shared" ref="CA97:CB97" si="469">CA80/CA79</f>
        <v>0.20106146630461597</v>
      </c>
      <c r="CB97" s="64">
        <f t="shared" si="469"/>
        <v>0.24843900096061469</v>
      </c>
      <c r="CC97" s="64">
        <f t="shared" ref="CC97:CD97" si="470">CC80/CC79</f>
        <v>0.25825275091697225</v>
      </c>
      <c r="CD97" s="64">
        <f t="shared" si="470"/>
        <v>0.11416689026026296</v>
      </c>
      <c r="CE97" s="64">
        <f t="shared" ref="CE97" si="471">CE80/CE79</f>
        <v>0.1109855618330195</v>
      </c>
      <c r="CF97" s="64">
        <f t="shared" ref="CF97" si="472">CF80/CF79</f>
        <v>6.2460417986067156E-2</v>
      </c>
      <c r="CG97" s="64">
        <f t="shared" ref="CG97" si="473">CG80/CG79</f>
        <v>0.27049716528565215</v>
      </c>
      <c r="CH97" s="64">
        <f t="shared" ref="CH97" si="474">CH80/CH79</f>
        <v>0</v>
      </c>
      <c r="CI97" s="64">
        <f t="shared" ref="CI97:CJ97" si="475">CI80/CI79</f>
        <v>0.12718329652680183</v>
      </c>
      <c r="CJ97" s="64">
        <f t="shared" si="475"/>
        <v>0.17466938847963084</v>
      </c>
      <c r="CK97" s="64">
        <f t="shared" ref="CK97:CL97" si="476">CK80/CK79</f>
        <v>0.20035350384695372</v>
      </c>
      <c r="CL97" s="64">
        <f t="shared" si="476"/>
        <v>0.11579961464354525</v>
      </c>
      <c r="CM97" s="64">
        <f t="shared" ref="CM97:CN97" si="477">CM80/CM79</f>
        <v>0.17621145374449337</v>
      </c>
      <c r="CN97" s="64">
        <f t="shared" si="477"/>
        <v>0.212238379423384</v>
      </c>
      <c r="CO97" s="64">
        <f t="shared" ref="CO97:CQ97" si="478">CO80/CO79</f>
        <v>3.2629384573552078E-2</v>
      </c>
      <c r="CP97" s="64">
        <f t="shared" si="478"/>
        <v>0</v>
      </c>
      <c r="CQ97" s="64">
        <f t="shared" si="478"/>
        <v>0.34500848634469994</v>
      </c>
      <c r="CR97" s="64">
        <f t="shared" ref="CR97" si="479">CR80/CR79</f>
        <v>0.16262210481046876</v>
      </c>
      <c r="CS97" s="64">
        <f t="shared" ref="CS97" si="480">CS80/CS79</f>
        <v>0.16815638865667804</v>
      </c>
      <c r="CT97" s="64">
        <f t="shared" ref="CT97:CU97" si="481">CT80/CT79</f>
        <v>0</v>
      </c>
      <c r="CU97" s="64">
        <f t="shared" si="481"/>
        <v>0.14349424927626972</v>
      </c>
      <c r="CV97" s="64">
        <f t="shared" ref="CV97:CW97" si="482">CV80/CV79</f>
        <v>0.10414560161779569</v>
      </c>
      <c r="CW97" s="64">
        <f t="shared" si="482"/>
        <v>0.12210997355752924</v>
      </c>
      <c r="CX97" s="64">
        <f t="shared" ref="CX97:CY97" si="483">CX80/CX79</f>
        <v>0.10997240835632641</v>
      </c>
      <c r="CY97" s="64">
        <f t="shared" si="483"/>
        <v>0.14963763811334227</v>
      </c>
      <c r="CZ97" s="64">
        <f t="shared" ref="CZ97:DF97" si="484">CZ80/CZ79</f>
        <v>0.15867689357622258</v>
      </c>
      <c r="DA97" s="64">
        <f t="shared" si="484"/>
        <v>0.18152418447694052</v>
      </c>
      <c r="DB97" s="64">
        <f t="shared" si="484"/>
        <v>0.15692650334075731</v>
      </c>
      <c r="DC97" s="64">
        <f t="shared" si="484"/>
        <v>7.4556151403134235E-2</v>
      </c>
      <c r="DD97" s="64">
        <f t="shared" si="484"/>
        <v>0.1070977917981074</v>
      </c>
      <c r="DE97" s="64">
        <f t="shared" si="484"/>
        <v>0.1475739883229315</v>
      </c>
      <c r="DF97" s="64">
        <f t="shared" si="484"/>
        <v>4.903059026281776E-2</v>
      </c>
      <c r="DG97" s="64">
        <f>DG80/DG79</f>
        <v>9.7358034349109293E-2</v>
      </c>
      <c r="DH97" s="64">
        <f t="shared" ref="DH97:DN97" si="485">DH80/DH79</f>
        <v>9.9000475963826662E-2</v>
      </c>
      <c r="DI97" s="64">
        <f t="shared" si="485"/>
        <v>6.2040015264678644E-2</v>
      </c>
      <c r="DJ97" s="64">
        <f t="shared" si="485"/>
        <v>7.6709333576276545E-2</v>
      </c>
      <c r="DK97" s="64">
        <f t="shared" si="485"/>
        <v>0.10939442372580366</v>
      </c>
      <c r="DL97" s="64">
        <f t="shared" si="485"/>
        <v>0.18023352332466389</v>
      </c>
      <c r="DM97" s="64">
        <f t="shared" si="485"/>
        <v>0.1</v>
      </c>
      <c r="DN97" s="64">
        <f t="shared" si="485"/>
        <v>0.10226176115802164</v>
      </c>
      <c r="DO97" s="64">
        <f t="shared" ref="DO97:DR97" si="486">DO80/DO79</f>
        <v>0.11701852331127298</v>
      </c>
      <c r="DP97" s="64">
        <f t="shared" si="486"/>
        <v>0.15859811809627719</v>
      </c>
      <c r="DQ97" s="64">
        <f t="shared" si="486"/>
        <v>0.13332901917642731</v>
      </c>
      <c r="DR97" s="64">
        <f t="shared" si="486"/>
        <v>0.15</v>
      </c>
      <c r="DS97" s="64">
        <f t="shared" ref="DS97:DV97" si="487">DS80/DS79</f>
        <v>0.13143449966990473</v>
      </c>
      <c r="DT97" s="64">
        <f t="shared" si="487"/>
        <v>0.2</v>
      </c>
      <c r="DU97" s="64">
        <f t="shared" si="487"/>
        <v>0.2</v>
      </c>
      <c r="DV97" s="64">
        <f t="shared" si="487"/>
        <v>0.2</v>
      </c>
      <c r="FE97" s="53"/>
      <c r="FF97" s="79">
        <f t="shared" ref="FF97" si="488">+FF80/FF79</f>
        <v>0.10710881217671239</v>
      </c>
      <c r="FG97" s="79">
        <f t="shared" ref="FG97" si="489">+FG80/FG79</f>
        <v>0.14657967364218533</v>
      </c>
      <c r="FH97" s="79">
        <f t="shared" ref="FH97" si="490">+FH80/FH79</f>
        <v>8.8339719478328124E-2</v>
      </c>
      <c r="FI97" s="79">
        <f>+FI80/FI79</f>
        <v>8.5151237396883531E-2</v>
      </c>
      <c r="FJ97" s="79">
        <f t="shared" ref="FJ97:FQ97" si="491">+FJ80/FJ79</f>
        <v>0.11878002620468768</v>
      </c>
      <c r="FK97" s="79">
        <f t="shared" si="491"/>
        <v>0.14000000000000001</v>
      </c>
      <c r="FL97" s="79">
        <f t="shared" si="491"/>
        <v>0.20000000000000004</v>
      </c>
      <c r="FM97" s="79">
        <f t="shared" si="491"/>
        <v>0.2</v>
      </c>
      <c r="FN97" s="79">
        <f t="shared" si="491"/>
        <v>0.2</v>
      </c>
      <c r="FO97" s="79">
        <f t="shared" si="491"/>
        <v>0.2</v>
      </c>
      <c r="FP97" s="79">
        <f t="shared" si="491"/>
        <v>0.2</v>
      </c>
      <c r="FQ97" s="79">
        <f t="shared" si="491"/>
        <v>0.2</v>
      </c>
      <c r="FR97" s="79">
        <f t="shared" ref="FR97:FV97" si="492">+FR80/FR79</f>
        <v>0.2</v>
      </c>
      <c r="FS97" s="79">
        <f t="shared" si="492"/>
        <v>0.2</v>
      </c>
      <c r="FT97" s="79">
        <f t="shared" si="492"/>
        <v>0.2</v>
      </c>
      <c r="FU97" s="79">
        <f t="shared" si="492"/>
        <v>0.2</v>
      </c>
      <c r="FV97" s="79">
        <f t="shared" si="492"/>
        <v>0.2</v>
      </c>
      <c r="FX97" s="52" t="s">
        <v>268</v>
      </c>
      <c r="FY97" s="66">
        <v>0.02</v>
      </c>
    </row>
    <row r="98" spans="1:181" x14ac:dyDescent="0.2">
      <c r="A98" s="102"/>
      <c r="FX98" s="47" t="s">
        <v>242</v>
      </c>
      <c r="FY98" s="63">
        <v>0</v>
      </c>
    </row>
    <row r="99" spans="1:181" x14ac:dyDescent="0.2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93">+BP101-BP114</f>
        <v>2544.1999999999989</v>
      </c>
      <c r="BQ99" s="51">
        <f t="shared" ref="BQ99" si="494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95">+CU101-CU114</f>
        <v>-11716.6</v>
      </c>
      <c r="CV99" s="51">
        <f t="shared" si="495"/>
        <v>-11565.600000000002</v>
      </c>
      <c r="CW99" s="51">
        <f t="shared" si="495"/>
        <v>-11747</v>
      </c>
      <c r="CX99" s="51">
        <f t="shared" si="495"/>
        <v>-10916.3</v>
      </c>
      <c r="CY99" s="51">
        <f t="shared" ref="CY99:DB99" si="496">+CY101-CY114</f>
        <v>-13304.199999999999</v>
      </c>
      <c r="CZ99" s="51">
        <f t="shared" si="496"/>
        <v>-11533.899999999998</v>
      </c>
      <c r="DA99" s="51">
        <f t="shared" si="496"/>
        <v>-10815.599999999999</v>
      </c>
      <c r="DB99" s="51">
        <f t="shared" si="496"/>
        <v>-9947.1999999999989</v>
      </c>
      <c r="DC99" s="51">
        <f t="shared" ref="DC99" si="497">+DC101-DC114</f>
        <v>-9920.7000000000007</v>
      </c>
      <c r="DD99" s="51">
        <f t="shared" ref="DD99" si="498">+DD101-DD114</f>
        <v>-9768.9999999999982</v>
      </c>
      <c r="DE99" s="51">
        <f t="shared" ref="DE99:DQ99" si="499">+DE101-DE114</f>
        <v>-9909.6000000000022</v>
      </c>
      <c r="DF99" s="51">
        <f t="shared" si="499"/>
        <v>-9763.5</v>
      </c>
      <c r="DG99" s="51">
        <f t="shared" si="499"/>
        <v>-11213.199999999999</v>
      </c>
      <c r="DH99" s="51">
        <f t="shared" si="499"/>
        <v>-11489.9</v>
      </c>
      <c r="DI99" s="51">
        <f t="shared" si="499"/>
        <v>-10571.7</v>
      </c>
      <c r="DJ99" s="51">
        <f t="shared" si="499"/>
        <v>-11125</v>
      </c>
      <c r="DK99" s="51">
        <f t="shared" si="499"/>
        <v>-12463.899999999998</v>
      </c>
      <c r="DL99" s="51">
        <f t="shared" si="499"/>
        <v>-13245.8</v>
      </c>
      <c r="DM99" s="51">
        <f t="shared" si="499"/>
        <v>-14982.699999999999</v>
      </c>
      <c r="DN99" s="51">
        <f t="shared" si="499"/>
        <v>-19245.400000000001</v>
      </c>
      <c r="DO99" s="51">
        <f t="shared" si="499"/>
        <v>-20538.2</v>
      </c>
      <c r="DP99" s="51">
        <f t="shared" si="499"/>
        <v>-22650.400000000001</v>
      </c>
      <c r="DQ99" s="51">
        <f t="shared" si="499"/>
        <v>-24401.1</v>
      </c>
      <c r="DR99" s="51">
        <f>+DR101-DR114</f>
        <v>-27005.1</v>
      </c>
      <c r="DS99" s="51">
        <f t="shared" ref="DS99:DV99" si="500">+DS101-DS114</f>
        <v>-32072.5</v>
      </c>
      <c r="DT99" s="51">
        <f t="shared" si="500"/>
        <v>0</v>
      </c>
      <c r="DU99" s="51">
        <f t="shared" si="500"/>
        <v>0</v>
      </c>
      <c r="DV99" s="51">
        <f t="shared" si="500"/>
        <v>0</v>
      </c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501">+FJ99+FK81</f>
        <v>-4123.6466740000124</v>
      </c>
      <c r="FL99" s="49">
        <f t="shared" si="501"/>
        <v>13272.216291215997</v>
      </c>
      <c r="FM99" s="49">
        <f t="shared" si="501"/>
        <v>44780.432071395458</v>
      </c>
      <c r="FN99" s="49">
        <f t="shared" si="501"/>
        <v>84765.345089013019</v>
      </c>
      <c r="FO99" s="49">
        <f t="shared" si="501"/>
        <v>133016.0856254932</v>
      </c>
      <c r="FP99" s="49">
        <f t="shared" si="501"/>
        <v>187601.70811136521</v>
      </c>
      <c r="FQ99" s="49">
        <f t="shared" si="501"/>
        <v>248236.38039495045</v>
      </c>
      <c r="FR99" s="49">
        <f t="shared" ref="FR99" si="502">+FQ99+FR81</f>
        <v>310382.86678233935</v>
      </c>
      <c r="FS99" s="49">
        <f t="shared" ref="FS99" si="503">+FR99+FS81</f>
        <v>375106.59784646035</v>
      </c>
      <c r="FT99" s="49">
        <f t="shared" ref="FT99" si="504">+FS99+FT81</f>
        <v>442955.25034564128</v>
      </c>
      <c r="FU99" s="49">
        <f t="shared" ref="FU99" si="505">+FT99+FU81</f>
        <v>514423.96192956308</v>
      </c>
      <c r="FV99" s="49">
        <f t="shared" ref="FV99" si="506">+FU99+FV81</f>
        <v>585777.90248865366</v>
      </c>
      <c r="FX99" s="47" t="s">
        <v>241</v>
      </c>
      <c r="FY99" s="63">
        <v>7.0000000000000007E-2</v>
      </c>
    </row>
    <row r="100" spans="1:181" x14ac:dyDescent="0.2">
      <c r="A100" s="102"/>
      <c r="FX100" s="47" t="s">
        <v>243</v>
      </c>
      <c r="FY100" s="51">
        <f>NPV(FY99,FL81:IS81)+Main!J5-Main!J6</f>
        <v>829866.8168500074</v>
      </c>
    </row>
    <row r="101" spans="1:181" s="49" customFormat="1" x14ac:dyDescent="0.2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>
        <f>3268.4+154.8+3215.9</f>
        <v>6639.1</v>
      </c>
      <c r="DS101" s="51">
        <f>3093.3+127.4+3222.7</f>
        <v>6443.4</v>
      </c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507">+CX101</f>
        <v>4400.8999999999996</v>
      </c>
      <c r="FG101" s="49">
        <f t="shared" ref="FG101:FG112" si="508">+DB101</f>
        <v>6648.1</v>
      </c>
      <c r="FH101" s="49">
        <f t="shared" ref="FH101:FH127" si="509">+DF101</f>
        <v>7121.2</v>
      </c>
      <c r="FI101" s="49">
        <f t="shared" ref="FI101:FI127" si="510">+DJ101</f>
        <v>5113.6000000000004</v>
      </c>
      <c r="FJ101" s="49">
        <f>+DN101</f>
        <v>5979.9</v>
      </c>
      <c r="FX101" s="60" t="s">
        <v>264</v>
      </c>
      <c r="FY101" s="65">
        <f>+FY100/Main!J3</f>
        <v>875.22998800345658</v>
      </c>
    </row>
    <row r="102" spans="1:181" s="49" customFormat="1" x14ac:dyDescent="0.2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>
        <v>11005.7</v>
      </c>
      <c r="DS102" s="51">
        <v>12036.6</v>
      </c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507"/>
        <v>4547.3</v>
      </c>
      <c r="FG102" s="49">
        <f t="shared" si="508"/>
        <v>5875.3</v>
      </c>
      <c r="FH102" s="49">
        <f t="shared" si="509"/>
        <v>6672.8</v>
      </c>
      <c r="FI102" s="49">
        <f t="shared" si="510"/>
        <v>6896</v>
      </c>
      <c r="FJ102" s="49">
        <f t="shared" ref="FJ102:FJ125" si="511">+DN102</f>
        <v>9090.5</v>
      </c>
    </row>
    <row r="103" spans="1:181" s="49" customFormat="1" x14ac:dyDescent="0.2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>
        <v>2269.6999999999998</v>
      </c>
      <c r="DS103" s="51">
        <v>1966.6</v>
      </c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507"/>
        <v>994.2</v>
      </c>
      <c r="FG103" s="49">
        <f t="shared" si="508"/>
        <v>1053.7</v>
      </c>
      <c r="FH103" s="49">
        <f t="shared" si="509"/>
        <v>1454.4</v>
      </c>
      <c r="FI103" s="49">
        <f t="shared" si="510"/>
        <v>1662.9</v>
      </c>
      <c r="FJ103" s="49">
        <f t="shared" si="511"/>
        <v>2245.6999999999998</v>
      </c>
    </row>
    <row r="104" spans="1:181" s="49" customFormat="1" x14ac:dyDescent="0.2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>
        <v>7589.2</v>
      </c>
      <c r="DS104" s="51">
        <v>9311</v>
      </c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507"/>
        <v>3190.7</v>
      </c>
      <c r="FG104" s="49">
        <f t="shared" si="508"/>
        <v>3980.3</v>
      </c>
      <c r="FH104" s="49">
        <f t="shared" si="509"/>
        <v>3886</v>
      </c>
      <c r="FI104" s="49">
        <f t="shared" si="510"/>
        <v>4309.7</v>
      </c>
      <c r="FJ104" s="49">
        <f t="shared" si="511"/>
        <v>5772.8</v>
      </c>
    </row>
    <row r="105" spans="1:181" s="49" customFormat="1" x14ac:dyDescent="0.2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>
        <v>8340.5</v>
      </c>
      <c r="DS105" s="51">
        <v>14653.9</v>
      </c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507"/>
        <v>2538.9</v>
      </c>
      <c r="FG105" s="49">
        <f t="shared" si="508"/>
        <v>2871.5</v>
      </c>
      <c r="FH105" s="49">
        <f t="shared" si="509"/>
        <v>2530.6</v>
      </c>
      <c r="FI105" s="49">
        <f t="shared" si="510"/>
        <v>2954.1</v>
      </c>
      <c r="FJ105" s="49">
        <f t="shared" si="511"/>
        <v>5540.8</v>
      </c>
    </row>
    <row r="106" spans="1:181" s="49" customFormat="1" x14ac:dyDescent="0.2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>
        <v>111.4</v>
      </c>
      <c r="DS106" s="51">
        <v>72.400000000000006</v>
      </c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507"/>
        <v>0</v>
      </c>
      <c r="FG106" s="49">
        <f t="shared" si="508"/>
        <v>0</v>
      </c>
      <c r="FI106" s="49">
        <f t="shared" si="510"/>
        <v>0</v>
      </c>
      <c r="FJ106" s="49">
        <f t="shared" si="511"/>
        <v>149.5</v>
      </c>
    </row>
    <row r="107" spans="1:181" s="49" customFormat="1" x14ac:dyDescent="0.2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>
        <f>5770.3+6166.3</f>
        <v>11936.6</v>
      </c>
      <c r="DS107" s="51">
        <f>6012.2+5770.5</f>
        <v>11782.7</v>
      </c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507"/>
        <v>10297.4</v>
      </c>
      <c r="FG107" s="49">
        <f t="shared" si="508"/>
        <v>11216.5</v>
      </c>
      <c r="FH107" s="49">
        <f t="shared" si="509"/>
        <v>11583.9</v>
      </c>
      <c r="FI107" s="49">
        <f t="shared" si="510"/>
        <v>11279.6</v>
      </c>
      <c r="FJ107" s="49">
        <f t="shared" si="511"/>
        <v>11846.3</v>
      </c>
    </row>
    <row r="108" spans="1:181" s="49" customFormat="1" x14ac:dyDescent="0.2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>
        <v>8000.6</v>
      </c>
      <c r="DS108" s="51">
        <v>8573.2000000000007</v>
      </c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507"/>
        <v>2572.6</v>
      </c>
      <c r="FG108" s="49">
        <f t="shared" si="508"/>
        <v>2830.4</v>
      </c>
      <c r="FH108" s="49">
        <f t="shared" si="509"/>
        <v>2489.3000000000002</v>
      </c>
      <c r="FI108" s="49">
        <f t="shared" si="510"/>
        <v>2792.9</v>
      </c>
      <c r="FJ108" s="49">
        <f t="shared" si="511"/>
        <v>5477.3</v>
      </c>
    </row>
    <row r="109" spans="1:181" s="49" customFormat="1" x14ac:dyDescent="0.2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>
        <v>0</v>
      </c>
      <c r="DS109" s="51">
        <v>0</v>
      </c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507"/>
        <v>0</v>
      </c>
      <c r="FG109" s="49">
        <f t="shared" si="508"/>
        <v>0</v>
      </c>
      <c r="FI109" s="49">
        <f t="shared" si="510"/>
        <v>0</v>
      </c>
      <c r="FJ109" s="49">
        <f t="shared" si="511"/>
        <v>0</v>
      </c>
    </row>
    <row r="110" spans="1:181" s="49" customFormat="1" x14ac:dyDescent="0.2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>
        <v>17102.400000000001</v>
      </c>
      <c r="DS110" s="51">
        <v>18474.099999999999</v>
      </c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507"/>
        <v>7872.9</v>
      </c>
      <c r="FG110" s="49">
        <f t="shared" si="508"/>
        <v>8681.9</v>
      </c>
      <c r="FH110" s="49">
        <f t="shared" si="509"/>
        <v>8985.1</v>
      </c>
      <c r="FI110" s="49">
        <f t="shared" si="510"/>
        <v>10144</v>
      </c>
      <c r="FJ110" s="49">
        <f t="shared" si="511"/>
        <v>12913.6</v>
      </c>
    </row>
    <row r="111" spans="1:181" s="49" customFormat="1" x14ac:dyDescent="0.2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>
        <v>5719.7</v>
      </c>
      <c r="DS111" s="51">
        <v>6074.9</v>
      </c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507"/>
        <v>2871.2</v>
      </c>
      <c r="FG111" s="49">
        <f t="shared" si="508"/>
        <v>3475.4</v>
      </c>
      <c r="FH111" s="49">
        <f t="shared" si="509"/>
        <v>4082.7</v>
      </c>
      <c r="FI111" s="49">
        <f t="shared" si="510"/>
        <v>4337</v>
      </c>
      <c r="FJ111" s="49">
        <f t="shared" si="511"/>
        <v>4989.8999999999996</v>
      </c>
    </row>
    <row r="112" spans="1:181" s="49" customFormat="1" x14ac:dyDescent="0.2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512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513">SUM(CU101:CU111)</f>
        <v>38006.800000000003</v>
      </c>
      <c r="CV112" s="51">
        <f t="shared" si="513"/>
        <v>38666.400000000001</v>
      </c>
      <c r="CW112" s="51">
        <f t="shared" si="513"/>
        <v>37893.1</v>
      </c>
      <c r="CX112" s="51">
        <f t="shared" si="513"/>
        <v>39286.1</v>
      </c>
      <c r="CY112" s="51">
        <f t="shared" ref="CY112:DB112" si="514">SUM(CY101:CY111)</f>
        <v>41102.799999999996</v>
      </c>
      <c r="CZ112" s="51">
        <f t="shared" si="514"/>
        <v>41967</v>
      </c>
      <c r="DA112" s="51">
        <f t="shared" si="514"/>
        <v>43946</v>
      </c>
      <c r="DB112" s="51">
        <f t="shared" si="514"/>
        <v>46633.100000000006</v>
      </c>
      <c r="DC112" s="51">
        <f t="shared" ref="DC112" si="515">SUM(DC101:DC111)</f>
        <v>46838.299999999996</v>
      </c>
      <c r="DD112" s="51">
        <f t="shared" ref="DD112" si="516">SUM(DD101:DD111)</f>
        <v>47808.999999999993</v>
      </c>
      <c r="DE112" s="51">
        <f t="shared" ref="DE112:DS112" si="517">SUM(DE101:DE111)</f>
        <v>48187</v>
      </c>
      <c r="DF112" s="51">
        <f t="shared" si="517"/>
        <v>48806</v>
      </c>
      <c r="DG112" s="51">
        <f t="shared" si="517"/>
        <v>46919.3</v>
      </c>
      <c r="DH112" s="51">
        <f t="shared" si="517"/>
        <v>47063.6</v>
      </c>
      <c r="DI112" s="51">
        <f t="shared" si="517"/>
        <v>47461.5</v>
      </c>
      <c r="DJ112" s="51">
        <f t="shared" si="517"/>
        <v>49489.8</v>
      </c>
      <c r="DK112" s="51">
        <f t="shared" si="517"/>
        <v>53162.999999999993</v>
      </c>
      <c r="DL112" s="51">
        <f t="shared" si="517"/>
        <v>54814</v>
      </c>
      <c r="DM112" s="51">
        <f t="shared" si="517"/>
        <v>57915.500000000007</v>
      </c>
      <c r="DN112" s="51">
        <f t="shared" si="517"/>
        <v>64006.3</v>
      </c>
      <c r="DO112" s="51">
        <f t="shared" si="517"/>
        <v>63943.5</v>
      </c>
      <c r="DP112" s="51">
        <f t="shared" si="517"/>
        <v>71874.799999999988</v>
      </c>
      <c r="DQ112" s="51">
        <f t="shared" si="517"/>
        <v>75606.900000000009</v>
      </c>
      <c r="DR112" s="51">
        <f t="shared" si="517"/>
        <v>78714.900000000009</v>
      </c>
      <c r="DS112" s="51">
        <f t="shared" si="517"/>
        <v>89388.799999999988</v>
      </c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507"/>
        <v>39286.1</v>
      </c>
      <c r="FG112" s="49">
        <f t="shared" si="508"/>
        <v>46633.100000000006</v>
      </c>
      <c r="FH112" s="49">
        <f t="shared" si="509"/>
        <v>48806</v>
      </c>
      <c r="FI112" s="49">
        <f t="shared" si="510"/>
        <v>49489.8</v>
      </c>
      <c r="FJ112" s="49">
        <f t="shared" si="511"/>
        <v>64006.3</v>
      </c>
    </row>
    <row r="113" spans="1:166" x14ac:dyDescent="0.2">
      <c r="A113" s="102"/>
      <c r="FG113" s="49"/>
      <c r="FH113" s="49"/>
      <c r="FI113" s="49"/>
    </row>
    <row r="114" spans="1:166" s="49" customFormat="1" x14ac:dyDescent="0.2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>
        <f>28527.1+5117.1</f>
        <v>33644.199999999997</v>
      </c>
      <c r="DS114" s="51">
        <f>4016.4+34499.5</f>
        <v>38515.9</v>
      </c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507"/>
        <v>15317.199999999999</v>
      </c>
      <c r="FG114" s="49">
        <f t="shared" ref="FG114:FG125" si="518">+DB114</f>
        <v>16595.3</v>
      </c>
      <c r="FH114" s="49">
        <f t="shared" si="509"/>
        <v>16884.7</v>
      </c>
      <c r="FI114" s="49">
        <f t="shared" si="510"/>
        <v>16238.6</v>
      </c>
      <c r="FJ114" s="49">
        <f t="shared" si="511"/>
        <v>25225.3</v>
      </c>
    </row>
    <row r="115" spans="1:166" s="49" customFormat="1" x14ac:dyDescent="0.2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>
        <v>3228.6</v>
      </c>
      <c r="DS115" s="51">
        <v>3442</v>
      </c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507"/>
        <v>1405.3</v>
      </c>
      <c r="FG115" s="49">
        <f t="shared" si="518"/>
        <v>1606.7</v>
      </c>
      <c r="FH115" s="49">
        <f t="shared" si="509"/>
        <v>1670.6</v>
      </c>
      <c r="FI115" s="49">
        <f t="shared" si="510"/>
        <v>1930.6</v>
      </c>
      <c r="FJ115" s="49">
        <f t="shared" si="511"/>
        <v>2598.8000000000002</v>
      </c>
    </row>
    <row r="116" spans="1:166" s="49" customFormat="1" x14ac:dyDescent="0.2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>
        <v>2093.9</v>
      </c>
      <c r="DS116" s="51">
        <v>1113.9000000000001</v>
      </c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507"/>
        <v>915.5</v>
      </c>
      <c r="FG116" s="49">
        <f t="shared" si="518"/>
        <v>997.2</v>
      </c>
      <c r="FH116" s="49">
        <f t="shared" si="509"/>
        <v>958.1</v>
      </c>
      <c r="FI116" s="49">
        <f t="shared" si="510"/>
        <v>1059.8</v>
      </c>
      <c r="FJ116" s="49">
        <f t="shared" si="511"/>
        <v>1650.4</v>
      </c>
    </row>
    <row r="117" spans="1:166" s="49" customFormat="1" x14ac:dyDescent="0.2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>
        <v>11539.3</v>
      </c>
      <c r="DS117" s="51">
        <v>11550.3</v>
      </c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507"/>
        <v>4933.6000000000004</v>
      </c>
      <c r="FG117" s="49">
        <f t="shared" si="518"/>
        <v>5853</v>
      </c>
      <c r="FH117" s="49">
        <f t="shared" si="509"/>
        <v>6845.8</v>
      </c>
      <c r="FI117" s="49">
        <f t="shared" si="510"/>
        <v>8784.1</v>
      </c>
      <c r="FJ117" s="49">
        <f t="shared" si="511"/>
        <v>11689</v>
      </c>
    </row>
    <row r="118" spans="1:166" s="49" customFormat="1" x14ac:dyDescent="0.2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>
        <v>1346.3</v>
      </c>
      <c r="DS118" s="51">
        <v>0</v>
      </c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507"/>
        <v>671.5</v>
      </c>
      <c r="FG118" s="49">
        <f t="shared" si="518"/>
        <v>770.6</v>
      </c>
      <c r="FH118" s="49">
        <f t="shared" si="509"/>
        <v>885.5</v>
      </c>
      <c r="FI118" s="49">
        <f t="shared" si="510"/>
        <v>1017.2</v>
      </c>
      <c r="FJ118" s="49">
        <f t="shared" si="511"/>
        <v>1169.2</v>
      </c>
    </row>
    <row r="119" spans="1:166" s="49" customFormat="1" x14ac:dyDescent="0.2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>
        <v>0</v>
      </c>
      <c r="DS119" s="51">
        <v>6175.7</v>
      </c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507"/>
        <v>160.6</v>
      </c>
      <c r="FG119" s="49">
        <f t="shared" si="518"/>
        <v>495.1</v>
      </c>
      <c r="FH119" s="49">
        <f t="shared" si="509"/>
        <v>126.9</v>
      </c>
      <c r="FI119" s="49">
        <f t="shared" si="510"/>
        <v>475.1</v>
      </c>
      <c r="FJ119" s="49">
        <f t="shared" si="511"/>
        <v>0</v>
      </c>
    </row>
    <row r="120" spans="1:166" s="49" customFormat="1" x14ac:dyDescent="0.2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>
        <v>5051.3999999999996</v>
      </c>
      <c r="DS120" s="51">
        <v>3769.8</v>
      </c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507"/>
        <v>2189.4</v>
      </c>
      <c r="FG120" s="49">
        <f t="shared" si="518"/>
        <v>2750.3</v>
      </c>
      <c r="FH120" s="49">
        <f t="shared" si="509"/>
        <v>3027.5</v>
      </c>
      <c r="FI120" s="49">
        <f t="shared" si="510"/>
        <v>2370.3000000000002</v>
      </c>
      <c r="FJ120" s="49">
        <f t="shared" si="511"/>
        <v>3281.3</v>
      </c>
    </row>
    <row r="121" spans="1:166" s="49" customFormat="1" x14ac:dyDescent="0.2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>
        <v>1300.5</v>
      </c>
      <c r="DS121" s="51">
        <v>1315.5</v>
      </c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507"/>
        <v>3698.2</v>
      </c>
      <c r="FG121" s="49">
        <f t="shared" si="518"/>
        <v>4094.5</v>
      </c>
      <c r="FH121" s="49">
        <f t="shared" si="509"/>
        <v>1954.1</v>
      </c>
      <c r="FI121" s="49">
        <f t="shared" si="510"/>
        <v>1305.0999999999999</v>
      </c>
      <c r="FJ121" s="49">
        <f t="shared" si="511"/>
        <v>1438.8</v>
      </c>
    </row>
    <row r="122" spans="1:166" s="49" customFormat="1" x14ac:dyDescent="0.2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>
        <v>4060.9</v>
      </c>
      <c r="DS122" s="51">
        <v>5370.5</v>
      </c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507"/>
        <v>4621.5</v>
      </c>
      <c r="FG122" s="49">
        <f t="shared" si="518"/>
        <v>5937.7000000000007</v>
      </c>
      <c r="FH122" s="49">
        <f t="shared" si="509"/>
        <v>5653.7</v>
      </c>
      <c r="FI122" s="49">
        <f t="shared" si="510"/>
        <v>3796.9</v>
      </c>
      <c r="FJ122" s="49">
        <f t="shared" si="511"/>
        <v>3849.2</v>
      </c>
    </row>
    <row r="123" spans="1:166" s="49" customFormat="1" x14ac:dyDescent="0.2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>
        <v>2178.1999999999998</v>
      </c>
      <c r="DS123" s="51">
        <v>2288.4</v>
      </c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507"/>
        <v>2187.5</v>
      </c>
      <c r="FG123" s="49">
        <f t="shared" si="518"/>
        <v>1707.5</v>
      </c>
      <c r="FH123" s="49">
        <f t="shared" si="509"/>
        <v>1644.3</v>
      </c>
      <c r="FI123" s="49">
        <f t="shared" si="510"/>
        <v>1736.7</v>
      </c>
      <c r="FJ123" s="49">
        <f t="shared" si="511"/>
        <v>2240.6</v>
      </c>
    </row>
    <row r="124" spans="1:166" s="49" customFormat="1" x14ac:dyDescent="0.2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>
        <v>14271.6</v>
      </c>
      <c r="DS124" s="51">
        <v>15846.8</v>
      </c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507"/>
        <v>3185.7999999999997</v>
      </c>
      <c r="FG124" s="49">
        <f t="shared" si="518"/>
        <v>5825.2</v>
      </c>
      <c r="FH124" s="49">
        <f t="shared" si="509"/>
        <v>9154.7999999999993</v>
      </c>
      <c r="FI124" s="49">
        <f t="shared" si="510"/>
        <v>10775.4</v>
      </c>
      <c r="FJ124" s="49">
        <f t="shared" si="511"/>
        <v>10863.7</v>
      </c>
    </row>
    <row r="125" spans="1:166" s="49" customFormat="1" x14ac:dyDescent="0.2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519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520">SUM(CU114:CU124)</f>
        <v>38006.800000000003</v>
      </c>
      <c r="CV125" s="51">
        <f t="shared" si="520"/>
        <v>38666.400000000009</v>
      </c>
      <c r="CW125" s="51">
        <f t="shared" ref="CW125:CX125" si="521">SUM(CW114:CW124)</f>
        <v>37893.100000000006</v>
      </c>
      <c r="CX125" s="51">
        <f t="shared" si="521"/>
        <v>39286.100000000006</v>
      </c>
      <c r="CY125" s="51">
        <f t="shared" ref="CY125:DB125" si="522">SUM(CY114:CY124)</f>
        <v>41102.799999999996</v>
      </c>
      <c r="CZ125" s="51">
        <f t="shared" ref="CZ125" si="523">SUM(CZ114:CZ124)</f>
        <v>41967</v>
      </c>
      <c r="DA125" s="51">
        <f t="shared" si="522"/>
        <v>43945.999999999993</v>
      </c>
      <c r="DB125" s="51">
        <f t="shared" si="522"/>
        <v>46633.099999999991</v>
      </c>
      <c r="DC125" s="51">
        <f t="shared" ref="DC125" si="524">SUM(DC114:DC124)</f>
        <v>46838.3</v>
      </c>
      <c r="DD125" s="51">
        <f t="shared" ref="DD125" si="525">SUM(DD114:DD124)</f>
        <v>47809.000000000007</v>
      </c>
      <c r="DE125" s="51">
        <f t="shared" ref="DE125:DS125" si="526">SUM(DE114:DE124)</f>
        <v>48187</v>
      </c>
      <c r="DF125" s="51">
        <f t="shared" si="526"/>
        <v>48806</v>
      </c>
      <c r="DG125" s="51">
        <f t="shared" si="526"/>
        <v>46919.299999999996</v>
      </c>
      <c r="DH125" s="51">
        <f t="shared" si="526"/>
        <v>47063.599999999991</v>
      </c>
      <c r="DI125" s="51">
        <f t="shared" si="526"/>
        <v>47461.5</v>
      </c>
      <c r="DJ125" s="51">
        <f t="shared" si="526"/>
        <v>49489.799999999996</v>
      </c>
      <c r="DK125" s="51">
        <f t="shared" si="526"/>
        <v>53163</v>
      </c>
      <c r="DL125" s="51">
        <f t="shared" si="526"/>
        <v>54814</v>
      </c>
      <c r="DM125" s="51">
        <f t="shared" si="526"/>
        <v>57915.5</v>
      </c>
      <c r="DN125" s="51">
        <f t="shared" si="526"/>
        <v>64006.3</v>
      </c>
      <c r="DO125" s="51">
        <f t="shared" si="526"/>
        <v>63943.500000000007</v>
      </c>
      <c r="DP125" s="51">
        <f t="shared" si="526"/>
        <v>71874.799999999988</v>
      </c>
      <c r="DQ125" s="51">
        <f t="shared" si="526"/>
        <v>75606.900000000009</v>
      </c>
      <c r="DR125" s="51">
        <f t="shared" si="526"/>
        <v>78714.900000000009</v>
      </c>
      <c r="DS125" s="51">
        <f t="shared" si="526"/>
        <v>89388.800000000003</v>
      </c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507"/>
        <v>39286.100000000006</v>
      </c>
      <c r="FG125" s="49">
        <f t="shared" si="518"/>
        <v>46633.099999999991</v>
      </c>
      <c r="FH125" s="49">
        <f t="shared" si="509"/>
        <v>48806</v>
      </c>
      <c r="FI125" s="49">
        <f t="shared" si="510"/>
        <v>49489.799999999996</v>
      </c>
      <c r="FJ125" s="49">
        <f t="shared" si="511"/>
        <v>64006.3</v>
      </c>
    </row>
    <row r="126" spans="1:166" x14ac:dyDescent="0.2">
      <c r="A126" s="102"/>
      <c r="FG126" s="49"/>
      <c r="FH126" s="49"/>
      <c r="FI126" s="49"/>
    </row>
    <row r="127" spans="1:166" x14ac:dyDescent="0.2">
      <c r="A127" s="102"/>
      <c r="B127" s="50" t="s">
        <v>387</v>
      </c>
      <c r="CU127" s="51">
        <f t="shared" ref="CU127:CX127" si="527">CU81</f>
        <v>1094.6999999999975</v>
      </c>
      <c r="CV127" s="51">
        <f t="shared" si="527"/>
        <v>1329.0000000000009</v>
      </c>
      <c r="CW127" s="51">
        <f t="shared" si="527"/>
        <v>1294.8000000000011</v>
      </c>
      <c r="CX127" s="51">
        <f t="shared" si="527"/>
        <v>1354.7999999999995</v>
      </c>
      <c r="CY127" s="51">
        <f t="shared" ref="CY127:DB127" si="528">CY81</f>
        <v>1431.4999999999975</v>
      </c>
      <c r="CZ127" s="51">
        <f t="shared" si="528"/>
        <v>1228.4999999999986</v>
      </c>
      <c r="DA127" s="51">
        <f t="shared" si="528"/>
        <v>1164.1999999999989</v>
      </c>
      <c r="DB127" s="51">
        <f t="shared" si="528"/>
        <v>1892.6999999999991</v>
      </c>
      <c r="DC127" s="51">
        <f t="shared" ref="DC127:DJ127" si="529">DC81</f>
        <v>1777.5000000000007</v>
      </c>
      <c r="DD127" s="51">
        <f t="shared" si="529"/>
        <v>1698.2999999999972</v>
      </c>
      <c r="DE127" s="51">
        <f t="shared" si="529"/>
        <v>1693.5999999999979</v>
      </c>
      <c r="DF127" s="51">
        <f t="shared" si="529"/>
        <v>2207.1999999999994</v>
      </c>
      <c r="DG127" s="51">
        <f t="shared" si="529"/>
        <v>2538.4999999999991</v>
      </c>
      <c r="DH127" s="51">
        <f t="shared" si="529"/>
        <v>1703.7000000000016</v>
      </c>
      <c r="DI127" s="51">
        <f t="shared" si="529"/>
        <v>1720.4999999999993</v>
      </c>
      <c r="DJ127" s="51">
        <f t="shared" si="529"/>
        <v>2026.900000000001</v>
      </c>
      <c r="DK127" s="51">
        <f t="shared" ref="DK127:DP127" si="530">+DK81</f>
        <v>1504.4999999999991</v>
      </c>
      <c r="DL127" s="51">
        <f t="shared" si="530"/>
        <v>1481.3999999999992</v>
      </c>
      <c r="DM127" s="51">
        <f t="shared" si="530"/>
        <v>2633.9399999999978</v>
      </c>
      <c r="DN127" s="51">
        <f t="shared" si="530"/>
        <v>2976.9000000000019</v>
      </c>
      <c r="DO127" s="51">
        <f t="shared" si="530"/>
        <v>2388.1999999999998</v>
      </c>
      <c r="DP127" s="51">
        <f t="shared" si="530"/>
        <v>3701.9999999999982</v>
      </c>
      <c r="DQ127" s="51">
        <f>+DQ81</f>
        <v>4017.8000000000052</v>
      </c>
      <c r="DR127" s="51">
        <f>+DR81</f>
        <v>5283.3739850000011</v>
      </c>
      <c r="DS127" s="51">
        <f>+DS81</f>
        <v>4604.7</v>
      </c>
      <c r="FF127" s="49">
        <f>+DA127</f>
        <v>1164.1999999999989</v>
      </c>
      <c r="FG127" s="49">
        <f>+DB127</f>
        <v>1892.6999999999991</v>
      </c>
      <c r="FH127" s="49">
        <f t="shared" si="509"/>
        <v>2207.1999999999994</v>
      </c>
      <c r="FI127" s="49">
        <f t="shared" si="510"/>
        <v>2026.900000000001</v>
      </c>
      <c r="FJ127" s="49">
        <f>SUM(DK127:DN127)</f>
        <v>8596.739999999998</v>
      </c>
    </row>
    <row r="128" spans="1:166" x14ac:dyDescent="0.2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DR128" s="51">
        <f>10590-DQ128-DP128-DO128</f>
        <v>4409.8000000000011</v>
      </c>
      <c r="DS128" s="51">
        <v>2759.3</v>
      </c>
      <c r="FF128" s="49">
        <f t="shared" ref="FF128:FF135" si="531">SUM(CU128:CX128)</f>
        <v>8318.4</v>
      </c>
      <c r="FG128" s="49">
        <f t="shared" ref="FG128:FG135" si="532">SUM(CY128:DB128)</f>
        <v>6193.6999999999989</v>
      </c>
      <c r="FH128" s="49">
        <f t="shared" ref="FH128:FH133" si="533">SUM(DC128:DF128)</f>
        <v>5581.7</v>
      </c>
      <c r="FI128" s="49">
        <f t="shared" ref="FI128:FI133" si="534">SUM(DG128:DJ128)</f>
        <v>6244.8000000000011</v>
      </c>
      <c r="FJ128" s="49">
        <f t="shared" ref="FJ128:FJ133" si="535">SUM(DK128:DN128)</f>
        <v>5240.3999999999996</v>
      </c>
    </row>
    <row r="129" spans="1:166" x14ac:dyDescent="0.2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DR129" s="51">
        <f>1766.6-DQ129-DP129-DO129</f>
        <v>484.79999999999995</v>
      </c>
      <c r="DS129" s="51">
        <v>462.8</v>
      </c>
      <c r="FF129" s="49">
        <f t="shared" si="531"/>
        <v>1232.5999999999999</v>
      </c>
      <c r="FG129" s="49">
        <f t="shared" si="532"/>
        <v>1323.9</v>
      </c>
      <c r="FH129" s="49">
        <f t="shared" si="533"/>
        <v>1547.6</v>
      </c>
      <c r="FI129" s="49">
        <f t="shared" si="534"/>
        <v>1522.5</v>
      </c>
      <c r="FJ129" s="49">
        <f t="shared" si="535"/>
        <v>1527.3</v>
      </c>
    </row>
    <row r="130" spans="1:166" x14ac:dyDescent="0.2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DR130" s="51">
        <f>-2683.1-DQ130-DP130-DO130</f>
        <v>-966.69999999999982</v>
      </c>
      <c r="DS130" s="51">
        <v>-391.6</v>
      </c>
      <c r="FF130" s="49">
        <f t="shared" si="531"/>
        <v>62.400000000000006</v>
      </c>
      <c r="FG130" s="49">
        <f t="shared" si="532"/>
        <v>-134.50000000000003</v>
      </c>
      <c r="FH130" s="49">
        <f t="shared" si="533"/>
        <v>-802.3</v>
      </c>
      <c r="FI130" s="49">
        <f t="shared" si="534"/>
        <v>-2185.1999999999998</v>
      </c>
      <c r="FJ130" s="49">
        <f t="shared" si="535"/>
        <v>-2341</v>
      </c>
    </row>
    <row r="131" spans="1:166" x14ac:dyDescent="0.2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DR131" s="51">
        <f>645.6-DQ131-DP131-DO131</f>
        <v>141.89999999999995</v>
      </c>
      <c r="DS131" s="51">
        <v>153.69999999999999</v>
      </c>
      <c r="FF131" s="49">
        <f t="shared" si="531"/>
        <v>312.39999999999998</v>
      </c>
      <c r="FG131" s="49">
        <f t="shared" si="532"/>
        <v>308.10000000000002</v>
      </c>
      <c r="FH131" s="49">
        <f t="shared" si="533"/>
        <v>342.8</v>
      </c>
      <c r="FI131" s="49">
        <f t="shared" si="534"/>
        <v>371.1</v>
      </c>
      <c r="FJ131" s="49">
        <f t="shared" si="535"/>
        <v>628.5</v>
      </c>
    </row>
    <row r="132" spans="1:166" x14ac:dyDescent="0.2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DR132" s="51">
        <f>49.8-DQ132-DP132-DO132</f>
        <v>19.999999999999989</v>
      </c>
      <c r="DS132" s="51">
        <v>149.1</v>
      </c>
      <c r="FF132" s="49">
        <f t="shared" si="531"/>
        <v>-3990.3</v>
      </c>
      <c r="FG132" s="49">
        <f t="shared" si="532"/>
        <v>-1438.5</v>
      </c>
      <c r="FH132" s="49">
        <f t="shared" si="533"/>
        <v>-178</v>
      </c>
      <c r="FI132" s="49">
        <f t="shared" si="534"/>
        <v>420</v>
      </c>
      <c r="FJ132" s="49">
        <f t="shared" si="535"/>
        <v>23.5</v>
      </c>
    </row>
    <row r="133" spans="1:166" x14ac:dyDescent="0.2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DR133" s="51">
        <f>3280.4-DQ133-DP133-DO133</f>
        <v>189.20000000000044</v>
      </c>
      <c r="DS133" s="51">
        <v>1571.7</v>
      </c>
      <c r="FF133" s="49">
        <f t="shared" si="531"/>
        <v>239.6</v>
      </c>
      <c r="FG133" s="49">
        <f t="shared" si="532"/>
        <v>660.4</v>
      </c>
      <c r="FH133" s="49">
        <f t="shared" si="533"/>
        <v>874.9</v>
      </c>
      <c r="FI133" s="49">
        <f t="shared" si="534"/>
        <v>420.9</v>
      </c>
      <c r="FJ133" s="49">
        <f t="shared" si="535"/>
        <v>3799.8</v>
      </c>
    </row>
    <row r="134" spans="1:166" x14ac:dyDescent="0.2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DR134" s="51">
        <f>777.4-DQ134-DP134-DO134-223.8</f>
        <v>419.69999999999987</v>
      </c>
      <c r="DS134" s="51">
        <v>-3364.2</v>
      </c>
      <c r="FF134" s="49">
        <f t="shared" si="531"/>
        <v>348.70000000000005</v>
      </c>
      <c r="FG134" s="49">
        <f t="shared" si="532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DR135" s="51">
        <f>-2155.2-2507.4-3331.2+2608.8-DQ135-DP135-DO135</f>
        <v>-2224.8999999999996</v>
      </c>
      <c r="DS135" s="51">
        <v>324.8</v>
      </c>
      <c r="FF135" s="49">
        <f t="shared" si="531"/>
        <v>-1687.2000000000003</v>
      </c>
      <c r="FG135" s="49">
        <f t="shared" si="532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36">SUM(CU128:CU135)</f>
        <v>311.30000000000103</v>
      </c>
      <c r="CV136" s="51">
        <f t="shared" si="536"/>
        <v>1051.4999999999998</v>
      </c>
      <c r="CW136" s="51">
        <f t="shared" si="536"/>
        <v>1510.1</v>
      </c>
      <c r="CX136" s="51">
        <f t="shared" si="536"/>
        <v>1963.6999999999994</v>
      </c>
      <c r="CY136" s="51">
        <f>SUM(CY128:CY135)</f>
        <v>382.39999999999986</v>
      </c>
      <c r="CZ136" s="51">
        <f t="shared" ref="CZ136:DB136" si="537">SUM(CZ128:CZ135)</f>
        <v>2495.3999999999996</v>
      </c>
      <c r="DA136" s="51">
        <f t="shared" si="537"/>
        <v>1806.6000000000004</v>
      </c>
      <c r="DB136" s="51">
        <f t="shared" si="537"/>
        <v>1815.1999999999998</v>
      </c>
      <c r="DC136" s="51">
        <f t="shared" ref="DC136:DP136" si="538">SUM(DC128:DC135)</f>
        <v>1697.3999999999999</v>
      </c>
      <c r="DD136" s="51">
        <f t="shared" si="538"/>
        <v>1775.5</v>
      </c>
      <c r="DE136" s="51">
        <f t="shared" si="538"/>
        <v>1631.3</v>
      </c>
      <c r="DF136" s="51">
        <f t="shared" si="538"/>
        <v>2156.5000000000005</v>
      </c>
      <c r="DG136" s="51">
        <f t="shared" si="538"/>
        <v>2499.1999999999998</v>
      </c>
      <c r="DH136" s="51">
        <f t="shared" si="538"/>
        <v>820.7</v>
      </c>
      <c r="DI136" s="51">
        <f t="shared" si="538"/>
        <v>2185.1000000000004</v>
      </c>
      <c r="DJ136" s="51">
        <f t="shared" si="538"/>
        <v>1579.4000000000003</v>
      </c>
      <c r="DK136" s="52">
        <f t="shared" si="538"/>
        <v>1730.6000000000001</v>
      </c>
      <c r="DL136" s="52">
        <f t="shared" si="538"/>
        <v>631.89999999999986</v>
      </c>
      <c r="DM136" s="52">
        <f t="shared" si="538"/>
        <v>2189.5</v>
      </c>
      <c r="DN136" s="52">
        <f t="shared" si="538"/>
        <v>-311.90000000000146</v>
      </c>
      <c r="DO136" s="51">
        <f t="shared" si="538"/>
        <v>1165.9999999999998</v>
      </c>
      <c r="DP136" s="51">
        <f t="shared" si="538"/>
        <v>1466.1999999999998</v>
      </c>
      <c r="DQ136" s="51">
        <f>SUM(DQ128:DQ135)</f>
        <v>3711.8999999999996</v>
      </c>
      <c r="DR136" s="51">
        <f>SUM(DR128:DR135)</f>
        <v>2473.800000000002</v>
      </c>
      <c r="DS136" s="51">
        <f>SUM(DS128:DS135)</f>
        <v>1665.6000000000001</v>
      </c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">
      <c r="DC137" s="51"/>
      <c r="DD137" s="51"/>
      <c r="DJ137" s="51"/>
      <c r="DQ137" s="51"/>
      <c r="FG137" s="49"/>
      <c r="FH137" s="49"/>
      <c r="FI137" s="49"/>
    </row>
    <row r="138" spans="1:166" s="49" customFormat="1" x14ac:dyDescent="0.2">
      <c r="B138" s="50" t="s">
        <v>394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DR138" s="51">
        <f>-5057.8-DQ138-DP138-DO138</f>
        <v>-1496.0000000000002</v>
      </c>
      <c r="DS138" s="51">
        <v>-1509.5</v>
      </c>
      <c r="DT138" s="51"/>
      <c r="DU138" s="51"/>
      <c r="DV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F138" s="49">
        <f t="shared" ref="FF138:FF141" si="539">SUM(CU138:CX138)</f>
        <v>-1033.9000000000001</v>
      </c>
      <c r="FG138" s="49">
        <f t="shared" ref="FG138:FG141" si="540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s="49" customFormat="1" x14ac:dyDescent="0.2">
      <c r="B139" s="50" t="s">
        <v>391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DR139" s="51">
        <f>148.9-98.5+373.6-677.3-DQ139-DP139-DO139</f>
        <v>-84.899999999999935</v>
      </c>
      <c r="DS139" s="51">
        <f>71.6-196.7</f>
        <v>-125.1</v>
      </c>
      <c r="DT139" s="51"/>
      <c r="DU139" s="51"/>
      <c r="DV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F139" s="49">
        <f t="shared" si="539"/>
        <v>456.19999999999993</v>
      </c>
      <c r="FG139" s="49">
        <f t="shared" si="540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s="49" customFormat="1" x14ac:dyDescent="0.2">
      <c r="B140" s="50" t="s">
        <v>395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DR140" s="51">
        <f>-3345.8+601.3-DQ140-DP140-DO140-947.7</f>
        <v>-180.80000000000018</v>
      </c>
      <c r="DS140" s="51">
        <v>-1757</v>
      </c>
      <c r="DT140" s="51"/>
      <c r="DU140" s="51"/>
      <c r="DV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F140" s="49">
        <f t="shared" si="539"/>
        <v>-7256.5</v>
      </c>
      <c r="FG140" s="49">
        <f t="shared" si="540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s="49" customFormat="1" x14ac:dyDescent="0.2">
      <c r="B141" s="50" t="s">
        <v>78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DR141" s="51">
        <f>-298.2-DQ141-DP141-DO141</f>
        <v>-158.79999999999995</v>
      </c>
      <c r="DS141" s="51">
        <v>39.299999999999997</v>
      </c>
      <c r="DT141" s="51"/>
      <c r="DU141" s="51"/>
      <c r="DV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F141" s="49">
        <f t="shared" si="539"/>
        <v>-248.7</v>
      </c>
      <c r="FG141" s="49">
        <f t="shared" si="540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s="49" customFormat="1" x14ac:dyDescent="0.2">
      <c r="B142" s="50" t="s">
        <v>396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41">SUM(CX138:CX141)</f>
        <v>-41.399999999999523</v>
      </c>
      <c r="CY142" s="51">
        <f t="shared" ref="CY142:DB142" si="542">SUM(CY138:CY141)</f>
        <v>-1060.8999999999999</v>
      </c>
      <c r="CZ142" s="51">
        <f t="shared" si="542"/>
        <v>-210.39999999999998</v>
      </c>
      <c r="DA142" s="51">
        <f t="shared" si="542"/>
        <v>-313.50000000000011</v>
      </c>
      <c r="DB142" s="51">
        <f t="shared" si="542"/>
        <v>-674.09999999999991</v>
      </c>
      <c r="DC142" s="51">
        <f t="shared" ref="DC142:DS142" si="543">SUM(DC138:DC141)</f>
        <v>-1283.5</v>
      </c>
      <c r="DD142" s="51">
        <f t="shared" si="543"/>
        <v>-483.30000000000007</v>
      </c>
      <c r="DE142" s="51">
        <f t="shared" si="543"/>
        <v>-616.49999999999977</v>
      </c>
      <c r="DF142" s="51">
        <f t="shared" si="543"/>
        <v>-379.00000000000006</v>
      </c>
      <c r="DG142" s="51">
        <f t="shared" si="543"/>
        <v>-1013.8</v>
      </c>
      <c r="DH142" s="51">
        <f t="shared" si="543"/>
        <v>-463.89999999999992</v>
      </c>
      <c r="DI142" s="51">
        <f t="shared" si="543"/>
        <v>-923.4</v>
      </c>
      <c r="DJ142" s="51">
        <f t="shared" si="543"/>
        <v>-860.50000000000011</v>
      </c>
      <c r="DK142" s="51">
        <f t="shared" si="543"/>
        <v>-688.80000000000007</v>
      </c>
      <c r="DL142" s="51">
        <f t="shared" si="543"/>
        <v>-459.09999999999997</v>
      </c>
      <c r="DM142" s="51">
        <f t="shared" si="543"/>
        <v>-3080.5</v>
      </c>
      <c r="DN142" s="51">
        <f t="shared" si="543"/>
        <v>-2924.3</v>
      </c>
      <c r="DO142" s="51">
        <f t="shared" si="543"/>
        <v>-1177.6000000000001</v>
      </c>
      <c r="DP142" s="51">
        <f t="shared" si="543"/>
        <v>-2198.7000000000003</v>
      </c>
      <c r="DQ142" s="51">
        <f t="shared" si="543"/>
        <v>-4004.7</v>
      </c>
      <c r="DR142" s="51">
        <f t="shared" si="543"/>
        <v>-1920.5000000000002</v>
      </c>
      <c r="DS142" s="51">
        <f t="shared" si="543"/>
        <v>-3352.2999999999997</v>
      </c>
      <c r="DT142" s="51"/>
      <c r="DU142" s="51"/>
      <c r="DV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F142" s="49">
        <f>SUM(DG142:DJ142)</f>
        <v>-3261.6</v>
      </c>
      <c r="FG142" s="49">
        <f>SUM(DH142:DK142)</f>
        <v>-2936.6000000000004</v>
      </c>
      <c r="FH142" s="49">
        <f t="shared" ref="FH142" si="544">SUM(DI142:DL142)</f>
        <v>-2931.8</v>
      </c>
      <c r="FI142" s="49">
        <f t="shared" ref="FI142" si="545">SUM(DJ142:DM142)</f>
        <v>-5088.8999999999996</v>
      </c>
      <c r="FJ142" s="49">
        <f t="shared" ref="FJ142:FJ148" si="546">SUM(DK142:DN142)</f>
        <v>-7152.7</v>
      </c>
    </row>
    <row r="143" spans="1:166" x14ac:dyDescent="0.2">
      <c r="CW143" s="51"/>
      <c r="DC143" s="51"/>
      <c r="DD143" s="51"/>
      <c r="DJ143" s="51"/>
      <c r="DQ143" s="51"/>
      <c r="FG143" s="49"/>
      <c r="FH143" s="49"/>
      <c r="FI143" s="49"/>
    </row>
    <row r="144" spans="1:166" s="49" customFormat="1" x14ac:dyDescent="0.2">
      <c r="B144" s="50" t="s">
        <v>296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DR144" s="51">
        <f>-4680.4-DQ144-DP144-DO144</f>
        <v>-1168.3</v>
      </c>
      <c r="DS144" s="51">
        <v>-1346.3</v>
      </c>
      <c r="DT144" s="51"/>
      <c r="DU144" s="51"/>
      <c r="DV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51"/>
      <c r="FC144" s="51"/>
      <c r="FD144" s="51"/>
      <c r="FF144" s="49">
        <f t="shared" ref="FF144:FF147" si="547">SUM(CU144:CX144)</f>
        <v>-2409.8000000000002</v>
      </c>
      <c r="FG144" s="49">
        <f t="shared" ref="FG144:FG147" si="548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s="49" customFormat="1" x14ac:dyDescent="0.2">
      <c r="B145" s="50" t="s">
        <v>399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DR145" s="51">
        <f>-1851.8+11417.1-664.2-DQ145-DP145-DO145</f>
        <v>3042.3</v>
      </c>
      <c r="DS145" s="51">
        <f>-1848.7+6461</f>
        <v>4612.3</v>
      </c>
      <c r="DT145" s="51"/>
      <c r="DU145" s="51"/>
      <c r="DV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51"/>
      <c r="FC145" s="51"/>
      <c r="FD145" s="51"/>
      <c r="FF145" s="49">
        <f t="shared" si="547"/>
        <v>4685.3999999999996</v>
      </c>
      <c r="FG145" s="49">
        <f t="shared" si="548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s="49" customFormat="1" x14ac:dyDescent="0.2">
      <c r="B146" s="50" t="s">
        <v>398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DR146" s="51">
        <f>-2500-DQ146-DP146-DO146</f>
        <v>-2053.8999999999996</v>
      </c>
      <c r="DS146" s="51">
        <v>-1200</v>
      </c>
      <c r="DT146" s="51"/>
      <c r="DU146" s="51"/>
      <c r="DV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51"/>
      <c r="FC146" s="51"/>
      <c r="FD146" s="51"/>
      <c r="FF146" s="49">
        <f t="shared" si="547"/>
        <v>-4400</v>
      </c>
      <c r="FG146" s="49">
        <f t="shared" si="548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s="49" customFormat="1" x14ac:dyDescent="0.2">
      <c r="B147" s="50" t="s">
        <v>78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DR147" s="51">
        <f>-490.6-DQ147-DP147-DO147</f>
        <v>-45.5</v>
      </c>
      <c r="DS147" s="51">
        <v>-686.3</v>
      </c>
      <c r="DT147" s="51"/>
      <c r="DU147" s="51"/>
      <c r="DV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51"/>
      <c r="FC147" s="51"/>
      <c r="FD147" s="51"/>
      <c r="FF147" s="49">
        <f t="shared" si="547"/>
        <v>-200.1</v>
      </c>
      <c r="FG147" s="49">
        <f t="shared" si="548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s="49" customFormat="1" x14ac:dyDescent="0.2">
      <c r="B148" s="50" t="s">
        <v>397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>
        <f t="shared" ref="CU148" si="549">SUM(CU144:CU147)</f>
        <v>1367.8000000000009</v>
      </c>
      <c r="CV148" s="51">
        <f t="shared" ref="CV148" si="550">SUM(CV144:CV147)</f>
        <v>-885.80000000000018</v>
      </c>
      <c r="CW148" s="51">
        <f t="shared" ref="CW148" si="551">SUM(CW144:CW147)</f>
        <v>-1692.8999999999999</v>
      </c>
      <c r="CX148" s="51">
        <f t="shared" ref="CX148" si="552">SUM(CX144:CX147)</f>
        <v>-1113.6000000000013</v>
      </c>
      <c r="CY148" s="51">
        <f t="shared" ref="CY148:DB148" si="553">SUM(CY144:CY147)</f>
        <v>106.70000000000013</v>
      </c>
      <c r="CZ148" s="51">
        <f t="shared" si="553"/>
        <v>-1673.2</v>
      </c>
      <c r="DA148" s="51">
        <f t="shared" si="553"/>
        <v>-279.09999999999968</v>
      </c>
      <c r="DB148" s="51">
        <f t="shared" si="553"/>
        <v>-1291.5000000000002</v>
      </c>
      <c r="DC148" s="51">
        <f t="shared" ref="DC148:DS148" si="554">SUM(DC144:DC147)</f>
        <v>-1058.4000000000001</v>
      </c>
      <c r="DD148" s="51">
        <f t="shared" si="554"/>
        <v>-1083.2</v>
      </c>
      <c r="DE148" s="51">
        <f t="shared" si="554"/>
        <v>-463.19999999999987</v>
      </c>
      <c r="DF148" s="51">
        <f t="shared" si="554"/>
        <v>-1526.5000000000002</v>
      </c>
      <c r="DG148" s="51">
        <f t="shared" si="554"/>
        <v>-2878.3</v>
      </c>
      <c r="DH148" s="51">
        <f t="shared" si="554"/>
        <v>-123.70000000000016</v>
      </c>
      <c r="DI148" s="51">
        <f t="shared" si="554"/>
        <v>-1263.3</v>
      </c>
      <c r="DJ148" s="51">
        <f t="shared" si="554"/>
        <v>-1141.4000000000003</v>
      </c>
      <c r="DK148" s="51">
        <f t="shared" si="554"/>
        <v>412.29999999999995</v>
      </c>
      <c r="DL148" s="51">
        <f t="shared" si="554"/>
        <v>-1033.4000000000001</v>
      </c>
      <c r="DM148" s="51">
        <f t="shared" si="554"/>
        <v>572.00000000000023</v>
      </c>
      <c r="DN148" s="51">
        <f t="shared" si="554"/>
        <v>3544.6999999999994</v>
      </c>
      <c r="DO148" s="51">
        <f t="shared" si="554"/>
        <v>-311.3</v>
      </c>
      <c r="DP148" s="51">
        <f t="shared" si="554"/>
        <v>1555.5</v>
      </c>
      <c r="DQ148" s="51">
        <f t="shared" si="554"/>
        <v>211.30000000000058</v>
      </c>
      <c r="DR148" s="51">
        <f t="shared" si="554"/>
        <v>-225.39999999999941</v>
      </c>
      <c r="DS148" s="51">
        <f t="shared" si="554"/>
        <v>1379.7</v>
      </c>
      <c r="DT148" s="51"/>
      <c r="DU148" s="51"/>
      <c r="DV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51"/>
      <c r="FC148" s="51"/>
      <c r="FD148" s="51"/>
      <c r="FF148" s="49">
        <f>SUM(DG148:DJ148)</f>
        <v>-5406.7000000000007</v>
      </c>
      <c r="FG148" s="49">
        <f>SUM(DH148:DK148)</f>
        <v>-2116.1000000000004</v>
      </c>
      <c r="FH148" s="49">
        <f t="shared" ref="FH148" si="555">SUM(DI148:DL148)</f>
        <v>-3025.8</v>
      </c>
      <c r="FI148" s="49">
        <f t="shared" ref="FI148" si="556">SUM(DJ148:DM148)</f>
        <v>-1190.5000000000002</v>
      </c>
      <c r="FJ148" s="49">
        <f t="shared" si="546"/>
        <v>3495.5999999999995</v>
      </c>
    </row>
    <row r="149" spans="2:166" s="49" customFormat="1" x14ac:dyDescent="0.2">
      <c r="B149" s="50" t="s">
        <v>400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DR149" s="51">
        <f>-296.7-DQ149-DP149-DO149</f>
        <v>-428.5</v>
      </c>
      <c r="DS149" s="51">
        <v>131.9</v>
      </c>
      <c r="DT149" s="51"/>
      <c r="DU149" s="51"/>
      <c r="DV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51"/>
      <c r="FC149" s="51"/>
      <c r="FD149" s="51"/>
      <c r="FF149" s="49">
        <f t="shared" ref="FF149" si="557">SUM(CU149:CX149)</f>
        <v>-89.9</v>
      </c>
      <c r="FG149" s="49">
        <f t="shared" ref="FG149" si="558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s="49" customFormat="1" x14ac:dyDescent="0.2">
      <c r="B150" s="50" t="s">
        <v>401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>
        <f t="shared" ref="CU150" si="559">+CU149+CU148+CU142+CU136</f>
        <v>-5961.7999999999975</v>
      </c>
      <c r="CV150" s="51">
        <f t="shared" ref="CV150" si="560">+CV149+CV148+CV142+CV136</f>
        <v>253.79999999999927</v>
      </c>
      <c r="CW150" s="51">
        <f t="shared" ref="CW150" si="561">+CW149+CW148+CW142+CW136</f>
        <v>-726.40000000000055</v>
      </c>
      <c r="CX150" s="51">
        <f t="shared" ref="CX150" si="562">+CX149+CX148+CX142+CX136</f>
        <v>773.69999999999845</v>
      </c>
      <c r="CY150" s="51">
        <f t="shared" ref="CY150:DB150" si="563">+CY149+CY148+CY142+CY136</f>
        <v>-638.49999999999989</v>
      </c>
      <c r="CZ150" s="51">
        <f t="shared" si="563"/>
        <v>666.09999999999945</v>
      </c>
      <c r="DA150" s="51">
        <f t="shared" si="563"/>
        <v>1230.2000000000005</v>
      </c>
      <c r="DB150" s="51">
        <f t="shared" si="563"/>
        <v>61.799999999999727</v>
      </c>
      <c r="DC150" s="51">
        <f t="shared" ref="DC150:DJ150" si="564">+DC149+DC148+DC142+DC136</f>
        <v>-654.7000000000005</v>
      </c>
      <c r="DD150" s="51">
        <f t="shared" si="564"/>
        <v>217.59999999999991</v>
      </c>
      <c r="DE150" s="51">
        <f t="shared" si="564"/>
        <v>568.20000000000027</v>
      </c>
      <c r="DF150" s="51">
        <f t="shared" si="564"/>
        <v>30.300000000000182</v>
      </c>
      <c r="DG150" s="51">
        <f t="shared" si="564"/>
        <v>-1359.3000000000002</v>
      </c>
      <c r="DH150" s="51">
        <f t="shared" si="564"/>
        <v>163.69999999999993</v>
      </c>
      <c r="DI150" s="51">
        <f t="shared" si="564"/>
        <v>-5.1999999999993634</v>
      </c>
      <c r="DJ150" s="51">
        <f t="shared" si="564"/>
        <v>-550.70000000000005</v>
      </c>
      <c r="DK150" s="51">
        <f t="shared" ref="DK150:DS150" si="565">+DK136+DK142+DK148+DK149</f>
        <v>1478.9</v>
      </c>
      <c r="DL150" s="51">
        <f t="shared" si="565"/>
        <v>-851.40000000000009</v>
      </c>
      <c r="DM150" s="51">
        <f t="shared" si="565"/>
        <v>-313.69999999999976</v>
      </c>
      <c r="DN150" s="51">
        <f t="shared" si="565"/>
        <v>437.79999999999774</v>
      </c>
      <c r="DO150" s="51">
        <f t="shared" si="565"/>
        <v>-358.40000000000038</v>
      </c>
      <c r="DP150" s="51">
        <f t="shared" si="565"/>
        <v>763.39999999999952</v>
      </c>
      <c r="DQ150" s="51">
        <f t="shared" si="565"/>
        <v>145.4000000000004</v>
      </c>
      <c r="DR150" s="51">
        <f t="shared" si="565"/>
        <v>-100.59999999999764</v>
      </c>
      <c r="DS150" s="51">
        <f t="shared" si="565"/>
        <v>-175.09999999999954</v>
      </c>
      <c r="DT150" s="51"/>
      <c r="DU150" s="51"/>
      <c r="DV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51"/>
      <c r="FC150" s="51"/>
      <c r="FD150" s="51"/>
      <c r="FF150" s="49">
        <f t="shared" ref="FF150:FI150" si="566">+FF148+FF149</f>
        <v>-5496.6</v>
      </c>
      <c r="FG150" s="49">
        <f t="shared" si="566"/>
        <v>-1900.1000000000004</v>
      </c>
      <c r="FH150" s="49">
        <f t="shared" si="566"/>
        <v>-3231.5</v>
      </c>
      <c r="FI150" s="49">
        <f t="shared" si="566"/>
        <v>-1358.1000000000001</v>
      </c>
      <c r="FJ150" s="49">
        <f>+FJ148+FJ149</f>
        <v>3664.1999999999994</v>
      </c>
    </row>
    <row r="151" spans="2:166" x14ac:dyDescent="0.2">
      <c r="DN151" s="51"/>
      <c r="FG151" s="49"/>
      <c r="FH151" s="49"/>
      <c r="FI151" s="49"/>
    </row>
    <row r="152" spans="2:166" x14ac:dyDescent="0.2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DR153" s="47">
        <v>770.67</v>
      </c>
      <c r="DS153" s="47">
        <v>825.91</v>
      </c>
      <c r="FG153" s="49"/>
      <c r="FH153" s="49"/>
      <c r="FI153" s="49"/>
    </row>
    <row r="154" spans="2:166" x14ac:dyDescent="0.2">
      <c r="B154" s="38" t="s">
        <v>173</v>
      </c>
      <c r="DB154" s="51">
        <f t="shared" ref="DB154:DS154" si="567">+DB153*DB83</f>
        <v>147757.60881000001</v>
      </c>
      <c r="DC154" s="51">
        <f t="shared" si="567"/>
        <v>164140.76</v>
      </c>
      <c r="DD154" s="51">
        <f t="shared" si="567"/>
        <v>202105.24799999999</v>
      </c>
      <c r="DE154" s="51">
        <f t="shared" si="567"/>
        <v>204190.37419999999</v>
      </c>
      <c r="DF154" s="51">
        <f t="shared" si="567"/>
        <v>244579.33949999997</v>
      </c>
      <c r="DG154" s="51">
        <f t="shared" si="567"/>
        <v>253746.68</v>
      </c>
      <c r="DH154" s="51">
        <f t="shared" si="567"/>
        <v>287162.00819999998</v>
      </c>
      <c r="DI154" s="51">
        <f t="shared" si="567"/>
        <v>287583.43239999999</v>
      </c>
      <c r="DJ154" s="51">
        <f t="shared" si="567"/>
        <v>326626.34663999995</v>
      </c>
      <c r="DK154" s="51">
        <f t="shared" si="567"/>
        <v>307107.18716999999</v>
      </c>
      <c r="DL154" s="51">
        <f t="shared" si="567"/>
        <v>420206.38449999999</v>
      </c>
      <c r="DM154" s="51">
        <f t="shared" si="567"/>
        <v>482303.04870999994</v>
      </c>
      <c r="DN154" s="51">
        <f t="shared" si="567"/>
        <v>525131.02179999999</v>
      </c>
      <c r="DO154" s="51">
        <f t="shared" si="567"/>
        <v>701928.78527999995</v>
      </c>
      <c r="DP154" s="51">
        <f t="shared" si="567"/>
        <v>818688.05424000008</v>
      </c>
      <c r="DQ154" s="51">
        <f t="shared" si="567"/>
        <v>801799.62038000009</v>
      </c>
      <c r="DR154" s="51">
        <f t="shared" si="567"/>
        <v>696731.14952999994</v>
      </c>
      <c r="DS154" s="51">
        <f t="shared" si="567"/>
        <v>743814.54599999997</v>
      </c>
      <c r="FG154" s="49"/>
      <c r="FH154" s="49"/>
      <c r="FI154" s="49"/>
    </row>
    <row r="155" spans="2:166" x14ac:dyDescent="0.2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">
      <c r="FH156" s="49"/>
      <c r="FI156" s="49"/>
    </row>
    <row r="157" spans="2:166" s="49" customFormat="1" x14ac:dyDescent="0.2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2578125" defaultRowHeight="12.75" x14ac:dyDescent="0.2"/>
  <cols>
    <col min="1" max="1" width="4.85546875" bestFit="1" customWidth="1"/>
    <col min="2" max="2" width="12.28515625" bestFit="1" customWidth="1"/>
    <col min="3" max="3" width="19" customWidth="1"/>
  </cols>
  <sheetData>
    <row r="1" spans="1:4" x14ac:dyDescent="0.2">
      <c r="A1" s="13" t="s">
        <v>6</v>
      </c>
    </row>
    <row r="2" spans="1:4" x14ac:dyDescent="0.2">
      <c r="B2" s="38" t="s">
        <v>402</v>
      </c>
      <c r="C2" s="38" t="s">
        <v>1089</v>
      </c>
    </row>
    <row r="3" spans="1:4" x14ac:dyDescent="0.2">
      <c r="B3" s="38" t="s">
        <v>403</v>
      </c>
      <c r="C3" s="38" t="s">
        <v>541</v>
      </c>
    </row>
    <row r="4" spans="1:4" x14ac:dyDescent="0.2">
      <c r="B4" s="38" t="s">
        <v>1</v>
      </c>
      <c r="C4" s="38" t="s">
        <v>36</v>
      </c>
    </row>
    <row r="5" spans="1:4" x14ac:dyDescent="0.2">
      <c r="B5" s="38"/>
      <c r="C5" s="38"/>
      <c r="D5" s="38" t="s">
        <v>1041</v>
      </c>
    </row>
    <row r="6" spans="1:4" x14ac:dyDescent="0.2">
      <c r="B6" s="38"/>
      <c r="C6" s="38" t="s">
        <v>518</v>
      </c>
    </row>
    <row r="7" spans="1:4" x14ac:dyDescent="0.2">
      <c r="B7" s="38"/>
      <c r="C7" s="38"/>
      <c r="D7" s="38" t="s">
        <v>1042</v>
      </c>
    </row>
    <row r="8" spans="1:4" x14ac:dyDescent="0.2">
      <c r="B8" s="38"/>
      <c r="C8" s="38" t="s">
        <v>1005</v>
      </c>
    </row>
    <row r="9" spans="1:4" x14ac:dyDescent="0.2">
      <c r="B9" s="38"/>
      <c r="C9" s="38"/>
      <c r="D9" s="38" t="s">
        <v>1004</v>
      </c>
    </row>
    <row r="10" spans="1:4" x14ac:dyDescent="0.2">
      <c r="B10" s="38"/>
      <c r="C10" s="38" t="s">
        <v>1060</v>
      </c>
      <c r="D10" s="38"/>
    </row>
    <row r="11" spans="1:4" x14ac:dyDescent="0.2">
      <c r="B11" s="38"/>
      <c r="C11" s="38"/>
      <c r="D11" s="38" t="s">
        <v>1061</v>
      </c>
    </row>
    <row r="12" spans="1:4" x14ac:dyDescent="0.2">
      <c r="B12" s="38" t="s">
        <v>405</v>
      </c>
      <c r="C12" s="38" t="s">
        <v>912</v>
      </c>
    </row>
    <row r="13" spans="1:4" x14ac:dyDescent="0.2">
      <c r="B13" s="38" t="s">
        <v>917</v>
      </c>
      <c r="C13" s="38" t="s">
        <v>918</v>
      </c>
    </row>
    <row r="14" spans="1:4" x14ac:dyDescent="0.2">
      <c r="B14" s="38"/>
      <c r="C14" s="38"/>
    </row>
    <row r="15" spans="1:4" x14ac:dyDescent="0.2">
      <c r="B15" s="38" t="s">
        <v>92</v>
      </c>
    </row>
    <row r="16" spans="1:4" x14ac:dyDescent="0.2">
      <c r="C16" s="20" t="s">
        <v>551</v>
      </c>
    </row>
    <row r="17" spans="3:3" x14ac:dyDescent="0.2">
      <c r="C17" s="38" t="s">
        <v>552</v>
      </c>
    </row>
    <row r="19" spans="3:3" x14ac:dyDescent="0.2">
      <c r="C19" s="20" t="s">
        <v>1007</v>
      </c>
    </row>
    <row r="20" spans="3:3" x14ac:dyDescent="0.2">
      <c r="C20" s="38" t="s">
        <v>1006</v>
      </c>
    </row>
    <row r="22" spans="3:3" x14ac:dyDescent="0.2">
      <c r="C22" s="20" t="s">
        <v>913</v>
      </c>
    </row>
    <row r="23" spans="3:3" x14ac:dyDescent="0.2">
      <c r="C23" s="38" t="s">
        <v>910</v>
      </c>
    </row>
    <row r="24" spans="3:3" x14ac:dyDescent="0.2">
      <c r="C24" s="38" t="s">
        <v>911</v>
      </c>
    </row>
    <row r="26" spans="3:3" x14ac:dyDescent="0.2">
      <c r="C26" s="20" t="s">
        <v>1040</v>
      </c>
    </row>
    <row r="27" spans="3:3" x14ac:dyDescent="0.2">
      <c r="C27" s="38" t="s">
        <v>1039</v>
      </c>
    </row>
    <row r="29" spans="3:3" x14ac:dyDescent="0.2">
      <c r="C29" s="20" t="s">
        <v>1059</v>
      </c>
    </row>
    <row r="30" spans="3:3" x14ac:dyDescent="0.2">
      <c r="C30" s="38" t="s">
        <v>1055</v>
      </c>
    </row>
    <row r="31" spans="3:3" x14ac:dyDescent="0.2">
      <c r="C31" s="38" t="s">
        <v>1056</v>
      </c>
    </row>
    <row r="32" spans="3:3" x14ac:dyDescent="0.2">
      <c r="C32" s="38" t="s">
        <v>1057</v>
      </c>
    </row>
    <row r="33" spans="3:3" x14ac:dyDescent="0.2">
      <c r="C33" s="38" t="s">
        <v>1058</v>
      </c>
    </row>
    <row r="35" spans="3:3" x14ac:dyDescent="0.2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31" width="7.140625" customWidth="1"/>
    <col min="32" max="48" width="6.28515625" customWidth="1"/>
    <col min="49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x14ac:dyDescent="0.2">
      <c r="B3" s="55" t="s">
        <v>642</v>
      </c>
      <c r="G3" s="56">
        <f t="shared" ref="G3:L3" si="0">AVERAGE(G4:G32)</f>
        <v>1020.1404761904763</v>
      </c>
      <c r="H3" s="56">
        <f t="shared" si="0"/>
        <v>2269.5761904761907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1097.7142857142856</v>
      </c>
      <c r="P3" s="56">
        <f t="shared" si="1"/>
        <v>2229.9857142857145</v>
      </c>
      <c r="Q3" s="56">
        <f t="shared" si="1"/>
        <v>3038</v>
      </c>
      <c r="R3" s="56">
        <f t="shared" si="1"/>
        <v>4680.971428571429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3956.457142857143</v>
      </c>
      <c r="V3" s="56">
        <f t="shared" si="1"/>
        <v>5928.1428571428569</v>
      </c>
      <c r="W3" s="56">
        <f t="shared" si="1"/>
        <v>6713.7571428571437</v>
      </c>
      <c r="X3" s="56">
        <f t="shared" si="1"/>
        <v>7614.3428571428567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>SUM(AE4:AE36)</f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x14ac:dyDescent="0.2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6401.6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U13" s="49">
        <v>1807</v>
      </c>
      <c r="V13" s="49">
        <v>3091</v>
      </c>
      <c r="W13" s="49">
        <v>3113</v>
      </c>
      <c r="X13" s="49">
        <v>3530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3194.2</v>
      </c>
      <c r="H14" s="93">
        <v>3000</v>
      </c>
      <c r="I14" s="93">
        <v>5000</v>
      </c>
      <c r="N14" s="52">
        <v>175.8</v>
      </c>
      <c r="O14" s="85">
        <v>517.4</v>
      </c>
      <c r="P14" s="85">
        <v>1243.2</v>
      </c>
      <c r="Q14" s="85">
        <v>1257.8</v>
      </c>
      <c r="R14" s="52">
        <v>1907.2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131" t="s">
        <v>5</v>
      </c>
      <c r="E15" s="38"/>
    </row>
    <row r="16" spans="1:169" x14ac:dyDescent="0.2">
      <c r="B16" s="38" t="s">
        <v>576</v>
      </c>
      <c r="C16" s="38" t="s">
        <v>577</v>
      </c>
      <c r="E16" s="38" t="s">
        <v>578</v>
      </c>
    </row>
    <row r="17" spans="2:72" x14ac:dyDescent="0.2">
      <c r="B17" s="38" t="s">
        <v>581</v>
      </c>
      <c r="C17" s="38" t="s">
        <v>564</v>
      </c>
      <c r="D17" s="48" t="s">
        <v>47</v>
      </c>
      <c r="E17" s="38" t="s">
        <v>579</v>
      </c>
      <c r="F17" s="38" t="s">
        <v>1269</v>
      </c>
    </row>
    <row r="18" spans="2:72" x14ac:dyDescent="0.2">
      <c r="C18" s="38" t="s">
        <v>582</v>
      </c>
    </row>
    <row r="19" spans="2:72" x14ac:dyDescent="0.2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">
      <c r="B20" s="38" t="s">
        <v>587</v>
      </c>
      <c r="C20" s="38" t="s">
        <v>586</v>
      </c>
      <c r="E20" s="38" t="s">
        <v>588</v>
      </c>
    </row>
    <row r="21" spans="2:72" x14ac:dyDescent="0.2">
      <c r="C21" s="38" t="s">
        <v>589</v>
      </c>
    </row>
    <row r="22" spans="2:72" x14ac:dyDescent="0.2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594</v>
      </c>
    </row>
    <row r="27" spans="2:72" x14ac:dyDescent="0.2">
      <c r="B27" s="38" t="s">
        <v>595</v>
      </c>
    </row>
    <row r="28" spans="2:72" x14ac:dyDescent="0.2">
      <c r="E28" s="38" t="s">
        <v>596</v>
      </c>
    </row>
    <row r="29" spans="2:72" x14ac:dyDescent="0.2">
      <c r="E29" s="38" t="s">
        <v>597</v>
      </c>
    </row>
    <row r="30" spans="2:72" x14ac:dyDescent="0.2">
      <c r="E30" s="38" t="s">
        <v>598</v>
      </c>
    </row>
    <row r="31" spans="2:72" x14ac:dyDescent="0.2">
      <c r="B31" s="38" t="s">
        <v>599</v>
      </c>
      <c r="C31" s="38" t="s">
        <v>600</v>
      </c>
      <c r="E31" s="38" t="s">
        <v>1155</v>
      </c>
    </row>
    <row r="32" spans="2:72" x14ac:dyDescent="0.2">
      <c r="C32" s="38" t="s">
        <v>705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x14ac:dyDescent="0.2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x14ac:dyDescent="0.2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675</v>
      </c>
      <c r="G12" s="71"/>
      <c r="H12" s="71"/>
      <c r="I12" s="71"/>
      <c r="J12" s="71"/>
    </row>
    <row r="13" spans="1:12" x14ac:dyDescent="0.2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x14ac:dyDescent="0.2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">
      <c r="C27" s="54"/>
      <c r="G27" s="71">
        <f>9.2+11.9</f>
        <v>21.1</v>
      </c>
      <c r="I27" s="71" t="s">
        <v>686</v>
      </c>
    </row>
    <row r="28" spans="2:10" x14ac:dyDescent="0.2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9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Master</vt:lpstr>
      <vt:lpstr>IP</vt:lpstr>
      <vt:lpstr>Trials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mazdutide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2025-05-07T11:57:28Z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