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Downloads\"/>
    </mc:Choice>
  </mc:AlternateContent>
  <bookViews>
    <workbookView xWindow="0" yWindow="0" windowWidth="23040" windowHeight="9195"/>
  </bookViews>
  <sheets>
    <sheet name="Tabelle1" sheetId="1" r:id="rId1"/>
  </sheets>
  <definedNames>
    <definedName name="AdministrateBarsFP">Tabelle1!$K$108</definedName>
    <definedName name="ChangeInfoFP">Tabelle1!$K$84</definedName>
    <definedName name="CommentFP">Tabelle1!$K$76</definedName>
    <definedName name="GetBarInfoFP">Tabelle1!$K$60</definedName>
    <definedName name="LoginFP">Tabelle1!$K$28</definedName>
    <definedName name="RateBarFP">Tabelle1!$K$68</definedName>
    <definedName name="RegisterFp">Tabelle1!$K$36</definedName>
    <definedName name="SearchBarFP">Tabelle1!$K$20</definedName>
    <definedName name="SeeMapsFP">Tabelle1!$K$92</definedName>
    <definedName name="SeePinboardsFP">Tabelle1!$K$52</definedName>
    <definedName name="SetTagsFP">Tabelle1!$K$100</definedName>
    <definedName name="SurveysFP">Tabelle1!$K$44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I15" i="1"/>
  <c r="J15" i="1"/>
  <c r="I14" i="1"/>
  <c r="J14" i="1"/>
  <c r="I13" i="1"/>
  <c r="J13" i="1"/>
  <c r="E20" i="1" l="1"/>
  <c r="D20" i="1"/>
  <c r="E120" i="1"/>
  <c r="D120" i="1"/>
  <c r="E119" i="1"/>
  <c r="D119" i="1"/>
  <c r="E118" i="1"/>
  <c r="D118" i="1"/>
  <c r="E117" i="1"/>
  <c r="D117" i="1"/>
  <c r="E116" i="1"/>
  <c r="D116" i="1"/>
  <c r="E112" i="1"/>
  <c r="D112" i="1"/>
  <c r="E111" i="1"/>
  <c r="D111" i="1"/>
  <c r="E110" i="1"/>
  <c r="D110" i="1"/>
  <c r="E109" i="1"/>
  <c r="D109" i="1"/>
  <c r="E108" i="1"/>
  <c r="D108" i="1"/>
  <c r="E104" i="1"/>
  <c r="D104" i="1"/>
  <c r="E103" i="1"/>
  <c r="D103" i="1"/>
  <c r="E102" i="1"/>
  <c r="D102" i="1"/>
  <c r="E101" i="1"/>
  <c r="D101" i="1"/>
  <c r="E100" i="1"/>
  <c r="D100" i="1"/>
  <c r="E96" i="1"/>
  <c r="D96" i="1"/>
  <c r="E95" i="1"/>
  <c r="D95" i="1"/>
  <c r="E94" i="1"/>
  <c r="D94" i="1"/>
  <c r="E93" i="1"/>
  <c r="D93" i="1"/>
  <c r="E92" i="1"/>
  <c r="D92" i="1"/>
  <c r="E88" i="1"/>
  <c r="D88" i="1"/>
  <c r="E87" i="1"/>
  <c r="D87" i="1"/>
  <c r="E86" i="1"/>
  <c r="D86" i="1"/>
  <c r="E85" i="1"/>
  <c r="D85" i="1"/>
  <c r="E84" i="1"/>
  <c r="D84" i="1"/>
  <c r="E80" i="1"/>
  <c r="D80" i="1"/>
  <c r="E79" i="1"/>
  <c r="D79" i="1"/>
  <c r="E78" i="1"/>
  <c r="D78" i="1"/>
  <c r="E77" i="1"/>
  <c r="D77" i="1"/>
  <c r="E76" i="1"/>
  <c r="D76" i="1"/>
  <c r="E72" i="1"/>
  <c r="D72" i="1"/>
  <c r="E71" i="1"/>
  <c r="D71" i="1"/>
  <c r="E70" i="1"/>
  <c r="D70" i="1"/>
  <c r="E69" i="1"/>
  <c r="D69" i="1"/>
  <c r="E68" i="1"/>
  <c r="D68" i="1"/>
  <c r="E64" i="1"/>
  <c r="D64" i="1"/>
  <c r="E63" i="1"/>
  <c r="D63" i="1"/>
  <c r="E62" i="1"/>
  <c r="D62" i="1"/>
  <c r="E61" i="1"/>
  <c r="D61" i="1"/>
  <c r="E60" i="1"/>
  <c r="D60" i="1"/>
  <c r="E56" i="1"/>
  <c r="D56" i="1"/>
  <c r="E55" i="1"/>
  <c r="D55" i="1"/>
  <c r="E54" i="1"/>
  <c r="D54" i="1"/>
  <c r="E53" i="1"/>
  <c r="D53" i="1"/>
  <c r="E52" i="1"/>
  <c r="D52" i="1"/>
  <c r="E48" i="1"/>
  <c r="D48" i="1"/>
  <c r="E47" i="1"/>
  <c r="D47" i="1"/>
  <c r="E46" i="1"/>
  <c r="D46" i="1"/>
  <c r="E45" i="1"/>
  <c r="D45" i="1"/>
  <c r="E44" i="1"/>
  <c r="D44" i="1"/>
  <c r="E40" i="1"/>
  <c r="D40" i="1"/>
  <c r="E39" i="1"/>
  <c r="D39" i="1"/>
  <c r="E38" i="1"/>
  <c r="D38" i="1"/>
  <c r="E37" i="1"/>
  <c r="D37" i="1"/>
  <c r="E36" i="1"/>
  <c r="D36" i="1"/>
  <c r="E32" i="1"/>
  <c r="D32" i="1"/>
  <c r="E31" i="1"/>
  <c r="D31" i="1"/>
  <c r="E30" i="1"/>
  <c r="D30" i="1"/>
  <c r="E29" i="1"/>
  <c r="D29" i="1"/>
  <c r="E28" i="1"/>
  <c r="D28" i="1"/>
  <c r="E24" i="1"/>
  <c r="D24" i="1"/>
  <c r="E23" i="1"/>
  <c r="D23" i="1"/>
  <c r="E22" i="1"/>
  <c r="D22" i="1"/>
  <c r="E21" i="1"/>
  <c r="D21" i="1"/>
  <c r="F112" i="1" l="1"/>
  <c r="I112" i="1" s="1"/>
  <c r="F119" i="1"/>
  <c r="I119" i="1" s="1"/>
  <c r="F30" i="1"/>
  <c r="I30" i="1" s="1"/>
  <c r="F37" i="1"/>
  <c r="I37" i="1" s="1"/>
  <c r="F44" i="1"/>
  <c r="I44" i="1" s="1"/>
  <c r="F48" i="1"/>
  <c r="I48" i="1" s="1"/>
  <c r="F55" i="1"/>
  <c r="I55" i="1" s="1"/>
  <c r="F62" i="1"/>
  <c r="I62" i="1" s="1"/>
  <c r="F69" i="1"/>
  <c r="I69" i="1" s="1"/>
  <c r="F76" i="1"/>
  <c r="I76" i="1" s="1"/>
  <c r="F80" i="1"/>
  <c r="I80" i="1" s="1"/>
  <c r="F87" i="1"/>
  <c r="I87" i="1" s="1"/>
  <c r="F94" i="1"/>
  <c r="I94" i="1" s="1"/>
  <c r="F101" i="1"/>
  <c r="I101" i="1" s="1"/>
  <c r="F108" i="1"/>
  <c r="I108" i="1" s="1"/>
  <c r="F29" i="1"/>
  <c r="I29" i="1" s="1"/>
  <c r="F36" i="1"/>
  <c r="I36" i="1" s="1"/>
  <c r="F40" i="1"/>
  <c r="I40" i="1" s="1"/>
  <c r="F47" i="1"/>
  <c r="I47" i="1" s="1"/>
  <c r="F54" i="1"/>
  <c r="I54" i="1" s="1"/>
  <c r="F61" i="1"/>
  <c r="I61" i="1" s="1"/>
  <c r="F68" i="1"/>
  <c r="I68" i="1" s="1"/>
  <c r="F72" i="1"/>
  <c r="I72" i="1" s="1"/>
  <c r="F79" i="1"/>
  <c r="I79" i="1" s="1"/>
  <c r="F86" i="1"/>
  <c r="I86" i="1" s="1"/>
  <c r="F93" i="1"/>
  <c r="I93" i="1" s="1"/>
  <c r="F100" i="1"/>
  <c r="I100" i="1" s="1"/>
  <c r="F104" i="1"/>
  <c r="I104" i="1" s="1"/>
  <c r="F111" i="1"/>
  <c r="I111" i="1" s="1"/>
  <c r="F118" i="1"/>
  <c r="I118" i="1" s="1"/>
  <c r="F31" i="1"/>
  <c r="I31" i="1" s="1"/>
  <c r="F38" i="1"/>
  <c r="I38" i="1" s="1"/>
  <c r="F45" i="1"/>
  <c r="I45" i="1" s="1"/>
  <c r="F52" i="1"/>
  <c r="I52" i="1" s="1"/>
  <c r="F56" i="1"/>
  <c r="I56" i="1" s="1"/>
  <c r="F63" i="1"/>
  <c r="I63" i="1" s="1"/>
  <c r="F70" i="1"/>
  <c r="I70" i="1" s="1"/>
  <c r="F77" i="1"/>
  <c r="I77" i="1" s="1"/>
  <c r="F84" i="1"/>
  <c r="I84" i="1" s="1"/>
  <c r="F88" i="1"/>
  <c r="I88" i="1" s="1"/>
  <c r="F95" i="1"/>
  <c r="I95" i="1" s="1"/>
  <c r="F102" i="1"/>
  <c r="I102" i="1" s="1"/>
  <c r="F109" i="1"/>
  <c r="I109" i="1" s="1"/>
  <c r="F116" i="1"/>
  <c r="I116" i="1" s="1"/>
  <c r="F120" i="1"/>
  <c r="I120" i="1" s="1"/>
  <c r="F28" i="1"/>
  <c r="I28" i="1" s="1"/>
  <c r="F32" i="1"/>
  <c r="I32" i="1" s="1"/>
  <c r="F39" i="1"/>
  <c r="I39" i="1" s="1"/>
  <c r="F46" i="1"/>
  <c r="I46" i="1" s="1"/>
  <c r="F53" i="1"/>
  <c r="I53" i="1" s="1"/>
  <c r="F60" i="1"/>
  <c r="I60" i="1" s="1"/>
  <c r="F64" i="1"/>
  <c r="I64" i="1" s="1"/>
  <c r="F71" i="1"/>
  <c r="I71" i="1" s="1"/>
  <c r="F78" i="1"/>
  <c r="I78" i="1" s="1"/>
  <c r="F85" i="1"/>
  <c r="I85" i="1" s="1"/>
  <c r="F92" i="1"/>
  <c r="I92" i="1" s="1"/>
  <c r="F96" i="1"/>
  <c r="I96" i="1" s="1"/>
  <c r="F103" i="1"/>
  <c r="I103" i="1" s="1"/>
  <c r="F110" i="1"/>
  <c r="I110" i="1" s="1"/>
  <c r="F117" i="1"/>
  <c r="I117" i="1" s="1"/>
  <c r="F20" i="1"/>
  <c r="I20" i="1" s="1"/>
  <c r="F21" i="1"/>
  <c r="I21" i="1" s="1"/>
  <c r="F22" i="1"/>
  <c r="I22" i="1" s="1"/>
  <c r="F23" i="1"/>
  <c r="I23" i="1" s="1"/>
  <c r="F24" i="1"/>
  <c r="I24" i="1" s="1"/>
  <c r="I10" i="1"/>
  <c r="J10" i="1"/>
  <c r="K68" i="1" l="1"/>
  <c r="K116" i="1"/>
  <c r="K60" i="1"/>
  <c r="L8" i="1" s="1"/>
  <c r="K36" i="1"/>
  <c r="L12" i="1" s="1"/>
  <c r="K76" i="1"/>
  <c r="L3" i="1" s="1"/>
  <c r="K108" i="1"/>
  <c r="K84" i="1"/>
  <c r="L11" i="1" s="1"/>
  <c r="K100" i="1"/>
  <c r="L14" i="1" s="1"/>
  <c r="K28" i="1"/>
  <c r="L5" i="1" s="1"/>
  <c r="K44" i="1"/>
  <c r="L9" i="1" s="1"/>
  <c r="K92" i="1"/>
  <c r="K52" i="1"/>
  <c r="L4" i="1" s="1"/>
  <c r="L6" i="1"/>
  <c r="K20" i="1"/>
  <c r="L7" i="1" s="1"/>
  <c r="I7" i="1"/>
  <c r="I5" i="1"/>
  <c r="I12" i="1"/>
  <c r="I9" i="1"/>
  <c r="I4" i="1"/>
  <c r="I8" i="1"/>
  <c r="I6" i="1"/>
  <c r="I3" i="1"/>
  <c r="I11" i="1"/>
  <c r="J7" i="1"/>
  <c r="J5" i="1"/>
  <c r="J12" i="1"/>
  <c r="J9" i="1"/>
  <c r="J4" i="1"/>
  <c r="J8" i="1"/>
  <c r="J6" i="1"/>
  <c r="J3" i="1"/>
  <c r="J11" i="1"/>
  <c r="L10" i="1" l="1"/>
  <c r="L13" i="1"/>
  <c r="O24" i="1"/>
  <c r="P24" i="1"/>
  <c r="Q24" i="1" l="1"/>
  <c r="K3" i="1" l="1"/>
  <c r="K7" i="1"/>
  <c r="K11" i="1"/>
  <c r="K15" i="1"/>
  <c r="K6" i="1"/>
  <c r="K14" i="1"/>
  <c r="K4" i="1"/>
  <c r="K8" i="1"/>
  <c r="K12" i="1"/>
  <c r="K10" i="1"/>
  <c r="K5" i="1"/>
  <c r="K9" i="1"/>
  <c r="K13" i="1"/>
  <c r="K102" i="1"/>
  <c r="K94" i="1"/>
  <c r="K110" i="1"/>
</calcChain>
</file>

<file path=xl/sharedStrings.xml><?xml version="1.0" encoding="utf-8"?>
<sst xmlns="http://schemas.openxmlformats.org/spreadsheetml/2006/main" count="248" uniqueCount="68">
  <si>
    <t>UC Name</t>
  </si>
  <si>
    <t>Documentation</t>
  </si>
  <si>
    <t>Coding</t>
  </si>
  <si>
    <t>Testing</t>
  </si>
  <si>
    <t>Total</t>
  </si>
  <si>
    <t>FP</t>
  </si>
  <si>
    <t>Search for a Bar</t>
  </si>
  <si>
    <t>Login</t>
  </si>
  <si>
    <t>Register</t>
  </si>
  <si>
    <t>Surveys</t>
  </si>
  <si>
    <t>See Pinboards</t>
  </si>
  <si>
    <t>Get bar informations</t>
  </si>
  <si>
    <t>Rate a bar</t>
  </si>
  <si>
    <t>Comment at pinboards</t>
  </si>
  <si>
    <t>Change personal information</t>
  </si>
  <si>
    <t>UI Design</t>
  </si>
  <si>
    <t>Database</t>
  </si>
  <si>
    <t>Search bar</t>
  </si>
  <si>
    <t>Simple</t>
  </si>
  <si>
    <t>Average</t>
  </si>
  <si>
    <t>Complex</t>
  </si>
  <si>
    <t>Count</t>
  </si>
  <si>
    <t>Reason</t>
  </si>
  <si>
    <t>User only reads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</si>
  <si>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</si>
  <si>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</si>
  <si>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</si>
  <si>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</si>
  <si>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</si>
  <si>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</si>
  <si>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Google retuns a lot of information</t>
  </si>
  <si>
    <t>Function points</t>
  </si>
  <si>
    <t>Name</t>
  </si>
  <si>
    <t>User only asks to login</t>
  </si>
  <si>
    <t>User sends username and password</t>
  </si>
  <si>
    <t>No communication to the outside</t>
  </si>
  <si>
    <t>Warmup Phase</t>
  </si>
  <si>
    <t>There are 10 user inputs, all form one Database Record</t>
  </si>
  <si>
    <t>The amount depends on the survey in the database. That makes presenting the survey more comlex</t>
  </si>
  <si>
    <t>See pinboards</t>
  </si>
  <si>
    <t xml:space="preserve">View, Presenter, Database, Model, </t>
  </si>
  <si>
    <t>Rate bar</t>
  </si>
  <si>
    <t>Total w/o warmup</t>
  </si>
  <si>
    <t>See Maps</t>
  </si>
  <si>
    <t>Google Maps</t>
  </si>
  <si>
    <t>Set Tags</t>
  </si>
  <si>
    <t>A Tag will be saved</t>
  </si>
  <si>
    <t>Administrate Bars</t>
  </si>
  <si>
    <t>A complete bar needs to be saved</t>
  </si>
  <si>
    <t>FTR/RET</t>
  </si>
  <si>
    <t>Points</t>
  </si>
  <si>
    <t>Presenter, Bar</t>
  </si>
  <si>
    <t>25 single, clickable stars</t>
  </si>
  <si>
    <t>Presenter, Rating Class, Bar Class. Influences many fields in the database</t>
  </si>
  <si>
    <t>Presenter, Bar model</t>
  </si>
  <si>
    <t>Presenter, User Model</t>
  </si>
  <si>
    <t>Presenter, Bar Model, Question Model</t>
  </si>
  <si>
    <t>The window, the UI, the User model</t>
  </si>
  <si>
    <t>Presenter, Bar Model, Map Class</t>
  </si>
  <si>
    <t>Presenter, Bar Model</t>
  </si>
  <si>
    <t>Presnter, Bar Class</t>
  </si>
  <si>
    <t>Explaniation</t>
  </si>
  <si>
    <t>Reuse the Register files and functions</t>
  </si>
  <si>
    <t>CSS with Vaadin, complete recode</t>
  </si>
  <si>
    <t>Velocity</t>
  </si>
  <si>
    <t>Time spent (w/o outliers)</t>
  </si>
  <si>
    <t>Function Points (w/o outliers)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</si>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</sst>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0"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Comment at pinboards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Tabelle1!$L$3:$L$18</c:f>
              <c:numCache>
                <c:formatCode>General</c:formatCode>
                <c:ptCount val="16"/>
                <c:pt idx="0">
                  <c:v>11.05</c:v>
                </c:pt>
                <c:pt idx="1">
                  <c:v>13.65</c:v>
                </c:pt>
                <c:pt idx="2">
                  <c:v>15.600000000000001</c:v>
                </c:pt>
                <c:pt idx="3">
                  <c:v>17.5</c:v>
                </c:pt>
                <c:pt idx="4">
                  <c:v>13.65</c:v>
                </c:pt>
                <c:pt idx="5">
                  <c:v>18.2</c:v>
                </c:pt>
                <c:pt idx="6">
                  <c:v>18.900000000000002</c:v>
                </c:pt>
                <c:pt idx="7">
                  <c:v>20.150000000000002</c:v>
                </c:pt>
                <c:pt idx="8">
                  <c:v>28.6</c:v>
                </c:pt>
                <c:pt idx="9">
                  <c:v>28.6</c:v>
                </c:pt>
                <c:pt idx="10">
                  <c:v>20.150000000000002</c:v>
                </c:pt>
                <c:pt idx="11">
                  <c:v>11.05</c:v>
                </c:pt>
                <c:pt idx="12">
                  <c:v>16.900000000000002</c:v>
                </c:pt>
              </c:numCache>
            </c:numRef>
          </c:xVal>
          <c:yVal>
            <c:numRef>
              <c:f>Tabelle1!$I$3:$I$18</c:f>
              <c:numCache>
                <c:formatCode>h:mm</c:formatCode>
                <c:ptCount val="16"/>
                <c:pt idx="0">
                  <c:v>8.3333333333333301E-2</c:v>
                </c:pt>
                <c:pt idx="1">
                  <c:v>0.13194444444444442</c:v>
                </c:pt>
                <c:pt idx="2">
                  <c:v>0.1875</c:v>
                </c:pt>
                <c:pt idx="3">
                  <c:v>0.22222222222222215</c:v>
                </c:pt>
                <c:pt idx="4">
                  <c:v>0.15277777777777779</c:v>
                </c:pt>
                <c:pt idx="5">
                  <c:v>0.17361111111111105</c:v>
                </c:pt>
                <c:pt idx="6">
                  <c:v>0.20138888888888884</c:v>
                </c:pt>
                <c:pt idx="7">
                  <c:v>0.22916666666666666</c:v>
                </c:pt>
                <c:pt idx="8">
                  <c:v>0.15277777777777773</c:v>
                </c:pt>
                <c:pt idx="9">
                  <c:v>0.27083333333333331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51616"/>
        <c:axId val="309155144"/>
      </c:scatterChart>
      <c:valAx>
        <c:axId val="3091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155144"/>
        <c:crosses val="autoZero"/>
        <c:crossBetween val="midCat"/>
      </c:valAx>
      <c:valAx>
        <c:axId val="3091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151616"/>
        <c:crosses val="autoZero"/>
        <c:crossBetween val="midCat"/>
        <c:majorUnit val="2.0833300000000003E-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0</xdr:row>
      <xdr:rowOff>187324</xdr:rowOff>
    </xdr:from>
    <xdr:to>
      <xdr:col>21</xdr:col>
      <xdr:colOff>31749</xdr:colOff>
      <xdr:row>21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0.08088</cdr:x>
      <cdr:y>0.11718</cdr:y>
    </cdr:from>
    <cdr:to>
      <cdr:x>0.79289</cdr:x>
      <cdr:y>0.92978</cdr:y>
    </cdr:to>
    <cdr:cxnSp macro="">
      <cdr:nvCxnSpPr>
        <cdr:cNvPr id="10" name="Gerader Verbinder 9"/>
        <cdr:cNvCxnSpPr/>
      </cdr:nvCxnSpPr>
      <cdr:spPr>
        <a:xfrm xmlns:a="http://schemas.openxmlformats.org/drawingml/2006/main" flipV="1">
          <a:off x="523875" y="463551"/>
          <a:ext cx="4611688" cy="32146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elle1" displayName="Tabelle1" ref="B2:M15" totalsRowShown="0">
  <autoFilter ref="B2:M15"/>
  <sortState ref="B3:L12">
    <sortCondition ref="L2:L12"/>
  </sortState>
  <tableColumns count="12">
    <tableColumn id="1" name="UC Name"/>
    <tableColumn id="2" name="Documentation"/>
    <tableColumn id="7" name="UI Design" dataDxfId="5"/>
    <tableColumn id="8" name="Database" dataDxfId="4"/>
    <tableColumn id="9" name="Warmup Phase" dataDxfId="3"/>
    <tableColumn id="3" name="Coding"/>
    <tableColumn id="4" name="Testing"/>
    <tableColumn id="10" name="Total w/o warmup" dataDxfId="2">
      <calculatedColumnFormula>SUM(Tabelle1[[#This Row],[Documentation]:[Database]])+SUM(Tabelle1[[#This Row],[Coding]:[Testing]])</calculatedColumnFormula>
    </tableColumn>
    <tableColumn id="5" name="Total" dataDxfId="1">
      <calculatedColumnFormula>SUM(Tabelle1[[#This Row],[Documentation]:[Testing]])</calculatedColumnFormula>
    </tableColumn>
    <tableColumn id="12" name="Estimate" dataDxfId="0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B83:K88" totalsRowShown="0">
  <autoFilter ref="B83:K88"/>
  <tableColumns count="10">
    <tableColumn id="1" name="Change personal information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B91:K96" totalsRowShown="0">
  <autoFilter ref="B91:K96"/>
  <tableColumns count="10">
    <tableColumn id="1" name="See Map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12" name="Tabelle12" displayName="Tabelle12" ref="B99:K104" totalsRowShown="0">
  <autoFilter ref="B99:K104"/>
  <tableColumns count="10">
    <tableColumn id="1" name="Set Tag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13" name="Tabelle1214" displayName="Tabelle1214" ref="B107:K112" totalsRowShown="0">
  <autoFilter ref="B107:K112"/>
  <tableColumns count="10">
    <tableColumn id="1" name="Administrate Bar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14" name="Tabelle121415" displayName="Tabelle121415" ref="B115:K120" totalsRowShown="0">
  <autoFilter ref="B115:K120"/>
  <tableColumns count="10">
    <tableColumn id="1" name="Nam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id="15" name="Tabelle15" displayName="Tabelle15" ref="O23:Q24" totalsRowShown="0">
  <autoFilter ref="O23:Q24"/>
  <tableColumns count="3">
    <tableColumn id="1" name="Time spent (w/o outliers)" dataDxfId="7">
      <calculatedColumnFormula>SUM(I3:I10,I12)*24</calculatedColumnFormula>
    </tableColumn>
    <tableColumn id="2" name="Function Points (w/o outliers)">
      <calculatedColumnFormula>SUM(L3:L10,L12)</calculatedColumnFormula>
    </tableColumn>
    <tableColumn id="3" name="Velocity" dataDxfId="6">
      <calculatedColumnFormula>P24/O24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9:K24" totalsRowShown="0">
  <autoFilter ref="B19:K24"/>
  <tableColumns count="10">
    <tableColumn id="1" name="Search bar"/>
    <tableColumn id="2" name="Count"/>
    <tableColumn id="3" name="Simple"/>
    <tableColumn id="4" name="Average" dataDxfId="9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8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27:K32" totalsRowShown="0">
  <autoFilter ref="B27:K32"/>
  <tableColumns count="10">
    <tableColumn id="1" name="Login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35:K40" totalsRowShown="0">
  <autoFilter ref="B35:K40"/>
  <tableColumns count="10">
    <tableColumn id="1" name="Regis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B43:K48" totalsRowShown="0">
  <autoFilter ref="B43:K48"/>
  <tableColumns count="10">
    <tableColumn id="1" name="Survey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B51:K56" totalsRowShown="0">
  <autoFilter ref="B51:K56"/>
  <tableColumns count="10">
    <tableColumn id="1" name="See pinboard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B59:K64" totalsRowShown="0">
  <autoFilter ref="B59:K64"/>
  <tableColumns count="10">
    <tableColumn id="1" name="Get bar information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B67:K72" totalsRowShown="0">
  <autoFilter ref="B67:K72"/>
  <tableColumns count="10">
    <tableColumn id="1" name="Rate ba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75:K80" totalsRowShown="0">
  <autoFilter ref="B75:K80"/>
  <tableColumns count="10">
    <tableColumn id="1" name="Comment at pinboard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Q120"/>
  <sheetViews>
    <sheetView tabSelected="1" topLeftCell="E1" zoomScale="120" zoomScaleNormal="120" workbookViewId="0">
      <selection activeCell="M19" sqref="M19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16.85546875" customWidth="1"/>
    <col min="10" max="10" width="16.85546875" customWidth="1"/>
    <col min="14" max="14" width="3.28515625" customWidth="1"/>
    <col min="15" max="15" width="28.28515625" customWidth="1"/>
  </cols>
  <sheetData>
    <row r="2" spans="2:13" x14ac:dyDescent="0.25">
      <c r="B2" t="s">
        <v>0</v>
      </c>
      <c r="C2" t="s">
        <v>1</v>
      </c>
      <c r="D2" t="s">
        <v>15</v>
      </c>
      <c r="E2" t="s">
        <v>16</v>
      </c>
      <c r="F2" t="s">
        <v>36</v>
      </c>
      <c r="G2" t="s">
        <v>2</v>
      </c>
      <c r="H2" t="s">
        <v>3</v>
      </c>
      <c r="I2" t="s">
        <v>42</v>
      </c>
      <c r="J2" t="s">
        <v>4</v>
      </c>
      <c r="K2" t="s">
        <v>67</v>
      </c>
      <c r="L2" t="s">
        <v>5</v>
      </c>
      <c r="M2" t="s">
        <v>61</v>
      </c>
    </row>
    <row r="3" spans="2:13" x14ac:dyDescent="0.25">
      <c r="B3" t="s">
        <v>13</v>
      </c>
      <c r="C3" s="1">
        <v>4.1666666666666664E-2</v>
      </c>
      <c r="D3" s="1">
        <v>0</v>
      </c>
      <c r="E3" s="1">
        <v>2.0833333333333301E-2</v>
      </c>
      <c r="F3" s="1">
        <v>0</v>
      </c>
      <c r="G3" s="1">
        <v>1.3888888888888888E-2</v>
      </c>
      <c r="H3" s="1">
        <v>6.9444444444444441E-3</v>
      </c>
      <c r="I3" s="1">
        <f>SUM(Tabelle1[[#This Row],[Documentation]:[Database]])+SUM(Tabelle1[[#This Row],[Coding]:[Testing]])</f>
        <v>8.3333333333333301E-2</v>
      </c>
      <c r="J3" s="2">
        <f>SUM(Tabelle1[[#This Row],[Documentation]:[Testing]])</f>
        <v>8.3333333333333301E-2</v>
      </c>
      <c r="K3" s="2">
        <f>Tabelle1[[#This Row],[FP]]/Tabelle15[Velocity]/24</f>
        <v>0.11610422405876951</v>
      </c>
      <c r="L3">
        <f>CommentFP</f>
        <v>11.05</v>
      </c>
    </row>
    <row r="4" spans="2:13" x14ac:dyDescent="0.25">
      <c r="B4" t="s">
        <v>10</v>
      </c>
      <c r="C4" s="1">
        <v>4.1666666666666664E-2</v>
      </c>
      <c r="D4" s="1">
        <v>6.9444444444444441E-3</v>
      </c>
      <c r="E4" s="1">
        <v>2.0833333333333332E-2</v>
      </c>
      <c r="F4" s="1">
        <v>0</v>
      </c>
      <c r="G4" s="1">
        <v>4.1666666666666664E-2</v>
      </c>
      <c r="H4" s="1">
        <v>2.0833333333333332E-2</v>
      </c>
      <c r="I4" s="1">
        <f>SUM(Tabelle1[[#This Row],[Documentation]:[Database]])+SUM(Tabelle1[[#This Row],[Coding]:[Testing]])</f>
        <v>0.13194444444444442</v>
      </c>
      <c r="J4" s="2">
        <f>SUM(Tabelle1[[#This Row],[Documentation]:[Testing]])</f>
        <v>0.13194444444444445</v>
      </c>
      <c r="K4" s="2">
        <f>Tabelle1[[#This Row],[FP]]/Tabelle15[Velocity]/24</f>
        <v>0.14342286501377408</v>
      </c>
      <c r="L4">
        <f>SeePinboardsFP</f>
        <v>13.65</v>
      </c>
    </row>
    <row r="5" spans="2:13" x14ac:dyDescent="0.25">
      <c r="B5" t="s">
        <v>7</v>
      </c>
      <c r="C5" s="1">
        <v>4.1666666666666664E-2</v>
      </c>
      <c r="D5" s="1">
        <v>2.0833333333333332E-2</v>
      </c>
      <c r="E5" s="1">
        <v>2.0833333333333332E-2</v>
      </c>
      <c r="F5" s="1">
        <v>0.125</v>
      </c>
      <c r="G5" s="1">
        <v>6.25E-2</v>
      </c>
      <c r="H5" s="1">
        <v>4.1666666666666664E-2</v>
      </c>
      <c r="I5" s="1">
        <f>SUM(Tabelle1[[#This Row],[Documentation]:[Database]])+SUM(Tabelle1[[#This Row],[Coding]:[Testing]])</f>
        <v>0.1875</v>
      </c>
      <c r="J5" s="2">
        <f>SUM(Tabelle1[[#This Row],[Documentation]:[Testing]])</f>
        <v>0.3125</v>
      </c>
      <c r="K5" s="2">
        <f>Tabelle1[[#This Row],[FP]]/Tabelle15[Velocity]/24</f>
        <v>0.16391184573002754</v>
      </c>
      <c r="L5">
        <f>LoginFP</f>
        <v>15.600000000000001</v>
      </c>
    </row>
    <row r="6" spans="2:13" x14ac:dyDescent="0.25">
      <c r="B6" t="s">
        <v>12</v>
      </c>
      <c r="C6" s="1">
        <v>4.1666666666666664E-2</v>
      </c>
      <c r="D6" s="1">
        <v>6.25E-2</v>
      </c>
      <c r="E6" s="1">
        <v>2.0833333333333301E-2</v>
      </c>
      <c r="F6" s="1">
        <v>0.10416666666666667</v>
      </c>
      <c r="G6" s="1">
        <v>8.3333333333333329E-2</v>
      </c>
      <c r="H6" s="1">
        <v>1.3888888888888888E-2</v>
      </c>
      <c r="I6" s="1">
        <f>SUM(Tabelle1[[#This Row],[Documentation]:[Database]])+SUM(Tabelle1[[#This Row],[Coding]:[Testing]])</f>
        <v>0.22222222222222215</v>
      </c>
      <c r="J6" s="2">
        <f>SUM(Tabelle1[[#This Row],[Documentation]:[Testing]])</f>
        <v>0.32638888888888884</v>
      </c>
      <c r="K6" s="2">
        <f>Tabelle1[[#This Row],[FP]]/Tabelle15[Velocity]/24</f>
        <v>0.18387546796637702</v>
      </c>
      <c r="L6">
        <f>RateBarFP</f>
        <v>17.5</v>
      </c>
      <c r="M6" t="s">
        <v>63</v>
      </c>
    </row>
    <row r="7" spans="2:13" x14ac:dyDescent="0.25">
      <c r="B7" t="s">
        <v>6</v>
      </c>
      <c r="C7" s="1">
        <v>4.1666666666666664E-2</v>
      </c>
      <c r="D7" s="1">
        <v>2.0833333333333332E-2</v>
      </c>
      <c r="E7" s="1">
        <v>6.9444444444444441E-3</v>
      </c>
      <c r="F7" s="1">
        <v>0</v>
      </c>
      <c r="G7" s="1">
        <v>6.25E-2</v>
      </c>
      <c r="H7" s="1">
        <v>2.0833333333333332E-2</v>
      </c>
      <c r="I7" s="1">
        <f>SUM(Tabelle1[[#This Row],[Documentation]:[Database]])+SUM(Tabelle1[[#This Row],[Coding]:[Testing]])</f>
        <v>0.15277777777777779</v>
      </c>
      <c r="J7" s="2">
        <f>SUM(Tabelle1[[#This Row],[Documentation]:[Testing]])</f>
        <v>0.15277777777777779</v>
      </c>
      <c r="K7" s="2">
        <f>Tabelle1[[#This Row],[FP]]/Tabelle15[Velocity]/24</f>
        <v>0.14342286501377408</v>
      </c>
      <c r="L7">
        <f>SearchBarFP</f>
        <v>13.65</v>
      </c>
    </row>
    <row r="8" spans="2:13" x14ac:dyDescent="0.25">
      <c r="B8" t="s">
        <v>11</v>
      </c>
      <c r="C8" s="1">
        <v>4.1666666666666664E-2</v>
      </c>
      <c r="D8" s="1">
        <v>6.25E-2</v>
      </c>
      <c r="E8" s="1">
        <v>2.0833333333333301E-2</v>
      </c>
      <c r="F8" s="1">
        <v>0</v>
      </c>
      <c r="G8" s="1">
        <v>2.0833333333333332E-2</v>
      </c>
      <c r="H8" s="1">
        <v>2.7777777777777776E-2</v>
      </c>
      <c r="I8" s="1">
        <f>SUM(Tabelle1[[#This Row],[Documentation]:[Database]])+SUM(Tabelle1[[#This Row],[Coding]:[Testing]])</f>
        <v>0.17361111111111105</v>
      </c>
      <c r="J8" s="2">
        <f>SUM(Tabelle1[[#This Row],[Documentation]:[Testing]])</f>
        <v>0.17361111111111105</v>
      </c>
      <c r="K8" s="2">
        <f>Tabelle1[[#This Row],[FP]]/Tabelle15[Velocity]/24</f>
        <v>0.19123048668503209</v>
      </c>
      <c r="L8">
        <f>GetBarInfoFP</f>
        <v>18.2</v>
      </c>
    </row>
    <row r="9" spans="2:13" x14ac:dyDescent="0.25">
      <c r="B9" t="s">
        <v>9</v>
      </c>
      <c r="C9" s="1">
        <v>3.4722222222222224E-2</v>
      </c>
      <c r="D9" s="1">
        <v>4.1666666666666664E-2</v>
      </c>
      <c r="E9" s="1">
        <v>2.0833333333333301E-2</v>
      </c>
      <c r="F9" s="1">
        <v>0</v>
      </c>
      <c r="G9" s="1">
        <v>8.3333333333333329E-2</v>
      </c>
      <c r="H9" s="1">
        <v>2.0833333333333332E-2</v>
      </c>
      <c r="I9" s="1">
        <f>SUM(Tabelle1[[#This Row],[Documentation]:[Database]])+SUM(Tabelle1[[#This Row],[Coding]:[Testing]])</f>
        <v>0.20138888888888884</v>
      </c>
      <c r="J9" s="2">
        <f>SUM(Tabelle1[[#This Row],[Documentation]:[Testing]])</f>
        <v>0.20138888888888887</v>
      </c>
      <c r="K9" s="2">
        <f>Tabelle1[[#This Row],[FP]]/Tabelle15[Velocity]/24</f>
        <v>0.19858550540368722</v>
      </c>
      <c r="L9">
        <f>SurveysFP</f>
        <v>18.900000000000002</v>
      </c>
    </row>
    <row r="10" spans="2:13" x14ac:dyDescent="0.25">
      <c r="B10" t="s">
        <v>43</v>
      </c>
      <c r="C10" s="1">
        <v>4.1666666666666664E-2</v>
      </c>
      <c r="D10" s="1">
        <v>4.1666666666666664E-2</v>
      </c>
      <c r="E10" s="1">
        <v>2.0833333333333332E-2</v>
      </c>
      <c r="F10" s="1">
        <v>8.3333333333333329E-2</v>
      </c>
      <c r="G10" s="1">
        <v>0.10416666666666667</v>
      </c>
      <c r="H10" s="1">
        <v>2.0833333333333332E-2</v>
      </c>
      <c r="I10" s="1">
        <f>SUM(Tabelle1[[#This Row],[Documentation]:[Database]])+SUM(Tabelle1[[#This Row],[Coding]:[Testing]])</f>
        <v>0.22916666666666666</v>
      </c>
      <c r="J10" s="2">
        <f>SUM(Tabelle1[[#This Row],[Documentation]:[Testing]])</f>
        <v>0.3125</v>
      </c>
      <c r="K10" s="2">
        <f>Tabelle1[[#This Row],[FP]]/Tabelle15[Velocity]/24</f>
        <v>0.21171946740128558</v>
      </c>
      <c r="L10">
        <f>SeeMapsFP</f>
        <v>20.150000000000002</v>
      </c>
    </row>
    <row r="11" spans="2:13" x14ac:dyDescent="0.25">
      <c r="B11" t="s">
        <v>14</v>
      </c>
      <c r="C11" s="1">
        <v>4.1666666666666664E-2</v>
      </c>
      <c r="D11" s="1">
        <v>2.0833333333333332E-2</v>
      </c>
      <c r="E11" s="1">
        <v>2.0833333333333301E-2</v>
      </c>
      <c r="F11" s="1">
        <v>0</v>
      </c>
      <c r="G11" s="1">
        <v>4.1666666666666664E-2</v>
      </c>
      <c r="H11" s="1">
        <v>2.7777777777777776E-2</v>
      </c>
      <c r="I11" s="1">
        <f>SUM(Tabelle1[[#This Row],[Documentation]:[Database]])+SUM(Tabelle1[[#This Row],[Coding]:[Testing]])</f>
        <v>0.15277777777777773</v>
      </c>
      <c r="J11" s="2">
        <f>SUM(Tabelle1[[#This Row],[Documentation]:[Testing]])</f>
        <v>0.15277777777777773</v>
      </c>
      <c r="K11" s="2">
        <f>Tabelle1[[#This Row],[FP]]/Tabelle15[Velocity]/24</f>
        <v>0.30050505050505044</v>
      </c>
      <c r="L11">
        <f>ChangeInfoFP</f>
        <v>28.6</v>
      </c>
      <c r="M11" t="s">
        <v>62</v>
      </c>
    </row>
    <row r="12" spans="2:13" x14ac:dyDescent="0.25">
      <c r="B12" t="s">
        <v>8</v>
      </c>
      <c r="C12" s="1">
        <v>4.1666666666666664E-2</v>
      </c>
      <c r="D12" s="1">
        <v>6.25E-2</v>
      </c>
      <c r="E12" s="1">
        <v>2.0833333333333332E-2</v>
      </c>
      <c r="F12" s="1">
        <v>8.3333333333333329E-2</v>
      </c>
      <c r="G12" s="1">
        <v>8.3333333333333329E-2</v>
      </c>
      <c r="H12" s="1">
        <v>6.25E-2</v>
      </c>
      <c r="I12" s="1">
        <f>SUM(Tabelle1[[#This Row],[Documentation]:[Database]])+SUM(Tabelle1[[#This Row],[Coding]:[Testing]])</f>
        <v>0.27083333333333331</v>
      </c>
      <c r="J12" s="2">
        <f>SUM(Tabelle1[[#This Row],[Documentation]:[Testing]])</f>
        <v>0.35416666666666663</v>
      </c>
      <c r="K12" s="2">
        <f>Tabelle1[[#This Row],[FP]]/Tabelle15[Velocity]/24</f>
        <v>0.30050505050505044</v>
      </c>
      <c r="L12">
        <f>RegisterFp</f>
        <v>28.6</v>
      </c>
    </row>
    <row r="13" spans="2:13" x14ac:dyDescent="0.25">
      <c r="B13" t="s">
        <v>43</v>
      </c>
      <c r="C13" s="1"/>
      <c r="D13" s="1"/>
      <c r="E13" s="1"/>
      <c r="F13" s="1"/>
      <c r="G13" s="1"/>
      <c r="H13" s="1"/>
      <c r="I13" s="1">
        <f>SUM(Tabelle1[[#This Row],[Documentation]:[Database]])+SUM(Tabelle1[[#This Row],[Coding]:[Testing]])</f>
        <v>0</v>
      </c>
      <c r="J13" s="2">
        <f>SUM(Tabelle1[[#This Row],[Documentation]:[Testing]])</f>
        <v>0</v>
      </c>
      <c r="K13" s="2">
        <f>Tabelle1[[#This Row],[FP]]/Tabelle15[Velocity]/24</f>
        <v>0.21171946740128558</v>
      </c>
      <c r="L13">
        <f>SeeMapsFP</f>
        <v>20.150000000000002</v>
      </c>
    </row>
    <row r="14" spans="2:13" x14ac:dyDescent="0.25">
      <c r="B14" t="s">
        <v>45</v>
      </c>
      <c r="C14" s="1"/>
      <c r="D14" s="1"/>
      <c r="E14" s="1"/>
      <c r="F14" s="1"/>
      <c r="G14" s="1"/>
      <c r="H14" s="1"/>
      <c r="I14" s="1">
        <f>SUM(Tabelle1[[#This Row],[Documentation]:[Database]])+SUM(Tabelle1[[#This Row],[Coding]:[Testing]])</f>
        <v>0</v>
      </c>
      <c r="J14" s="2">
        <f>SUM(Tabelle1[[#This Row],[Documentation]:[Testing]])</f>
        <v>0</v>
      </c>
      <c r="K14" s="2">
        <f>Tabelle1[[#This Row],[FP]]/Tabelle15[Velocity]/24</f>
        <v>0.11610422405876951</v>
      </c>
      <c r="L14">
        <f>SetTagsFP</f>
        <v>11.05</v>
      </c>
    </row>
    <row r="15" spans="2:13" x14ac:dyDescent="0.25">
      <c r="B15" t="s">
        <v>47</v>
      </c>
      <c r="C15" s="1"/>
      <c r="D15" s="1"/>
      <c r="E15" s="1"/>
      <c r="F15" s="1"/>
      <c r="G15" s="1"/>
      <c r="H15" s="1"/>
      <c r="I15" s="1">
        <f>SUM(Tabelle1[[#This Row],[Documentation]:[Database]])+SUM(Tabelle1[[#This Row],[Coding]:[Testing]])</f>
        <v>0</v>
      </c>
      <c r="J15" s="2">
        <f>SUM(Tabelle1[[#This Row],[Documentation]:[Testing]])</f>
        <v>0</v>
      </c>
      <c r="K15" s="2">
        <f>Tabelle1[[#This Row],[FP]]/Tabelle15[Velocity]/24</f>
        <v>0.17757116620752986</v>
      </c>
      <c r="L15">
        <f>AdministrateBarsFP</f>
        <v>16.900000000000002</v>
      </c>
    </row>
    <row r="16" spans="2:13" x14ac:dyDescent="0.25">
      <c r="C16" s="1"/>
      <c r="D16" s="1"/>
      <c r="E16" s="1"/>
      <c r="F16" s="1"/>
      <c r="G16" s="1"/>
      <c r="H16" s="1"/>
      <c r="I16" s="1"/>
      <c r="J16" s="2"/>
      <c r="K16" s="4"/>
    </row>
    <row r="17" spans="2:17" x14ac:dyDescent="0.25">
      <c r="C17" s="1"/>
      <c r="D17" s="1"/>
      <c r="E17" s="1"/>
      <c r="F17" s="1"/>
      <c r="G17" s="1"/>
      <c r="H17" s="1"/>
      <c r="I17" s="1"/>
      <c r="J17" s="2"/>
      <c r="K17" s="4"/>
    </row>
    <row r="19" spans="2:17" x14ac:dyDescent="0.25">
      <c r="B19" t="s">
        <v>17</v>
      </c>
      <c r="C19" t="s">
        <v>21</v>
      </c>
      <c r="D19" t="s">
        <v>18</v>
      </c>
      <c r="E19" t="s">
        <v>19</v>
      </c>
      <c r="F19" t="s">
        <v>20</v>
      </c>
      <c r="G19" t="s">
        <v>49</v>
      </c>
      <c r="H19" t="s">
        <v>29</v>
      </c>
      <c r="I19" t="s">
        <v>50</v>
      </c>
      <c r="J19" t="s">
        <v>22</v>
      </c>
      <c r="K19" t="s">
        <v>31</v>
      </c>
    </row>
    <row r="20" spans="2:17" x14ac:dyDescent="0.25">
      <c r="B20" t="s">
        <v>24</v>
      </c>
      <c r="C20">
        <v>0</v>
      </c>
      <c r="D20">
        <f>IF(OR(AND(Tabelle2[[#This Row],[FTR/RET]]&lt;=1, Tabelle2[[#This Row],[DET]] &lt;= 15), AND(Tabelle2[[#This Row],[FTR/RET]]&lt;= 3, Tabelle2[[#This Row],[DET]] &lt;= 4)), 1, 0)</f>
        <v>1</v>
      </c>
      <c r="E20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20">
        <f>IF(AND(Tabelle2[[#This Row],[Simple]]=0,Tabelle2[[#This Row],[Average]]=0), 1, 0)</f>
        <v>0</v>
      </c>
      <c r="G20">
        <v>0</v>
      </c>
      <c r="H20">
        <v>0</v>
      </c>
      <c r="I20">
        <f>Tabelle2[[#This Row],[Count]]*(3*Tabelle2[[#This Row],[Simple]]+4*Tabelle2[[#This Row],[Average]]+6*Tabelle2[[#This Row],[Complex]])</f>
        <v>0</v>
      </c>
      <c r="J20" t="s">
        <v>23</v>
      </c>
      <c r="K20">
        <f>SUM(Tabelle2[Points])*0.65</f>
        <v>13.65</v>
      </c>
    </row>
    <row r="21" spans="2:17" x14ac:dyDescent="0.25">
      <c r="B21" t="s">
        <v>25</v>
      </c>
      <c r="C21">
        <v>1</v>
      </c>
      <c r="D21">
        <f>IF(OR(AND(Tabelle2[[#This Row],[FTR/RET]]&lt;=1, Tabelle2[[#This Row],[DET]] &lt;= 19), AND(Tabelle2[[#This Row],[FTR/RET]]&lt;= 3, Tabelle2[[#This Row],[DET]] &lt;= 5)), 1, 0)</f>
        <v>1</v>
      </c>
      <c r="E21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1">
        <f>IF(AND(Tabelle2[[#This Row],[Simple]]=0,Tabelle2[[#This Row],[Average]]=0), 1, 0)</f>
        <v>0</v>
      </c>
      <c r="G21">
        <v>0</v>
      </c>
      <c r="H21">
        <v>1</v>
      </c>
      <c r="I21">
        <f>Tabelle2[[#This Row],[Count]]*(Tabelle2[[#This Row],[Simple]]*4+Tabelle2[[#This Row],[Average]]*5+Tabelle2[[#This Row],[Complex]]*7)</f>
        <v>4</v>
      </c>
    </row>
    <row r="22" spans="2:17" x14ac:dyDescent="0.25">
      <c r="B22" t="s">
        <v>26</v>
      </c>
      <c r="C22">
        <v>1</v>
      </c>
      <c r="D22">
        <f>IF(OR(AND(Tabelle2[[#This Row],[FTR/RET]]&lt;=1, Tabelle2[[#This Row],[DET]] &lt;= 19), AND(Tabelle2[[#This Row],[FTR/RET]]&lt;= 3, Tabelle2[[#This Row],[DET]] &lt;= 5)), 1, 0)</f>
        <v>1</v>
      </c>
      <c r="E22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2">
        <f>IF(AND(Tabelle2[[#This Row],[Simple]]=0,Tabelle2[[#This Row],[Average]]=0), 1, 0)</f>
        <v>0</v>
      </c>
      <c r="G22">
        <v>0</v>
      </c>
      <c r="H22">
        <v>1</v>
      </c>
      <c r="I22">
        <f>Tabelle2[[#This Row],[Count]]*(3*Tabelle2[[#This Row],[Simple]]+4*Tabelle2[[#This Row],[Average]]+6*Tabelle2[[#This Row],[Complex]])</f>
        <v>3</v>
      </c>
    </row>
    <row r="23" spans="2:17" x14ac:dyDescent="0.25">
      <c r="B23" t="s">
        <v>27</v>
      </c>
      <c r="C23">
        <v>2</v>
      </c>
      <c r="D23">
        <f>IF(OR(AND(Tabelle2[[#This Row],[FTR/RET]]&lt;2, Tabelle2[[#This Row],[DET]] &lt;= 50), AND(Tabelle2[[#This Row],[FTR/RET]]&lt;=5, Tabelle2[[#This Row],[DET]] &lt; 20)), 1, 0)</f>
        <v>1</v>
      </c>
      <c r="E23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3">
        <f>IF(AND(Tabelle2[[#This Row],[Simple]]=0,Tabelle2[[#This Row],[Average]]=0), 1, 0)</f>
        <v>0</v>
      </c>
      <c r="G23">
        <v>0</v>
      </c>
      <c r="H23">
        <v>1</v>
      </c>
      <c r="I23">
        <f>Tabelle2[[#This Row],[Count]]*(7*Tabelle2[[#This Row],[Simple]]+10*Tabelle2[[#This Row],[Average]]+15*Tabelle2[[#This Row],[Complex]])</f>
        <v>14</v>
      </c>
      <c r="J23" t="s">
        <v>59</v>
      </c>
      <c r="O23" t="s">
        <v>65</v>
      </c>
      <c r="P23" t="s">
        <v>66</v>
      </c>
      <c r="Q23" t="s">
        <v>64</v>
      </c>
    </row>
    <row r="24" spans="2:17" x14ac:dyDescent="0.25">
      <c r="B24" t="s">
        <v>28</v>
      </c>
      <c r="C24">
        <v>0</v>
      </c>
      <c r="D24">
        <f>IF(OR(AND(Tabelle2[[#This Row],[FTR/RET]]&lt;2, Tabelle2[[#This Row],[DET]] &lt;= 50), AND(Tabelle2[[#This Row],[FTR/RET]]&lt;=5, Tabelle2[[#This Row],[DET]] &lt; 20)), 1, 0)</f>
        <v>1</v>
      </c>
      <c r="E24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4">
        <f>IF(AND(Tabelle2[[#This Row],[Simple]]=0,Tabelle2[[#This Row],[Average]]=0), 1, 0)</f>
        <v>0</v>
      </c>
      <c r="G24">
        <v>0</v>
      </c>
      <c r="H24">
        <v>0</v>
      </c>
      <c r="I24">
        <f>Tabelle2[[#This Row],[Count]]*(5*Tabelle2[[#This Row],[Simple]]+7*Tabelle2[[#This Row],[Average]]+10*Tabelle2[[#This Row],[Complex]])</f>
        <v>0</v>
      </c>
      <c r="J24" t="s">
        <v>30</v>
      </c>
      <c r="O24" s="4">
        <f>SUM(I3:I10,I12)*24</f>
        <v>39.666666666666664</v>
      </c>
      <c r="P24">
        <f>SUM(L3:L10,L12)</f>
        <v>157.30000000000001</v>
      </c>
      <c r="Q24" s="3">
        <f>P24/O24</f>
        <v>3.9655462184873955</v>
      </c>
    </row>
    <row r="27" spans="2:17" x14ac:dyDescent="0.25">
      <c r="B27" t="s">
        <v>7</v>
      </c>
      <c r="C27" t="s">
        <v>21</v>
      </c>
      <c r="D27" t="s">
        <v>18</v>
      </c>
      <c r="E27" t="s">
        <v>19</v>
      </c>
      <c r="F27" t="s">
        <v>20</v>
      </c>
      <c r="G27" t="s">
        <v>49</v>
      </c>
      <c r="H27" t="s">
        <v>29</v>
      </c>
      <c r="I27" t="s">
        <v>50</v>
      </c>
      <c r="J27" t="s">
        <v>22</v>
      </c>
      <c r="K27" t="s">
        <v>31</v>
      </c>
    </row>
    <row r="28" spans="2:17" x14ac:dyDescent="0.25">
      <c r="B28" t="s">
        <v>24</v>
      </c>
      <c r="C28">
        <v>0</v>
      </c>
      <c r="D28">
        <f>IF(OR(AND(Tabelle3[[#This Row],[FTR/RET]]&lt;=1,Tabelle3[[#This Row],[DET]] &lt;= 15), AND(Tabelle3[[#This Row],[FTR/RET]]&lt;= 3,Tabelle3[[#This Row],[DET]] &lt;= 4)), 1, 0)</f>
        <v>1</v>
      </c>
      <c r="E28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28">
        <f>IF(AND(Tabelle3[[#This Row],[Simple]]=0,Tabelle3[[#This Row],[Average]]=0), 1, 0)</f>
        <v>0</v>
      </c>
      <c r="G28">
        <v>0</v>
      </c>
      <c r="H28">
        <v>0</v>
      </c>
      <c r="I28">
        <f>Tabelle3[[#This Row],[Count]]*(3*Tabelle3[[#This Row],[Simple]]+4*Tabelle3[[#This Row],[Average]]+6*Tabelle3[[#This Row],[Complex]])</f>
        <v>0</v>
      </c>
      <c r="J28" t="s">
        <v>33</v>
      </c>
      <c r="K28">
        <f>SUM(Tabelle3[Points])*0.65</f>
        <v>15.600000000000001</v>
      </c>
    </row>
    <row r="29" spans="2:17" x14ac:dyDescent="0.25">
      <c r="B29" t="s">
        <v>25</v>
      </c>
      <c r="C29">
        <v>0</v>
      </c>
      <c r="D29">
        <f>IF(OR(AND(Tabelle3[[#This Row],[FTR/RET]]&lt;=1, Tabelle3[[#This Row],[DET]] &lt;= 19), AND(Tabelle3[[#This Row],[FTR/RET]]&lt;= 3, Tabelle3[[#This Row],[DET]] &lt;= 5)), 1, 0)</f>
        <v>1</v>
      </c>
      <c r="E29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9">
        <f>IF(AND(Tabelle3[[#This Row],[Simple]]=0,Tabelle3[[#This Row],[Average]]=0), 1, 0)</f>
        <v>0</v>
      </c>
      <c r="G29">
        <v>0</v>
      </c>
      <c r="H29">
        <v>0</v>
      </c>
      <c r="I29">
        <f>Tabelle3[[#This Row],[Count]]*(Tabelle3[[#This Row],[Simple]]*4+Tabelle3[[#This Row],[Average]]*5+Tabelle3[[#This Row],[Complex]]*7)</f>
        <v>0</v>
      </c>
    </row>
    <row r="30" spans="2:17" x14ac:dyDescent="0.25">
      <c r="B30" t="s">
        <v>26</v>
      </c>
      <c r="C30">
        <v>1</v>
      </c>
      <c r="D30">
        <f>IF(OR(AND(Tabelle3[[#This Row],[FTR/RET]]&lt;=1, Tabelle3[[#This Row],[DET]] &lt;= 19), AND(Tabelle3[[#This Row],[FTR/RET]]&lt;= 3, Tabelle3[[#This Row],[DET]] &lt;= 5)), 1, 0)</f>
        <v>1</v>
      </c>
      <c r="E30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0">
        <f>IF(AND(Tabelle3[[#This Row],[Simple]]=0,Tabelle3[[#This Row],[Average]]=0), 1, 0)</f>
        <v>0</v>
      </c>
      <c r="G30">
        <v>0</v>
      </c>
      <c r="H30">
        <v>2</v>
      </c>
      <c r="I30">
        <f>Tabelle3[[#This Row],[Count]]*(3*Tabelle3[[#This Row],[Simple]]+4*Tabelle3[[#This Row],[Average]]+6*Tabelle3[[#This Row],[Complex]])</f>
        <v>3</v>
      </c>
      <c r="J30" t="s">
        <v>34</v>
      </c>
    </row>
    <row r="31" spans="2:17" x14ac:dyDescent="0.25">
      <c r="B31" t="s">
        <v>27</v>
      </c>
      <c r="C31">
        <v>3</v>
      </c>
      <c r="D31">
        <f>IF(OR(AND(Tabelle3[[#This Row],[FTR/RET]]&lt;2, Tabelle3[[#This Row],[DET]] &lt;= 50), AND(Tabelle3[[#This Row],[FTR/RET]]&lt;=5, Tabelle3[[#This Row],[DET]] &lt; 20)), 1, 0)</f>
        <v>1</v>
      </c>
      <c r="E31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1">
        <f>IF(AND(Tabelle3[[#This Row],[Simple]]=0,Tabelle3[[#This Row],[Average]]=0), 1, 0)</f>
        <v>0</v>
      </c>
      <c r="G31">
        <v>0</v>
      </c>
      <c r="H31">
        <v>0</v>
      </c>
      <c r="I31">
        <f>Tabelle3[[#This Row],[Count]]*(7*Tabelle3[[#This Row],[Simple]]+10*Tabelle3[[#This Row],[Average]]+15*Tabelle3[[#This Row],[Complex]])</f>
        <v>21</v>
      </c>
      <c r="J31" t="s">
        <v>57</v>
      </c>
    </row>
    <row r="32" spans="2:17" x14ac:dyDescent="0.25">
      <c r="B32" t="s">
        <v>28</v>
      </c>
      <c r="C32">
        <v>0</v>
      </c>
      <c r="D32">
        <f>IF(OR(AND(Tabelle3[[#This Row],[FTR/RET]]&lt;2, Tabelle3[[#This Row],[DET]] &lt;= 50), AND(Tabelle3[[#This Row],[FTR/RET]]&lt;=5, Tabelle3[[#This Row],[DET]] &lt; 20)), 1, 0)</f>
        <v>1</v>
      </c>
      <c r="E32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2">
        <f>IF(AND(Tabelle3[[#This Row],[Simple]]=0,Tabelle3[[#This Row],[Average]]=0), 1, 0)</f>
        <v>0</v>
      </c>
      <c r="G32">
        <v>0</v>
      </c>
      <c r="H32">
        <v>0</v>
      </c>
      <c r="I32">
        <f>Tabelle3[[#This Row],[Count]]*(5*Tabelle3[[#This Row],[Simple]]+7*Tabelle3[[#This Row],[Average]]+10*Tabelle3[[#This Row],[Complex]])</f>
        <v>0</v>
      </c>
      <c r="J32" t="s">
        <v>35</v>
      </c>
    </row>
    <row r="35" spans="2:11" x14ac:dyDescent="0.25">
      <c r="B35" t="s">
        <v>8</v>
      </c>
      <c r="C35" t="s">
        <v>21</v>
      </c>
      <c r="D35" t="s">
        <v>18</v>
      </c>
      <c r="E35" t="s">
        <v>19</v>
      </c>
      <c r="F35" t="s">
        <v>20</v>
      </c>
      <c r="G35" t="s">
        <v>49</v>
      </c>
      <c r="H35" t="s">
        <v>29</v>
      </c>
      <c r="I35" t="s">
        <v>50</v>
      </c>
      <c r="J35" t="s">
        <v>22</v>
      </c>
      <c r="K35" t="s">
        <v>31</v>
      </c>
    </row>
    <row r="36" spans="2:11" x14ac:dyDescent="0.25">
      <c r="B36" t="s">
        <v>24</v>
      </c>
      <c r="C36">
        <v>10</v>
      </c>
      <c r="D36">
        <f>IF(OR(AND(Tabelle4[[#This Row],[FTR/RET]]&lt;=1, Tabelle4[[#This Row],[DET]] &lt;= 15), AND(Tabelle4[[#This Row],[FTR/RET]]&lt;= 3, Tabelle4[[#This Row],[DET]] &lt;= 4)), 1, 0)</f>
        <v>1</v>
      </c>
      <c r="E36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36">
        <f>IF(AND(Tabelle4[[#This Row],[Simple]]=0,Tabelle4[[#This Row],[Average]]=0), 1, 0)</f>
        <v>0</v>
      </c>
      <c r="G36">
        <v>1</v>
      </c>
      <c r="H36">
        <v>10</v>
      </c>
      <c r="I36">
        <f>Tabelle4[[#This Row],[Count]]*(3*Tabelle4[[#This Row],[Simple]]+4*Tabelle4[[#This Row],[Average]]+6*Tabelle4[[#This Row],[Complex]])</f>
        <v>30</v>
      </c>
      <c r="J36" t="s">
        <v>37</v>
      </c>
      <c r="K36">
        <f>SUM(Tabelle4[Points])*0.65</f>
        <v>28.6</v>
      </c>
    </row>
    <row r="37" spans="2:11" x14ac:dyDescent="0.25">
      <c r="B37" t="s">
        <v>25</v>
      </c>
      <c r="C37">
        <v>0</v>
      </c>
      <c r="D37">
        <f>IF(OR(AND(Tabelle4[[#This Row],[FTR/RET]]&lt;=1, Tabelle4[[#This Row],[DET]] &lt;= 19), AND(Tabelle4[[#This Row],[FTR/RET]]&lt;= 3, Tabelle4[[#This Row],[DET]] &lt;= 5)), 1, 0)</f>
        <v>1</v>
      </c>
      <c r="E37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7">
        <f>IF(AND(Tabelle4[[#This Row],[Simple]]=0,Tabelle4[[#This Row],[Average]]=0), 1, 0)</f>
        <v>0</v>
      </c>
      <c r="G37">
        <v>0</v>
      </c>
      <c r="H37">
        <v>0</v>
      </c>
      <c r="I37">
        <f>Tabelle4[[#This Row],[Count]]*(Tabelle4[[#This Row],[Simple]]*4+Tabelle4[[#This Row],[Average]]*5+Tabelle4[[#This Row],[Complex]]*7)</f>
        <v>0</v>
      </c>
    </row>
    <row r="38" spans="2:11" x14ac:dyDescent="0.25">
      <c r="B38" t="s">
        <v>26</v>
      </c>
      <c r="C38">
        <v>0</v>
      </c>
      <c r="D38">
        <f>IF(OR(AND(Tabelle4[[#This Row],[FTR/RET]]&lt;=1, Tabelle4[[#This Row],[DET]] &lt;= 19), AND(Tabelle4[[#This Row],[FTR/RET]]&lt;= 3, Tabelle4[[#This Row],[DET]] &lt;= 5)), 1, 0)</f>
        <v>1</v>
      </c>
      <c r="E38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8">
        <f>IF(AND(Tabelle4[[#This Row],[Simple]]=0,Tabelle4[[#This Row],[Average]]=0), 1, 0)</f>
        <v>0</v>
      </c>
      <c r="G38">
        <v>0</v>
      </c>
      <c r="H38">
        <v>0</v>
      </c>
      <c r="I38">
        <f>Tabelle4[[#This Row],[Count]]*(3*Tabelle4[[#This Row],[Simple]]+4*Tabelle4[[#This Row],[Average]]+6*Tabelle4[[#This Row],[Complex]])</f>
        <v>0</v>
      </c>
    </row>
    <row r="39" spans="2:11" x14ac:dyDescent="0.25">
      <c r="B39" t="s">
        <v>27</v>
      </c>
      <c r="C39">
        <v>2</v>
      </c>
      <c r="D39">
        <f>IF(OR(AND(Tabelle4[[#This Row],[FTR/RET]]&lt;2, Tabelle4[[#This Row],[DET]] &lt;= 50), AND(Tabelle4[[#This Row],[FTR/RET]]&lt;=5, Tabelle4[[#This Row],[DET]] &lt; 20)), 1, 0)</f>
        <v>1</v>
      </c>
      <c r="E39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9">
        <f>IF(AND(Tabelle4[[#This Row],[Simple]]=0,Tabelle4[[#This Row],[Average]]=0), 1, 0)</f>
        <v>0</v>
      </c>
      <c r="G39">
        <v>1</v>
      </c>
      <c r="H39">
        <v>10</v>
      </c>
      <c r="I39">
        <f>Tabelle4[[#This Row],[Count]]*(7*Tabelle4[[#This Row],[Simple]]+10*Tabelle4[[#This Row],[Average]]+15*Tabelle4[[#This Row],[Complex]])</f>
        <v>14</v>
      </c>
      <c r="J39" t="s">
        <v>55</v>
      </c>
    </row>
    <row r="40" spans="2:11" x14ac:dyDescent="0.25">
      <c r="B40" t="s">
        <v>28</v>
      </c>
      <c r="C40">
        <v>0</v>
      </c>
      <c r="D40">
        <f>IF(OR(AND(Tabelle4[[#This Row],[FTR/RET]]&lt;2, Tabelle4[[#This Row],[DET]] &lt;= 50), AND(Tabelle4[[#This Row],[FTR/RET]]&lt;=5, Tabelle4[[#This Row],[DET]] &lt; 20)), 1, 0)</f>
        <v>1</v>
      </c>
      <c r="E40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0">
        <f>IF(AND(Tabelle4[[#This Row],[Simple]]=0,Tabelle4[[#This Row],[Average]]=0), 1, 0)</f>
        <v>0</v>
      </c>
      <c r="G40">
        <v>0</v>
      </c>
      <c r="H40">
        <v>0</v>
      </c>
      <c r="I40">
        <f>Tabelle4[[#This Row],[Count]]*(5*Tabelle4[[#This Row],[Simple]]+7*Tabelle4[[#This Row],[Average]]+10*Tabelle4[[#This Row],[Complex]])</f>
        <v>0</v>
      </c>
    </row>
    <row r="43" spans="2:11" x14ac:dyDescent="0.25">
      <c r="B43" t="s">
        <v>9</v>
      </c>
      <c r="C43" t="s">
        <v>21</v>
      </c>
      <c r="D43" t="s">
        <v>18</v>
      </c>
      <c r="E43" t="s">
        <v>19</v>
      </c>
      <c r="F43" t="s">
        <v>20</v>
      </c>
      <c r="G43" t="s">
        <v>49</v>
      </c>
      <c r="H43" t="s">
        <v>29</v>
      </c>
      <c r="I43" t="s">
        <v>50</v>
      </c>
      <c r="J43" t="s">
        <v>22</v>
      </c>
      <c r="K43" t="s">
        <v>31</v>
      </c>
    </row>
    <row r="44" spans="2:11" x14ac:dyDescent="0.25">
      <c r="B44" t="s">
        <v>24</v>
      </c>
      <c r="C44">
        <v>1</v>
      </c>
      <c r="D44">
        <f>IF(OR(AND(Tabelle5[[#This Row],[FTR/RET]]&lt;=1, Tabelle5[[#This Row],[DET]] &lt;= 15), AND(Tabelle5[[#This Row],[FTR/RET]]&lt;= 3, Tabelle5[[#This Row],[DET]] &lt;= 4)), 1, 0)</f>
        <v>1</v>
      </c>
      <c r="E44">
        <f>IF(OR(AND(Tabelle5[[#This Row],[FTR/RET]]&lt;=1, Tabelle5[[#This Row],[DET]] &gt; 15), AND(Tabelle5[[#This Row],[FTR/RET]]&lt;=5, Tabelle5[[#This Row],[FTR/RET]]&gt;=2, Tabelle5[[#This Row],[DET]] &gt;= 5, Tabelle5[[#This Row],[DET]] &lt;= 15), AND(Tabelle5[[#This Row],[FTR/RET]] &gt;= 5, Tabelle5[[#This Row],[DET]] &lt;= 4 )), 1, 0)</f>
        <v>0</v>
      </c>
      <c r="F44">
        <f>IF(AND(Tabelle5[[#This Row],[Simple]]=0,Tabelle5[[#This Row],[Average]]=0), 1, 0)</f>
        <v>0</v>
      </c>
      <c r="G44">
        <v>1</v>
      </c>
      <c r="H44">
        <v>1</v>
      </c>
      <c r="I44">
        <f>Tabelle5[[#This Row],[Count]]*(3*Tabelle5[[#This Row],[Simple]]+4*Tabelle5[[#This Row],[Average]]+6*Tabelle5[[#This Row],[Complex]])</f>
        <v>3</v>
      </c>
      <c r="J44" t="s">
        <v>38</v>
      </c>
      <c r="K44">
        <f>SUM(Tabelle5[Points])*(0.65+(5)/100)</f>
        <v>18.900000000000002</v>
      </c>
    </row>
    <row r="45" spans="2:11" x14ac:dyDescent="0.25">
      <c r="B45" t="s">
        <v>25</v>
      </c>
      <c r="C45">
        <v>0</v>
      </c>
      <c r="D45">
        <f>IF(OR(AND(Tabelle5[[#This Row],[FTR/RET]]&lt;=1, Tabelle5[[#This Row],[DET]] &lt;= 19), AND(Tabelle5[[#This Row],[FTR/RET]]&lt;= 3, Tabelle5[[#This Row],[DET]] &lt;= 5)), 1, 0)</f>
        <v>1</v>
      </c>
      <c r="E45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5">
        <f>IF(AND(Tabelle5[[#This Row],[Simple]]=0,Tabelle5[[#This Row],[Average]]=0), 1, 0)</f>
        <v>0</v>
      </c>
      <c r="G45">
        <v>0</v>
      </c>
      <c r="H45">
        <v>0</v>
      </c>
      <c r="I45">
        <f>Tabelle5[[#This Row],[Count]]*(Tabelle5[[#This Row],[Simple]]*4+Tabelle5[[#This Row],[Average]]*5+Tabelle5[[#This Row],[Complex]]*7)</f>
        <v>0</v>
      </c>
    </row>
    <row r="46" spans="2:11" x14ac:dyDescent="0.25">
      <c r="B46" t="s">
        <v>26</v>
      </c>
      <c r="C46">
        <v>1</v>
      </c>
      <c r="D46">
        <f>IF(OR(AND(Tabelle5[[#This Row],[FTR/RET]]&lt;=1, Tabelle5[[#This Row],[DET]] &lt;= 19), AND(Tabelle5[[#This Row],[FTR/RET]]&lt;= 3, Tabelle5[[#This Row],[DET]] &lt;= 5)), 1, 0)</f>
        <v>1</v>
      </c>
      <c r="E46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6">
        <f>IF(AND(Tabelle5[[#This Row],[Simple]]=0,Tabelle5[[#This Row],[Average]]=0), 1, 0)</f>
        <v>0</v>
      </c>
      <c r="G46">
        <v>0</v>
      </c>
      <c r="H46">
        <v>0</v>
      </c>
      <c r="I46">
        <f>Tabelle5[[#This Row],[Count]]*(3*Tabelle5[[#This Row],[Simple]]+4*Tabelle5[[#This Row],[Average]]+6*Tabelle5[[#This Row],[Complex]])</f>
        <v>3</v>
      </c>
    </row>
    <row r="47" spans="2:11" x14ac:dyDescent="0.25">
      <c r="B47" t="s">
        <v>27</v>
      </c>
      <c r="C47">
        <v>3</v>
      </c>
      <c r="D47">
        <f>IF(OR(AND(Tabelle5[[#This Row],[FTR/RET]]&lt;2, Tabelle5[[#This Row],[DET]] &lt;= 50), AND(Tabelle5[[#This Row],[FTR/RET]]&lt;=5, Tabelle5[[#This Row],[DET]] &lt; 20)), 1, 0)</f>
        <v>1</v>
      </c>
      <c r="E47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47">
        <f>IF(AND(Tabelle5[[#This Row],[Simple]]=0,Tabelle5[[#This Row],[Average]]=0), 1, 0)</f>
        <v>0</v>
      </c>
      <c r="G47">
        <v>0</v>
      </c>
      <c r="H47">
        <v>0</v>
      </c>
      <c r="I47">
        <f>Tabelle5[[#This Row],[Count]]*(7*Tabelle5[[#This Row],[Simple]]+10*Tabelle5[[#This Row],[Average]]+15*Tabelle5[[#This Row],[Complex]])</f>
        <v>21</v>
      </c>
      <c r="J47" t="s">
        <v>56</v>
      </c>
    </row>
    <row r="48" spans="2:11" x14ac:dyDescent="0.25">
      <c r="B48" t="s">
        <v>28</v>
      </c>
      <c r="C48">
        <v>0</v>
      </c>
      <c r="D48">
        <f>IF(OR(AND(Tabelle5[[#This Row],[FTR/RET]]&lt;2, Tabelle5[[#This Row],[DET]] &lt;= 50), AND(Tabelle5[[#This Row],[FTR/RET]]&lt;=5, Tabelle5[[#This Row],[DET]] &lt; 20)), 1, 0)</f>
        <v>1</v>
      </c>
      <c r="E48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48">
        <f>IF(AND(Tabelle5[[#This Row],[Simple]]=0,Tabelle5[[#This Row],[Average]]=0), 1, 0)</f>
        <v>0</v>
      </c>
      <c r="G48">
        <v>0</v>
      </c>
      <c r="H48">
        <v>0</v>
      </c>
      <c r="I48">
        <f>Tabelle5[[#This Row],[Count]]*(5*Tabelle5[[#This Row],[Simple]]+7*Tabelle5[[#This Row],[Average]]+10*Tabelle5[[#This Row],[Complex]])</f>
        <v>0</v>
      </c>
    </row>
    <row r="51" spans="2:11" x14ac:dyDescent="0.25">
      <c r="B51" t="s">
        <v>39</v>
      </c>
      <c r="C51" t="s">
        <v>21</v>
      </c>
      <c r="D51" t="s">
        <v>18</v>
      </c>
      <c r="E51" t="s">
        <v>19</v>
      </c>
      <c r="F51" t="s">
        <v>20</v>
      </c>
      <c r="G51" t="s">
        <v>49</v>
      </c>
      <c r="H51" t="s">
        <v>29</v>
      </c>
      <c r="I51" t="s">
        <v>50</v>
      </c>
      <c r="J51" t="s">
        <v>22</v>
      </c>
      <c r="K51" t="s">
        <v>31</v>
      </c>
    </row>
    <row r="52" spans="2:11" x14ac:dyDescent="0.25">
      <c r="B52" t="s">
        <v>24</v>
      </c>
      <c r="C52">
        <v>0</v>
      </c>
      <c r="D52">
        <f>IF(OR(AND(Tabelle6[[#This Row],[FTR/RET]]&lt;=1, Tabelle6[[#This Row],[DET]] &lt;= 15), AND(Tabelle6[[#This Row],[FTR/RET]]&lt;= 3, Tabelle6[[#This Row],[DET]] &lt;= 4)), 1, 0)</f>
        <v>1</v>
      </c>
      <c r="E52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52">
        <f>IF(AND(Tabelle6[[#This Row],[Simple]]=0,Tabelle6[[#This Row],[Average]]=0), 1, 0)</f>
        <v>0</v>
      </c>
      <c r="G52">
        <v>0</v>
      </c>
      <c r="H52">
        <v>0</v>
      </c>
      <c r="I52">
        <f>Tabelle6[[#This Row],[Count]]*(3*Tabelle6[[#This Row],[Simple]]+4*Tabelle6[[#This Row],[Average]]+6*Tabelle6[[#This Row],[Complex]])</f>
        <v>0</v>
      </c>
      <c r="K52">
        <f>SUM(Tabelle6[Points])*0.65</f>
        <v>13.65</v>
      </c>
    </row>
    <row r="53" spans="2:11" x14ac:dyDescent="0.25">
      <c r="B53" t="s">
        <v>25</v>
      </c>
      <c r="C53">
        <v>1</v>
      </c>
      <c r="D53">
        <f>IF(OR(AND(Tabelle6[[#This Row],[FTR/RET]]&lt;=1, Tabelle6[[#This Row],[DET]] &lt;= 19), AND(Tabelle6[[#This Row],[FTR/RET]]&lt;= 3, Tabelle6[[#This Row],[DET]] &lt;= 5)), 1, 0)</f>
        <v>1</v>
      </c>
      <c r="E53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3">
        <f>IF(AND(Tabelle6[[#This Row],[Simple]]=0,Tabelle6[[#This Row],[Average]]=0), 1, 0)</f>
        <v>0</v>
      </c>
      <c r="G53">
        <v>0</v>
      </c>
      <c r="H53">
        <v>2</v>
      </c>
      <c r="I53">
        <f>Tabelle6[[#This Row],[Count]]*(Tabelle6[[#This Row],[Simple]]*4+Tabelle6[[#This Row],[Average]]*5+Tabelle6[[#This Row],[Complex]]*7)</f>
        <v>4</v>
      </c>
    </row>
    <row r="54" spans="2:11" x14ac:dyDescent="0.25">
      <c r="B54" t="s">
        <v>26</v>
      </c>
      <c r="C54">
        <v>1</v>
      </c>
      <c r="D54">
        <f>IF(OR(AND(Tabelle6[[#This Row],[FTR/RET]]&lt;=1, Tabelle6[[#This Row],[DET]] &lt;= 19), AND(Tabelle6[[#This Row],[FTR/RET]]&lt;= 3, Tabelle6[[#This Row],[DET]] &lt;= 5)), 1, 0)</f>
        <v>1</v>
      </c>
      <c r="E54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4">
        <f>IF(AND(Tabelle6[[#This Row],[Simple]]=0,Tabelle6[[#This Row],[Average]]=0), 1, 0)</f>
        <v>0</v>
      </c>
      <c r="G54">
        <v>0</v>
      </c>
      <c r="H54">
        <v>1</v>
      </c>
      <c r="I54">
        <f>Tabelle6[[#This Row],[Count]]*(3*Tabelle6[[#This Row],[Simple]]+4*Tabelle6[[#This Row],[Average]]+6*Tabelle6[[#This Row],[Complex]])</f>
        <v>3</v>
      </c>
    </row>
    <row r="55" spans="2:11" x14ac:dyDescent="0.25">
      <c r="B55" t="s">
        <v>27</v>
      </c>
      <c r="C55">
        <v>2</v>
      </c>
      <c r="D55">
        <f>IF(OR(AND(Tabelle6[[#This Row],[FTR/RET]]&lt;2, Tabelle6[[#This Row],[DET]] &lt;= 50), AND(Tabelle6[[#This Row],[FTR/RET]]&lt;=5, Tabelle6[[#This Row],[DET]] &lt; 20)), 1, 0)</f>
        <v>1</v>
      </c>
      <c r="E55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5">
        <f>IF(AND(Tabelle6[[#This Row],[Simple]]=0,Tabelle6[[#This Row],[Average]]=0), 1, 0)</f>
        <v>0</v>
      </c>
      <c r="G55">
        <v>0</v>
      </c>
      <c r="H55">
        <v>2</v>
      </c>
      <c r="I55">
        <f>Tabelle6[[#This Row],[Count]]*(7*Tabelle6[[#This Row],[Simple]]+10*Tabelle6[[#This Row],[Average]]+15*Tabelle6[[#This Row],[Complex]])</f>
        <v>14</v>
      </c>
      <c r="J55" t="s">
        <v>51</v>
      </c>
    </row>
    <row r="56" spans="2:11" x14ac:dyDescent="0.25">
      <c r="B56" t="s">
        <v>28</v>
      </c>
      <c r="C56">
        <v>0</v>
      </c>
      <c r="D56">
        <f>IF(OR(AND(Tabelle6[[#This Row],[FTR/RET]]&lt;2, Tabelle6[[#This Row],[DET]] &lt;= 50), AND(Tabelle6[[#This Row],[FTR/RET]]&lt;=5, Tabelle6[[#This Row],[DET]] &lt; 20)), 1, 0)</f>
        <v>1</v>
      </c>
      <c r="E56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6">
        <f>IF(AND(Tabelle6[[#This Row],[Simple]]=0,Tabelle6[[#This Row],[Average]]=0), 1, 0)</f>
        <v>0</v>
      </c>
      <c r="G56">
        <v>0</v>
      </c>
      <c r="H56">
        <v>0</v>
      </c>
      <c r="I56">
        <f>Tabelle6[[#This Row],[Count]]*(5*Tabelle6[[#This Row],[Simple]]+7*Tabelle6[[#This Row],[Average]]+10*Tabelle6[[#This Row],[Complex]])</f>
        <v>0</v>
      </c>
    </row>
    <row r="59" spans="2:11" x14ac:dyDescent="0.25">
      <c r="B59" t="s">
        <v>11</v>
      </c>
      <c r="C59" t="s">
        <v>21</v>
      </c>
      <c r="D59" t="s">
        <v>18</v>
      </c>
      <c r="E59" t="s">
        <v>19</v>
      </c>
      <c r="F59" t="s">
        <v>20</v>
      </c>
      <c r="G59" t="s">
        <v>49</v>
      </c>
      <c r="H59" t="s">
        <v>29</v>
      </c>
      <c r="I59" t="s">
        <v>50</v>
      </c>
      <c r="J59" t="s">
        <v>22</v>
      </c>
      <c r="K59" t="s">
        <v>31</v>
      </c>
    </row>
    <row r="60" spans="2:11" x14ac:dyDescent="0.25">
      <c r="B60" t="s">
        <v>24</v>
      </c>
      <c r="C60">
        <v>0</v>
      </c>
      <c r="D60">
        <f>IF(OR(AND(Tabelle7[[#This Row],[FTR/RET]]&lt;=1, Tabelle7[[#This Row],[DET]] &lt;= 15), AND(Tabelle7[[#This Row],[FTR/RET]]&lt;= 3, Tabelle7[[#This Row],[DET]] &lt;= 4)), 1, 0)</f>
        <v>1</v>
      </c>
      <c r="E60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60">
        <f>IF(AND(Tabelle7[[#This Row],[Simple]]=0,Tabelle7[[#This Row],[Average]]=0), 1, 0)</f>
        <v>0</v>
      </c>
      <c r="G60">
        <v>0</v>
      </c>
      <c r="H60">
        <v>0</v>
      </c>
      <c r="I60">
        <f>Tabelle7[[#This Row],[Count]]*(3*Tabelle7[[#This Row],[Simple]]+4*Tabelle7[[#This Row],[Average]]+6*Tabelle7[[#This Row],[Complex]])</f>
        <v>0</v>
      </c>
      <c r="K60">
        <f>SUM(Tabelle7[Points])*0.65</f>
        <v>18.2</v>
      </c>
    </row>
    <row r="61" spans="2:11" x14ac:dyDescent="0.25">
      <c r="B61" t="s">
        <v>25</v>
      </c>
      <c r="C61">
        <v>1</v>
      </c>
      <c r="D61">
        <f>IF(OR(AND(Tabelle7[[#This Row],[FTR/RET]]&lt;=1, Tabelle7[[#This Row],[DET]] &lt;= 19), AND(Tabelle7[[#This Row],[FTR/RET]]&lt;= 3, Tabelle7[[#This Row],[DET]] &lt;= 5)), 1, 0)</f>
        <v>1</v>
      </c>
      <c r="E61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1">
        <f>IF(AND(Tabelle7[[#This Row],[Simple]]=0,Tabelle7[[#This Row],[Average]]=0), 1, 0)</f>
        <v>0</v>
      </c>
      <c r="G61">
        <v>0</v>
      </c>
      <c r="H61">
        <v>5</v>
      </c>
      <c r="I61">
        <f>Tabelle7[[#This Row],[Count]]*(Tabelle7[[#This Row],[Simple]]*4+Tabelle7[[#This Row],[Average]]*5+Tabelle7[[#This Row],[Complex]]*7)</f>
        <v>4</v>
      </c>
    </row>
    <row r="62" spans="2:11" x14ac:dyDescent="0.25">
      <c r="B62" t="s">
        <v>26</v>
      </c>
      <c r="C62">
        <v>1</v>
      </c>
      <c r="D62">
        <f>IF(OR(AND(Tabelle7[[#This Row],[FTR/RET]]&lt;=1, Tabelle7[[#This Row],[DET]] &lt;= 19), AND(Tabelle7[[#This Row],[FTR/RET]]&lt;= 3, Tabelle7[[#This Row],[DET]] &lt;= 5)), 1, 0)</f>
        <v>1</v>
      </c>
      <c r="E62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2">
        <f>IF(AND(Tabelle7[[#This Row],[Simple]]=0,Tabelle7[[#This Row],[Average]]=0), 1, 0)</f>
        <v>0</v>
      </c>
      <c r="G62">
        <v>2</v>
      </c>
      <c r="H62">
        <v>0</v>
      </c>
      <c r="I62">
        <f>Tabelle7[[#This Row],[Count]]*(3*Tabelle7[[#This Row],[Simple]]+4*Tabelle7[[#This Row],[Average]]+6*Tabelle7[[#This Row],[Complex]])</f>
        <v>3</v>
      </c>
    </row>
    <row r="63" spans="2:11" x14ac:dyDescent="0.25">
      <c r="B63" t="s">
        <v>27</v>
      </c>
      <c r="C63">
        <v>3</v>
      </c>
      <c r="D63">
        <f>IF(OR(AND(Tabelle7[[#This Row],[FTR/RET]]&lt;2, Tabelle7[[#This Row],[DET]] &lt;= 50), AND(Tabelle7[[#This Row],[FTR/RET]]&lt;=5, Tabelle7[[#This Row],[DET]] &lt; 20)), 1, 0)</f>
        <v>1</v>
      </c>
      <c r="E63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3">
        <f>IF(AND(Tabelle7[[#This Row],[Simple]]=0,Tabelle7[[#This Row],[Average]]=0), 1, 0)</f>
        <v>0</v>
      </c>
      <c r="G63">
        <v>0</v>
      </c>
      <c r="H63">
        <v>0</v>
      </c>
      <c r="I63">
        <f>Tabelle7[[#This Row],[Count]]*(7*Tabelle7[[#This Row],[Simple]]+10*Tabelle7[[#This Row],[Average]]+15*Tabelle7[[#This Row],[Complex]])</f>
        <v>21</v>
      </c>
      <c r="J63" t="s">
        <v>40</v>
      </c>
    </row>
    <row r="64" spans="2:11" x14ac:dyDescent="0.25">
      <c r="B64" t="s">
        <v>28</v>
      </c>
      <c r="C64">
        <v>0</v>
      </c>
      <c r="D64">
        <f>IF(OR(AND(Tabelle7[[#This Row],[FTR/RET]]&lt;2, Tabelle7[[#This Row],[DET]] &lt;= 50), AND(Tabelle7[[#This Row],[FTR/RET]]&lt;=5, Tabelle7[[#This Row],[DET]] &lt; 20)), 1, 0)</f>
        <v>1</v>
      </c>
      <c r="E64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4">
        <f>IF(AND(Tabelle7[[#This Row],[Simple]]=0,Tabelle7[[#This Row],[Average]]=0), 1, 0)</f>
        <v>0</v>
      </c>
      <c r="G64">
        <v>0</v>
      </c>
      <c r="H64">
        <v>0</v>
      </c>
      <c r="I64">
        <f>Tabelle7[[#This Row],[Count]]*(5*Tabelle7[[#This Row],[Simple]]+7*Tabelle7[[#This Row],[Average]]+10*Tabelle7[[#This Row],[Complex]])</f>
        <v>0</v>
      </c>
    </row>
    <row r="67" spans="2:11" x14ac:dyDescent="0.25">
      <c r="B67" t="s">
        <v>41</v>
      </c>
      <c r="C67" t="s">
        <v>21</v>
      </c>
      <c r="D67" t="s">
        <v>18</v>
      </c>
      <c r="E67" t="s">
        <v>19</v>
      </c>
      <c r="F67" t="s">
        <v>20</v>
      </c>
      <c r="G67" t="s">
        <v>49</v>
      </c>
      <c r="H67" t="s">
        <v>29</v>
      </c>
      <c r="I67" t="s">
        <v>50</v>
      </c>
      <c r="J67" t="s">
        <v>22</v>
      </c>
      <c r="K67" t="s">
        <v>31</v>
      </c>
    </row>
    <row r="68" spans="2:11" x14ac:dyDescent="0.25">
      <c r="B68" t="s">
        <v>24</v>
      </c>
      <c r="C68">
        <v>1</v>
      </c>
      <c r="D68">
        <f>IF(OR(AND(Tabelle8[[#This Row],[FTR/RET]]&lt;=1, Tabelle8[[#This Row],[DET]] &lt;= 15), AND(Tabelle8[[#This Row],[FTR/RET]]&lt;= 3, Tabelle8[[#This Row],[DET]] &lt;= 4)), 1, 0)</f>
        <v>0</v>
      </c>
      <c r="E68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1</v>
      </c>
      <c r="F68">
        <f>IF(AND(Tabelle8[[#This Row],[Simple]]=0,Tabelle8[[#This Row],[Average]]=0), 1, 0)</f>
        <v>0</v>
      </c>
      <c r="G68">
        <v>1</v>
      </c>
      <c r="H68">
        <v>25</v>
      </c>
      <c r="I68">
        <f>Tabelle8[[#This Row],[Count]]*(3*Tabelle8[[#This Row],[Simple]]+4*Tabelle8[[#This Row],[Average]]+6*Tabelle8[[#This Row],[Complex]])</f>
        <v>4</v>
      </c>
      <c r="J68" t="s">
        <v>52</v>
      </c>
      <c r="K68">
        <f>SUM(Tabelle8[Points])*(0.65+(5)/100)</f>
        <v>17.5</v>
      </c>
    </row>
    <row r="69" spans="2:11" x14ac:dyDescent="0.25">
      <c r="B69" t="s">
        <v>25</v>
      </c>
      <c r="C69">
        <v>0</v>
      </c>
      <c r="D69">
        <f>IF(OR(AND(Tabelle8[[#This Row],[FTR/RET]]&lt;=1, Tabelle8[[#This Row],[DET]] &lt;= 19), AND(Tabelle8[[#This Row],[FTR/RET]]&lt;= 3, Tabelle8[[#This Row],[DET]] &lt;= 5)), 1, 0)</f>
        <v>1</v>
      </c>
      <c r="E69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69">
        <f>IF(AND(Tabelle8[[#This Row],[Simple]]=0,Tabelle8[[#This Row],[Average]]=0), 1, 0)</f>
        <v>0</v>
      </c>
      <c r="G69">
        <v>0</v>
      </c>
      <c r="H69">
        <v>0</v>
      </c>
      <c r="I69">
        <f>Tabelle8[[#This Row],[Count]]*(Tabelle8[[#This Row],[Simple]]*4+Tabelle8[[#This Row],[Average]]*5+Tabelle8[[#This Row],[Complex]]*7)</f>
        <v>0</v>
      </c>
    </row>
    <row r="70" spans="2:11" x14ac:dyDescent="0.25">
      <c r="B70" t="s">
        <v>26</v>
      </c>
      <c r="C70">
        <v>0</v>
      </c>
      <c r="D70">
        <f>IF(OR(AND(Tabelle8[[#This Row],[FTR/RET]]&lt;=1, Tabelle8[[#This Row],[DET]] &lt;= 19), AND(Tabelle8[[#This Row],[FTR/RET]]&lt;= 3, Tabelle8[[#This Row],[DET]] &lt;= 5)), 1, 0)</f>
        <v>1</v>
      </c>
      <c r="E70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0">
        <f>IF(AND(Tabelle8[[#This Row],[Simple]]=0,Tabelle8[[#This Row],[Average]]=0), 1, 0)</f>
        <v>0</v>
      </c>
      <c r="G70">
        <v>0</v>
      </c>
      <c r="H70">
        <v>0</v>
      </c>
      <c r="I70">
        <f>Tabelle8[[#This Row],[Count]]*(3*Tabelle8[[#This Row],[Simple]]+4*Tabelle8[[#This Row],[Average]]+6*Tabelle8[[#This Row],[Complex]])</f>
        <v>0</v>
      </c>
    </row>
    <row r="71" spans="2:11" x14ac:dyDescent="0.25">
      <c r="B71" t="s">
        <v>27</v>
      </c>
      <c r="C71">
        <v>3</v>
      </c>
      <c r="D71">
        <f>IF(OR(AND(Tabelle8[[#This Row],[FTR/RET]]&lt;2, Tabelle8[[#This Row],[DET]] &lt;= 50), AND(Tabelle8[[#This Row],[FTR/RET]]&lt;=5, Tabelle8[[#This Row],[DET]] &lt; 20)), 1, 0)</f>
        <v>1</v>
      </c>
      <c r="E71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1">
        <f>IF(AND(Tabelle8[[#This Row],[Simple]]=0,Tabelle8[[#This Row],[Average]]=0), 1, 0)</f>
        <v>0</v>
      </c>
      <c r="G71">
        <v>1</v>
      </c>
      <c r="H71">
        <v>11</v>
      </c>
      <c r="I71">
        <f>Tabelle8[[#This Row],[Count]]*(7*Tabelle8[[#This Row],[Simple]]+10*Tabelle8[[#This Row],[Average]]+15*Tabelle8[[#This Row],[Complex]])</f>
        <v>21</v>
      </c>
      <c r="J71" t="s">
        <v>53</v>
      </c>
    </row>
    <row r="72" spans="2:11" x14ac:dyDescent="0.25">
      <c r="B72" t="s">
        <v>28</v>
      </c>
      <c r="C72">
        <v>0</v>
      </c>
      <c r="D72">
        <f>IF(OR(AND(Tabelle8[[#This Row],[FTR/RET]]&lt;2, Tabelle8[[#This Row],[DET]] &lt;= 50), AND(Tabelle8[[#This Row],[FTR/RET]]&lt;=5, Tabelle8[[#This Row],[DET]] &lt; 20)), 1, 0)</f>
        <v>1</v>
      </c>
      <c r="E72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2">
        <f>IF(AND(Tabelle8[[#This Row],[Simple]]=0,Tabelle8[[#This Row],[Average]]=0), 1, 0)</f>
        <v>0</v>
      </c>
      <c r="G72">
        <v>0</v>
      </c>
      <c r="H72">
        <v>0</v>
      </c>
      <c r="I72">
        <f>Tabelle8[[#This Row],[Count]]*(5*Tabelle8[[#This Row],[Simple]]+7*Tabelle8[[#This Row],[Average]]+10*Tabelle8[[#This Row],[Complex]])</f>
        <v>0</v>
      </c>
    </row>
    <row r="75" spans="2:11" x14ac:dyDescent="0.25">
      <c r="B75" t="s">
        <v>13</v>
      </c>
      <c r="C75" t="s">
        <v>21</v>
      </c>
      <c r="D75" t="s">
        <v>18</v>
      </c>
      <c r="E75" t="s">
        <v>19</v>
      </c>
      <c r="F75" t="s">
        <v>20</v>
      </c>
      <c r="G75" t="s">
        <v>49</v>
      </c>
      <c r="H75" t="s">
        <v>29</v>
      </c>
      <c r="I75" t="s">
        <v>50</v>
      </c>
      <c r="J75" t="s">
        <v>22</v>
      </c>
      <c r="K75" t="s">
        <v>31</v>
      </c>
    </row>
    <row r="76" spans="2:11" x14ac:dyDescent="0.25">
      <c r="B76" t="s">
        <v>24</v>
      </c>
      <c r="C76">
        <v>1</v>
      </c>
      <c r="D76">
        <f>IF(OR(AND(Tabelle9[[#This Row],[FTR/RET]]&lt;=1, Tabelle9[[#This Row],[DET]] &lt;= 15), AND(Tabelle9[[#This Row],[FTR/RET]]&lt;= 3, Tabelle9[[#This Row],[DET]] &lt;= 4)), 1, 0)</f>
        <v>1</v>
      </c>
      <c r="E76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76">
        <f>IF(AND(Tabelle9[[#This Row],[Simple]]=0,Tabelle9[[#This Row],[Average]]=0), 1, 0)</f>
        <v>0</v>
      </c>
      <c r="G76">
        <v>0</v>
      </c>
      <c r="H76">
        <v>1</v>
      </c>
      <c r="I76">
        <f>Tabelle9[[#This Row],[Count]]*(3*Tabelle9[[#This Row],[Simple]]+4*Tabelle9[[#This Row],[Average]]+6*Tabelle9[[#This Row],[Complex]])</f>
        <v>3</v>
      </c>
      <c r="K76">
        <f>SUM(Tabelle9[Points])*0.65</f>
        <v>11.05</v>
      </c>
    </row>
    <row r="77" spans="2:11" x14ac:dyDescent="0.25">
      <c r="B77" t="s">
        <v>25</v>
      </c>
      <c r="C77">
        <v>0</v>
      </c>
      <c r="D77">
        <f>IF(OR(AND(Tabelle9[[#This Row],[FTR/RET]]&lt;=1, Tabelle9[[#This Row],[DET]] &lt;= 19), AND(Tabelle9[[#This Row],[FTR/RET]]&lt;= 3, Tabelle9[[#This Row],[DET]] &lt;= 5)), 1, 0)</f>
        <v>1</v>
      </c>
      <c r="E77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77">
        <f>IF(AND(Tabelle9[[#This Row],[Simple]]=0,Tabelle9[[#This Row],[Average]]=0), 1, 0)</f>
        <v>0</v>
      </c>
      <c r="G77">
        <v>0</v>
      </c>
      <c r="H77">
        <v>0</v>
      </c>
      <c r="I77">
        <f>Tabelle9[[#This Row],[Count]]*(Tabelle9[[#This Row],[Simple]]*4+Tabelle9[[#This Row],[Average]]*5+Tabelle9[[#This Row],[Complex]]*7)</f>
        <v>0</v>
      </c>
    </row>
    <row r="78" spans="2:11" x14ac:dyDescent="0.25">
      <c r="B78" t="s">
        <v>26</v>
      </c>
      <c r="C78">
        <v>0</v>
      </c>
      <c r="D78">
        <f>IF(OR(AND(Tabelle9[[#This Row],[FTR/RET]]&lt;=1, Tabelle9[[#This Row],[DET]] &lt;= 19), AND(Tabelle9[[#This Row],[FTR/RET]]&lt;= 3, Tabelle9[[#This Row],[DET]] &lt;= 5)), 1, 0)</f>
        <v>1</v>
      </c>
      <c r="E78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78">
        <f>IF(AND(Tabelle9[[#This Row],[Simple]]=0,Tabelle9[[#This Row],[Average]]=0), 1, 0)</f>
        <v>0</v>
      </c>
      <c r="G78">
        <v>0</v>
      </c>
      <c r="H78">
        <v>0</v>
      </c>
      <c r="I78">
        <f>Tabelle9[[#This Row],[Count]]*(3*Tabelle9[[#This Row],[Simple]]+4*Tabelle9[[#This Row],[Average]]+6*Tabelle9[[#This Row],[Complex]])</f>
        <v>0</v>
      </c>
    </row>
    <row r="79" spans="2:11" x14ac:dyDescent="0.25">
      <c r="B79" t="s">
        <v>27</v>
      </c>
      <c r="C79">
        <v>2</v>
      </c>
      <c r="D79">
        <f>IF(OR(AND(Tabelle9[[#This Row],[FTR/RET]]&lt;2, Tabelle9[[#This Row],[DET]] &lt;= 50), AND(Tabelle9[[#This Row],[FTR/RET]]&lt;=5, Tabelle9[[#This Row],[DET]] &lt; 20)), 1, 0)</f>
        <v>1</v>
      </c>
      <c r="E79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79">
        <f>IF(AND(Tabelle9[[#This Row],[Simple]]=0,Tabelle9[[#This Row],[Average]]=0), 1, 0)</f>
        <v>0</v>
      </c>
      <c r="G79">
        <v>0</v>
      </c>
      <c r="H79">
        <v>0</v>
      </c>
      <c r="I79">
        <f>Tabelle9[[#This Row],[Count]]*(7*Tabelle9[[#This Row],[Simple]]+10*Tabelle9[[#This Row],[Average]]+15*Tabelle9[[#This Row],[Complex]])</f>
        <v>14</v>
      </c>
      <c r="J79" t="s">
        <v>54</v>
      </c>
    </row>
    <row r="80" spans="2:11" x14ac:dyDescent="0.25">
      <c r="B80" t="s">
        <v>28</v>
      </c>
      <c r="C80">
        <v>0</v>
      </c>
      <c r="D80">
        <f>IF(OR(AND(Tabelle9[[#This Row],[FTR/RET]]&lt;2, Tabelle9[[#This Row],[DET]] &lt;= 50), AND(Tabelle9[[#This Row],[FTR/RET]]&lt;=5, Tabelle9[[#This Row],[DET]] &lt; 20)), 1, 0)</f>
        <v>1</v>
      </c>
      <c r="E80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0">
        <f>IF(AND(Tabelle9[[#This Row],[Simple]]=0,Tabelle9[[#This Row],[Average]]=0), 1, 0)</f>
        <v>0</v>
      </c>
      <c r="G80">
        <v>0</v>
      </c>
      <c r="H80">
        <v>0</v>
      </c>
      <c r="I80">
        <f>Tabelle9[[#This Row],[Count]]*(5*Tabelle9[[#This Row],[Simple]]+7*Tabelle9[[#This Row],[Average]]+10*Tabelle9[[#This Row],[Complex]])</f>
        <v>0</v>
      </c>
    </row>
    <row r="83" spans="2:11" x14ac:dyDescent="0.25">
      <c r="B83" t="s">
        <v>14</v>
      </c>
      <c r="C83" t="s">
        <v>21</v>
      </c>
      <c r="D83" t="s">
        <v>18</v>
      </c>
      <c r="E83" t="s">
        <v>19</v>
      </c>
      <c r="F83" t="s">
        <v>20</v>
      </c>
      <c r="G83" t="s">
        <v>49</v>
      </c>
      <c r="H83" t="s">
        <v>29</v>
      </c>
      <c r="I83" t="s">
        <v>50</v>
      </c>
      <c r="J83" t="s">
        <v>22</v>
      </c>
      <c r="K83" t="s">
        <v>31</v>
      </c>
    </row>
    <row r="84" spans="2:11" x14ac:dyDescent="0.25">
      <c r="B84" t="s">
        <v>24</v>
      </c>
      <c r="C84">
        <v>10</v>
      </c>
      <c r="D84">
        <f>IF(OR(AND(Tabelle10[[#This Row],[FTR/RET]]&lt;=1, Tabelle10[[#This Row],[DET]] &lt;= 15), AND(Tabelle10[[#This Row],[FTR/RET]]&lt;= 3, Tabelle10[[#This Row],[DET]] &lt;= 4)), 1, 0)</f>
        <v>1</v>
      </c>
      <c r="E84">
        <f>IF(OR(AND(Tabelle10[[#This Row],[FTR/RET]]&lt;=1, Tabelle10[[#This Row],[DET]] &gt; 15), AND(Tabelle10[[#This Row],[FTR/RET]]&lt;=5, Tabelle10[[#This Row],[FTR/RET]]&gt;=2, Tabelle10[[#This Row],[DET]] &gt;= 5, Tabelle10[[#This Row],[DET]] &lt;= 15), AND(Tabelle10[[#This Row],[FTR/RET]] &gt;= 5, Tabelle10[[#This Row],[DET]] &lt;= 4 )), 1, 0)</f>
        <v>0</v>
      </c>
      <c r="F84">
        <f>IF(AND(Tabelle10[[#This Row],[Simple]]=0,Tabelle10[[#This Row],[Average]]=0), 1, 0)</f>
        <v>0</v>
      </c>
      <c r="G84">
        <v>1</v>
      </c>
      <c r="H84">
        <v>10</v>
      </c>
      <c r="I84">
        <f>Tabelle10[[#This Row],[Count]]*(3*Tabelle10[[#This Row],[Simple]]+4*Tabelle10[[#This Row],[Average]]+6*Tabelle10[[#This Row],[Complex]])</f>
        <v>30</v>
      </c>
      <c r="K84">
        <f>SUM(Tabelle10[Points])*0.65</f>
        <v>28.6</v>
      </c>
    </row>
    <row r="85" spans="2:11" x14ac:dyDescent="0.25">
      <c r="B85" t="s">
        <v>25</v>
      </c>
      <c r="C85">
        <v>0</v>
      </c>
      <c r="D85">
        <f>IF(OR(AND(Tabelle10[[#This Row],[FTR/RET]]&lt;=1, Tabelle10[[#This Row],[DET]] &lt;= 19), AND(Tabelle10[[#This Row],[FTR/RET]]&lt;= 3, Tabelle10[[#This Row],[DET]] &lt;= 5)), 1, 0)</f>
        <v>1</v>
      </c>
      <c r="E85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5">
        <f>IF(AND(Tabelle10[[#This Row],[Simple]]=0,Tabelle10[[#This Row],[Average]]=0), 1, 0)</f>
        <v>0</v>
      </c>
      <c r="G85">
        <v>0</v>
      </c>
      <c r="H85">
        <v>0</v>
      </c>
      <c r="I85">
        <f>Tabelle10[[#This Row],[Count]]*(Tabelle10[[#This Row],[Simple]]*4+Tabelle10[[#This Row],[Average]]*5+Tabelle10[[#This Row],[Complex]]*7)</f>
        <v>0</v>
      </c>
    </row>
    <row r="86" spans="2:11" x14ac:dyDescent="0.25">
      <c r="B86" t="s">
        <v>26</v>
      </c>
      <c r="C86">
        <v>0</v>
      </c>
      <c r="D86">
        <f>IF(OR(AND(Tabelle10[[#This Row],[FTR/RET]]&lt;=1, Tabelle10[[#This Row],[DET]] &lt;= 19), AND(Tabelle10[[#This Row],[FTR/RET]]&lt;= 3, Tabelle10[[#This Row],[DET]] &lt;= 5)), 1, 0)</f>
        <v>1</v>
      </c>
      <c r="E86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6">
        <f>IF(AND(Tabelle10[[#This Row],[Simple]]=0,Tabelle10[[#This Row],[Average]]=0), 1, 0)</f>
        <v>0</v>
      </c>
      <c r="G86">
        <v>0</v>
      </c>
      <c r="H86">
        <v>0</v>
      </c>
      <c r="I86">
        <f>Tabelle10[[#This Row],[Count]]*(3*Tabelle10[[#This Row],[Simple]]+4*Tabelle10[[#This Row],[Average]]+6*Tabelle10[[#This Row],[Complex]])</f>
        <v>0</v>
      </c>
    </row>
    <row r="87" spans="2:11" x14ac:dyDescent="0.25">
      <c r="B87" t="s">
        <v>27</v>
      </c>
      <c r="C87">
        <v>2</v>
      </c>
      <c r="D87">
        <f>IF(OR(AND(Tabelle10[[#This Row],[FTR/RET]]&lt;2, Tabelle10[[#This Row],[DET]] &lt;= 50), AND(Tabelle10[[#This Row],[FTR/RET]]&lt;=5, Tabelle10[[#This Row],[DET]] &lt; 20)), 1, 0)</f>
        <v>1</v>
      </c>
      <c r="E87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87">
        <f>IF(AND(Tabelle10[[#This Row],[Simple]]=0,Tabelle10[[#This Row],[Average]]=0), 1, 0)</f>
        <v>0</v>
      </c>
      <c r="G87">
        <v>0</v>
      </c>
      <c r="H87">
        <v>0</v>
      </c>
      <c r="I87">
        <f>Tabelle10[[#This Row],[Count]]*(7*Tabelle10[[#This Row],[Simple]]+10*Tabelle10[[#This Row],[Average]]+15*Tabelle10[[#This Row],[Complex]])</f>
        <v>14</v>
      </c>
      <c r="J87" t="s">
        <v>55</v>
      </c>
    </row>
    <row r="88" spans="2:11" x14ac:dyDescent="0.25">
      <c r="B88" t="s">
        <v>28</v>
      </c>
      <c r="C88">
        <v>0</v>
      </c>
      <c r="D88">
        <f>IF(OR(AND(Tabelle10[[#This Row],[FTR/RET]]&lt;2, Tabelle10[[#This Row],[DET]] &lt;= 50), AND(Tabelle10[[#This Row],[FTR/RET]]&lt;=5, Tabelle10[[#This Row],[DET]] &lt; 20)), 1, 0)</f>
        <v>1</v>
      </c>
      <c r="E88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88">
        <f>IF(AND(Tabelle10[[#This Row],[Simple]]=0,Tabelle10[[#This Row],[Average]]=0), 1, 0)</f>
        <v>0</v>
      </c>
      <c r="G88">
        <v>0</v>
      </c>
      <c r="H88">
        <v>0</v>
      </c>
      <c r="I88">
        <f>Tabelle10[[#This Row],[Count]]*(5*Tabelle10[[#This Row],[Simple]]+7*Tabelle10[[#This Row],[Average]]+10*Tabelle10[[#This Row],[Complex]])</f>
        <v>0</v>
      </c>
    </row>
    <row r="91" spans="2:11" x14ac:dyDescent="0.25">
      <c r="B91" t="s">
        <v>43</v>
      </c>
      <c r="C91" t="s">
        <v>21</v>
      </c>
      <c r="D91" t="s">
        <v>18</v>
      </c>
      <c r="E91" t="s">
        <v>19</v>
      </c>
      <c r="F91" t="s">
        <v>20</v>
      </c>
      <c r="G91" t="s">
        <v>49</v>
      </c>
      <c r="H91" t="s">
        <v>29</v>
      </c>
      <c r="I91" t="s">
        <v>50</v>
      </c>
      <c r="J91" t="s">
        <v>22</v>
      </c>
      <c r="K91" t="s">
        <v>31</v>
      </c>
    </row>
    <row r="92" spans="2:11" x14ac:dyDescent="0.25">
      <c r="B92" t="s">
        <v>24</v>
      </c>
      <c r="D92">
        <f>IF(OR(AND(Tabelle11[[#This Row],[FTR/RET]]&lt;=1, Tabelle11[[#This Row],[DET]] &lt;= 15), AND(Tabelle11[[#This Row],[FTR/RET]]&lt;= 3, Tabelle11[[#This Row],[DET]] &lt;= 4)), 1, 0)</f>
        <v>1</v>
      </c>
      <c r="E92">
        <f>IF(OR(AND(Tabelle11[[#This Row],[FTR/RET]]&lt;=1, Tabelle11[[#This Row],[DET]] &gt; 15), AND(Tabelle11[[#This Row],[FTR/RET]]&lt;=5, Tabelle11[[#This Row],[FTR/RET]]&gt;=2, Tabelle11[[#This Row],[DET]] &gt;= 5, Tabelle11[[#This Row],[DET]] &lt;= 15), AND(Tabelle11[[#This Row],[FTR/RET]] &gt;= 5, Tabelle11[[#This Row],[DET]] &lt;= 4 )), 1, 0)</f>
        <v>0</v>
      </c>
      <c r="F92">
        <f>IF(AND(Tabelle11[[#This Row],[Simple]]=0,Tabelle11[[#This Row],[Average]]=0), 1, 0)</f>
        <v>0</v>
      </c>
      <c r="G92">
        <v>0</v>
      </c>
      <c r="H92">
        <v>0</v>
      </c>
      <c r="I92">
        <f>Tabelle11[[#This Row],[Count]]*(3*Tabelle11[[#This Row],[Simple]]+4*Tabelle11[[#This Row],[Average]]+6*Tabelle11[[#This Row],[Complex]])</f>
        <v>0</v>
      </c>
      <c r="K92">
        <f>SUM(Tabelle11[Points])*0.65</f>
        <v>20.150000000000002</v>
      </c>
    </row>
    <row r="93" spans="2:11" x14ac:dyDescent="0.25">
      <c r="B93" t="s">
        <v>25</v>
      </c>
      <c r="D93">
        <f>IF(OR(AND(Tabelle11[[#This Row],[FTR/RET]]&lt;=1, Tabelle11[[#This Row],[DET]] &lt;= 19), AND(Tabelle11[[#This Row],[FTR/RET]]&lt;= 3, Tabelle11[[#This Row],[DET]] &lt;= 5)), 1, 0)</f>
        <v>1</v>
      </c>
      <c r="E93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3">
        <f>IF(AND(Tabelle11[[#This Row],[Simple]]=0,Tabelle11[[#This Row],[Average]]=0), 1, 0)</f>
        <v>0</v>
      </c>
      <c r="G93">
        <v>0</v>
      </c>
      <c r="H93">
        <v>0</v>
      </c>
      <c r="I93">
        <f>Tabelle11[[#This Row],[Count]]*(Tabelle11[[#This Row],[Simple]]*4+Tabelle11[[#This Row],[Average]]*5+Tabelle11[[#This Row],[Complex]]*7)</f>
        <v>0</v>
      </c>
    </row>
    <row r="94" spans="2:11" x14ac:dyDescent="0.25">
      <c r="B94" t="s">
        <v>26</v>
      </c>
      <c r="C94">
        <v>1</v>
      </c>
      <c r="D94">
        <f>IF(OR(AND(Tabelle11[[#This Row],[FTR/RET]]&lt;=1, Tabelle11[[#This Row],[DET]] &lt;= 19), AND(Tabelle11[[#This Row],[FTR/RET]]&lt;= 3, Tabelle11[[#This Row],[DET]] &lt;= 5)), 1, 0)</f>
        <v>1</v>
      </c>
      <c r="E94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4">
        <f>IF(AND(Tabelle11[[#This Row],[Simple]]=0,Tabelle11[[#This Row],[Average]]=0), 1, 0)</f>
        <v>0</v>
      </c>
      <c r="G94">
        <v>0</v>
      </c>
      <c r="H94">
        <v>0</v>
      </c>
      <c r="I94">
        <f>Tabelle11[[#This Row],[Count]]*(3*Tabelle11[[#This Row],[Simple]]+4*Tabelle11[[#This Row],[Average]]+6*Tabelle11[[#This Row],[Complex]])</f>
        <v>3</v>
      </c>
      <c r="K94">
        <f>SeeMapsFP/Tabelle15[Velocity]</f>
        <v>5.0812672176308542</v>
      </c>
    </row>
    <row r="95" spans="2:11" x14ac:dyDescent="0.25">
      <c r="B95" t="s">
        <v>27</v>
      </c>
      <c r="C95">
        <v>3</v>
      </c>
      <c r="D95">
        <f>IF(OR(AND(Tabelle11[[#This Row],[FTR/RET]]&lt;2, Tabelle11[[#This Row],[DET]] &lt;= 50), AND(Tabelle11[[#This Row],[FTR/RET]]&lt;=5, Tabelle11[[#This Row],[DET]] &lt; 20)), 1, 0)</f>
        <v>1</v>
      </c>
      <c r="E95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0</v>
      </c>
      <c r="F95">
        <f>IF(AND(Tabelle11[[#This Row],[Simple]]=0,Tabelle11[[#This Row],[Average]]=0), 1, 0)</f>
        <v>0</v>
      </c>
      <c r="G95">
        <v>0</v>
      </c>
      <c r="H95">
        <v>0</v>
      </c>
      <c r="I95">
        <f>Tabelle11[[#This Row],[Count]]*(7*Tabelle11[[#This Row],[Simple]]+10*Tabelle11[[#This Row],[Average]]+15*Tabelle11[[#This Row],[Complex]])</f>
        <v>21</v>
      </c>
      <c r="J95" t="s">
        <v>58</v>
      </c>
    </row>
    <row r="96" spans="2:11" x14ac:dyDescent="0.25">
      <c r="B96" t="s">
        <v>28</v>
      </c>
      <c r="C96">
        <v>1</v>
      </c>
      <c r="D96">
        <f>IF(OR(AND(Tabelle11[[#This Row],[FTR/RET]]&lt;2, Tabelle11[[#This Row],[DET]] &lt;= 50), AND(Tabelle11[[#This Row],[FTR/RET]]&lt;=5, Tabelle11[[#This Row],[DET]] &lt; 20)), 1, 0)</f>
        <v>0</v>
      </c>
      <c r="E96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1</v>
      </c>
      <c r="F96">
        <f>IF(AND(Tabelle11[[#This Row],[Simple]]=0,Tabelle11[[#This Row],[Average]]=0), 1, 0)</f>
        <v>0</v>
      </c>
      <c r="G96">
        <v>5</v>
      </c>
      <c r="H96">
        <v>30</v>
      </c>
      <c r="I96">
        <f>Tabelle11[[#This Row],[Count]]*(5*Tabelle11[[#This Row],[Simple]]+7*Tabelle11[[#This Row],[Average]]+10*Tabelle11[[#This Row],[Complex]])</f>
        <v>7</v>
      </c>
      <c r="J96" t="s">
        <v>44</v>
      </c>
    </row>
    <row r="99" spans="2:11" x14ac:dyDescent="0.25">
      <c r="B99" t="s">
        <v>45</v>
      </c>
      <c r="C99" t="s">
        <v>21</v>
      </c>
      <c r="D99" t="s">
        <v>18</v>
      </c>
      <c r="E99" t="s">
        <v>19</v>
      </c>
      <c r="F99" t="s">
        <v>20</v>
      </c>
      <c r="G99" t="s">
        <v>49</v>
      </c>
      <c r="H99" t="s">
        <v>29</v>
      </c>
      <c r="I99" t="s">
        <v>50</v>
      </c>
      <c r="J99" t="s">
        <v>22</v>
      </c>
      <c r="K99" t="s">
        <v>31</v>
      </c>
    </row>
    <row r="100" spans="2:11" x14ac:dyDescent="0.25">
      <c r="B100" t="s">
        <v>24</v>
      </c>
      <c r="C100">
        <v>1</v>
      </c>
      <c r="D100">
        <f>IF(OR(AND(Tabelle12[[#This Row],[FTR/RET]]&lt;=1, Tabelle12[[#This Row],[DET]] &lt;= 15), AND(Tabelle12[[#This Row],[FTR/RET]]&lt;= 3, Tabelle12[[#This Row],[DET]] &lt;= 4)), 1, 0)</f>
        <v>1</v>
      </c>
      <c r="E100">
        <f>IF(OR(AND(Tabelle12[[#This Row],[FTR/RET]]&lt;=1, Tabelle12[[#This Row],[DET]] &gt; 15), AND(Tabelle12[[#This Row],[FTR/RET]]&lt;=5, Tabelle12[[#This Row],[FTR/RET]]&gt;=2, Tabelle12[[#This Row],[DET]] &gt;= 5, Tabelle12[[#This Row],[DET]] &lt;= 15), AND(Tabelle12[[#This Row],[FTR/RET]] &gt;= 5, Tabelle12[[#This Row],[DET]] &lt;= 4 )), 1, 0)</f>
        <v>0</v>
      </c>
      <c r="F100">
        <f>IF(AND(Tabelle12[[#This Row],[Simple]]=0,Tabelle12[[#This Row],[Average]]=0), 1, 0)</f>
        <v>0</v>
      </c>
      <c r="G100">
        <v>0</v>
      </c>
      <c r="H100">
        <v>1</v>
      </c>
      <c r="I100">
        <f>Tabelle12[[#This Row],[Count]]*(3*Tabelle12[[#This Row],[Simple]]+4*Tabelle12[[#This Row],[Average]]+6*Tabelle12[[#This Row],[Complex]])</f>
        <v>3</v>
      </c>
      <c r="J100" t="s">
        <v>46</v>
      </c>
      <c r="K100">
        <f>SUM(Tabelle12[Points])*0.65</f>
        <v>11.05</v>
      </c>
    </row>
    <row r="101" spans="2:11" x14ac:dyDescent="0.25">
      <c r="B101" t="s">
        <v>25</v>
      </c>
      <c r="C101">
        <v>0</v>
      </c>
      <c r="D101">
        <f>IF(OR(AND(Tabelle12[[#This Row],[FTR/RET]]&lt;=1, Tabelle12[[#This Row],[DET]] &lt;= 19), AND(Tabelle12[[#This Row],[FTR/RET]]&lt;= 3, Tabelle12[[#This Row],[DET]] &lt;= 5)), 1, 0)</f>
        <v>1</v>
      </c>
      <c r="E101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1">
        <f>IF(AND(Tabelle12[[#This Row],[Simple]]=0,Tabelle12[[#This Row],[Average]]=0), 1, 0)</f>
        <v>0</v>
      </c>
      <c r="G101">
        <v>0</v>
      </c>
      <c r="H101">
        <v>0</v>
      </c>
      <c r="I101">
        <f>Tabelle12[[#This Row],[Count]]*(Tabelle12[[#This Row],[Simple]]*4+Tabelle12[[#This Row],[Average]]*5+Tabelle12[[#This Row],[Complex]]*7)</f>
        <v>0</v>
      </c>
    </row>
    <row r="102" spans="2:11" x14ac:dyDescent="0.25">
      <c r="B102" t="s">
        <v>26</v>
      </c>
      <c r="C102">
        <v>0</v>
      </c>
      <c r="D102">
        <f>IF(OR(AND(Tabelle12[[#This Row],[FTR/RET]]&lt;=1, Tabelle12[[#This Row],[DET]] &lt;= 19), AND(Tabelle12[[#This Row],[FTR/RET]]&lt;= 3, Tabelle12[[#This Row],[DET]] &lt;= 5)), 1, 0)</f>
        <v>1</v>
      </c>
      <c r="E102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2">
        <f>IF(AND(Tabelle12[[#This Row],[Simple]]=0,Tabelle12[[#This Row],[Average]]=0), 1, 0)</f>
        <v>0</v>
      </c>
      <c r="G102">
        <v>0</v>
      </c>
      <c r="H102">
        <v>0</v>
      </c>
      <c r="I102">
        <f>Tabelle12[[#This Row],[Count]]*(3*Tabelle12[[#This Row],[Simple]]+4*Tabelle12[[#This Row],[Average]]+6*Tabelle12[[#This Row],[Complex]])</f>
        <v>0</v>
      </c>
      <c r="K102">
        <f>SetTagsFP/Tabelle15[Velocity]</f>
        <v>2.7865013774104681</v>
      </c>
    </row>
    <row r="103" spans="2:11" x14ac:dyDescent="0.25">
      <c r="B103" t="s">
        <v>27</v>
      </c>
      <c r="C103">
        <v>2</v>
      </c>
      <c r="D103">
        <f>IF(OR(AND(Tabelle12[[#This Row],[FTR/RET]]&lt;2, Tabelle12[[#This Row],[DET]] &lt;= 50), AND(Tabelle12[[#This Row],[FTR/RET]]&lt;=5, Tabelle12[[#This Row],[DET]] &lt; 20)), 1, 0)</f>
        <v>1</v>
      </c>
      <c r="E103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3">
        <f>IF(AND(Tabelle12[[#This Row],[Simple]]=0,Tabelle12[[#This Row],[Average]]=0), 1, 0)</f>
        <v>0</v>
      </c>
      <c r="G103">
        <v>0</v>
      </c>
      <c r="H103">
        <v>0</v>
      </c>
      <c r="I103">
        <f>Tabelle12[[#This Row],[Count]]*(7*Tabelle12[[#This Row],[Simple]]+10*Tabelle12[[#This Row],[Average]]+15*Tabelle12[[#This Row],[Complex]])</f>
        <v>14</v>
      </c>
      <c r="J103" t="s">
        <v>59</v>
      </c>
    </row>
    <row r="104" spans="2:11" x14ac:dyDescent="0.25">
      <c r="B104" t="s">
        <v>28</v>
      </c>
      <c r="C104">
        <v>0</v>
      </c>
      <c r="D104">
        <f>IF(OR(AND(Tabelle12[[#This Row],[FTR/RET]]&lt;2, Tabelle12[[#This Row],[DET]] &lt;= 50), AND(Tabelle12[[#This Row],[FTR/RET]]&lt;=5, Tabelle12[[#This Row],[DET]] &lt; 20)), 1, 0)</f>
        <v>1</v>
      </c>
      <c r="E104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4">
        <f>IF(AND(Tabelle12[[#This Row],[Simple]]=0,Tabelle12[[#This Row],[Average]]=0), 1, 0)</f>
        <v>0</v>
      </c>
      <c r="G104">
        <v>0</v>
      </c>
      <c r="H104">
        <v>0</v>
      </c>
      <c r="I104">
        <f>Tabelle12[[#This Row],[Count]]*(5*Tabelle12[[#This Row],[Simple]]+7*Tabelle12[[#This Row],[Average]]+10*Tabelle12[[#This Row],[Complex]])</f>
        <v>0</v>
      </c>
    </row>
    <row r="107" spans="2:11" x14ac:dyDescent="0.25">
      <c r="B107" t="s">
        <v>47</v>
      </c>
      <c r="C107" t="s">
        <v>21</v>
      </c>
      <c r="D107" t="s">
        <v>18</v>
      </c>
      <c r="E107" t="s">
        <v>19</v>
      </c>
      <c r="F107" t="s">
        <v>20</v>
      </c>
      <c r="G107" t="s">
        <v>49</v>
      </c>
      <c r="H107" t="s">
        <v>29</v>
      </c>
      <c r="I107" t="s">
        <v>50</v>
      </c>
      <c r="J107" t="s">
        <v>22</v>
      </c>
      <c r="K107" t="s">
        <v>31</v>
      </c>
    </row>
    <row r="108" spans="2:11" x14ac:dyDescent="0.25">
      <c r="B108" t="s">
        <v>24</v>
      </c>
      <c r="C108">
        <v>4</v>
      </c>
      <c r="D108">
        <f>IF(OR(AND(Tabelle1214[[#This Row],[FTR/RET]]&lt;=1, Tabelle1214[[#This Row],[DET]] &lt;= 15), AND(Tabelle1214[[#This Row],[FTR/RET]]&lt;= 3, Tabelle1214[[#This Row],[DET]] &lt;= 4)), 1, 0)</f>
        <v>1</v>
      </c>
      <c r="E108">
        <f>IF(OR(AND(Tabelle1214[[#This Row],[FTR/RET]]&lt;=1, Tabelle1214[[#This Row],[DET]] &gt; 15), AND(Tabelle1214[[#This Row],[FTR/RET]]&lt;=5, Tabelle1214[[#This Row],[FTR/RET]]&gt;=2, Tabelle1214[[#This Row],[DET]] &gt;= 5, Tabelle1214[[#This Row],[DET]] &lt;= 15), AND(Tabelle1214[[#This Row],[FTR/RET]] &gt;= 5, Tabelle1214[[#This Row],[DET]] &lt;= 4 )), 1, 0)</f>
        <v>0</v>
      </c>
      <c r="F108">
        <f>IF(AND(Tabelle1214[[#This Row],[Simple]]=0,Tabelle1214[[#This Row],[Average]]=0), 1, 0)</f>
        <v>0</v>
      </c>
      <c r="G108">
        <v>0</v>
      </c>
      <c r="H108">
        <v>4</v>
      </c>
      <c r="I108">
        <f>Tabelle1214[[#This Row],[Count]]*(3*Tabelle1214[[#This Row],[Simple]]+4*Tabelle1214[[#This Row],[Average]]+6*Tabelle1214[[#This Row],[Complex]])</f>
        <v>12</v>
      </c>
      <c r="J108" t="s">
        <v>48</v>
      </c>
      <c r="K108">
        <f>SUM(Tabelle1214[Points])*0.65</f>
        <v>16.900000000000002</v>
      </c>
    </row>
    <row r="109" spans="2:11" x14ac:dyDescent="0.25">
      <c r="B109" t="s">
        <v>25</v>
      </c>
      <c r="C109">
        <v>0</v>
      </c>
      <c r="D109">
        <f>IF(OR(AND(Tabelle1214[[#This Row],[FTR/RET]]&lt;=1, Tabelle1214[[#This Row],[DET]] &lt;= 19), AND(Tabelle1214[[#This Row],[FTR/RET]]&lt;= 3, Tabelle1214[[#This Row],[DET]] &lt;= 5)), 1, 0)</f>
        <v>1</v>
      </c>
      <c r="E109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09">
        <f>IF(AND(Tabelle1214[[#This Row],[Simple]]=0,Tabelle1214[[#This Row],[Average]]=0), 1, 0)</f>
        <v>0</v>
      </c>
      <c r="G109">
        <v>0</v>
      </c>
      <c r="H109">
        <v>0</v>
      </c>
      <c r="I109">
        <f>Tabelle1214[[#This Row],[Count]]*(Tabelle1214[[#This Row],[Simple]]*4+Tabelle1214[[#This Row],[Average]]*5+Tabelle1214[[#This Row],[Complex]]*7)</f>
        <v>0</v>
      </c>
    </row>
    <row r="110" spans="2:11" x14ac:dyDescent="0.25">
      <c r="B110" t="s">
        <v>26</v>
      </c>
      <c r="C110">
        <v>0</v>
      </c>
      <c r="D110">
        <f>IF(OR(AND(Tabelle1214[[#This Row],[FTR/RET]]&lt;=1, Tabelle1214[[#This Row],[DET]] &lt;= 19), AND(Tabelle1214[[#This Row],[FTR/RET]]&lt;= 3, Tabelle1214[[#This Row],[DET]] &lt;= 5)), 1, 0)</f>
        <v>1</v>
      </c>
      <c r="E110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0">
        <f>IF(AND(Tabelle1214[[#This Row],[Simple]]=0,Tabelle1214[[#This Row],[Average]]=0), 1, 0)</f>
        <v>0</v>
      </c>
      <c r="G110">
        <v>0</v>
      </c>
      <c r="H110">
        <v>0</v>
      </c>
      <c r="I110">
        <f>Tabelle1214[[#This Row],[Count]]*(3*Tabelle1214[[#This Row],[Simple]]+4*Tabelle1214[[#This Row],[Average]]+6*Tabelle1214[[#This Row],[Complex]])</f>
        <v>0</v>
      </c>
      <c r="K110">
        <f>AdministrateBarsFP/Tabelle15[Velocity]</f>
        <v>4.2617079889807163</v>
      </c>
    </row>
    <row r="111" spans="2:11" x14ac:dyDescent="0.25">
      <c r="B111" t="s">
        <v>27</v>
      </c>
      <c r="C111">
        <v>2</v>
      </c>
      <c r="D111">
        <f>IF(OR(AND(Tabelle1214[[#This Row],[FTR/RET]]&lt;2, Tabelle1214[[#This Row],[DET]] &lt;= 50), AND(Tabelle1214[[#This Row],[FTR/RET]]&lt;=5, Tabelle1214[[#This Row],[DET]] &lt; 20)), 1, 0)</f>
        <v>1</v>
      </c>
      <c r="E111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1">
        <f>IF(AND(Tabelle1214[[#This Row],[Simple]]=0,Tabelle1214[[#This Row],[Average]]=0), 1, 0)</f>
        <v>0</v>
      </c>
      <c r="G111">
        <v>0</v>
      </c>
      <c r="H111">
        <v>0</v>
      </c>
      <c r="I111">
        <f>Tabelle1214[[#This Row],[Count]]*(7*Tabelle1214[[#This Row],[Simple]]+10*Tabelle1214[[#This Row],[Average]]+15*Tabelle1214[[#This Row],[Complex]])</f>
        <v>14</v>
      </c>
      <c r="J111" t="s">
        <v>60</v>
      </c>
    </row>
    <row r="112" spans="2:11" x14ac:dyDescent="0.25">
      <c r="B112" t="s">
        <v>28</v>
      </c>
      <c r="C112">
        <v>0</v>
      </c>
      <c r="D112">
        <f>IF(OR(AND(Tabelle1214[[#This Row],[FTR/RET]]&lt;2, Tabelle1214[[#This Row],[DET]] &lt;= 50), AND(Tabelle1214[[#This Row],[FTR/RET]]&lt;=5, Tabelle1214[[#This Row],[DET]] &lt; 20)), 1, 0)</f>
        <v>1</v>
      </c>
      <c r="E112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2">
        <f>IF(AND(Tabelle1214[[#This Row],[Simple]]=0,Tabelle1214[[#This Row],[Average]]=0), 1, 0)</f>
        <v>0</v>
      </c>
      <c r="G112">
        <v>0</v>
      </c>
      <c r="H112">
        <v>0</v>
      </c>
      <c r="I112">
        <f>Tabelle1214[[#This Row],[Count]]*(5*Tabelle1214[[#This Row],[Simple]]+7*Tabelle1214[[#This Row],[Average]]+10*Tabelle1214[[#This Row],[Complex]])</f>
        <v>0</v>
      </c>
    </row>
    <row r="115" spans="2:11" x14ac:dyDescent="0.25">
      <c r="B115" t="s">
        <v>32</v>
      </c>
      <c r="C115" t="s">
        <v>21</v>
      </c>
      <c r="D115" t="s">
        <v>18</v>
      </c>
      <c r="E115" t="s">
        <v>19</v>
      </c>
      <c r="F115" t="s">
        <v>20</v>
      </c>
      <c r="G115" t="s">
        <v>49</v>
      </c>
      <c r="H115" t="s">
        <v>29</v>
      </c>
      <c r="I115" t="s">
        <v>50</v>
      </c>
      <c r="J115" t="s">
        <v>22</v>
      </c>
      <c r="K115" t="s">
        <v>31</v>
      </c>
    </row>
    <row r="116" spans="2:11" x14ac:dyDescent="0.25">
      <c r="B116" t="s">
        <v>24</v>
      </c>
      <c r="C116">
        <v>0</v>
      </c>
      <c r="D116">
        <f>IF(OR(AND(Tabelle121415[[#This Row],[FTR/RET]]&lt;=1, Tabelle121415[[#This Row],[DET]] &lt;= 15), AND(Tabelle121415[[#This Row],[FTR/RET]]&lt;= 3, Tabelle121415[[#This Row],[DET]] &lt;= 4)), 1, 0)</f>
        <v>1</v>
      </c>
      <c r="E116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0</v>
      </c>
      <c r="F116">
        <f>IF(AND(Tabelle121415[[#This Row],[Simple]]=0,Tabelle121415[[#This Row],[Average]]=0), 1, 0)</f>
        <v>0</v>
      </c>
      <c r="G116">
        <v>0</v>
      </c>
      <c r="H116">
        <v>0</v>
      </c>
      <c r="I116">
        <f>Tabelle121415[[#This Row],[Count]]*(3*Tabelle121415[[#This Row],[Simple]]+4*Tabelle121415[[#This Row],[Average]]+6*Tabelle121415[[#This Row],[Complex]])</f>
        <v>0</v>
      </c>
      <c r="K116">
        <f>SUM(Tabelle121415[Points])*0.65</f>
        <v>0</v>
      </c>
    </row>
    <row r="117" spans="2:11" x14ac:dyDescent="0.25">
      <c r="B117" t="s">
        <v>25</v>
      </c>
      <c r="C117">
        <v>0</v>
      </c>
      <c r="D117">
        <f>IF(OR(AND(Tabelle121415[[#This Row],[FTR/RET]]&lt;=1, Tabelle121415[[#This Row],[DET]] &lt;= 19), AND(Tabelle121415[[#This Row],[FTR/RET]]&lt;= 3, Tabelle121415[[#This Row],[DET]] &lt;= 5)), 1, 0)</f>
        <v>1</v>
      </c>
      <c r="E117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17">
        <f>IF(AND(Tabelle121415[[#This Row],[Simple]]=0,Tabelle121415[[#This Row],[Average]]=0), 1, 0)</f>
        <v>0</v>
      </c>
      <c r="G117">
        <v>0</v>
      </c>
      <c r="H117">
        <v>0</v>
      </c>
      <c r="I117">
        <f>Tabelle121415[[#This Row],[Count]]*(Tabelle121415[[#This Row],[Simple]]*4+Tabelle121415[[#This Row],[Average]]*5+Tabelle121415[[#This Row],[Complex]]*7)</f>
        <v>0</v>
      </c>
    </row>
    <row r="118" spans="2:11" x14ac:dyDescent="0.25">
      <c r="B118" t="s">
        <v>26</v>
      </c>
      <c r="C118">
        <v>0</v>
      </c>
      <c r="D118">
        <f>IF(OR(AND(Tabelle121415[[#This Row],[FTR/RET]]&lt;=1, Tabelle121415[[#This Row],[DET]] &lt;= 19), AND(Tabelle121415[[#This Row],[FTR/RET]]&lt;= 3, Tabelle121415[[#This Row],[DET]] &lt;= 5)), 1, 0)</f>
        <v>1</v>
      </c>
      <c r="E118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18">
        <f>IF(AND(Tabelle121415[[#This Row],[Simple]]=0,Tabelle121415[[#This Row],[Average]]=0), 1, 0)</f>
        <v>0</v>
      </c>
      <c r="G118">
        <v>0</v>
      </c>
      <c r="H118">
        <v>0</v>
      </c>
      <c r="I118">
        <f>Tabelle121415[[#This Row],[Count]]*(3*Tabelle121415[[#This Row],[Simple]]+4*Tabelle121415[[#This Row],[Average]]+6*Tabelle121415[[#This Row],[Complex]])</f>
        <v>0</v>
      </c>
    </row>
    <row r="119" spans="2:11" x14ac:dyDescent="0.25">
      <c r="B119" t="s">
        <v>27</v>
      </c>
      <c r="C119">
        <v>0</v>
      </c>
      <c r="D119">
        <f>IF(OR(AND(Tabelle121415[[#This Row],[FTR/RET]]&lt;2, Tabelle121415[[#This Row],[DET]] &lt;= 50), AND(Tabelle121415[[#This Row],[FTR/RET]]&lt;=5, Tabelle121415[[#This Row],[DET]] &lt; 20)), 1, 0)</f>
        <v>1</v>
      </c>
      <c r="E119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19">
        <f>IF(AND(Tabelle121415[[#This Row],[Simple]]=0,Tabelle121415[[#This Row],[Average]]=0), 1, 0)</f>
        <v>0</v>
      </c>
      <c r="G119">
        <v>0</v>
      </c>
      <c r="H119">
        <v>0</v>
      </c>
      <c r="I119">
        <f>Tabelle121415[[#This Row],[Count]]*(7*Tabelle121415[[#This Row],[Simple]]+10*Tabelle121415[[#This Row],[Average]]+15*Tabelle121415[[#This Row],[Complex]])</f>
        <v>0</v>
      </c>
    </row>
    <row r="120" spans="2:11" x14ac:dyDescent="0.25">
      <c r="B120" t="s">
        <v>28</v>
      </c>
      <c r="C120">
        <v>0</v>
      </c>
      <c r="D120">
        <f>IF(OR(AND(Tabelle121415[[#This Row],[FTR/RET]]&lt;2, Tabelle121415[[#This Row],[DET]] &lt;= 50), AND(Tabelle121415[[#This Row],[FTR/RET]]&lt;=5, Tabelle121415[[#This Row],[DET]] &lt; 20)), 1, 0)</f>
        <v>1</v>
      </c>
      <c r="E120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0">
        <f>IF(AND(Tabelle121415[[#This Row],[Simple]]=0,Tabelle121415[[#This Row],[Average]]=0), 1, 0)</f>
        <v>0</v>
      </c>
      <c r="G120">
        <v>0</v>
      </c>
      <c r="H120">
        <v>0</v>
      </c>
      <c r="I120">
        <f>Tabelle121415[[#This Row],[Count]]*(5*Tabelle121415[[#This Row],[Simple]]+7*Tabelle121415[[#This Row],[Average]]+10*Tabelle121415[[#This Row],[Complex]])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12</vt:i4>
      </vt:variant>
    </vt:vector>
  </HeadingPairs>
  <TitlesOfParts>
    <vt:vector size="13" baseType="lpstr">
      <vt:lpstr>Tabelle1</vt:lpstr>
      <vt:lpstr>AdministrateBarsFP</vt:lpstr>
      <vt:lpstr>ChangeInfoFP</vt:lpstr>
      <vt:lpstr>CommentFP</vt:lpstr>
      <vt:lpstr>GetBarInfoFP</vt:lpstr>
      <vt:lpstr>LoginFP</vt:lpstr>
      <vt:lpstr>RateBarFP</vt:lpstr>
      <vt:lpstr>RegisterFp</vt:lpstr>
      <vt:lpstr>SearchBarFP</vt:lpstr>
      <vt:lpstr>SeeMapsFP</vt:lpstr>
      <vt:lpstr>SeePinboardsFP</vt:lpstr>
      <vt:lpstr>SetTagsFP</vt:lpstr>
      <vt:lpstr>SurveysFP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Philipp Fehrmann</cp:lastModifiedBy>
  <dcterms:created xsi:type="dcterms:W3CDTF">2016-04-06T09:08:04Z</dcterms:created>
  <dcterms:modified xsi:type="dcterms:W3CDTF">2016-04-20T07:13:34Z</dcterms:modified>
</cp:coreProperties>
</file>