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00" windowHeight="7755"/>
  </bookViews>
  <sheets>
    <sheet name="Tabelle1" sheetId="1" r:id="rId1"/>
  </sheets>
  <definedNames>
    <definedName name="AdministrateBarsFP">Tabelle1!$K$105</definedName>
    <definedName name="ChangeInfoFP">Tabelle1!$K$81</definedName>
    <definedName name="CommentFP">Tabelle1!$K$73</definedName>
    <definedName name="GetBarInfoFP">Tabelle1!$K$57</definedName>
    <definedName name="LoginFP">Tabelle1!$K$25</definedName>
    <definedName name="RateBarFP">Tabelle1!$K$65</definedName>
    <definedName name="RegisterFp">Tabelle1!$K$33</definedName>
    <definedName name="SearchBarFP">Tabelle1!$K$17</definedName>
    <definedName name="SeeMapsFP">Tabelle1!$K$89</definedName>
    <definedName name="SeePinboardsFP">Tabelle1!$K$49</definedName>
    <definedName name="SetTagsFP">Tabelle1!$K$97</definedName>
    <definedName name="SurveysFP">Tabelle1!$K$41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1" l="1"/>
  <c r="E17" i="1"/>
  <c r="D17" i="1"/>
  <c r="E117" i="1"/>
  <c r="D117" i="1"/>
  <c r="E116" i="1"/>
  <c r="D116" i="1"/>
  <c r="E115" i="1"/>
  <c r="D115" i="1"/>
  <c r="E114" i="1"/>
  <c r="D114" i="1"/>
  <c r="E113" i="1"/>
  <c r="D113" i="1"/>
  <c r="E109" i="1"/>
  <c r="D109" i="1"/>
  <c r="E108" i="1"/>
  <c r="D108" i="1"/>
  <c r="E107" i="1"/>
  <c r="D107" i="1"/>
  <c r="E106" i="1"/>
  <c r="D106" i="1"/>
  <c r="E105" i="1"/>
  <c r="D105" i="1"/>
  <c r="E101" i="1"/>
  <c r="D101" i="1"/>
  <c r="E100" i="1"/>
  <c r="D100" i="1"/>
  <c r="E99" i="1"/>
  <c r="D99" i="1"/>
  <c r="E98" i="1"/>
  <c r="D98" i="1"/>
  <c r="E97" i="1"/>
  <c r="D97" i="1"/>
  <c r="E93" i="1"/>
  <c r="D93" i="1"/>
  <c r="E92" i="1"/>
  <c r="D92" i="1"/>
  <c r="E91" i="1"/>
  <c r="D91" i="1"/>
  <c r="E90" i="1"/>
  <c r="D90" i="1"/>
  <c r="E89" i="1"/>
  <c r="D89" i="1"/>
  <c r="E85" i="1"/>
  <c r="D85" i="1"/>
  <c r="E84" i="1"/>
  <c r="D84" i="1"/>
  <c r="E83" i="1"/>
  <c r="D83" i="1"/>
  <c r="E82" i="1"/>
  <c r="D82" i="1"/>
  <c r="E81" i="1"/>
  <c r="D81" i="1"/>
  <c r="E77" i="1"/>
  <c r="D77" i="1"/>
  <c r="E76" i="1"/>
  <c r="D76" i="1"/>
  <c r="E75" i="1"/>
  <c r="D75" i="1"/>
  <c r="E74" i="1"/>
  <c r="D74" i="1"/>
  <c r="E73" i="1"/>
  <c r="D73" i="1"/>
  <c r="E69" i="1"/>
  <c r="D69" i="1"/>
  <c r="E68" i="1"/>
  <c r="D68" i="1"/>
  <c r="E67" i="1"/>
  <c r="D67" i="1"/>
  <c r="E66" i="1"/>
  <c r="D66" i="1"/>
  <c r="E65" i="1"/>
  <c r="D65" i="1"/>
  <c r="E61" i="1"/>
  <c r="D61" i="1"/>
  <c r="E60" i="1"/>
  <c r="D60" i="1"/>
  <c r="E59" i="1"/>
  <c r="D59" i="1"/>
  <c r="E58" i="1"/>
  <c r="D58" i="1"/>
  <c r="E57" i="1"/>
  <c r="D57" i="1"/>
  <c r="E53" i="1"/>
  <c r="D53" i="1"/>
  <c r="E52" i="1"/>
  <c r="D52" i="1"/>
  <c r="E51" i="1"/>
  <c r="D51" i="1"/>
  <c r="E50" i="1"/>
  <c r="D50" i="1"/>
  <c r="E49" i="1"/>
  <c r="D49" i="1"/>
  <c r="E45" i="1"/>
  <c r="D45" i="1"/>
  <c r="E44" i="1"/>
  <c r="D44" i="1"/>
  <c r="E43" i="1"/>
  <c r="D43" i="1"/>
  <c r="E42" i="1"/>
  <c r="D42" i="1"/>
  <c r="E41" i="1"/>
  <c r="D41" i="1"/>
  <c r="E37" i="1"/>
  <c r="D37" i="1"/>
  <c r="E36" i="1"/>
  <c r="D36" i="1"/>
  <c r="E35" i="1"/>
  <c r="D35" i="1"/>
  <c r="E34" i="1"/>
  <c r="D34" i="1"/>
  <c r="E33" i="1"/>
  <c r="D33" i="1"/>
  <c r="E29" i="1"/>
  <c r="D29" i="1"/>
  <c r="E28" i="1"/>
  <c r="D28" i="1"/>
  <c r="E27" i="1"/>
  <c r="D27" i="1"/>
  <c r="E26" i="1"/>
  <c r="D26" i="1"/>
  <c r="E25" i="1"/>
  <c r="D25" i="1"/>
  <c r="E21" i="1"/>
  <c r="D21" i="1"/>
  <c r="E20" i="1"/>
  <c r="D20" i="1"/>
  <c r="E19" i="1"/>
  <c r="D19" i="1"/>
  <c r="E18" i="1"/>
  <c r="D18" i="1"/>
  <c r="I90" i="1" l="1"/>
  <c r="I108" i="1"/>
  <c r="I115" i="1"/>
  <c r="I66" i="1"/>
  <c r="I91" i="1"/>
  <c r="I98" i="1"/>
  <c r="I49" i="1"/>
  <c r="I67" i="1"/>
  <c r="I29" i="1"/>
  <c r="I36" i="1"/>
  <c r="I82" i="1"/>
  <c r="I93" i="1"/>
  <c r="F109" i="1"/>
  <c r="I109" i="1" s="1"/>
  <c r="F116" i="1"/>
  <c r="I116" i="1" s="1"/>
  <c r="F27" i="1"/>
  <c r="I27" i="1" s="1"/>
  <c r="F34" i="1"/>
  <c r="I34" i="1" s="1"/>
  <c r="F41" i="1"/>
  <c r="I41" i="1" s="1"/>
  <c r="F45" i="1"/>
  <c r="I45" i="1" s="1"/>
  <c r="F52" i="1"/>
  <c r="I52" i="1" s="1"/>
  <c r="F59" i="1"/>
  <c r="I59" i="1" s="1"/>
  <c r="F66" i="1"/>
  <c r="F73" i="1"/>
  <c r="I73" i="1" s="1"/>
  <c r="F77" i="1"/>
  <c r="I77" i="1" s="1"/>
  <c r="F84" i="1"/>
  <c r="I84" i="1" s="1"/>
  <c r="F91" i="1"/>
  <c r="F98" i="1"/>
  <c r="F105" i="1"/>
  <c r="I105" i="1" s="1"/>
  <c r="F26" i="1"/>
  <c r="I26" i="1" s="1"/>
  <c r="F33" i="1"/>
  <c r="I33" i="1" s="1"/>
  <c r="F37" i="1"/>
  <c r="I37" i="1" s="1"/>
  <c r="F44" i="1"/>
  <c r="I44" i="1" s="1"/>
  <c r="F51" i="1"/>
  <c r="I51" i="1" s="1"/>
  <c r="F58" i="1"/>
  <c r="I58" i="1" s="1"/>
  <c r="F65" i="1"/>
  <c r="I65" i="1" s="1"/>
  <c r="F69" i="1"/>
  <c r="I69" i="1" s="1"/>
  <c r="F76" i="1"/>
  <c r="I76" i="1" s="1"/>
  <c r="F83" i="1"/>
  <c r="I83" i="1" s="1"/>
  <c r="F90" i="1"/>
  <c r="F97" i="1"/>
  <c r="I97" i="1" s="1"/>
  <c r="F101" i="1"/>
  <c r="I101" i="1" s="1"/>
  <c r="F108" i="1"/>
  <c r="F115" i="1"/>
  <c r="F28" i="1"/>
  <c r="I28" i="1" s="1"/>
  <c r="F35" i="1"/>
  <c r="I35" i="1" s="1"/>
  <c r="F42" i="1"/>
  <c r="I42" i="1" s="1"/>
  <c r="F49" i="1"/>
  <c r="F53" i="1"/>
  <c r="I53" i="1" s="1"/>
  <c r="F60" i="1"/>
  <c r="I60" i="1" s="1"/>
  <c r="F67" i="1"/>
  <c r="F74" i="1"/>
  <c r="I74" i="1" s="1"/>
  <c r="F81" i="1"/>
  <c r="I81" i="1" s="1"/>
  <c r="F85" i="1"/>
  <c r="I85" i="1" s="1"/>
  <c r="F92" i="1"/>
  <c r="I92" i="1" s="1"/>
  <c r="F99" i="1"/>
  <c r="I99" i="1" s="1"/>
  <c r="F106" i="1"/>
  <c r="I106" i="1" s="1"/>
  <c r="F113" i="1"/>
  <c r="I113" i="1" s="1"/>
  <c r="K113" i="1" s="1"/>
  <c r="F117" i="1"/>
  <c r="I117" i="1" s="1"/>
  <c r="F25" i="1"/>
  <c r="I25" i="1" s="1"/>
  <c r="F29" i="1"/>
  <c r="F36" i="1"/>
  <c r="F43" i="1"/>
  <c r="I43" i="1" s="1"/>
  <c r="F50" i="1"/>
  <c r="I50" i="1" s="1"/>
  <c r="F57" i="1"/>
  <c r="I57" i="1" s="1"/>
  <c r="F61" i="1"/>
  <c r="I61" i="1" s="1"/>
  <c r="F68" i="1"/>
  <c r="I68" i="1" s="1"/>
  <c r="F75" i="1"/>
  <c r="I75" i="1" s="1"/>
  <c r="F82" i="1"/>
  <c r="F89" i="1"/>
  <c r="I89" i="1" s="1"/>
  <c r="F93" i="1"/>
  <c r="F100" i="1"/>
  <c r="I100" i="1" s="1"/>
  <c r="F107" i="1"/>
  <c r="I107" i="1" s="1"/>
  <c r="F114" i="1"/>
  <c r="I114" i="1" s="1"/>
  <c r="F17" i="1"/>
  <c r="I17" i="1" s="1"/>
  <c r="F18" i="1"/>
  <c r="I18" i="1" s="1"/>
  <c r="F19" i="1"/>
  <c r="I19" i="1" s="1"/>
  <c r="F20" i="1"/>
  <c r="I20" i="1" s="1"/>
  <c r="F21" i="1"/>
  <c r="I21" i="1" s="1"/>
  <c r="I10" i="1"/>
  <c r="J10" i="1"/>
  <c r="K57" i="1" l="1"/>
  <c r="K8" i="1" s="1"/>
  <c r="K33" i="1"/>
  <c r="K12" i="1" s="1"/>
  <c r="K73" i="1"/>
  <c r="K3" i="1" s="1"/>
  <c r="K105" i="1"/>
  <c r="K81" i="1"/>
  <c r="K11" i="1" s="1"/>
  <c r="K97" i="1"/>
  <c r="K25" i="1"/>
  <c r="K5" i="1" s="1"/>
  <c r="K41" i="1"/>
  <c r="K9" i="1" s="1"/>
  <c r="K89" i="1"/>
  <c r="K10" i="1" s="1"/>
  <c r="K49" i="1"/>
  <c r="K4" i="1" s="1"/>
  <c r="K6" i="1"/>
  <c r="K17" i="1"/>
  <c r="K7" i="1" s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</calcChain>
</file>

<file path=xl/sharedStrings.xml><?xml version="1.0" encoding="utf-8"?>
<sst xmlns="http://schemas.openxmlformats.org/spreadsheetml/2006/main" count="241" uniqueCount="64">
  <si>
    <t>UC Name</t>
  </si>
  <si>
    <t>Documentation</t>
  </si>
  <si>
    <t>Coding</t>
  </si>
  <si>
    <t>Testing</t>
  </si>
  <si>
    <t>Total</t>
  </si>
  <si>
    <t>FP</t>
  </si>
  <si>
    <t>Search for a Bar</t>
  </si>
  <si>
    <t>Login</t>
  </si>
  <si>
    <t>Register</t>
  </si>
  <si>
    <t>Surveys</t>
  </si>
  <si>
    <t>See Pinboards</t>
  </si>
  <si>
    <t>Get bar informations</t>
  </si>
  <si>
    <t>Rate a bar</t>
  </si>
  <si>
    <t>Comment at pinboards</t>
  </si>
  <si>
    <t>Change personal information</t>
  </si>
  <si>
    <t>UI Design</t>
  </si>
  <si>
    <t>Database</t>
  </si>
  <si>
    <t>Search bar</t>
  </si>
  <si>
    <t>Simple</t>
  </si>
  <si>
    <t>Average</t>
  </si>
  <si>
    <t>Complex</t>
  </si>
  <si>
    <t>Count</t>
  </si>
  <si>
    <t>Reason</t>
  </si>
  <si>
    <t>User only reads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</si>
  <si>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</si>
  <si>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</si>
  <si>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</si>
  <si>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</si>
  <si>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</si>
  <si>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</si>
  <si>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Google retuns a lot of information</t>
  </si>
  <si>
    <t>Function points</t>
  </si>
  <si>
    <t>Name</t>
  </si>
  <si>
    <t>User only asks to login</t>
  </si>
  <si>
    <t>User sends username and password</t>
  </si>
  <si>
    <t>No communication to the outside</t>
  </si>
  <si>
    <t>Warmup Phase</t>
  </si>
  <si>
    <t>There are 10 user inputs, all form one Database Record</t>
  </si>
  <si>
    <t>The amount depends on the survey in the database. That makes presenting the survey more comlex</t>
  </si>
  <si>
    <t>See pinboards</t>
  </si>
  <si>
    <t xml:space="preserve">View, Presenter, Database, Model, </t>
  </si>
  <si>
    <t>Rate bar</t>
  </si>
  <si>
    <t>Total w/o warmup</t>
  </si>
  <si>
    <t>See Maps</t>
  </si>
  <si>
    <t>Google Maps</t>
  </si>
  <si>
    <t>Set Tags</t>
  </si>
  <si>
    <t>A Tag will be saved</t>
  </si>
  <si>
    <t>Administrate Bars</t>
  </si>
  <si>
    <t>A complete bar needs to be saved</t>
  </si>
  <si>
    <t>FTR/RET</t>
  </si>
  <si>
    <t>Points</t>
  </si>
  <si>
    <t>Presenter, Bar</t>
  </si>
  <si>
    <t>25 single, clickable stars</t>
  </si>
  <si>
    <t>Presenter, Rating Class, Bar Class. Influences many fields in the database</t>
  </si>
  <si>
    <t>Presenter, Bar model</t>
  </si>
  <si>
    <t>Presenter, User Model</t>
  </si>
  <si>
    <t>Presenter, Bar Model, Question Model</t>
  </si>
  <si>
    <t>The window, the UI, the User model</t>
  </si>
  <si>
    <t>Presenter, Bar Model, Map Class</t>
  </si>
  <si>
    <t>Presenter, Bar Model</t>
  </si>
  <si>
    <t>Presnter, Bar Class</t>
  </si>
  <si>
    <t>Explaniation</t>
  </si>
  <si>
    <t>Reuse the Register files and functions</t>
  </si>
  <si>
    <t>CSS with Vaadin, complete recode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</si>
</sst>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Comment at pinboards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Tabelle1!$K$3:$K$12</c:f>
              <c:numCache>
                <c:formatCode>General</c:formatCode>
                <c:ptCount val="10"/>
                <c:pt idx="0">
                  <c:v>11.05</c:v>
                </c:pt>
                <c:pt idx="1">
                  <c:v>13.65</c:v>
                </c:pt>
                <c:pt idx="2">
                  <c:v>15.600000000000001</c:v>
                </c:pt>
                <c:pt idx="3">
                  <c:v>17.5</c:v>
                </c:pt>
                <c:pt idx="4">
                  <c:v>13.65</c:v>
                </c:pt>
                <c:pt idx="5">
                  <c:v>18.2</c:v>
                </c:pt>
                <c:pt idx="6">
                  <c:v>18.900000000000002</c:v>
                </c:pt>
                <c:pt idx="7">
                  <c:v>20.150000000000002</c:v>
                </c:pt>
                <c:pt idx="8">
                  <c:v>28.6</c:v>
                </c:pt>
                <c:pt idx="9">
                  <c:v>28.6</c:v>
                </c:pt>
              </c:numCache>
            </c:numRef>
          </c:xVal>
          <c:yVal>
            <c:numRef>
              <c:f>Tabelle1!$I$3:$I$12</c:f>
              <c:numCache>
                <c:formatCode>h:mm</c:formatCode>
                <c:ptCount val="10"/>
                <c:pt idx="0">
                  <c:v>8.3333333333333301E-2</c:v>
                </c:pt>
                <c:pt idx="1">
                  <c:v>0.13194444444444442</c:v>
                </c:pt>
                <c:pt idx="2">
                  <c:v>0.1875</c:v>
                </c:pt>
                <c:pt idx="3">
                  <c:v>0.22222222222222215</c:v>
                </c:pt>
                <c:pt idx="4">
                  <c:v>0.15277777777777779</c:v>
                </c:pt>
                <c:pt idx="5">
                  <c:v>0.17361111111111105</c:v>
                </c:pt>
                <c:pt idx="6">
                  <c:v>0.20138888888888884</c:v>
                </c:pt>
                <c:pt idx="7">
                  <c:v>0.22916666666666666</c:v>
                </c:pt>
                <c:pt idx="8">
                  <c:v>0.15277777777777773</c:v>
                </c:pt>
                <c:pt idx="9">
                  <c:v>0.27083333333333331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54776"/>
        <c:axId val="363061048"/>
      </c:scatterChart>
      <c:valAx>
        <c:axId val="36305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1048"/>
        <c:crosses val="autoZero"/>
        <c:crossBetween val="midCat"/>
      </c:valAx>
      <c:valAx>
        <c:axId val="3630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547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4762</xdr:rowOff>
    </xdr:from>
    <xdr:to>
      <xdr:col>22</xdr:col>
      <xdr:colOff>571500</xdr:colOff>
      <xdr:row>17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L12" totalsRowShown="0">
  <autoFilter ref="B2:L12"/>
  <sortState ref="B3:K12">
    <sortCondition ref="K2:K12"/>
  </sortState>
  <tableColumns count="11">
    <tableColumn id="1" name="UC Name"/>
    <tableColumn id="2" name="Documentation"/>
    <tableColumn id="7" name="UI Design" dataDxfId="6"/>
    <tableColumn id="8" name="Database" dataDxfId="5"/>
    <tableColumn id="9" name="Warmup Phase" dataDxfId="4"/>
    <tableColumn id="3" name="Coding"/>
    <tableColumn id="4" name="Testing"/>
    <tableColumn id="10" name="Total w/o warmup" dataDxfId="3">
      <calculatedColumnFormula>SUM(Tabelle1[[#This Row],[Documentation]:[Database]])+SUM(Tabelle1[[#This Row],[Coding]:[Testing]])</calculatedColumnFormula>
    </tableColumn>
    <tableColumn id="5" name="Total" dataDxfId="2">
      <calculatedColumnFormula>SUM(Tabelle1[[#This Row],[Documentation]:[Testing]])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0:K85" totalsRowShown="0">
  <autoFilter ref="B80:K85"/>
  <tableColumns count="10">
    <tableColumn id="1" name="Change personal information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88:K93" totalsRowShown="0">
  <autoFilter ref="B88:K93"/>
  <tableColumns count="10">
    <tableColumn id="1" name="See Map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96:K101" totalsRowShown="0">
  <autoFilter ref="B96:K101"/>
  <tableColumns count="10">
    <tableColumn id="1" name="Set Tag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04:K109" totalsRowShown="0">
  <autoFilter ref="B104:K109"/>
  <tableColumns count="10">
    <tableColumn id="1" name="Administrate Bar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2:K117" totalsRowShown="0">
  <autoFilter ref="B112:K117"/>
  <tableColumns count="10">
    <tableColumn id="1" name="Nam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6:K21" totalsRowShown="0">
  <autoFilter ref="B16:K21"/>
  <tableColumns count="10">
    <tableColumn id="1" name="Search bar"/>
    <tableColumn id="2" name="Count"/>
    <tableColumn id="3" name="Simple"/>
    <tableColumn id="4" name="Average" dataDxfId="1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0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4:K29" totalsRowShown="0">
  <autoFilter ref="B24:K29"/>
  <tableColumns count="10">
    <tableColumn id="1" name="Login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2:K37" totalsRowShown="0">
  <autoFilter ref="B32:K37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0:K45" totalsRowShown="0">
  <autoFilter ref="B40:K45"/>
  <tableColumns count="10">
    <tableColumn id="1" name="Survey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48:K53" totalsRowShown="0">
  <autoFilter ref="B48:K53"/>
  <tableColumns count="10">
    <tableColumn id="1" name="See pinboard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56:K61" totalsRowShown="0">
  <autoFilter ref="B56:K61"/>
  <tableColumns count="10">
    <tableColumn id="1" name="Get bar information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64:K69" totalsRowShown="0">
  <autoFilter ref="B64:K69"/>
  <tableColumns count="10">
    <tableColumn id="1" name="Rate ba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2:K77" totalsRowShown="0">
  <autoFilter ref="B72:K77"/>
  <tableColumns count="10">
    <tableColumn id="1" name="Comment at pinboard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L117"/>
  <sheetViews>
    <sheetView tabSelected="1" workbookViewId="0">
      <selection activeCell="M21" sqref="M21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16.85546875" customWidth="1"/>
    <col min="10" max="10" width="16.85546875" customWidth="1"/>
  </cols>
  <sheetData>
    <row r="2" spans="2:12" x14ac:dyDescent="0.25">
      <c r="B2" t="s">
        <v>0</v>
      </c>
      <c r="C2" t="s">
        <v>1</v>
      </c>
      <c r="D2" t="s">
        <v>15</v>
      </c>
      <c r="E2" t="s">
        <v>16</v>
      </c>
      <c r="F2" t="s">
        <v>36</v>
      </c>
      <c r="G2" t="s">
        <v>2</v>
      </c>
      <c r="H2" t="s">
        <v>3</v>
      </c>
      <c r="I2" t="s">
        <v>42</v>
      </c>
      <c r="J2" t="s">
        <v>4</v>
      </c>
      <c r="K2" t="s">
        <v>5</v>
      </c>
      <c r="L2" t="s">
        <v>61</v>
      </c>
    </row>
    <row r="3" spans="2:12" x14ac:dyDescent="0.25">
      <c r="B3" t="s">
        <v>13</v>
      </c>
      <c r="C3" s="1">
        <v>4.1666666666666664E-2</v>
      </c>
      <c r="D3" s="1">
        <v>0</v>
      </c>
      <c r="E3" s="1">
        <v>2.0833333333333301E-2</v>
      </c>
      <c r="F3" s="1">
        <v>0</v>
      </c>
      <c r="G3" s="1">
        <v>1.3888888888888888E-2</v>
      </c>
      <c r="H3" s="1">
        <v>6.9444444444444441E-3</v>
      </c>
      <c r="I3" s="1">
        <f>SUM(Tabelle1[[#This Row],[Documentation]:[Database]])+SUM(Tabelle1[[#This Row],[Coding]:[Testing]])</f>
        <v>8.3333333333333301E-2</v>
      </c>
      <c r="J3" s="2">
        <f>SUM(Tabelle1[[#This Row],[Documentation]:[Testing]])</f>
        <v>8.3333333333333301E-2</v>
      </c>
      <c r="K3">
        <f>CommentFP</f>
        <v>11.05</v>
      </c>
    </row>
    <row r="4" spans="2:12" x14ac:dyDescent="0.25">
      <c r="B4" t="s">
        <v>10</v>
      </c>
      <c r="C4" s="1">
        <v>4.1666666666666664E-2</v>
      </c>
      <c r="D4" s="1">
        <v>6.9444444444444441E-3</v>
      </c>
      <c r="E4" s="1">
        <v>2.0833333333333332E-2</v>
      </c>
      <c r="F4" s="1">
        <v>0</v>
      </c>
      <c r="G4" s="1">
        <v>4.1666666666666664E-2</v>
      </c>
      <c r="H4" s="1">
        <v>2.0833333333333332E-2</v>
      </c>
      <c r="I4" s="1">
        <f>SUM(Tabelle1[[#This Row],[Documentation]:[Database]])+SUM(Tabelle1[[#This Row],[Coding]:[Testing]])</f>
        <v>0.13194444444444442</v>
      </c>
      <c r="J4" s="2">
        <f>SUM(Tabelle1[[#This Row],[Documentation]:[Testing]])</f>
        <v>0.13194444444444445</v>
      </c>
      <c r="K4">
        <f>SeePinboardsFP</f>
        <v>13.65</v>
      </c>
    </row>
    <row r="5" spans="2:12" x14ac:dyDescent="0.25">
      <c r="B5" t="s">
        <v>7</v>
      </c>
      <c r="C5" s="1">
        <v>4.1666666666666664E-2</v>
      </c>
      <c r="D5" s="1">
        <v>2.0833333333333332E-2</v>
      </c>
      <c r="E5" s="1">
        <v>2.0833333333333332E-2</v>
      </c>
      <c r="F5" s="1">
        <v>0.125</v>
      </c>
      <c r="G5" s="1">
        <v>6.25E-2</v>
      </c>
      <c r="H5" s="1">
        <v>4.1666666666666664E-2</v>
      </c>
      <c r="I5" s="1">
        <f>SUM(Tabelle1[[#This Row],[Documentation]:[Database]])+SUM(Tabelle1[[#This Row],[Coding]:[Testing]])</f>
        <v>0.1875</v>
      </c>
      <c r="J5" s="2">
        <f>SUM(Tabelle1[[#This Row],[Documentation]:[Testing]])</f>
        <v>0.3125</v>
      </c>
      <c r="K5">
        <f>LoginFP</f>
        <v>15.600000000000001</v>
      </c>
    </row>
    <row r="6" spans="2:12" x14ac:dyDescent="0.25">
      <c r="B6" t="s">
        <v>12</v>
      </c>
      <c r="C6" s="1">
        <v>4.1666666666666664E-2</v>
      </c>
      <c r="D6" s="1">
        <v>6.25E-2</v>
      </c>
      <c r="E6" s="1">
        <v>2.0833333333333301E-2</v>
      </c>
      <c r="F6" s="1">
        <v>0.10416666666666667</v>
      </c>
      <c r="G6" s="1">
        <v>8.3333333333333329E-2</v>
      </c>
      <c r="H6" s="1">
        <v>1.3888888888888888E-2</v>
      </c>
      <c r="I6" s="1">
        <f>SUM(Tabelle1[[#This Row],[Documentation]:[Database]])+SUM(Tabelle1[[#This Row],[Coding]:[Testing]])</f>
        <v>0.22222222222222215</v>
      </c>
      <c r="J6" s="2">
        <f>SUM(Tabelle1[[#This Row],[Documentation]:[Testing]])</f>
        <v>0.32638888888888884</v>
      </c>
      <c r="K6">
        <f>RateBarFP</f>
        <v>17.5</v>
      </c>
      <c r="L6" t="s">
        <v>63</v>
      </c>
    </row>
    <row r="7" spans="2:12" x14ac:dyDescent="0.25">
      <c r="B7" t="s">
        <v>6</v>
      </c>
      <c r="C7" s="1">
        <v>4.1666666666666664E-2</v>
      </c>
      <c r="D7" s="1">
        <v>2.0833333333333332E-2</v>
      </c>
      <c r="E7" s="1">
        <v>6.9444444444444441E-3</v>
      </c>
      <c r="F7" s="1">
        <v>0</v>
      </c>
      <c r="G7" s="1">
        <v>6.25E-2</v>
      </c>
      <c r="H7" s="1">
        <v>2.0833333333333332E-2</v>
      </c>
      <c r="I7" s="1">
        <f>SUM(Tabelle1[[#This Row],[Documentation]:[Database]])+SUM(Tabelle1[[#This Row],[Coding]:[Testing]])</f>
        <v>0.15277777777777779</v>
      </c>
      <c r="J7" s="2">
        <f>SUM(Tabelle1[[#This Row],[Documentation]:[Testing]])</f>
        <v>0.15277777777777779</v>
      </c>
      <c r="K7">
        <f>SearchBarFP</f>
        <v>13.65</v>
      </c>
    </row>
    <row r="8" spans="2:12" x14ac:dyDescent="0.25">
      <c r="B8" t="s">
        <v>11</v>
      </c>
      <c r="C8" s="1">
        <v>4.1666666666666664E-2</v>
      </c>
      <c r="D8" s="1">
        <v>6.25E-2</v>
      </c>
      <c r="E8" s="1">
        <v>2.0833333333333301E-2</v>
      </c>
      <c r="F8" s="1">
        <v>0</v>
      </c>
      <c r="G8" s="1">
        <v>2.0833333333333332E-2</v>
      </c>
      <c r="H8" s="1">
        <v>2.7777777777777776E-2</v>
      </c>
      <c r="I8" s="1">
        <f>SUM(Tabelle1[[#This Row],[Documentation]:[Database]])+SUM(Tabelle1[[#This Row],[Coding]:[Testing]])</f>
        <v>0.17361111111111105</v>
      </c>
      <c r="J8" s="2">
        <f>SUM(Tabelle1[[#This Row],[Documentation]:[Testing]])</f>
        <v>0.17361111111111105</v>
      </c>
      <c r="K8">
        <f>GetBarInfoFP</f>
        <v>18.2</v>
      </c>
    </row>
    <row r="9" spans="2:12" x14ac:dyDescent="0.25">
      <c r="B9" t="s">
        <v>9</v>
      </c>
      <c r="C9" s="1">
        <v>3.4722222222222224E-2</v>
      </c>
      <c r="D9" s="1">
        <v>4.1666666666666664E-2</v>
      </c>
      <c r="E9" s="1">
        <v>2.0833333333333301E-2</v>
      </c>
      <c r="F9" s="1">
        <v>0</v>
      </c>
      <c r="G9" s="1">
        <v>8.3333333333333329E-2</v>
      </c>
      <c r="H9" s="1">
        <v>2.0833333333333332E-2</v>
      </c>
      <c r="I9" s="1">
        <f>SUM(Tabelle1[[#This Row],[Documentation]:[Database]])+SUM(Tabelle1[[#This Row],[Coding]:[Testing]])</f>
        <v>0.20138888888888884</v>
      </c>
      <c r="J9" s="2">
        <f>SUM(Tabelle1[[#This Row],[Documentation]:[Testing]])</f>
        <v>0.20138888888888887</v>
      </c>
      <c r="K9">
        <f>SurveysFP</f>
        <v>18.900000000000002</v>
      </c>
    </row>
    <row r="10" spans="2:12" x14ac:dyDescent="0.25">
      <c r="B10" t="s">
        <v>43</v>
      </c>
      <c r="C10" s="1">
        <v>4.1666666666666664E-2</v>
      </c>
      <c r="D10" s="1">
        <v>4.1666666666666664E-2</v>
      </c>
      <c r="E10" s="1">
        <v>2.0833333333333332E-2</v>
      </c>
      <c r="F10" s="1">
        <v>8.3333333333333329E-2</v>
      </c>
      <c r="G10" s="1">
        <v>0.10416666666666667</v>
      </c>
      <c r="H10" s="1">
        <v>2.0833333333333332E-2</v>
      </c>
      <c r="I10" s="1">
        <f>SUM(Tabelle1[[#This Row],[Documentation]:[Database]])+SUM(Tabelle1[[#This Row],[Coding]:[Testing]])</f>
        <v>0.22916666666666666</v>
      </c>
      <c r="J10" s="2">
        <f>SUM(Tabelle1[[#This Row],[Documentation]:[Testing]])</f>
        <v>0.3125</v>
      </c>
      <c r="K10">
        <f>SeeMapsFP</f>
        <v>20.150000000000002</v>
      </c>
    </row>
    <row r="11" spans="2:12" x14ac:dyDescent="0.25">
      <c r="B11" t="s">
        <v>14</v>
      </c>
      <c r="C11" s="1">
        <v>4.1666666666666664E-2</v>
      </c>
      <c r="D11" s="1">
        <v>2.0833333333333332E-2</v>
      </c>
      <c r="E11" s="1">
        <v>2.0833333333333301E-2</v>
      </c>
      <c r="F11" s="1">
        <v>0</v>
      </c>
      <c r="G11" s="1">
        <v>4.1666666666666664E-2</v>
      </c>
      <c r="H11" s="1">
        <v>2.7777777777777776E-2</v>
      </c>
      <c r="I11" s="1">
        <f>SUM(Tabelle1[[#This Row],[Documentation]:[Database]])+SUM(Tabelle1[[#This Row],[Coding]:[Testing]])</f>
        <v>0.15277777777777773</v>
      </c>
      <c r="J11" s="2">
        <f>SUM(Tabelle1[[#This Row],[Documentation]:[Testing]])</f>
        <v>0.15277777777777773</v>
      </c>
      <c r="K11">
        <f>ChangeInfoFP</f>
        <v>28.6</v>
      </c>
      <c r="L11" t="s">
        <v>62</v>
      </c>
    </row>
    <row r="12" spans="2:12" x14ac:dyDescent="0.25">
      <c r="B12" t="s">
        <v>8</v>
      </c>
      <c r="C12" s="1">
        <v>4.1666666666666664E-2</v>
      </c>
      <c r="D12" s="1">
        <v>6.25E-2</v>
      </c>
      <c r="E12" s="1">
        <v>2.0833333333333332E-2</v>
      </c>
      <c r="F12" s="1">
        <v>8.3333333333333329E-2</v>
      </c>
      <c r="G12" s="1">
        <v>8.3333333333333329E-2</v>
      </c>
      <c r="H12" s="1">
        <v>6.25E-2</v>
      </c>
      <c r="I12" s="1">
        <f>SUM(Tabelle1[[#This Row],[Documentation]:[Database]])+SUM(Tabelle1[[#This Row],[Coding]:[Testing]])</f>
        <v>0.27083333333333331</v>
      </c>
      <c r="J12" s="2">
        <f>SUM(Tabelle1[[#This Row],[Documentation]:[Testing]])</f>
        <v>0.35416666666666663</v>
      </c>
      <c r="K12">
        <f>RegisterFp</f>
        <v>28.6</v>
      </c>
    </row>
    <row r="13" spans="2:12" x14ac:dyDescent="0.25">
      <c r="C13" s="1"/>
      <c r="D13" s="1"/>
      <c r="E13" s="1"/>
      <c r="F13" s="1"/>
      <c r="G13" s="1"/>
      <c r="H13" s="1"/>
      <c r="I13" s="1"/>
      <c r="J13" s="2"/>
    </row>
    <row r="14" spans="2:12" x14ac:dyDescent="0.25">
      <c r="C14" s="1"/>
      <c r="D14" s="1"/>
      <c r="E14" s="1"/>
      <c r="F14" s="1"/>
      <c r="G14" s="1"/>
      <c r="H14" s="1"/>
      <c r="I14" s="1"/>
      <c r="J14" s="2"/>
    </row>
    <row r="16" spans="2:12" x14ac:dyDescent="0.25">
      <c r="B16" t="s">
        <v>17</v>
      </c>
      <c r="C16" t="s">
        <v>21</v>
      </c>
      <c r="D16" t="s">
        <v>18</v>
      </c>
      <c r="E16" t="s">
        <v>19</v>
      </c>
      <c r="F16" t="s">
        <v>20</v>
      </c>
      <c r="G16" t="s">
        <v>49</v>
      </c>
      <c r="H16" t="s">
        <v>29</v>
      </c>
      <c r="I16" t="s">
        <v>50</v>
      </c>
      <c r="J16" t="s">
        <v>22</v>
      </c>
      <c r="K16" t="s">
        <v>31</v>
      </c>
    </row>
    <row r="17" spans="2:11" x14ac:dyDescent="0.25">
      <c r="B17" t="s">
        <v>24</v>
      </c>
      <c r="C17">
        <v>0</v>
      </c>
      <c r="D17">
        <f>IF(OR(AND(Tabelle2[[#This Row],[FTR/RET]]&lt;=1, Tabelle2[[#This Row],[DET]] &lt;= 15), AND(Tabelle2[[#This Row],[FTR/RET]]&lt;= 3, Tabelle2[[#This Row],[DET]] &lt;= 4)), 1, 0)</f>
        <v>1</v>
      </c>
      <c r="E17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17">
        <f>IF(AND(Tabelle2[[#This Row],[Simple]]=0,Tabelle2[[#This Row],[Average]]=0), 1, 0)</f>
        <v>0</v>
      </c>
      <c r="G17">
        <v>0</v>
      </c>
      <c r="H17">
        <v>0</v>
      </c>
      <c r="I17">
        <f>Tabelle2[[#This Row],[Count]]*(3*Tabelle2[[#This Row],[Simple]]+4*Tabelle2[[#This Row],[Average]]+6*Tabelle2[[#This Row],[Complex]])</f>
        <v>0</v>
      </c>
      <c r="J17" t="s">
        <v>23</v>
      </c>
      <c r="K17">
        <f>SUM(Tabelle2[Points])*0.65</f>
        <v>13.65</v>
      </c>
    </row>
    <row r="18" spans="2:11" x14ac:dyDescent="0.25">
      <c r="B18" t="s">
        <v>25</v>
      </c>
      <c r="C18">
        <v>1</v>
      </c>
      <c r="D18">
        <f>IF(OR(AND(Tabelle2[[#This Row],[FTR/RET]]&lt;=1, Tabelle2[[#This Row],[DET]] &lt;= 19), AND(Tabelle2[[#This Row],[FTR/RET]]&lt;= 3, Tabelle2[[#This Row],[DET]] &lt;= 5)), 1, 0)</f>
        <v>1</v>
      </c>
      <c r="E18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8">
        <f>IF(AND(Tabelle2[[#This Row],[Simple]]=0,Tabelle2[[#This Row],[Average]]=0), 1, 0)</f>
        <v>0</v>
      </c>
      <c r="G18">
        <v>0</v>
      </c>
      <c r="H18">
        <v>1</v>
      </c>
      <c r="I18">
        <f>Tabelle2[[#This Row],[Count]]*(Tabelle2[[#This Row],[Simple]]*4+Tabelle2[[#This Row],[Average]]*5+Tabelle2[[#This Row],[Complex]]*7)</f>
        <v>4</v>
      </c>
    </row>
    <row r="19" spans="2:11" x14ac:dyDescent="0.25">
      <c r="B19" t="s">
        <v>26</v>
      </c>
      <c r="C19">
        <v>1</v>
      </c>
      <c r="D19">
        <f>IF(OR(AND(Tabelle2[[#This Row],[FTR/RET]]&lt;=1, Tabelle2[[#This Row],[DET]] &lt;= 19), AND(Tabelle2[[#This Row],[FTR/RET]]&lt;= 3, Tabelle2[[#This Row],[DET]] &lt;= 5)), 1, 0)</f>
        <v>1</v>
      </c>
      <c r="E19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19">
        <f>IF(AND(Tabelle2[[#This Row],[Simple]]=0,Tabelle2[[#This Row],[Average]]=0), 1, 0)</f>
        <v>0</v>
      </c>
      <c r="G19">
        <v>0</v>
      </c>
      <c r="H19">
        <v>1</v>
      </c>
      <c r="I19">
        <f>Tabelle2[[#This Row],[Count]]*(3*Tabelle2[[#This Row],[Simple]]+4*Tabelle2[[#This Row],[Average]]+6*Tabelle2[[#This Row],[Complex]])</f>
        <v>3</v>
      </c>
    </row>
    <row r="20" spans="2:11" x14ac:dyDescent="0.25">
      <c r="B20" t="s">
        <v>27</v>
      </c>
      <c r="C20">
        <v>2</v>
      </c>
      <c r="D20">
        <f>IF(OR(AND(Tabelle2[[#This Row],[FTR/RET]]&lt;2, Tabelle2[[#This Row],[DET]] &lt;= 50), AND(Tabelle2[[#This Row],[FTR/RET]]&lt;=5, Tabelle2[[#This Row],[DET]] &lt; 20)), 1, 0)</f>
        <v>1</v>
      </c>
      <c r="E20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0">
        <f>IF(AND(Tabelle2[[#This Row],[Simple]]=0,Tabelle2[[#This Row],[Average]]=0), 1, 0)</f>
        <v>0</v>
      </c>
      <c r="G20">
        <v>0</v>
      </c>
      <c r="H20">
        <v>1</v>
      </c>
      <c r="I20">
        <f>Tabelle2[[#This Row],[Count]]*(7*Tabelle2[[#This Row],[Simple]]+10*Tabelle2[[#This Row],[Average]]+15*Tabelle2[[#This Row],[Complex]])</f>
        <v>14</v>
      </c>
      <c r="J20" t="s">
        <v>59</v>
      </c>
    </row>
    <row r="21" spans="2:11" x14ac:dyDescent="0.25">
      <c r="B21" t="s">
        <v>28</v>
      </c>
      <c r="C21">
        <v>0</v>
      </c>
      <c r="D21">
        <f>IF(OR(AND(Tabelle2[[#This Row],[FTR/RET]]&lt;2, Tabelle2[[#This Row],[DET]] &lt;= 50), AND(Tabelle2[[#This Row],[FTR/RET]]&lt;=5, Tabelle2[[#This Row],[DET]] &lt; 20)), 1, 0)</f>
        <v>1</v>
      </c>
      <c r="E21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1">
        <f>IF(AND(Tabelle2[[#This Row],[Simple]]=0,Tabelle2[[#This Row],[Average]]=0), 1, 0)</f>
        <v>0</v>
      </c>
      <c r="G21">
        <v>0</v>
      </c>
      <c r="H21">
        <v>0</v>
      </c>
      <c r="I21">
        <f>Tabelle2[[#This Row],[Count]]*(5*Tabelle2[[#This Row],[Simple]]+7*Tabelle2[[#This Row],[Average]]+10*Tabelle2[[#This Row],[Complex]])</f>
        <v>0</v>
      </c>
      <c r="J21" t="s">
        <v>30</v>
      </c>
    </row>
    <row r="24" spans="2:11" x14ac:dyDescent="0.25">
      <c r="B24" t="s">
        <v>7</v>
      </c>
      <c r="C24" t="s">
        <v>21</v>
      </c>
      <c r="D24" t="s">
        <v>18</v>
      </c>
      <c r="E24" t="s">
        <v>19</v>
      </c>
      <c r="F24" t="s">
        <v>20</v>
      </c>
      <c r="G24" t="s">
        <v>49</v>
      </c>
      <c r="H24" t="s">
        <v>29</v>
      </c>
      <c r="I24" t="s">
        <v>50</v>
      </c>
      <c r="J24" t="s">
        <v>22</v>
      </c>
      <c r="K24" t="s">
        <v>31</v>
      </c>
    </row>
    <row r="25" spans="2:11" x14ac:dyDescent="0.25">
      <c r="B25" t="s">
        <v>24</v>
      </c>
      <c r="C25">
        <v>0</v>
      </c>
      <c r="D25">
        <f>IF(OR(AND(Tabelle3[[#This Row],[FTR/RET]]&lt;=1,Tabelle3[[#This Row],[DET]] &lt;= 15), AND(Tabelle3[[#This Row],[FTR/RET]]&lt;= 3,Tabelle3[[#This Row],[DET]] &lt;= 4)), 1, 0)</f>
        <v>1</v>
      </c>
      <c r="E25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0</v>
      </c>
      <c r="F25">
        <f>IF(AND(Tabelle3[[#This Row],[Simple]]=0,Tabelle3[[#This Row],[Average]]=0), 1, 0)</f>
        <v>0</v>
      </c>
      <c r="G25">
        <v>0</v>
      </c>
      <c r="H25">
        <v>0</v>
      </c>
      <c r="I25">
        <f>Tabelle3[[#This Row],[Count]]*(3*Tabelle3[[#This Row],[Simple]]+4*Tabelle3[[#This Row],[Average]]+6*Tabelle3[[#This Row],[Complex]])</f>
        <v>0</v>
      </c>
      <c r="J25" t="s">
        <v>33</v>
      </c>
      <c r="K25">
        <f>SUM(Tabelle3[Points])*0.65</f>
        <v>15.600000000000001</v>
      </c>
    </row>
    <row r="26" spans="2:11" x14ac:dyDescent="0.25">
      <c r="B26" t="s">
        <v>25</v>
      </c>
      <c r="C26">
        <v>0</v>
      </c>
      <c r="D26">
        <f>IF(OR(AND(Tabelle3[[#This Row],[FTR/RET]]&lt;=1, Tabelle3[[#This Row],[DET]] &lt;= 19), AND(Tabelle3[[#This Row],[FTR/RET]]&lt;= 3, Tabelle3[[#This Row],[DET]] &lt;= 5)), 1, 0)</f>
        <v>1</v>
      </c>
      <c r="E26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6">
        <f>IF(AND(Tabelle3[[#This Row],[Simple]]=0,Tabelle3[[#This Row],[Average]]=0), 1, 0)</f>
        <v>0</v>
      </c>
      <c r="G26">
        <v>0</v>
      </c>
      <c r="H26">
        <v>0</v>
      </c>
      <c r="I26">
        <f>Tabelle3[[#This Row],[Count]]*(Tabelle3[[#This Row],[Simple]]*4+Tabelle3[[#This Row],[Average]]*5+Tabelle3[[#This Row],[Complex]]*7)</f>
        <v>0</v>
      </c>
    </row>
    <row r="27" spans="2:11" x14ac:dyDescent="0.25">
      <c r="B27" t="s">
        <v>26</v>
      </c>
      <c r="C27">
        <v>1</v>
      </c>
      <c r="D27">
        <f>IF(OR(AND(Tabelle3[[#This Row],[FTR/RET]]&lt;=1, Tabelle3[[#This Row],[DET]] &lt;= 19), AND(Tabelle3[[#This Row],[FTR/RET]]&lt;= 3, Tabelle3[[#This Row],[DET]] &lt;= 5)), 1, 0)</f>
        <v>1</v>
      </c>
      <c r="E27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27">
        <f>IF(AND(Tabelle3[[#This Row],[Simple]]=0,Tabelle3[[#This Row],[Average]]=0), 1, 0)</f>
        <v>0</v>
      </c>
      <c r="G27">
        <v>0</v>
      </c>
      <c r="H27">
        <v>2</v>
      </c>
      <c r="I27">
        <f>Tabelle3[[#This Row],[Count]]*(3*Tabelle3[[#This Row],[Simple]]+4*Tabelle3[[#This Row],[Average]]+6*Tabelle3[[#This Row],[Complex]])</f>
        <v>3</v>
      </c>
      <c r="J27" t="s">
        <v>34</v>
      </c>
    </row>
    <row r="28" spans="2:11" x14ac:dyDescent="0.25">
      <c r="B28" t="s">
        <v>27</v>
      </c>
      <c r="C28">
        <v>3</v>
      </c>
      <c r="D28">
        <f>IF(OR(AND(Tabelle3[[#This Row],[FTR/RET]]&lt;2, Tabelle3[[#This Row],[DET]] &lt;= 50), AND(Tabelle3[[#This Row],[FTR/RET]]&lt;=5, Tabelle3[[#This Row],[DET]] &lt; 20)), 1, 0)</f>
        <v>1</v>
      </c>
      <c r="E28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8">
        <f>IF(AND(Tabelle3[[#This Row],[Simple]]=0,Tabelle3[[#This Row],[Average]]=0), 1, 0)</f>
        <v>0</v>
      </c>
      <c r="G28">
        <v>0</v>
      </c>
      <c r="H28">
        <v>0</v>
      </c>
      <c r="I28">
        <f>Tabelle3[[#This Row],[Count]]*(7*Tabelle3[[#This Row],[Simple]]+10*Tabelle3[[#This Row],[Average]]+15*Tabelle3[[#This Row],[Complex]])</f>
        <v>21</v>
      </c>
      <c r="J28" t="s">
        <v>57</v>
      </c>
    </row>
    <row r="29" spans="2:11" x14ac:dyDescent="0.25">
      <c r="B29" t="s">
        <v>28</v>
      </c>
      <c r="C29">
        <v>0</v>
      </c>
      <c r="D29">
        <f>IF(OR(AND(Tabelle3[[#This Row],[FTR/RET]]&lt;2, Tabelle3[[#This Row],[DET]] &lt;= 50), AND(Tabelle3[[#This Row],[FTR/RET]]&lt;=5, Tabelle3[[#This Row],[DET]] &lt; 20)), 1, 0)</f>
        <v>1</v>
      </c>
      <c r="E29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29">
        <f>IF(AND(Tabelle3[[#This Row],[Simple]]=0,Tabelle3[[#This Row],[Average]]=0), 1, 0)</f>
        <v>0</v>
      </c>
      <c r="G29">
        <v>0</v>
      </c>
      <c r="H29">
        <v>0</v>
      </c>
      <c r="I29">
        <f>Tabelle3[[#This Row],[Count]]*(5*Tabelle3[[#This Row],[Simple]]+7*Tabelle3[[#This Row],[Average]]+10*Tabelle3[[#This Row],[Complex]])</f>
        <v>0</v>
      </c>
      <c r="J29" t="s">
        <v>35</v>
      </c>
    </row>
    <row r="32" spans="2:11" x14ac:dyDescent="0.25">
      <c r="B32" t="s">
        <v>8</v>
      </c>
      <c r="C32" t="s">
        <v>21</v>
      </c>
      <c r="D32" t="s">
        <v>18</v>
      </c>
      <c r="E32" t="s">
        <v>19</v>
      </c>
      <c r="F32" t="s">
        <v>20</v>
      </c>
      <c r="G32" t="s">
        <v>49</v>
      </c>
      <c r="H32" t="s">
        <v>29</v>
      </c>
      <c r="I32" t="s">
        <v>50</v>
      </c>
      <c r="J32" t="s">
        <v>22</v>
      </c>
      <c r="K32" t="s">
        <v>31</v>
      </c>
    </row>
    <row r="33" spans="2:11" x14ac:dyDescent="0.25">
      <c r="B33" t="s">
        <v>24</v>
      </c>
      <c r="C33">
        <v>10</v>
      </c>
      <c r="D33">
        <f>IF(OR(AND(Tabelle4[[#This Row],[FTR/RET]]&lt;=1, Tabelle4[[#This Row],[DET]] &lt;= 15), AND(Tabelle4[[#This Row],[FTR/RET]]&lt;= 3, Tabelle4[[#This Row],[DET]] &lt;= 4)), 1, 0)</f>
        <v>1</v>
      </c>
      <c r="E33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3">
        <f>IF(AND(Tabelle4[[#This Row],[Simple]]=0,Tabelle4[[#This Row],[Average]]=0), 1, 0)</f>
        <v>0</v>
      </c>
      <c r="G33">
        <v>1</v>
      </c>
      <c r="H33">
        <v>10</v>
      </c>
      <c r="I33">
        <f>Tabelle4[[#This Row],[Count]]*(3*Tabelle4[[#This Row],[Simple]]+4*Tabelle4[[#This Row],[Average]]+6*Tabelle4[[#This Row],[Complex]])</f>
        <v>30</v>
      </c>
      <c r="J33" t="s">
        <v>37</v>
      </c>
      <c r="K33">
        <f>SUM(Tabelle4[Points])*0.65</f>
        <v>28.6</v>
      </c>
    </row>
    <row r="34" spans="2:11" x14ac:dyDescent="0.25">
      <c r="B34" t="s">
        <v>25</v>
      </c>
      <c r="C34">
        <v>0</v>
      </c>
      <c r="D34">
        <f>IF(OR(AND(Tabelle4[[#This Row],[FTR/RET]]&lt;=1, Tabelle4[[#This Row],[DET]] &lt;= 19), AND(Tabelle4[[#This Row],[FTR/RET]]&lt;= 3, Tabelle4[[#This Row],[DET]] &lt;= 5)), 1, 0)</f>
        <v>1</v>
      </c>
      <c r="E34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4">
        <f>IF(AND(Tabelle4[[#This Row],[Simple]]=0,Tabelle4[[#This Row],[Average]]=0), 1, 0)</f>
        <v>0</v>
      </c>
      <c r="G34">
        <v>0</v>
      </c>
      <c r="H34">
        <v>0</v>
      </c>
      <c r="I34">
        <f>Tabelle4[[#This Row],[Count]]*(Tabelle4[[#This Row],[Simple]]*4+Tabelle4[[#This Row],[Average]]*5+Tabelle4[[#This Row],[Complex]]*7)</f>
        <v>0</v>
      </c>
    </row>
    <row r="35" spans="2:11" x14ac:dyDescent="0.25">
      <c r="B35" t="s">
        <v>26</v>
      </c>
      <c r="C35">
        <v>0</v>
      </c>
      <c r="D35">
        <f>IF(OR(AND(Tabelle4[[#This Row],[FTR/RET]]&lt;=1, Tabelle4[[#This Row],[DET]] &lt;= 19), AND(Tabelle4[[#This Row],[FTR/RET]]&lt;= 3, Tabelle4[[#This Row],[DET]] &lt;= 5)), 1, 0)</f>
        <v>1</v>
      </c>
      <c r="E35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35">
        <f>IF(AND(Tabelle4[[#This Row],[Simple]]=0,Tabelle4[[#This Row],[Average]]=0), 1, 0)</f>
        <v>0</v>
      </c>
      <c r="G35">
        <v>0</v>
      </c>
      <c r="H35">
        <v>0</v>
      </c>
      <c r="I35">
        <f>Tabelle4[[#This Row],[Count]]*(3*Tabelle4[[#This Row],[Simple]]+4*Tabelle4[[#This Row],[Average]]+6*Tabelle4[[#This Row],[Complex]])</f>
        <v>0</v>
      </c>
    </row>
    <row r="36" spans="2:11" x14ac:dyDescent="0.25">
      <c r="B36" t="s">
        <v>27</v>
      </c>
      <c r="C36">
        <v>2</v>
      </c>
      <c r="D36">
        <f>IF(OR(AND(Tabelle4[[#This Row],[FTR/RET]]&lt;2, Tabelle4[[#This Row],[DET]] &lt;= 50), AND(Tabelle4[[#This Row],[FTR/RET]]&lt;=5, Tabelle4[[#This Row],[DET]] &lt; 20)), 1, 0)</f>
        <v>1</v>
      </c>
      <c r="E36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6">
        <f>IF(AND(Tabelle4[[#This Row],[Simple]]=0,Tabelle4[[#This Row],[Average]]=0), 1, 0)</f>
        <v>0</v>
      </c>
      <c r="G36">
        <v>1</v>
      </c>
      <c r="H36">
        <v>10</v>
      </c>
      <c r="I36">
        <f>Tabelle4[[#This Row],[Count]]*(7*Tabelle4[[#This Row],[Simple]]+10*Tabelle4[[#This Row],[Average]]+15*Tabelle4[[#This Row],[Complex]])</f>
        <v>14</v>
      </c>
      <c r="J36" t="s">
        <v>55</v>
      </c>
    </row>
    <row r="37" spans="2:11" x14ac:dyDescent="0.25">
      <c r="B37" t="s">
        <v>28</v>
      </c>
      <c r="C37">
        <v>0</v>
      </c>
      <c r="D37">
        <f>IF(OR(AND(Tabelle4[[#This Row],[FTR/RET]]&lt;2, Tabelle4[[#This Row],[DET]] &lt;= 50), AND(Tabelle4[[#This Row],[FTR/RET]]&lt;=5, Tabelle4[[#This Row],[DET]] &lt; 20)), 1, 0)</f>
        <v>1</v>
      </c>
      <c r="E37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37">
        <f>IF(AND(Tabelle4[[#This Row],[Simple]]=0,Tabelle4[[#This Row],[Average]]=0), 1, 0)</f>
        <v>0</v>
      </c>
      <c r="G37">
        <v>0</v>
      </c>
      <c r="H37">
        <v>0</v>
      </c>
      <c r="I37">
        <f>Tabelle4[[#This Row],[Count]]*(5*Tabelle4[[#This Row],[Simple]]+7*Tabelle4[[#This Row],[Average]]+10*Tabelle4[[#This Row],[Complex]])</f>
        <v>0</v>
      </c>
    </row>
    <row r="40" spans="2:11" x14ac:dyDescent="0.25">
      <c r="B40" t="s">
        <v>9</v>
      </c>
      <c r="C40" t="s">
        <v>21</v>
      </c>
      <c r="D40" t="s">
        <v>18</v>
      </c>
      <c r="E40" t="s">
        <v>19</v>
      </c>
      <c r="F40" t="s">
        <v>20</v>
      </c>
      <c r="G40" t="s">
        <v>49</v>
      </c>
      <c r="H40" t="s">
        <v>29</v>
      </c>
      <c r="I40" t="s">
        <v>50</v>
      </c>
      <c r="J40" t="s">
        <v>22</v>
      </c>
      <c r="K40" t="s">
        <v>31</v>
      </c>
    </row>
    <row r="41" spans="2:11" x14ac:dyDescent="0.25">
      <c r="B41" t="s">
        <v>24</v>
      </c>
      <c r="C41">
        <v>1</v>
      </c>
      <c r="D41">
        <f>IF(OR(AND(Tabelle5[[#This Row],[FTR/RET]]&lt;=1, Tabelle5[[#This Row],[DET]] &lt;= 15), AND(Tabelle5[[#This Row],[FTR/RET]]&lt;= 3, Tabelle5[[#This Row],[DET]] &lt;= 4)), 1, 0)</f>
        <v>1</v>
      </c>
      <c r="E41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1">
        <f>IF(AND(Tabelle5[[#This Row],[Simple]]=0,Tabelle5[[#This Row],[Average]]=0), 1, 0)</f>
        <v>0</v>
      </c>
      <c r="G41">
        <v>1</v>
      </c>
      <c r="H41">
        <v>1</v>
      </c>
      <c r="I41">
        <f>Tabelle5[[#This Row],[Count]]*(3*Tabelle5[[#This Row],[Simple]]+4*Tabelle5[[#This Row],[Average]]+6*Tabelle5[[#This Row],[Complex]])</f>
        <v>3</v>
      </c>
      <c r="J41" t="s">
        <v>38</v>
      </c>
      <c r="K41">
        <f>SUM(Tabelle5[Points])*(0.65+(5)/100)</f>
        <v>18.900000000000002</v>
      </c>
    </row>
    <row r="42" spans="2:11" x14ac:dyDescent="0.25">
      <c r="B42" t="s">
        <v>25</v>
      </c>
      <c r="C42">
        <v>0</v>
      </c>
      <c r="D42">
        <f>IF(OR(AND(Tabelle5[[#This Row],[FTR/RET]]&lt;=1, Tabelle5[[#This Row],[DET]] &lt;= 19), AND(Tabelle5[[#This Row],[FTR/RET]]&lt;= 3, Tabelle5[[#This Row],[DET]] &lt;= 5)), 1, 0)</f>
        <v>1</v>
      </c>
      <c r="E42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2">
        <f>IF(AND(Tabelle5[[#This Row],[Simple]]=0,Tabelle5[[#This Row],[Average]]=0), 1, 0)</f>
        <v>0</v>
      </c>
      <c r="G42">
        <v>0</v>
      </c>
      <c r="H42">
        <v>0</v>
      </c>
      <c r="I42">
        <f>Tabelle5[[#This Row],[Count]]*(Tabelle5[[#This Row],[Simple]]*4+Tabelle5[[#This Row],[Average]]*5+Tabelle5[[#This Row],[Complex]]*7)</f>
        <v>0</v>
      </c>
    </row>
    <row r="43" spans="2:11" x14ac:dyDescent="0.25">
      <c r="B43" t="s">
        <v>26</v>
      </c>
      <c r="C43">
        <v>1</v>
      </c>
      <c r="D43">
        <f>IF(OR(AND(Tabelle5[[#This Row],[FTR/RET]]&lt;=1, Tabelle5[[#This Row],[DET]] &lt;= 19), AND(Tabelle5[[#This Row],[FTR/RET]]&lt;= 3, Tabelle5[[#This Row],[DET]] &lt;= 5)), 1, 0)</f>
        <v>1</v>
      </c>
      <c r="E43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3">
        <f>IF(AND(Tabelle5[[#This Row],[Simple]]=0,Tabelle5[[#This Row],[Average]]=0), 1, 0)</f>
        <v>0</v>
      </c>
      <c r="G43">
        <v>0</v>
      </c>
      <c r="H43">
        <v>0</v>
      </c>
      <c r="I43">
        <f>Tabelle5[[#This Row],[Count]]*(3*Tabelle5[[#This Row],[Simple]]+4*Tabelle5[[#This Row],[Average]]+6*Tabelle5[[#This Row],[Complex]])</f>
        <v>3</v>
      </c>
    </row>
    <row r="44" spans="2:11" x14ac:dyDescent="0.25">
      <c r="B44" t="s">
        <v>27</v>
      </c>
      <c r="C44">
        <v>3</v>
      </c>
      <c r="D44">
        <f>IF(OR(AND(Tabelle5[[#This Row],[FTR/RET]]&lt;2, Tabelle5[[#This Row],[DET]] &lt;= 50), AND(Tabelle5[[#This Row],[FTR/RET]]&lt;=5, Tabelle5[[#This Row],[DET]] &lt; 20)), 1, 0)</f>
        <v>1</v>
      </c>
      <c r="E44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44">
        <f>IF(AND(Tabelle5[[#This Row],[Simple]]=0,Tabelle5[[#This Row],[Average]]=0), 1, 0)</f>
        <v>0</v>
      </c>
      <c r="G44">
        <v>0</v>
      </c>
      <c r="H44">
        <v>0</v>
      </c>
      <c r="I44">
        <f>Tabelle5[[#This Row],[Count]]*(7*Tabelle5[[#This Row],[Simple]]+10*Tabelle5[[#This Row],[Average]]+15*Tabelle5[[#This Row],[Complex]])</f>
        <v>21</v>
      </c>
      <c r="J44" t="s">
        <v>56</v>
      </c>
    </row>
    <row r="45" spans="2:11" x14ac:dyDescent="0.25">
      <c r="B45" t="s">
        <v>28</v>
      </c>
      <c r="C45">
        <v>0</v>
      </c>
      <c r="D45">
        <f>IF(OR(AND(Tabelle5[[#This Row],[FTR/RET]]&lt;2, Tabelle5[[#This Row],[DET]] &lt;= 50), AND(Tabelle5[[#This Row],[FTR/RET]]&lt;=5, Tabelle5[[#This Row],[DET]] &lt; 20)), 1, 0)</f>
        <v>1</v>
      </c>
      <c r="E45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45">
        <f>IF(AND(Tabelle5[[#This Row],[Simple]]=0,Tabelle5[[#This Row],[Average]]=0), 1, 0)</f>
        <v>0</v>
      </c>
      <c r="G45">
        <v>0</v>
      </c>
      <c r="H45">
        <v>0</v>
      </c>
      <c r="I45">
        <f>Tabelle5[[#This Row],[Count]]*(5*Tabelle5[[#This Row],[Simple]]+7*Tabelle5[[#This Row],[Average]]+10*Tabelle5[[#This Row],[Complex]])</f>
        <v>0</v>
      </c>
    </row>
    <row r="48" spans="2:11" x14ac:dyDescent="0.25">
      <c r="B48" t="s">
        <v>39</v>
      </c>
      <c r="C48" t="s">
        <v>21</v>
      </c>
      <c r="D48" t="s">
        <v>18</v>
      </c>
      <c r="E48" t="s">
        <v>19</v>
      </c>
      <c r="F48" t="s">
        <v>20</v>
      </c>
      <c r="G48" t="s">
        <v>49</v>
      </c>
      <c r="H48" t="s">
        <v>29</v>
      </c>
      <c r="I48" t="s">
        <v>50</v>
      </c>
      <c r="J48" t="s">
        <v>22</v>
      </c>
      <c r="K48" t="s">
        <v>31</v>
      </c>
    </row>
    <row r="49" spans="2:11" x14ac:dyDescent="0.25">
      <c r="B49" t="s">
        <v>24</v>
      </c>
      <c r="C49">
        <v>0</v>
      </c>
      <c r="D49">
        <f>IF(OR(AND(Tabelle6[[#This Row],[FTR/RET]]&lt;=1, Tabelle6[[#This Row],[DET]] &lt;= 15), AND(Tabelle6[[#This Row],[FTR/RET]]&lt;= 3, Tabelle6[[#This Row],[DET]] &lt;= 4)), 1, 0)</f>
        <v>1</v>
      </c>
      <c r="E49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49">
        <f>IF(AND(Tabelle6[[#This Row],[Simple]]=0,Tabelle6[[#This Row],[Average]]=0), 1, 0)</f>
        <v>0</v>
      </c>
      <c r="G49">
        <v>0</v>
      </c>
      <c r="H49">
        <v>0</v>
      </c>
      <c r="I49">
        <f>Tabelle6[[#This Row],[Count]]*(3*Tabelle6[[#This Row],[Simple]]+4*Tabelle6[[#This Row],[Average]]+6*Tabelle6[[#This Row],[Complex]])</f>
        <v>0</v>
      </c>
      <c r="K49">
        <f>SUM(Tabelle6[Points])*0.65</f>
        <v>13.65</v>
      </c>
    </row>
    <row r="50" spans="2:11" x14ac:dyDescent="0.25">
      <c r="B50" t="s">
        <v>25</v>
      </c>
      <c r="C50">
        <v>1</v>
      </c>
      <c r="D50">
        <f>IF(OR(AND(Tabelle6[[#This Row],[FTR/RET]]&lt;=1, Tabelle6[[#This Row],[DET]] &lt;= 19), AND(Tabelle6[[#This Row],[FTR/RET]]&lt;= 3, Tabelle6[[#This Row],[DET]] &lt;= 5)), 1, 0)</f>
        <v>1</v>
      </c>
      <c r="E50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0">
        <f>IF(AND(Tabelle6[[#This Row],[Simple]]=0,Tabelle6[[#This Row],[Average]]=0), 1, 0)</f>
        <v>0</v>
      </c>
      <c r="G50">
        <v>0</v>
      </c>
      <c r="H50">
        <v>2</v>
      </c>
      <c r="I50">
        <f>Tabelle6[[#This Row],[Count]]*(Tabelle6[[#This Row],[Simple]]*4+Tabelle6[[#This Row],[Average]]*5+Tabelle6[[#This Row],[Complex]]*7)</f>
        <v>4</v>
      </c>
    </row>
    <row r="51" spans="2:11" x14ac:dyDescent="0.25">
      <c r="B51" t="s">
        <v>26</v>
      </c>
      <c r="C51">
        <v>1</v>
      </c>
      <c r="D51">
        <f>IF(OR(AND(Tabelle6[[#This Row],[FTR/RET]]&lt;=1, Tabelle6[[#This Row],[DET]] &lt;= 19), AND(Tabelle6[[#This Row],[FTR/RET]]&lt;= 3, Tabelle6[[#This Row],[DET]] &lt;= 5)), 1, 0)</f>
        <v>1</v>
      </c>
      <c r="E51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1">
        <f>IF(AND(Tabelle6[[#This Row],[Simple]]=0,Tabelle6[[#This Row],[Average]]=0), 1, 0)</f>
        <v>0</v>
      </c>
      <c r="G51">
        <v>0</v>
      </c>
      <c r="H51">
        <v>1</v>
      </c>
      <c r="I51">
        <f>Tabelle6[[#This Row],[Count]]*(3*Tabelle6[[#This Row],[Simple]]+4*Tabelle6[[#This Row],[Average]]+6*Tabelle6[[#This Row],[Complex]])</f>
        <v>3</v>
      </c>
    </row>
    <row r="52" spans="2:11" x14ac:dyDescent="0.25">
      <c r="B52" t="s">
        <v>27</v>
      </c>
      <c r="C52">
        <v>2</v>
      </c>
      <c r="D52">
        <f>IF(OR(AND(Tabelle6[[#This Row],[FTR/RET]]&lt;2, Tabelle6[[#This Row],[DET]] &lt;= 50), AND(Tabelle6[[#This Row],[FTR/RET]]&lt;=5, Tabelle6[[#This Row],[DET]] &lt; 20)), 1, 0)</f>
        <v>1</v>
      </c>
      <c r="E52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2">
        <f>IF(AND(Tabelle6[[#This Row],[Simple]]=0,Tabelle6[[#This Row],[Average]]=0), 1, 0)</f>
        <v>0</v>
      </c>
      <c r="G52">
        <v>0</v>
      </c>
      <c r="H52">
        <v>2</v>
      </c>
      <c r="I52">
        <f>Tabelle6[[#This Row],[Count]]*(7*Tabelle6[[#This Row],[Simple]]+10*Tabelle6[[#This Row],[Average]]+15*Tabelle6[[#This Row],[Complex]])</f>
        <v>14</v>
      </c>
      <c r="J52" t="s">
        <v>51</v>
      </c>
    </row>
    <row r="53" spans="2:11" x14ac:dyDescent="0.25">
      <c r="B53" t="s">
        <v>28</v>
      </c>
      <c r="C53">
        <v>0</v>
      </c>
      <c r="D53">
        <f>IF(OR(AND(Tabelle6[[#This Row],[FTR/RET]]&lt;2, Tabelle6[[#This Row],[DET]] &lt;= 50), AND(Tabelle6[[#This Row],[FTR/RET]]&lt;=5, Tabelle6[[#This Row],[DET]] &lt; 20)), 1, 0)</f>
        <v>1</v>
      </c>
      <c r="E53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3">
        <f>IF(AND(Tabelle6[[#This Row],[Simple]]=0,Tabelle6[[#This Row],[Average]]=0), 1, 0)</f>
        <v>0</v>
      </c>
      <c r="G53">
        <v>0</v>
      </c>
      <c r="H53">
        <v>0</v>
      </c>
      <c r="I53">
        <f>Tabelle6[[#This Row],[Count]]*(5*Tabelle6[[#This Row],[Simple]]+7*Tabelle6[[#This Row],[Average]]+10*Tabelle6[[#This Row],[Complex]])</f>
        <v>0</v>
      </c>
    </row>
    <row r="56" spans="2:11" x14ac:dyDescent="0.25">
      <c r="B56" t="s">
        <v>11</v>
      </c>
      <c r="C56" t="s">
        <v>21</v>
      </c>
      <c r="D56" t="s">
        <v>18</v>
      </c>
      <c r="E56" t="s">
        <v>19</v>
      </c>
      <c r="F56" t="s">
        <v>20</v>
      </c>
      <c r="G56" t="s">
        <v>49</v>
      </c>
      <c r="H56" t="s">
        <v>29</v>
      </c>
      <c r="I56" t="s">
        <v>50</v>
      </c>
      <c r="J56" t="s">
        <v>22</v>
      </c>
      <c r="K56" t="s">
        <v>31</v>
      </c>
    </row>
    <row r="57" spans="2:11" x14ac:dyDescent="0.25">
      <c r="B57" t="s">
        <v>24</v>
      </c>
      <c r="C57">
        <v>0</v>
      </c>
      <c r="D57">
        <f>IF(OR(AND(Tabelle7[[#This Row],[FTR/RET]]&lt;=1, Tabelle7[[#This Row],[DET]] &lt;= 15), AND(Tabelle7[[#This Row],[FTR/RET]]&lt;= 3, Tabelle7[[#This Row],[DET]] &lt;= 4)), 1, 0)</f>
        <v>1</v>
      </c>
      <c r="E57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57">
        <f>IF(AND(Tabelle7[[#This Row],[Simple]]=0,Tabelle7[[#This Row],[Average]]=0), 1, 0)</f>
        <v>0</v>
      </c>
      <c r="G57">
        <v>0</v>
      </c>
      <c r="H57">
        <v>0</v>
      </c>
      <c r="I57">
        <f>Tabelle7[[#This Row],[Count]]*(3*Tabelle7[[#This Row],[Simple]]+4*Tabelle7[[#This Row],[Average]]+6*Tabelle7[[#This Row],[Complex]])</f>
        <v>0</v>
      </c>
      <c r="K57">
        <f>SUM(Tabelle7[Points])*0.65</f>
        <v>18.2</v>
      </c>
    </row>
    <row r="58" spans="2:11" x14ac:dyDescent="0.25">
      <c r="B58" t="s">
        <v>25</v>
      </c>
      <c r="C58">
        <v>1</v>
      </c>
      <c r="D58">
        <f>IF(OR(AND(Tabelle7[[#This Row],[FTR/RET]]&lt;=1, Tabelle7[[#This Row],[DET]] &lt;= 19), AND(Tabelle7[[#This Row],[FTR/RET]]&lt;= 3, Tabelle7[[#This Row],[DET]] &lt;= 5)), 1, 0)</f>
        <v>1</v>
      </c>
      <c r="E58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58">
        <f>IF(AND(Tabelle7[[#This Row],[Simple]]=0,Tabelle7[[#This Row],[Average]]=0), 1, 0)</f>
        <v>0</v>
      </c>
      <c r="G58">
        <v>0</v>
      </c>
      <c r="H58">
        <v>5</v>
      </c>
      <c r="I58">
        <f>Tabelle7[[#This Row],[Count]]*(Tabelle7[[#This Row],[Simple]]*4+Tabelle7[[#This Row],[Average]]*5+Tabelle7[[#This Row],[Complex]]*7)</f>
        <v>4</v>
      </c>
    </row>
    <row r="59" spans="2:11" x14ac:dyDescent="0.25">
      <c r="B59" t="s">
        <v>26</v>
      </c>
      <c r="C59">
        <v>1</v>
      </c>
      <c r="D59">
        <f>IF(OR(AND(Tabelle7[[#This Row],[FTR/RET]]&lt;=1, Tabelle7[[#This Row],[DET]] &lt;= 19), AND(Tabelle7[[#This Row],[FTR/RET]]&lt;= 3, Tabelle7[[#This Row],[DET]] &lt;= 5)), 1, 0)</f>
        <v>1</v>
      </c>
      <c r="E59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59">
        <f>IF(AND(Tabelle7[[#This Row],[Simple]]=0,Tabelle7[[#This Row],[Average]]=0), 1, 0)</f>
        <v>0</v>
      </c>
      <c r="G59">
        <v>2</v>
      </c>
      <c r="H59">
        <v>0</v>
      </c>
      <c r="I59">
        <f>Tabelle7[[#This Row],[Count]]*(3*Tabelle7[[#This Row],[Simple]]+4*Tabelle7[[#This Row],[Average]]+6*Tabelle7[[#This Row],[Complex]])</f>
        <v>3</v>
      </c>
    </row>
    <row r="60" spans="2:11" x14ac:dyDescent="0.25">
      <c r="B60" t="s">
        <v>27</v>
      </c>
      <c r="C60">
        <v>3</v>
      </c>
      <c r="D60">
        <f>IF(OR(AND(Tabelle7[[#This Row],[FTR/RET]]&lt;2, Tabelle7[[#This Row],[DET]] &lt;= 50), AND(Tabelle7[[#This Row],[FTR/RET]]&lt;=5, Tabelle7[[#This Row],[DET]] &lt; 20)), 1, 0)</f>
        <v>1</v>
      </c>
      <c r="E60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0">
        <f>IF(AND(Tabelle7[[#This Row],[Simple]]=0,Tabelle7[[#This Row],[Average]]=0), 1, 0)</f>
        <v>0</v>
      </c>
      <c r="G60">
        <v>0</v>
      </c>
      <c r="H60">
        <v>0</v>
      </c>
      <c r="I60">
        <f>Tabelle7[[#This Row],[Count]]*(7*Tabelle7[[#This Row],[Simple]]+10*Tabelle7[[#This Row],[Average]]+15*Tabelle7[[#This Row],[Complex]])</f>
        <v>21</v>
      </c>
      <c r="J60" t="s">
        <v>40</v>
      </c>
    </row>
    <row r="61" spans="2:11" x14ac:dyDescent="0.25">
      <c r="B61" t="s">
        <v>28</v>
      </c>
      <c r="C61">
        <v>0</v>
      </c>
      <c r="D61">
        <f>IF(OR(AND(Tabelle7[[#This Row],[FTR/RET]]&lt;2, Tabelle7[[#This Row],[DET]] &lt;= 50), AND(Tabelle7[[#This Row],[FTR/RET]]&lt;=5, Tabelle7[[#This Row],[DET]] &lt; 20)), 1, 0)</f>
        <v>1</v>
      </c>
      <c r="E61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1">
        <f>IF(AND(Tabelle7[[#This Row],[Simple]]=0,Tabelle7[[#This Row],[Average]]=0), 1, 0)</f>
        <v>0</v>
      </c>
      <c r="G61">
        <v>0</v>
      </c>
      <c r="H61">
        <v>0</v>
      </c>
      <c r="I61">
        <f>Tabelle7[[#This Row],[Count]]*(5*Tabelle7[[#This Row],[Simple]]+7*Tabelle7[[#This Row],[Average]]+10*Tabelle7[[#This Row],[Complex]])</f>
        <v>0</v>
      </c>
    </row>
    <row r="64" spans="2:11" x14ac:dyDescent="0.25">
      <c r="B64" t="s">
        <v>41</v>
      </c>
      <c r="C64" t="s">
        <v>21</v>
      </c>
      <c r="D64" t="s">
        <v>18</v>
      </c>
      <c r="E64" t="s">
        <v>19</v>
      </c>
      <c r="F64" t="s">
        <v>20</v>
      </c>
      <c r="G64" t="s">
        <v>49</v>
      </c>
      <c r="H64" t="s">
        <v>29</v>
      </c>
      <c r="I64" t="s">
        <v>50</v>
      </c>
      <c r="J64" t="s">
        <v>22</v>
      </c>
      <c r="K64" t="s">
        <v>31</v>
      </c>
    </row>
    <row r="65" spans="2:11" x14ac:dyDescent="0.25">
      <c r="B65" t="s">
        <v>24</v>
      </c>
      <c r="C65">
        <v>1</v>
      </c>
      <c r="D65">
        <f>IF(OR(AND(Tabelle8[[#This Row],[FTR/RET]]&lt;=1, Tabelle8[[#This Row],[DET]] &lt;= 15), AND(Tabelle8[[#This Row],[FTR/RET]]&lt;= 3, Tabelle8[[#This Row],[DET]] &lt;= 4)), 1, 0)</f>
        <v>0</v>
      </c>
      <c r="E65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65">
        <f>IF(AND(Tabelle8[[#This Row],[Simple]]=0,Tabelle8[[#This Row],[Average]]=0), 1, 0)</f>
        <v>0</v>
      </c>
      <c r="G65">
        <v>1</v>
      </c>
      <c r="H65">
        <v>25</v>
      </c>
      <c r="I65">
        <f>Tabelle8[[#This Row],[Count]]*(3*Tabelle8[[#This Row],[Simple]]+4*Tabelle8[[#This Row],[Average]]+6*Tabelle8[[#This Row],[Complex]])</f>
        <v>4</v>
      </c>
      <c r="J65" t="s">
        <v>52</v>
      </c>
      <c r="K65">
        <f>SUM(Tabelle8[Points])*(0.65+(5)/100)</f>
        <v>17.5</v>
      </c>
    </row>
    <row r="66" spans="2:11" x14ac:dyDescent="0.25">
      <c r="B66" t="s">
        <v>25</v>
      </c>
      <c r="C66">
        <v>0</v>
      </c>
      <c r="D66">
        <f>IF(OR(AND(Tabelle8[[#This Row],[FTR/RET]]&lt;=1, Tabelle8[[#This Row],[DET]] &lt;= 19), AND(Tabelle8[[#This Row],[FTR/RET]]&lt;= 3, Tabelle8[[#This Row],[DET]] &lt;= 5)), 1, 0)</f>
        <v>1</v>
      </c>
      <c r="E66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66">
        <f>IF(AND(Tabelle8[[#This Row],[Simple]]=0,Tabelle8[[#This Row],[Average]]=0), 1, 0)</f>
        <v>0</v>
      </c>
      <c r="G66">
        <v>0</v>
      </c>
      <c r="H66">
        <v>0</v>
      </c>
      <c r="I66">
        <f>Tabelle8[[#This Row],[Count]]*(Tabelle8[[#This Row],[Simple]]*4+Tabelle8[[#This Row],[Average]]*5+Tabelle8[[#This Row],[Complex]]*7)</f>
        <v>0</v>
      </c>
    </row>
    <row r="67" spans="2:11" x14ac:dyDescent="0.25">
      <c r="B67" t="s">
        <v>26</v>
      </c>
      <c r="C67">
        <v>0</v>
      </c>
      <c r="D67">
        <f>IF(OR(AND(Tabelle8[[#This Row],[FTR/RET]]&lt;=1, Tabelle8[[#This Row],[DET]] &lt;= 19), AND(Tabelle8[[#This Row],[FTR/RET]]&lt;= 3, Tabelle8[[#This Row],[DET]] &lt;= 5)), 1, 0)</f>
        <v>1</v>
      </c>
      <c r="E67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67">
        <f>IF(AND(Tabelle8[[#This Row],[Simple]]=0,Tabelle8[[#This Row],[Average]]=0), 1, 0)</f>
        <v>0</v>
      </c>
      <c r="G67">
        <v>0</v>
      </c>
      <c r="H67">
        <v>0</v>
      </c>
      <c r="I67">
        <f>Tabelle8[[#This Row],[Count]]*(3*Tabelle8[[#This Row],[Simple]]+4*Tabelle8[[#This Row],[Average]]+6*Tabelle8[[#This Row],[Complex]])</f>
        <v>0</v>
      </c>
    </row>
    <row r="68" spans="2:11" x14ac:dyDescent="0.25">
      <c r="B68" t="s">
        <v>27</v>
      </c>
      <c r="C68">
        <v>3</v>
      </c>
      <c r="D68">
        <f>IF(OR(AND(Tabelle8[[#This Row],[FTR/RET]]&lt;2, Tabelle8[[#This Row],[DET]] &lt;= 50), AND(Tabelle8[[#This Row],[FTR/RET]]&lt;=5, Tabelle8[[#This Row],[DET]] &lt; 20)), 1, 0)</f>
        <v>1</v>
      </c>
      <c r="E68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68">
        <f>IF(AND(Tabelle8[[#This Row],[Simple]]=0,Tabelle8[[#This Row],[Average]]=0), 1, 0)</f>
        <v>0</v>
      </c>
      <c r="G68">
        <v>1</v>
      </c>
      <c r="H68">
        <v>11</v>
      </c>
      <c r="I68">
        <f>Tabelle8[[#This Row],[Count]]*(7*Tabelle8[[#This Row],[Simple]]+10*Tabelle8[[#This Row],[Average]]+15*Tabelle8[[#This Row],[Complex]])</f>
        <v>21</v>
      </c>
      <c r="J68" t="s">
        <v>53</v>
      </c>
    </row>
    <row r="69" spans="2:11" x14ac:dyDescent="0.25">
      <c r="B69" t="s">
        <v>28</v>
      </c>
      <c r="C69">
        <v>0</v>
      </c>
      <c r="D69">
        <f>IF(OR(AND(Tabelle8[[#This Row],[FTR/RET]]&lt;2, Tabelle8[[#This Row],[DET]] &lt;= 50), AND(Tabelle8[[#This Row],[FTR/RET]]&lt;=5, Tabelle8[[#This Row],[DET]] &lt; 20)), 1, 0)</f>
        <v>1</v>
      </c>
      <c r="E69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69">
        <f>IF(AND(Tabelle8[[#This Row],[Simple]]=0,Tabelle8[[#This Row],[Average]]=0), 1, 0)</f>
        <v>0</v>
      </c>
      <c r="G69">
        <v>0</v>
      </c>
      <c r="H69">
        <v>0</v>
      </c>
      <c r="I69">
        <f>Tabelle8[[#This Row],[Count]]*(5*Tabelle8[[#This Row],[Simple]]+7*Tabelle8[[#This Row],[Average]]+10*Tabelle8[[#This Row],[Complex]])</f>
        <v>0</v>
      </c>
    </row>
    <row r="72" spans="2:11" x14ac:dyDescent="0.25">
      <c r="B72" t="s">
        <v>13</v>
      </c>
      <c r="C72" t="s">
        <v>21</v>
      </c>
      <c r="D72" t="s">
        <v>18</v>
      </c>
      <c r="E72" t="s">
        <v>19</v>
      </c>
      <c r="F72" t="s">
        <v>20</v>
      </c>
      <c r="G72" t="s">
        <v>49</v>
      </c>
      <c r="H72" t="s">
        <v>29</v>
      </c>
      <c r="I72" t="s">
        <v>50</v>
      </c>
      <c r="J72" t="s">
        <v>22</v>
      </c>
      <c r="K72" t="s">
        <v>31</v>
      </c>
    </row>
    <row r="73" spans="2:11" x14ac:dyDescent="0.25">
      <c r="B73" t="s">
        <v>24</v>
      </c>
      <c r="C73">
        <v>1</v>
      </c>
      <c r="D73">
        <f>IF(OR(AND(Tabelle9[[#This Row],[FTR/RET]]&lt;=1, Tabelle9[[#This Row],[DET]] &lt;= 15), AND(Tabelle9[[#This Row],[FTR/RET]]&lt;= 3, Tabelle9[[#This Row],[DET]] &lt;= 4)), 1, 0)</f>
        <v>1</v>
      </c>
      <c r="E73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3">
        <f>IF(AND(Tabelle9[[#This Row],[Simple]]=0,Tabelle9[[#This Row],[Average]]=0), 1, 0)</f>
        <v>0</v>
      </c>
      <c r="G73">
        <v>0</v>
      </c>
      <c r="H73">
        <v>1</v>
      </c>
      <c r="I73">
        <f>Tabelle9[[#This Row],[Count]]*(3*Tabelle9[[#This Row],[Simple]]+4*Tabelle9[[#This Row],[Average]]+6*Tabelle9[[#This Row],[Complex]])</f>
        <v>3</v>
      </c>
      <c r="K73">
        <f>SUM(Tabelle9[Points])*0.65</f>
        <v>11.05</v>
      </c>
    </row>
    <row r="74" spans="2:11" x14ac:dyDescent="0.25">
      <c r="B74" t="s">
        <v>25</v>
      </c>
      <c r="C74">
        <v>0</v>
      </c>
      <c r="D74">
        <f>IF(OR(AND(Tabelle9[[#This Row],[FTR/RET]]&lt;=1, Tabelle9[[#This Row],[DET]] &lt;= 19), AND(Tabelle9[[#This Row],[FTR/RET]]&lt;= 3, Tabelle9[[#This Row],[DET]] &lt;= 5)), 1, 0)</f>
        <v>1</v>
      </c>
      <c r="E74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74">
        <f>IF(AND(Tabelle9[[#This Row],[Simple]]=0,Tabelle9[[#This Row],[Average]]=0), 1, 0)</f>
        <v>0</v>
      </c>
      <c r="G74">
        <v>0</v>
      </c>
      <c r="H74">
        <v>0</v>
      </c>
      <c r="I74">
        <f>Tabelle9[[#This Row],[Count]]*(Tabelle9[[#This Row],[Simple]]*4+Tabelle9[[#This Row],[Average]]*5+Tabelle9[[#This Row],[Complex]]*7)</f>
        <v>0</v>
      </c>
    </row>
    <row r="75" spans="2:11" x14ac:dyDescent="0.25">
      <c r="B75" t="s">
        <v>26</v>
      </c>
      <c r="C75">
        <v>0</v>
      </c>
      <c r="D75">
        <f>IF(OR(AND(Tabelle9[[#This Row],[FTR/RET]]&lt;=1, Tabelle9[[#This Row],[DET]] &lt;= 19), AND(Tabelle9[[#This Row],[FTR/RET]]&lt;= 3, Tabelle9[[#This Row],[DET]] &lt;= 5)), 1, 0)</f>
        <v>1</v>
      </c>
      <c r="E75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75">
        <f>IF(AND(Tabelle9[[#This Row],[Simple]]=0,Tabelle9[[#This Row],[Average]]=0), 1, 0)</f>
        <v>0</v>
      </c>
      <c r="G75">
        <v>0</v>
      </c>
      <c r="H75">
        <v>0</v>
      </c>
      <c r="I75">
        <f>Tabelle9[[#This Row],[Count]]*(3*Tabelle9[[#This Row],[Simple]]+4*Tabelle9[[#This Row],[Average]]+6*Tabelle9[[#This Row],[Complex]])</f>
        <v>0</v>
      </c>
    </row>
    <row r="76" spans="2:11" x14ac:dyDescent="0.25">
      <c r="B76" t="s">
        <v>27</v>
      </c>
      <c r="C76">
        <v>2</v>
      </c>
      <c r="D76">
        <f>IF(OR(AND(Tabelle9[[#This Row],[FTR/RET]]&lt;2, Tabelle9[[#This Row],[DET]] &lt;= 50), AND(Tabelle9[[#This Row],[FTR/RET]]&lt;=5, Tabelle9[[#This Row],[DET]] &lt; 20)), 1, 0)</f>
        <v>1</v>
      </c>
      <c r="E76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76">
        <f>IF(AND(Tabelle9[[#This Row],[Simple]]=0,Tabelle9[[#This Row],[Average]]=0), 1, 0)</f>
        <v>0</v>
      </c>
      <c r="G76">
        <v>0</v>
      </c>
      <c r="H76">
        <v>0</v>
      </c>
      <c r="I76">
        <f>Tabelle9[[#This Row],[Count]]*(7*Tabelle9[[#This Row],[Simple]]+10*Tabelle9[[#This Row],[Average]]+15*Tabelle9[[#This Row],[Complex]])</f>
        <v>14</v>
      </c>
      <c r="J76" t="s">
        <v>54</v>
      </c>
    </row>
    <row r="77" spans="2:11" x14ac:dyDescent="0.25">
      <c r="B77" t="s">
        <v>28</v>
      </c>
      <c r="C77">
        <v>0</v>
      </c>
      <c r="D77">
        <f>IF(OR(AND(Tabelle9[[#This Row],[FTR/RET]]&lt;2, Tabelle9[[#This Row],[DET]] &lt;= 50), AND(Tabelle9[[#This Row],[FTR/RET]]&lt;=5, Tabelle9[[#This Row],[DET]] &lt; 20)), 1, 0)</f>
        <v>1</v>
      </c>
      <c r="E77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77">
        <f>IF(AND(Tabelle9[[#This Row],[Simple]]=0,Tabelle9[[#This Row],[Average]]=0), 1, 0)</f>
        <v>0</v>
      </c>
      <c r="G77">
        <v>0</v>
      </c>
      <c r="H77">
        <v>0</v>
      </c>
      <c r="I77">
        <f>Tabelle9[[#This Row],[Count]]*(5*Tabelle9[[#This Row],[Simple]]+7*Tabelle9[[#This Row],[Average]]+10*Tabelle9[[#This Row],[Complex]])</f>
        <v>0</v>
      </c>
    </row>
    <row r="80" spans="2:11" x14ac:dyDescent="0.25">
      <c r="B80" t="s">
        <v>14</v>
      </c>
      <c r="C80" t="s">
        <v>21</v>
      </c>
      <c r="D80" t="s">
        <v>18</v>
      </c>
      <c r="E80" t="s">
        <v>19</v>
      </c>
      <c r="F80" t="s">
        <v>20</v>
      </c>
      <c r="G80" t="s">
        <v>49</v>
      </c>
      <c r="H80" t="s">
        <v>29</v>
      </c>
      <c r="I80" t="s">
        <v>50</v>
      </c>
      <c r="J80" t="s">
        <v>22</v>
      </c>
      <c r="K80" t="s">
        <v>31</v>
      </c>
    </row>
    <row r="81" spans="2:11" x14ac:dyDescent="0.25">
      <c r="B81" t="s">
        <v>24</v>
      </c>
      <c r="C81">
        <v>10</v>
      </c>
      <c r="D81">
        <f>IF(OR(AND(Tabelle10[[#This Row],[FTR/RET]]&lt;=1, Tabelle10[[#This Row],[DET]] &lt;= 15), AND(Tabelle10[[#This Row],[FTR/RET]]&lt;= 3, Tabelle10[[#This Row],[DET]] &lt;= 4)), 1, 0)</f>
        <v>1</v>
      </c>
      <c r="E81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1">
        <f>IF(AND(Tabelle10[[#This Row],[Simple]]=0,Tabelle10[[#This Row],[Average]]=0), 1, 0)</f>
        <v>0</v>
      </c>
      <c r="G81">
        <v>1</v>
      </c>
      <c r="H81">
        <v>10</v>
      </c>
      <c r="I81">
        <f>Tabelle10[[#This Row],[Count]]*(3*Tabelle10[[#This Row],[Simple]]+4*Tabelle10[[#This Row],[Average]]+6*Tabelle10[[#This Row],[Complex]])</f>
        <v>30</v>
      </c>
      <c r="K81">
        <f>SUM(Tabelle10[Points])*0.65</f>
        <v>28.6</v>
      </c>
    </row>
    <row r="82" spans="2:11" x14ac:dyDescent="0.25">
      <c r="B82" t="s">
        <v>25</v>
      </c>
      <c r="C82">
        <v>0</v>
      </c>
      <c r="D82">
        <f>IF(OR(AND(Tabelle10[[#This Row],[FTR/RET]]&lt;=1, Tabelle10[[#This Row],[DET]] &lt;= 19), AND(Tabelle10[[#This Row],[FTR/RET]]&lt;= 3, Tabelle10[[#This Row],[DET]] &lt;= 5)), 1, 0)</f>
        <v>1</v>
      </c>
      <c r="E82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2">
        <f>IF(AND(Tabelle10[[#This Row],[Simple]]=0,Tabelle10[[#This Row],[Average]]=0), 1, 0)</f>
        <v>0</v>
      </c>
      <c r="G82">
        <v>0</v>
      </c>
      <c r="H82">
        <v>0</v>
      </c>
      <c r="I82">
        <f>Tabelle10[[#This Row],[Count]]*(Tabelle10[[#This Row],[Simple]]*4+Tabelle10[[#This Row],[Average]]*5+Tabelle10[[#This Row],[Complex]]*7)</f>
        <v>0</v>
      </c>
    </row>
    <row r="83" spans="2:11" x14ac:dyDescent="0.25">
      <c r="B83" t="s">
        <v>26</v>
      </c>
      <c r="C83">
        <v>0</v>
      </c>
      <c r="D83">
        <f>IF(OR(AND(Tabelle10[[#This Row],[FTR/RET]]&lt;=1, Tabelle10[[#This Row],[DET]] &lt;= 19), AND(Tabelle10[[#This Row],[FTR/RET]]&lt;= 3, Tabelle10[[#This Row],[DET]] &lt;= 5)), 1, 0)</f>
        <v>1</v>
      </c>
      <c r="E83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3">
        <f>IF(AND(Tabelle10[[#This Row],[Simple]]=0,Tabelle10[[#This Row],[Average]]=0), 1, 0)</f>
        <v>0</v>
      </c>
      <c r="G83">
        <v>0</v>
      </c>
      <c r="H83">
        <v>0</v>
      </c>
      <c r="I83">
        <f>Tabelle10[[#This Row],[Count]]*(3*Tabelle10[[#This Row],[Simple]]+4*Tabelle10[[#This Row],[Average]]+6*Tabelle10[[#This Row],[Complex]])</f>
        <v>0</v>
      </c>
    </row>
    <row r="84" spans="2:11" x14ac:dyDescent="0.25">
      <c r="B84" t="s">
        <v>27</v>
      </c>
      <c r="C84">
        <v>2</v>
      </c>
      <c r="D84">
        <f>IF(OR(AND(Tabelle10[[#This Row],[FTR/RET]]&lt;2, Tabelle10[[#This Row],[DET]] &lt;= 50), AND(Tabelle10[[#This Row],[FTR/RET]]&lt;=5, Tabelle10[[#This Row],[DET]] &lt; 20)), 1, 0)</f>
        <v>1</v>
      </c>
      <c r="E84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84">
        <f>IF(AND(Tabelle10[[#This Row],[Simple]]=0,Tabelle10[[#This Row],[Average]]=0), 1, 0)</f>
        <v>0</v>
      </c>
      <c r="G84">
        <v>0</v>
      </c>
      <c r="H84">
        <v>0</v>
      </c>
      <c r="I84">
        <f>Tabelle10[[#This Row],[Count]]*(7*Tabelle10[[#This Row],[Simple]]+10*Tabelle10[[#This Row],[Average]]+15*Tabelle10[[#This Row],[Complex]])</f>
        <v>14</v>
      </c>
      <c r="J84" t="s">
        <v>55</v>
      </c>
    </row>
    <row r="85" spans="2:11" x14ac:dyDescent="0.25">
      <c r="B85" t="s">
        <v>28</v>
      </c>
      <c r="C85">
        <v>0</v>
      </c>
      <c r="D85">
        <f>IF(OR(AND(Tabelle10[[#This Row],[FTR/RET]]&lt;2, Tabelle10[[#This Row],[DET]] &lt;= 50), AND(Tabelle10[[#This Row],[FTR/RET]]&lt;=5, Tabelle10[[#This Row],[DET]] &lt; 20)), 1, 0)</f>
        <v>1</v>
      </c>
      <c r="E85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85">
        <f>IF(AND(Tabelle10[[#This Row],[Simple]]=0,Tabelle10[[#This Row],[Average]]=0), 1, 0)</f>
        <v>0</v>
      </c>
      <c r="G85">
        <v>0</v>
      </c>
      <c r="H85">
        <v>0</v>
      </c>
      <c r="I85">
        <f>Tabelle10[[#This Row],[Count]]*(5*Tabelle10[[#This Row],[Simple]]+7*Tabelle10[[#This Row],[Average]]+10*Tabelle10[[#This Row],[Complex]])</f>
        <v>0</v>
      </c>
    </row>
    <row r="88" spans="2:11" x14ac:dyDescent="0.25">
      <c r="B88" t="s">
        <v>43</v>
      </c>
      <c r="C88" t="s">
        <v>21</v>
      </c>
      <c r="D88" t="s">
        <v>18</v>
      </c>
      <c r="E88" t="s">
        <v>19</v>
      </c>
      <c r="F88" t="s">
        <v>20</v>
      </c>
      <c r="G88" t="s">
        <v>49</v>
      </c>
      <c r="H88" t="s">
        <v>29</v>
      </c>
      <c r="I88" t="s">
        <v>50</v>
      </c>
      <c r="J88" t="s">
        <v>22</v>
      </c>
      <c r="K88" t="s">
        <v>31</v>
      </c>
    </row>
    <row r="89" spans="2:11" x14ac:dyDescent="0.25">
      <c r="B89" t="s">
        <v>24</v>
      </c>
      <c r="D89">
        <f>IF(OR(AND(Tabelle11[[#This Row],[FTR/RET]]&lt;=1, Tabelle11[[#This Row],[DET]] &lt;= 15), AND(Tabelle11[[#This Row],[FTR/RET]]&lt;= 3, Tabelle11[[#This Row],[DET]] &lt;= 4)), 1, 0)</f>
        <v>1</v>
      </c>
      <c r="E89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89">
        <f>IF(AND(Tabelle11[[#This Row],[Simple]]=0,Tabelle11[[#This Row],[Average]]=0), 1, 0)</f>
        <v>0</v>
      </c>
      <c r="G89">
        <v>0</v>
      </c>
      <c r="H89">
        <v>0</v>
      </c>
      <c r="I89">
        <f>Tabelle11[[#This Row],[Count]]*(3*Tabelle11[[#This Row],[Simple]]+4*Tabelle11[[#This Row],[Average]]+6*Tabelle11[[#This Row],[Complex]])</f>
        <v>0</v>
      </c>
      <c r="K89">
        <f>SUM(Tabelle11[Points])*0.65</f>
        <v>20.150000000000002</v>
      </c>
    </row>
    <row r="90" spans="2:11" x14ac:dyDescent="0.25">
      <c r="B90" t="s">
        <v>25</v>
      </c>
      <c r="D90">
        <f>IF(OR(AND(Tabelle11[[#This Row],[FTR/RET]]&lt;=1, Tabelle11[[#This Row],[DET]] &lt;= 19), AND(Tabelle11[[#This Row],[FTR/RET]]&lt;= 3, Tabelle11[[#This Row],[DET]] &lt;= 5)), 1, 0)</f>
        <v>1</v>
      </c>
      <c r="E90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0">
        <f>IF(AND(Tabelle11[[#This Row],[Simple]]=0,Tabelle11[[#This Row],[Average]]=0), 1, 0)</f>
        <v>0</v>
      </c>
      <c r="G90">
        <v>0</v>
      </c>
      <c r="H90">
        <v>0</v>
      </c>
      <c r="I90">
        <f>Tabelle11[[#This Row],[Count]]*(Tabelle11[[#This Row],[Simple]]*4+Tabelle11[[#This Row],[Average]]*5+Tabelle11[[#This Row],[Complex]]*7)</f>
        <v>0</v>
      </c>
    </row>
    <row r="91" spans="2:11" x14ac:dyDescent="0.25">
      <c r="B91" t="s">
        <v>26</v>
      </c>
      <c r="C91">
        <v>1</v>
      </c>
      <c r="D91">
        <f>IF(OR(AND(Tabelle11[[#This Row],[FTR/RET]]&lt;=1, Tabelle11[[#This Row],[DET]] &lt;= 19), AND(Tabelle11[[#This Row],[FTR/RET]]&lt;= 3, Tabelle11[[#This Row],[DET]] &lt;= 5)), 1, 0)</f>
        <v>1</v>
      </c>
      <c r="E91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1">
        <f>IF(AND(Tabelle11[[#This Row],[Simple]]=0,Tabelle11[[#This Row],[Average]]=0), 1, 0)</f>
        <v>0</v>
      </c>
      <c r="G91">
        <v>0</v>
      </c>
      <c r="H91">
        <v>0</v>
      </c>
      <c r="I91">
        <f>Tabelle11[[#This Row],[Count]]*(3*Tabelle11[[#This Row],[Simple]]+4*Tabelle11[[#This Row],[Average]]+6*Tabelle11[[#This Row],[Complex]])</f>
        <v>3</v>
      </c>
    </row>
    <row r="92" spans="2:11" x14ac:dyDescent="0.25">
      <c r="B92" t="s">
        <v>27</v>
      </c>
      <c r="C92">
        <v>3</v>
      </c>
      <c r="D92">
        <f>IF(OR(AND(Tabelle11[[#This Row],[FTR/RET]]&lt;2, Tabelle11[[#This Row],[DET]] &lt;= 50), AND(Tabelle11[[#This Row],[FTR/RET]]&lt;=5, Tabelle11[[#This Row],[DET]] &lt; 20)), 1, 0)</f>
        <v>1</v>
      </c>
      <c r="E92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2">
        <f>IF(AND(Tabelle11[[#This Row],[Simple]]=0,Tabelle11[[#This Row],[Average]]=0), 1, 0)</f>
        <v>0</v>
      </c>
      <c r="G92">
        <v>0</v>
      </c>
      <c r="H92">
        <v>0</v>
      </c>
      <c r="I92">
        <f>Tabelle11[[#This Row],[Count]]*(7*Tabelle11[[#This Row],[Simple]]+10*Tabelle11[[#This Row],[Average]]+15*Tabelle11[[#This Row],[Complex]])</f>
        <v>21</v>
      </c>
      <c r="J92" t="s">
        <v>58</v>
      </c>
    </row>
    <row r="93" spans="2:11" x14ac:dyDescent="0.25">
      <c r="B93" t="s">
        <v>28</v>
      </c>
      <c r="C93">
        <v>1</v>
      </c>
      <c r="D93">
        <f>IF(OR(AND(Tabelle11[[#This Row],[FTR/RET]]&lt;2, Tabelle11[[#This Row],[DET]] &lt;= 50), AND(Tabelle11[[#This Row],[FTR/RET]]&lt;=5, Tabelle11[[#This Row],[DET]] &lt; 20)), 1, 0)</f>
        <v>0</v>
      </c>
      <c r="E93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3">
        <f>IF(AND(Tabelle11[[#This Row],[Simple]]=0,Tabelle11[[#This Row],[Average]]=0), 1, 0)</f>
        <v>0</v>
      </c>
      <c r="G93">
        <v>5</v>
      </c>
      <c r="H93">
        <v>30</v>
      </c>
      <c r="I93">
        <f>Tabelle11[[#This Row],[Count]]*(5*Tabelle11[[#This Row],[Simple]]+7*Tabelle11[[#This Row],[Average]]+10*Tabelle11[[#This Row],[Complex]])</f>
        <v>7</v>
      </c>
      <c r="J93" t="s">
        <v>44</v>
      </c>
    </row>
    <row r="96" spans="2:11" x14ac:dyDescent="0.25">
      <c r="B96" t="s">
        <v>45</v>
      </c>
      <c r="C96" t="s">
        <v>21</v>
      </c>
      <c r="D96" t="s">
        <v>18</v>
      </c>
      <c r="E96" t="s">
        <v>19</v>
      </c>
      <c r="F96" t="s">
        <v>20</v>
      </c>
      <c r="G96" t="s">
        <v>49</v>
      </c>
      <c r="H96" t="s">
        <v>29</v>
      </c>
      <c r="I96" t="s">
        <v>50</v>
      </c>
      <c r="J96" t="s">
        <v>22</v>
      </c>
      <c r="K96" t="s">
        <v>31</v>
      </c>
    </row>
    <row r="97" spans="2:11" x14ac:dyDescent="0.25">
      <c r="B97" t="s">
        <v>24</v>
      </c>
      <c r="C97">
        <v>1</v>
      </c>
      <c r="D97">
        <f>IF(OR(AND(Tabelle12[[#This Row],[FTR/RET]]&lt;=1, Tabelle12[[#This Row],[DET]] &lt;= 15), AND(Tabelle12[[#This Row],[FTR/RET]]&lt;= 3, Tabelle12[[#This Row],[DET]] &lt;= 4)), 1, 0)</f>
        <v>1</v>
      </c>
      <c r="E97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97">
        <f>IF(AND(Tabelle12[[#This Row],[Simple]]=0,Tabelle12[[#This Row],[Average]]=0), 1, 0)</f>
        <v>0</v>
      </c>
      <c r="G97">
        <v>0</v>
      </c>
      <c r="H97">
        <v>1</v>
      </c>
      <c r="I97">
        <f>Tabelle12[[#This Row],[Count]]*(3*Tabelle12[[#This Row],[Simple]]+4*Tabelle12[[#This Row],[Average]]+6*Tabelle12[[#This Row],[Complex]])</f>
        <v>3</v>
      </c>
      <c r="J97" t="s">
        <v>46</v>
      </c>
      <c r="K97">
        <f>SUM(Tabelle12[Points])*0.65</f>
        <v>11.05</v>
      </c>
    </row>
    <row r="98" spans="2:11" x14ac:dyDescent="0.25">
      <c r="B98" t="s">
        <v>25</v>
      </c>
      <c r="C98">
        <v>0</v>
      </c>
      <c r="D98">
        <f>IF(OR(AND(Tabelle12[[#This Row],[FTR/RET]]&lt;=1, Tabelle12[[#This Row],[DET]] &lt;= 19), AND(Tabelle12[[#This Row],[FTR/RET]]&lt;= 3, Tabelle12[[#This Row],[DET]] &lt;= 5)), 1, 0)</f>
        <v>1</v>
      </c>
      <c r="E98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98">
        <f>IF(AND(Tabelle12[[#This Row],[Simple]]=0,Tabelle12[[#This Row],[Average]]=0), 1, 0)</f>
        <v>0</v>
      </c>
      <c r="G98">
        <v>0</v>
      </c>
      <c r="H98">
        <v>0</v>
      </c>
      <c r="I98">
        <f>Tabelle12[[#This Row],[Count]]*(Tabelle12[[#This Row],[Simple]]*4+Tabelle12[[#This Row],[Average]]*5+Tabelle12[[#This Row],[Complex]]*7)</f>
        <v>0</v>
      </c>
    </row>
    <row r="99" spans="2:11" x14ac:dyDescent="0.25">
      <c r="B99" t="s">
        <v>26</v>
      </c>
      <c r="C99">
        <v>0</v>
      </c>
      <c r="D99">
        <f>IF(OR(AND(Tabelle12[[#This Row],[FTR/RET]]&lt;=1, Tabelle12[[#This Row],[DET]] &lt;= 19), AND(Tabelle12[[#This Row],[FTR/RET]]&lt;= 3, Tabelle12[[#This Row],[DET]] &lt;= 5)), 1, 0)</f>
        <v>1</v>
      </c>
      <c r="E99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99">
        <f>IF(AND(Tabelle12[[#This Row],[Simple]]=0,Tabelle12[[#This Row],[Average]]=0), 1, 0)</f>
        <v>0</v>
      </c>
      <c r="G99">
        <v>0</v>
      </c>
      <c r="H99">
        <v>0</v>
      </c>
      <c r="I99">
        <f>Tabelle12[[#This Row],[Count]]*(3*Tabelle12[[#This Row],[Simple]]+4*Tabelle12[[#This Row],[Average]]+6*Tabelle12[[#This Row],[Complex]])</f>
        <v>0</v>
      </c>
    </row>
    <row r="100" spans="2:11" x14ac:dyDescent="0.25">
      <c r="B100" t="s">
        <v>27</v>
      </c>
      <c r="C100">
        <v>2</v>
      </c>
      <c r="D100">
        <f>IF(OR(AND(Tabelle12[[#This Row],[FTR/RET]]&lt;2, Tabelle12[[#This Row],[DET]] &lt;= 50), AND(Tabelle12[[#This Row],[FTR/RET]]&lt;=5, Tabelle12[[#This Row],[DET]] &lt; 20)), 1, 0)</f>
        <v>1</v>
      </c>
      <c r="E100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0">
        <f>IF(AND(Tabelle12[[#This Row],[Simple]]=0,Tabelle12[[#This Row],[Average]]=0), 1, 0)</f>
        <v>0</v>
      </c>
      <c r="G100">
        <v>0</v>
      </c>
      <c r="H100">
        <v>0</v>
      </c>
      <c r="I100">
        <f>Tabelle12[[#This Row],[Count]]*(7*Tabelle12[[#This Row],[Simple]]+10*Tabelle12[[#This Row],[Average]]+15*Tabelle12[[#This Row],[Complex]])</f>
        <v>14</v>
      </c>
      <c r="J100" t="s">
        <v>59</v>
      </c>
    </row>
    <row r="101" spans="2:11" x14ac:dyDescent="0.25">
      <c r="B101" t="s">
        <v>28</v>
      </c>
      <c r="C101">
        <v>0</v>
      </c>
      <c r="D101">
        <f>IF(OR(AND(Tabelle12[[#This Row],[FTR/RET]]&lt;2, Tabelle12[[#This Row],[DET]] &lt;= 50), AND(Tabelle12[[#This Row],[FTR/RET]]&lt;=5, Tabelle12[[#This Row],[DET]] &lt; 20)), 1, 0)</f>
        <v>1</v>
      </c>
      <c r="E101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1">
        <f>IF(AND(Tabelle12[[#This Row],[Simple]]=0,Tabelle12[[#This Row],[Average]]=0), 1, 0)</f>
        <v>0</v>
      </c>
      <c r="G101">
        <v>0</v>
      </c>
      <c r="H101">
        <v>0</v>
      </c>
      <c r="I101">
        <f>Tabelle12[[#This Row],[Count]]*(5*Tabelle12[[#This Row],[Simple]]+7*Tabelle12[[#This Row],[Average]]+10*Tabelle12[[#This Row],[Complex]])</f>
        <v>0</v>
      </c>
    </row>
    <row r="104" spans="2:11" x14ac:dyDescent="0.25">
      <c r="B104" t="s">
        <v>47</v>
      </c>
      <c r="C104" t="s">
        <v>21</v>
      </c>
      <c r="D104" t="s">
        <v>18</v>
      </c>
      <c r="E104" t="s">
        <v>19</v>
      </c>
      <c r="F104" t="s">
        <v>20</v>
      </c>
      <c r="G104" t="s">
        <v>49</v>
      </c>
      <c r="H104" t="s">
        <v>29</v>
      </c>
      <c r="I104" t="s">
        <v>50</v>
      </c>
      <c r="J104" t="s">
        <v>22</v>
      </c>
      <c r="K104" t="s">
        <v>31</v>
      </c>
    </row>
    <row r="105" spans="2:11" x14ac:dyDescent="0.25">
      <c r="B105" t="s">
        <v>24</v>
      </c>
      <c r="C105">
        <v>4</v>
      </c>
      <c r="D105">
        <f>IF(OR(AND(Tabelle1214[[#This Row],[FTR/RET]]&lt;=1, Tabelle1214[[#This Row],[DET]] &lt;= 15), AND(Tabelle1214[[#This Row],[FTR/RET]]&lt;= 3, Tabelle1214[[#This Row],[DET]] &lt;= 4)), 1, 0)</f>
        <v>1</v>
      </c>
      <c r="E105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05">
        <f>IF(AND(Tabelle1214[[#This Row],[Simple]]=0,Tabelle1214[[#This Row],[Average]]=0), 1, 0)</f>
        <v>0</v>
      </c>
      <c r="G105">
        <v>0</v>
      </c>
      <c r="H105">
        <v>4</v>
      </c>
      <c r="I105">
        <f>Tabelle1214[[#This Row],[Count]]*(3*Tabelle1214[[#This Row],[Simple]]+4*Tabelle1214[[#This Row],[Average]]+6*Tabelle1214[[#This Row],[Complex]])</f>
        <v>12</v>
      </c>
      <c r="J105" t="s">
        <v>48</v>
      </c>
      <c r="K105">
        <f>SUM(Tabelle1214[Points])*0.65</f>
        <v>16.900000000000002</v>
      </c>
    </row>
    <row r="106" spans="2:11" x14ac:dyDescent="0.25">
      <c r="B106" t="s">
        <v>25</v>
      </c>
      <c r="C106">
        <v>0</v>
      </c>
      <c r="D106">
        <f>IF(OR(AND(Tabelle1214[[#This Row],[FTR/RET]]&lt;=1, Tabelle1214[[#This Row],[DET]] &lt;= 19), AND(Tabelle1214[[#This Row],[FTR/RET]]&lt;= 3, Tabelle1214[[#This Row],[DET]] &lt;= 5)), 1, 0)</f>
        <v>1</v>
      </c>
      <c r="E106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06">
        <f>IF(AND(Tabelle1214[[#This Row],[Simple]]=0,Tabelle1214[[#This Row],[Average]]=0), 1, 0)</f>
        <v>0</v>
      </c>
      <c r="G106">
        <v>0</v>
      </c>
      <c r="H106">
        <v>0</v>
      </c>
      <c r="I106">
        <f>Tabelle1214[[#This Row],[Count]]*(Tabelle1214[[#This Row],[Simple]]*4+Tabelle1214[[#This Row],[Average]]*5+Tabelle1214[[#This Row],[Complex]]*7)</f>
        <v>0</v>
      </c>
    </row>
    <row r="107" spans="2:11" x14ac:dyDescent="0.25">
      <c r="B107" t="s">
        <v>26</v>
      </c>
      <c r="C107">
        <v>0</v>
      </c>
      <c r="D107">
        <f>IF(OR(AND(Tabelle1214[[#This Row],[FTR/RET]]&lt;=1, Tabelle1214[[#This Row],[DET]] &lt;= 19), AND(Tabelle1214[[#This Row],[FTR/RET]]&lt;= 3, Tabelle1214[[#This Row],[DET]] &lt;= 5)), 1, 0)</f>
        <v>1</v>
      </c>
      <c r="E107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07">
        <f>IF(AND(Tabelle1214[[#This Row],[Simple]]=0,Tabelle1214[[#This Row],[Average]]=0), 1, 0)</f>
        <v>0</v>
      </c>
      <c r="G107">
        <v>0</v>
      </c>
      <c r="H107">
        <v>0</v>
      </c>
      <c r="I107">
        <f>Tabelle1214[[#This Row],[Count]]*(3*Tabelle1214[[#This Row],[Simple]]+4*Tabelle1214[[#This Row],[Average]]+6*Tabelle1214[[#This Row],[Complex]])</f>
        <v>0</v>
      </c>
    </row>
    <row r="108" spans="2:11" x14ac:dyDescent="0.25">
      <c r="B108" t="s">
        <v>27</v>
      </c>
      <c r="C108">
        <v>2</v>
      </c>
      <c r="D108">
        <f>IF(OR(AND(Tabelle1214[[#This Row],[FTR/RET]]&lt;2, Tabelle1214[[#This Row],[DET]] &lt;= 50), AND(Tabelle1214[[#This Row],[FTR/RET]]&lt;=5, Tabelle1214[[#This Row],[DET]] &lt; 20)), 1, 0)</f>
        <v>1</v>
      </c>
      <c r="E108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08">
        <f>IF(AND(Tabelle1214[[#This Row],[Simple]]=0,Tabelle1214[[#This Row],[Average]]=0), 1, 0)</f>
        <v>0</v>
      </c>
      <c r="G108">
        <v>0</v>
      </c>
      <c r="H108">
        <v>0</v>
      </c>
      <c r="I108">
        <f>Tabelle1214[[#This Row],[Count]]*(7*Tabelle1214[[#This Row],[Simple]]+10*Tabelle1214[[#This Row],[Average]]+15*Tabelle1214[[#This Row],[Complex]])</f>
        <v>14</v>
      </c>
      <c r="J108" t="s">
        <v>60</v>
      </c>
    </row>
    <row r="109" spans="2:11" x14ac:dyDescent="0.25">
      <c r="B109" t="s">
        <v>28</v>
      </c>
      <c r="C109">
        <v>0</v>
      </c>
      <c r="D109">
        <f>IF(OR(AND(Tabelle1214[[#This Row],[FTR/RET]]&lt;2, Tabelle1214[[#This Row],[DET]] &lt;= 50), AND(Tabelle1214[[#This Row],[FTR/RET]]&lt;=5, Tabelle1214[[#This Row],[DET]] &lt; 20)), 1, 0)</f>
        <v>1</v>
      </c>
      <c r="E109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09">
        <f>IF(AND(Tabelle1214[[#This Row],[Simple]]=0,Tabelle1214[[#This Row],[Average]]=0), 1, 0)</f>
        <v>0</v>
      </c>
      <c r="G109">
        <v>0</v>
      </c>
      <c r="H109">
        <v>0</v>
      </c>
      <c r="I109">
        <f>Tabelle1214[[#This Row],[Count]]*(5*Tabelle1214[[#This Row],[Simple]]+7*Tabelle1214[[#This Row],[Average]]+10*Tabelle1214[[#This Row],[Complex]])</f>
        <v>0</v>
      </c>
    </row>
    <row r="112" spans="2:11" x14ac:dyDescent="0.25">
      <c r="B112" t="s">
        <v>32</v>
      </c>
      <c r="C112" t="s">
        <v>21</v>
      </c>
      <c r="D112" t="s">
        <v>18</v>
      </c>
      <c r="E112" t="s">
        <v>19</v>
      </c>
      <c r="F112" t="s">
        <v>20</v>
      </c>
      <c r="G112" t="s">
        <v>49</v>
      </c>
      <c r="H112" t="s">
        <v>29</v>
      </c>
      <c r="I112" t="s">
        <v>50</v>
      </c>
      <c r="J112" t="s">
        <v>22</v>
      </c>
      <c r="K112" t="s">
        <v>31</v>
      </c>
    </row>
    <row r="113" spans="2:11" x14ac:dyDescent="0.25">
      <c r="B113" t="s">
        <v>24</v>
      </c>
      <c r="C113">
        <v>0</v>
      </c>
      <c r="D113">
        <f>IF(OR(AND(Tabelle121415[[#This Row],[FTR/RET]]&lt;=1, Tabelle121415[[#This Row],[DET]] &lt;= 15), AND(Tabelle121415[[#This Row],[FTR/RET]]&lt;= 3, Tabelle121415[[#This Row],[DET]] &lt;= 4)), 1, 0)</f>
        <v>1</v>
      </c>
      <c r="E113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0</v>
      </c>
      <c r="F113">
        <f>IF(AND(Tabelle121415[[#This Row],[Simple]]=0,Tabelle121415[[#This Row],[Average]]=0), 1, 0)</f>
        <v>0</v>
      </c>
      <c r="G113">
        <v>0</v>
      </c>
      <c r="H113">
        <v>0</v>
      </c>
      <c r="I113">
        <f>Tabelle121415[[#This Row],[Count]]*(3*Tabelle121415[[#This Row],[Simple]]+4*Tabelle121415[[#This Row],[Average]]+6*Tabelle121415[[#This Row],[Complex]])</f>
        <v>0</v>
      </c>
      <c r="K113">
        <f>SUM(Tabelle121415[Points])*0.65</f>
        <v>0</v>
      </c>
    </row>
    <row r="114" spans="2:11" x14ac:dyDescent="0.25">
      <c r="B114" t="s">
        <v>25</v>
      </c>
      <c r="C114">
        <v>0</v>
      </c>
      <c r="D114">
        <f>IF(OR(AND(Tabelle121415[[#This Row],[FTR/RET]]&lt;=1, Tabelle121415[[#This Row],[DET]] &lt;= 19), AND(Tabelle121415[[#This Row],[FTR/RET]]&lt;= 3, Tabelle121415[[#This Row],[DET]] &lt;= 5)), 1, 0)</f>
        <v>1</v>
      </c>
      <c r="E114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14">
        <f>IF(AND(Tabelle121415[[#This Row],[Simple]]=0,Tabelle121415[[#This Row],[Average]]=0), 1, 0)</f>
        <v>0</v>
      </c>
      <c r="G114">
        <v>0</v>
      </c>
      <c r="H114">
        <v>0</v>
      </c>
      <c r="I114">
        <f>Tabelle121415[[#This Row],[Count]]*(Tabelle121415[[#This Row],[Simple]]*4+Tabelle121415[[#This Row],[Average]]*5+Tabelle121415[[#This Row],[Complex]]*7)</f>
        <v>0</v>
      </c>
    </row>
    <row r="115" spans="2:11" x14ac:dyDescent="0.25">
      <c r="B115" t="s">
        <v>26</v>
      </c>
      <c r="C115">
        <v>0</v>
      </c>
      <c r="D115">
        <f>IF(OR(AND(Tabelle121415[[#This Row],[FTR/RET]]&lt;=1, Tabelle121415[[#This Row],[DET]] &lt;= 19), AND(Tabelle121415[[#This Row],[FTR/RET]]&lt;= 3, Tabelle121415[[#This Row],[DET]] &lt;= 5)), 1, 0)</f>
        <v>1</v>
      </c>
      <c r="E115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15">
        <f>IF(AND(Tabelle121415[[#This Row],[Simple]]=0,Tabelle121415[[#This Row],[Average]]=0), 1, 0)</f>
        <v>0</v>
      </c>
      <c r="G115">
        <v>0</v>
      </c>
      <c r="H115">
        <v>0</v>
      </c>
      <c r="I115">
        <f>Tabelle121415[[#This Row],[Count]]*(3*Tabelle121415[[#This Row],[Simple]]+4*Tabelle121415[[#This Row],[Average]]+6*Tabelle121415[[#This Row],[Complex]])</f>
        <v>0</v>
      </c>
    </row>
    <row r="116" spans="2:11" x14ac:dyDescent="0.25">
      <c r="B116" t="s">
        <v>27</v>
      </c>
      <c r="C116">
        <v>0</v>
      </c>
      <c r="D116">
        <f>IF(OR(AND(Tabelle121415[[#This Row],[FTR/RET]]&lt;2, Tabelle121415[[#This Row],[DET]] &lt;= 50), AND(Tabelle121415[[#This Row],[FTR/RET]]&lt;=5, Tabelle121415[[#This Row],[DET]] &lt; 20)), 1, 0)</f>
        <v>1</v>
      </c>
      <c r="E116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16">
        <f>IF(AND(Tabelle121415[[#This Row],[Simple]]=0,Tabelle121415[[#This Row],[Average]]=0), 1, 0)</f>
        <v>0</v>
      </c>
      <c r="G116">
        <v>0</v>
      </c>
      <c r="H116">
        <v>0</v>
      </c>
      <c r="I116">
        <f>Tabelle121415[[#This Row],[Count]]*(7*Tabelle121415[[#This Row],[Simple]]+10*Tabelle121415[[#This Row],[Average]]+15*Tabelle121415[[#This Row],[Complex]])</f>
        <v>0</v>
      </c>
    </row>
    <row r="117" spans="2:11" x14ac:dyDescent="0.25">
      <c r="B117" t="s">
        <v>28</v>
      </c>
      <c r="C117">
        <v>0</v>
      </c>
      <c r="D117">
        <f>IF(OR(AND(Tabelle121415[[#This Row],[FTR/RET]]&lt;2, Tabelle121415[[#This Row],[DET]] &lt;= 50), AND(Tabelle121415[[#This Row],[FTR/RET]]&lt;=5, Tabelle121415[[#This Row],[DET]] &lt; 20)), 1, 0)</f>
        <v>1</v>
      </c>
      <c r="E117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17">
        <f>IF(AND(Tabelle121415[[#This Row],[Simple]]=0,Tabelle121415[[#This Row],[Average]]=0), 1, 0)</f>
        <v>0</v>
      </c>
      <c r="G117">
        <v>0</v>
      </c>
      <c r="H117">
        <v>0</v>
      </c>
      <c r="I117">
        <f>Tabelle121415[[#This Row],[Count]]*(5*Tabelle121415[[#This Row],[Simple]]+7*Tabelle121415[[#This Row],[Average]]+10*Tabelle121415[[#This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</vt:i4>
      </vt:variant>
    </vt:vector>
  </HeadingPairs>
  <TitlesOfParts>
    <vt:vector size="13" baseType="lpstr">
      <vt:lpstr>Tabelle1</vt:lpstr>
      <vt:lpstr>AdministrateBarsFP</vt:lpstr>
      <vt:lpstr>ChangeInfoFP</vt:lpstr>
      <vt:lpstr>CommentFP</vt:lpstr>
      <vt:lpstr>GetBarInfoFP</vt:lpstr>
      <vt:lpstr>LoginFP</vt:lpstr>
      <vt:lpstr>RateBarFP</vt:lpstr>
      <vt:lpstr>RegisterFp</vt:lpstr>
      <vt:lpstr>SearchBarFP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2016-04-06T09:08:04Z</dcterms:created>
  <dcterms:modified xsi:type="dcterms:W3CDTF">2016-04-19T18:29:15Z</dcterms:modified>
</cp:coreProperties>
</file>